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0640" windowHeight="11760" firstSheet="2" activeTab="2"/>
  </bookViews>
  <sheets>
    <sheet name="FOOTBALL active leagues" sheetId="22" r:id="rId1"/>
    <sheet name="FOOTBALL all_CALCULATIONS" sheetId="7" r:id="rId2"/>
    <sheet name="FOOTBALL all_filter_results USE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55" i="5"/>
  <c r="Y1754"/>
  <c r="X1754" l="1"/>
  <c r="V1753"/>
  <c r="T1754" s="1"/>
  <c r="X1753"/>
  <c r="T1752"/>
  <c r="U1752" s="1"/>
  <c r="V1752" s="1"/>
  <c r="X1752"/>
  <c r="Y1752" s="1"/>
  <c r="T1691"/>
  <c r="T1690"/>
  <c r="Y1753" l="1"/>
  <c r="C1752" a="1"/>
  <c r="C1752" s="1"/>
  <c r="D1752" a="1"/>
  <c r="D1752"/>
  <c r="X1750"/>
  <c r="X1751"/>
  <c r="X1734"/>
  <c r="X1735"/>
  <c r="X1736"/>
  <c r="X1737"/>
  <c r="X1738"/>
  <c r="X1739"/>
  <c r="X1740"/>
  <c r="X1741"/>
  <c r="X1742"/>
  <c r="X1743"/>
  <c r="X1744"/>
  <c r="X1745"/>
  <c r="X1746"/>
  <c r="X1747"/>
  <c r="X1748"/>
  <c r="X1749"/>
  <c r="C1749" a="1"/>
  <c r="C1749" s="1"/>
  <c r="D1749" a="1"/>
  <c r="D1749"/>
  <c r="C1750" a="1"/>
  <c r="C1750" s="1"/>
  <c r="D1750" a="1"/>
  <c r="D1750"/>
  <c r="C1751" a="1"/>
  <c r="C1751" s="1"/>
  <c r="D1751" a="1"/>
  <c r="D1751"/>
  <c r="D1748" a="1"/>
  <c r="D1748" s="1"/>
  <c r="C1748" a="1"/>
  <c r="C1748" s="1"/>
  <c r="C1744" a="1"/>
  <c r="C1744" s="1"/>
  <c r="D1744" a="1"/>
  <c r="D1744" s="1"/>
  <c r="C1745" a="1"/>
  <c r="C1745" s="1"/>
  <c r="D1745" a="1"/>
  <c r="D1745" s="1"/>
  <c r="C1746" a="1"/>
  <c r="C1746" s="1"/>
  <c r="D1746" a="1"/>
  <c r="D1746" s="1"/>
  <c r="C1747" a="1"/>
  <c r="C1747" s="1"/>
  <c r="D1747" a="1"/>
  <c r="D1747" s="1"/>
  <c r="AK34"/>
  <c r="X1730"/>
  <c r="X1731"/>
  <c r="X1732"/>
  <c r="X1733"/>
  <c r="X1727"/>
  <c r="X1728"/>
  <c r="X1729"/>
  <c r="C1738" a="1"/>
  <c r="C1738" s="1"/>
  <c r="D1738" a="1"/>
  <c r="D1738" s="1"/>
  <c r="C1739" a="1"/>
  <c r="C1739" s="1"/>
  <c r="D1739" a="1"/>
  <c r="D1739" s="1"/>
  <c r="C1740" a="1"/>
  <c r="C1740" s="1"/>
  <c r="D1740" a="1"/>
  <c r="D1740" s="1"/>
  <c r="C1741" a="1"/>
  <c r="C1741" s="1"/>
  <c r="D1741" a="1"/>
  <c r="D1741" s="1"/>
  <c r="C1742" a="1"/>
  <c r="C1742" s="1"/>
  <c r="D1742" a="1"/>
  <c r="D1742" s="1"/>
  <c r="C1743" a="1"/>
  <c r="C1743" s="1"/>
  <c r="D1743" a="1"/>
  <c r="D1743" s="1"/>
  <c r="V876" i="7"/>
  <c r="W876" s="1"/>
  <c r="V877"/>
  <c r="W877" s="1"/>
  <c r="V878"/>
  <c r="W878" s="1"/>
  <c r="V879"/>
  <c r="W879"/>
  <c r="V880"/>
  <c r="W880"/>
  <c r="V881"/>
  <c r="W881" s="1"/>
  <c r="V882"/>
  <c r="W882"/>
  <c r="V883"/>
  <c r="W883"/>
  <c r="V884"/>
  <c r="W884" s="1"/>
  <c r="V885"/>
  <c r="W885"/>
  <c r="V886"/>
  <c r="W886"/>
  <c r="V887"/>
  <c r="W887" s="1"/>
  <c r="V888"/>
  <c r="W888"/>
  <c r="V889"/>
  <c r="W889"/>
  <c r="V890"/>
  <c r="W890" s="1"/>
  <c r="V891"/>
  <c r="W891"/>
  <c r="V892"/>
  <c r="W892"/>
  <c r="V893"/>
  <c r="W893" s="1"/>
  <c r="V894"/>
  <c r="W894"/>
  <c r="V895"/>
  <c r="W895"/>
  <c r="V896"/>
  <c r="W896" s="1"/>
  <c r="V897"/>
  <c r="W897"/>
  <c r="V898"/>
  <c r="W898"/>
  <c r="V899"/>
  <c r="W899" s="1"/>
  <c r="V900"/>
  <c r="W900"/>
  <c r="V901"/>
  <c r="W901"/>
  <c r="V902"/>
  <c r="W902" s="1"/>
  <c r="V903"/>
  <c r="W903"/>
  <c r="V904"/>
  <c r="W904"/>
  <c r="V905"/>
  <c r="W905" s="1"/>
  <c r="V906"/>
  <c r="W906"/>
  <c r="V907"/>
  <c r="W907"/>
  <c r="V908"/>
  <c r="W908" s="1"/>
  <c r="V909"/>
  <c r="W909"/>
  <c r="V910"/>
  <c r="W910"/>
  <c r="V911"/>
  <c r="W911" s="1"/>
  <c r="V912"/>
  <c r="W912"/>
  <c r="V913"/>
  <c r="W913"/>
  <c r="V914"/>
  <c r="W914" s="1"/>
  <c r="V915"/>
  <c r="W915"/>
  <c r="V916"/>
  <c r="W916"/>
  <c r="V917"/>
  <c r="W917" s="1"/>
  <c r="V918"/>
  <c r="W918"/>
  <c r="V919"/>
  <c r="W919"/>
  <c r="V920"/>
  <c r="W920" s="1"/>
  <c r="V921"/>
  <c r="W921"/>
  <c r="V922"/>
  <c r="W922"/>
  <c r="V923"/>
  <c r="W923" s="1"/>
  <c r="V924"/>
  <c r="W924"/>
  <c r="V925"/>
  <c r="W925"/>
  <c r="V926"/>
  <c r="W926" s="1"/>
  <c r="V927"/>
  <c r="W927"/>
  <c r="V928"/>
  <c r="W928"/>
  <c r="V929"/>
  <c r="W929" s="1"/>
  <c r="V930"/>
  <c r="W930"/>
  <c r="V931"/>
  <c r="W931"/>
  <c r="V932"/>
  <c r="W932" s="1"/>
  <c r="V933"/>
  <c r="W933"/>
  <c r="V934"/>
  <c r="W934"/>
  <c r="V935"/>
  <c r="W935" s="1"/>
  <c r="V936"/>
  <c r="W936"/>
  <c r="V937"/>
  <c r="W937"/>
  <c r="V938"/>
  <c r="W938" s="1"/>
  <c r="V939"/>
  <c r="W939"/>
  <c r="V940"/>
  <c r="W940"/>
  <c r="V941"/>
  <c r="W941" s="1"/>
  <c r="V942"/>
  <c r="W942"/>
  <c r="V943"/>
  <c r="W943"/>
  <c r="V944"/>
  <c r="W944" s="1"/>
  <c r="V945"/>
  <c r="W945"/>
  <c r="V946"/>
  <c r="W946"/>
  <c r="V947"/>
  <c r="W947" s="1"/>
  <c r="V948"/>
  <c r="W948"/>
  <c r="V949"/>
  <c r="W949"/>
  <c r="V950"/>
  <c r="W950" s="1"/>
  <c r="V951"/>
  <c r="W951"/>
  <c r="V952"/>
  <c r="W952"/>
  <c r="V953"/>
  <c r="W953" s="1"/>
  <c r="V954"/>
  <c r="W954"/>
  <c r="V955"/>
  <c r="W955"/>
  <c r="V956"/>
  <c r="W956" s="1"/>
  <c r="V957"/>
  <c r="W957" s="1"/>
  <c r="V958"/>
  <c r="W958" s="1"/>
  <c r="V959"/>
  <c r="W959"/>
  <c r="V960"/>
  <c r="W960" s="1"/>
  <c r="V961"/>
  <c r="W961" s="1"/>
  <c r="V962"/>
  <c r="W962"/>
  <c r="V963"/>
  <c r="W963" s="1"/>
  <c r="V964"/>
  <c r="W964" s="1"/>
  <c r="V965"/>
  <c r="W965"/>
  <c r="V966"/>
  <c r="W966" s="1"/>
  <c r="V967"/>
  <c r="W967" s="1"/>
  <c r="V968"/>
  <c r="W968"/>
  <c r="V969"/>
  <c r="W969" s="1"/>
  <c r="V970"/>
  <c r="W970" s="1"/>
  <c r="V971"/>
  <c r="W971"/>
  <c r="V972"/>
  <c r="W972" s="1"/>
  <c r="V973"/>
  <c r="W973" s="1"/>
  <c r="V974"/>
  <c r="W974"/>
  <c r="V975"/>
  <c r="W975" s="1"/>
  <c r="V976"/>
  <c r="W976" s="1"/>
  <c r="V977"/>
  <c r="W977"/>
  <c r="V978"/>
  <c r="W978" s="1"/>
  <c r="V979"/>
  <c r="W979" s="1"/>
  <c r="V980"/>
  <c r="W980"/>
  <c r="V981"/>
  <c r="W981" s="1"/>
  <c r="V982"/>
  <c r="W982" s="1"/>
  <c r="V983"/>
  <c r="W983"/>
  <c r="V984"/>
  <c r="W984" s="1"/>
  <c r="V985"/>
  <c r="W985" s="1"/>
  <c r="V986"/>
  <c r="W986"/>
  <c r="V987"/>
  <c r="W987" s="1"/>
  <c r="V988"/>
  <c r="W988" s="1"/>
  <c r="V989"/>
  <c r="W989"/>
  <c r="V990"/>
  <c r="W990" s="1"/>
  <c r="V991"/>
  <c r="W991" s="1"/>
  <c r="V992"/>
  <c r="W992"/>
  <c r="V993"/>
  <c r="W993" s="1"/>
  <c r="V994"/>
  <c r="W994" s="1"/>
  <c r="V995"/>
  <c r="W995"/>
  <c r="V996"/>
  <c r="W996" s="1"/>
  <c r="V997"/>
  <c r="W997" s="1"/>
  <c r="V998"/>
  <c r="W998"/>
  <c r="V999"/>
  <c r="W999" s="1"/>
  <c r="V1000"/>
  <c r="W1000" s="1"/>
  <c r="V1001"/>
  <c r="W1001"/>
  <c r="V1002"/>
  <c r="W1002" s="1"/>
  <c r="V1003"/>
  <c r="W1003" s="1"/>
  <c r="V1004"/>
  <c r="W1004"/>
  <c r="V1005"/>
  <c r="W1005" s="1"/>
  <c r="V1006"/>
  <c r="W1006" s="1"/>
  <c r="V1007"/>
  <c r="W1007"/>
  <c r="V1008"/>
  <c r="W1008" s="1"/>
  <c r="V1009"/>
  <c r="W1009" s="1"/>
  <c r="V1010"/>
  <c r="W1010"/>
  <c r="V1011"/>
  <c r="W1011" s="1"/>
  <c r="V1012"/>
  <c r="W1012"/>
  <c r="V1013"/>
  <c r="W1013"/>
  <c r="V1014"/>
  <c r="W1014" s="1"/>
  <c r="V1015"/>
  <c r="W1015"/>
  <c r="V1016"/>
  <c r="W1016"/>
  <c r="V1017"/>
  <c r="W1017" s="1"/>
  <c r="V1018"/>
  <c r="W1018"/>
  <c r="V1019"/>
  <c r="W1019"/>
  <c r="V1020"/>
  <c r="W1020" s="1"/>
  <c r="V1021"/>
  <c r="W1021"/>
  <c r="V1022"/>
  <c r="W1022"/>
  <c r="V1023"/>
  <c r="W1023" s="1"/>
  <c r="V1024"/>
  <c r="W1024"/>
  <c r="V1025"/>
  <c r="W1025"/>
  <c r="V1026"/>
  <c r="W1026" s="1"/>
  <c r="V1027"/>
  <c r="W1027"/>
  <c r="V1028"/>
  <c r="W1028"/>
  <c r="V1029"/>
  <c r="W1029" s="1"/>
  <c r="V1030"/>
  <c r="W1030"/>
  <c r="V1031"/>
  <c r="W1031"/>
  <c r="V1032"/>
  <c r="W1032" s="1"/>
  <c r="V1033"/>
  <c r="W1033"/>
  <c r="V1034"/>
  <c r="W1034"/>
  <c r="V1035"/>
  <c r="W1035" s="1"/>
  <c r="V1036"/>
  <c r="W1036"/>
  <c r="V1037"/>
  <c r="W1037"/>
  <c r="V1038"/>
  <c r="W1038" s="1"/>
  <c r="V1039"/>
  <c r="W1039"/>
  <c r="V1040"/>
  <c r="W1040"/>
  <c r="V1041"/>
  <c r="W1041" s="1"/>
  <c r="V1042"/>
  <c r="W1042"/>
  <c r="V1043"/>
  <c r="W1043"/>
  <c r="V1044"/>
  <c r="W1044" s="1"/>
  <c r="V1045"/>
  <c r="W1045"/>
  <c r="V1046"/>
  <c r="W1046"/>
  <c r="V1047"/>
  <c r="W1047" s="1"/>
  <c r="V1048"/>
  <c r="W1048"/>
  <c r="V1049"/>
  <c r="W1049"/>
  <c r="V1050"/>
  <c r="W1050" s="1"/>
  <c r="V1051"/>
  <c r="W1051"/>
  <c r="V1052"/>
  <c r="W1052"/>
  <c r="V1053"/>
  <c r="W1053" s="1"/>
  <c r="V1054"/>
  <c r="W1054"/>
  <c r="V1055"/>
  <c r="W1055"/>
  <c r="V1056"/>
  <c r="W1056" s="1"/>
  <c r="V1057"/>
  <c r="W1057"/>
  <c r="V1058"/>
  <c r="W1058"/>
  <c r="V1059"/>
  <c r="W1059" s="1"/>
  <c r="V1060"/>
  <c r="W1060"/>
  <c r="V1061"/>
  <c r="W1061"/>
  <c r="V1062"/>
  <c r="W1062" s="1"/>
  <c r="V1063"/>
  <c r="W1063"/>
  <c r="V1064"/>
  <c r="W1064"/>
  <c r="V1065"/>
  <c r="W1065" s="1"/>
  <c r="V1066"/>
  <c r="W1066"/>
  <c r="V1067"/>
  <c r="W1067"/>
  <c r="V1068"/>
  <c r="W1068" s="1"/>
  <c r="V1069"/>
  <c r="W1069"/>
  <c r="V1070"/>
  <c r="W1070"/>
  <c r="V1071"/>
  <c r="W1071" s="1"/>
  <c r="V1072"/>
  <c r="W1072"/>
  <c r="V1073"/>
  <c r="W1073"/>
  <c r="V1074"/>
  <c r="W1074" s="1"/>
  <c r="V1075"/>
  <c r="W1075"/>
  <c r="V1076"/>
  <c r="W1076"/>
  <c r="V1077"/>
  <c r="W1077" s="1"/>
  <c r="V1078"/>
  <c r="W1078"/>
  <c r="V1079"/>
  <c r="W1079"/>
  <c r="V1080"/>
  <c r="W1080" s="1"/>
  <c r="V1081"/>
  <c r="W1081"/>
  <c r="V1082"/>
  <c r="W1082"/>
  <c r="V1083"/>
  <c r="W1083" s="1"/>
  <c r="V1084"/>
  <c r="W1084"/>
  <c r="V1085"/>
  <c r="W1085"/>
  <c r="V1086"/>
  <c r="W1086" s="1"/>
  <c r="V1087"/>
  <c r="W1087"/>
  <c r="V1088"/>
  <c r="W1088"/>
  <c r="V1089"/>
  <c r="W1089" s="1"/>
  <c r="V1090"/>
  <c r="W1090" s="1"/>
  <c r="V1091"/>
  <c r="W1091" s="1"/>
  <c r="V1092"/>
  <c r="W1092"/>
  <c r="V1093"/>
  <c r="W1093" s="1"/>
  <c r="V1094"/>
  <c r="W1094"/>
  <c r="V1095"/>
  <c r="W1095"/>
  <c r="V1096"/>
  <c r="W1096" s="1"/>
  <c r="V1097"/>
  <c r="W1097" s="1"/>
  <c r="V1098"/>
  <c r="W1098"/>
  <c r="V1099"/>
  <c r="W1099" s="1"/>
  <c r="V1100"/>
  <c r="W1100"/>
  <c r="V1101"/>
  <c r="W1101" s="1"/>
  <c r="V1102"/>
  <c r="W1102" s="1"/>
  <c r="V1103"/>
  <c r="W1103" s="1"/>
  <c r="V1104"/>
  <c r="W1104"/>
  <c r="V1105"/>
  <c r="W1105"/>
  <c r="V1106"/>
  <c r="W1106" s="1"/>
  <c r="V1107"/>
  <c r="W1107"/>
  <c r="V1108"/>
  <c r="W1108"/>
  <c r="V1109"/>
  <c r="W1109" s="1"/>
  <c r="V1110"/>
  <c r="W1110"/>
  <c r="V1111"/>
  <c r="W1111"/>
  <c r="V1112"/>
  <c r="W1112" s="1"/>
  <c r="V1113"/>
  <c r="W1113" s="1"/>
  <c r="V1114"/>
  <c r="W1114" s="1"/>
  <c r="V1115"/>
  <c r="W1115" s="1"/>
  <c r="V1116"/>
  <c r="W1116" s="1"/>
  <c r="V1117"/>
  <c r="W1117" s="1"/>
  <c r="V1118"/>
  <c r="W1118"/>
  <c r="V1119"/>
  <c r="W1119" s="1"/>
  <c r="V1120"/>
  <c r="W1120" s="1"/>
  <c r="V1121"/>
  <c r="W1121"/>
  <c r="V1122"/>
  <c r="W1122" s="1"/>
  <c r="V1123"/>
  <c r="W1123" s="1"/>
  <c r="V1124"/>
  <c r="W1124"/>
  <c r="V1125"/>
  <c r="W1125" s="1"/>
  <c r="V1126"/>
  <c r="W1126" s="1"/>
  <c r="V1127"/>
  <c r="W1127" s="1"/>
  <c r="V1128"/>
  <c r="W1128"/>
  <c r="V1129"/>
  <c r="W1129" s="1"/>
  <c r="V1130"/>
  <c r="W1130" s="1"/>
  <c r="V1131"/>
  <c r="W1131" s="1"/>
  <c r="V1132"/>
  <c r="W1132"/>
  <c r="V1133"/>
  <c r="W1133" s="1"/>
  <c r="V1134"/>
  <c r="W1134" s="1"/>
  <c r="V1135"/>
  <c r="W1135" s="1"/>
  <c r="V1136"/>
  <c r="W1136"/>
  <c r="V1137"/>
  <c r="W1137" s="1"/>
  <c r="V1138"/>
  <c r="W1138" s="1"/>
  <c r="V1139"/>
  <c r="W1139" s="1"/>
  <c r="V1140"/>
  <c r="W1140"/>
  <c r="V1141"/>
  <c r="W1141" s="1"/>
  <c r="V1142"/>
  <c r="W1142" s="1"/>
  <c r="V1143"/>
  <c r="W1143" s="1"/>
  <c r="V1144"/>
  <c r="W1144"/>
  <c r="V1145"/>
  <c r="W1145" s="1"/>
  <c r="V1146"/>
  <c r="W1146" s="1"/>
  <c r="V1147"/>
  <c r="W1147" s="1"/>
  <c r="V1148"/>
  <c r="W1148"/>
  <c r="V1149"/>
  <c r="W1149" s="1"/>
  <c r="V1150"/>
  <c r="W1150" s="1"/>
  <c r="V1151"/>
  <c r="W1151" s="1"/>
  <c r="V1152"/>
  <c r="W1152"/>
  <c r="V1153"/>
  <c r="W1153" s="1"/>
  <c r="V1154"/>
  <c r="W1154" s="1"/>
  <c r="V1155"/>
  <c r="W1155" s="1"/>
  <c r="V1156"/>
  <c r="W1156"/>
  <c r="V1157"/>
  <c r="W1157" s="1"/>
  <c r="V1158"/>
  <c r="W1158" s="1"/>
  <c r="V1159"/>
  <c r="W1159" s="1"/>
  <c r="V1160"/>
  <c r="W1160"/>
  <c r="V1161"/>
  <c r="W1161" s="1"/>
  <c r="V1162"/>
  <c r="W1162" s="1"/>
  <c r="V1163"/>
  <c r="W1163" s="1"/>
  <c r="V1164"/>
  <c r="W1164"/>
  <c r="V1165"/>
  <c r="W1165" s="1"/>
  <c r="V1166"/>
  <c r="W1166" s="1"/>
  <c r="V1167"/>
  <c r="W1167" s="1"/>
  <c r="V1168"/>
  <c r="W1168"/>
  <c r="V1169"/>
  <c r="W1169" s="1"/>
  <c r="V1170"/>
  <c r="W1170" s="1"/>
  <c r="V1171"/>
  <c r="W1171" s="1"/>
  <c r="V1172"/>
  <c r="W1172"/>
  <c r="V1173"/>
  <c r="W1173" s="1"/>
  <c r="V1174"/>
  <c r="W1174" s="1"/>
  <c r="V1175"/>
  <c r="W1175" s="1"/>
  <c r="V1176"/>
  <c r="W1176"/>
  <c r="V1177"/>
  <c r="W1177" s="1"/>
  <c r="V1178"/>
  <c r="W1178" s="1"/>
  <c r="V1179"/>
  <c r="W1179" s="1"/>
  <c r="V1180"/>
  <c r="W1180"/>
  <c r="V1181"/>
  <c r="W1181" s="1"/>
  <c r="V1182"/>
  <c r="W1182" s="1"/>
  <c r="V1183"/>
  <c r="W1183" s="1"/>
  <c r="V1184"/>
  <c r="W1184"/>
  <c r="V1185"/>
  <c r="W1185" s="1"/>
  <c r="V1186"/>
  <c r="W1186" s="1"/>
  <c r="V1187"/>
  <c r="W1187" s="1"/>
  <c r="V1188"/>
  <c r="W1188"/>
  <c r="V1189"/>
  <c r="W1189" s="1"/>
  <c r="V1190"/>
  <c r="W1190" s="1"/>
  <c r="V1191"/>
  <c r="W1191" s="1"/>
  <c r="V1192"/>
  <c r="W1192"/>
  <c r="V1193"/>
  <c r="W1193" s="1"/>
  <c r="V1194"/>
  <c r="W1194" s="1"/>
  <c r="V1195"/>
  <c r="W1195" s="1"/>
  <c r="V1196"/>
  <c r="W1196"/>
  <c r="V1197"/>
  <c r="W1197" s="1"/>
  <c r="V1198"/>
  <c r="W1198" s="1"/>
  <c r="V1199"/>
  <c r="W1199" s="1"/>
  <c r="V1200"/>
  <c r="W1200"/>
  <c r="V1201"/>
  <c r="W1201" s="1"/>
  <c r="V1202"/>
  <c r="W1202" s="1"/>
  <c r="V1203"/>
  <c r="W1203" s="1"/>
  <c r="V1204"/>
  <c r="W1204"/>
  <c r="V1205"/>
  <c r="W1205" s="1"/>
  <c r="V1206"/>
  <c r="W1206" s="1"/>
  <c r="V1207"/>
  <c r="W1207" s="1"/>
  <c r="V1208"/>
  <c r="W1208"/>
  <c r="V1209"/>
  <c r="W1209" s="1"/>
  <c r="V1210"/>
  <c r="W1210" s="1"/>
  <c r="V1211"/>
  <c r="W1211" s="1"/>
  <c r="V1212"/>
  <c r="W1212"/>
  <c r="V1213"/>
  <c r="W1213" s="1"/>
  <c r="V1214"/>
  <c r="W1214" s="1"/>
  <c r="V1215"/>
  <c r="W1215" s="1"/>
  <c r="V1216"/>
  <c r="W1216"/>
  <c r="V1217"/>
  <c r="W1217" s="1"/>
  <c r="V1218"/>
  <c r="W1218" s="1"/>
  <c r="V1219"/>
  <c r="W1219" s="1"/>
  <c r="V1220"/>
  <c r="W1220"/>
  <c r="V1221"/>
  <c r="W1221" s="1"/>
  <c r="V1222"/>
  <c r="W1222" s="1"/>
  <c r="V1223"/>
  <c r="W1223" s="1"/>
  <c r="V1224"/>
  <c r="W1224"/>
  <c r="V1225"/>
  <c r="W1225" s="1"/>
  <c r="V1226"/>
  <c r="W1226" s="1"/>
  <c r="V1227"/>
  <c r="W1227" s="1"/>
  <c r="V1228"/>
  <c r="W1228"/>
  <c r="V1229"/>
  <c r="W1229" s="1"/>
  <c r="V1230"/>
  <c r="W1230" s="1"/>
  <c r="V1231"/>
  <c r="W1231" s="1"/>
  <c r="V1232"/>
  <c r="W1232"/>
  <c r="V1233"/>
  <c r="W1233" s="1"/>
  <c r="V1234"/>
  <c r="W1234" s="1"/>
  <c r="V1235"/>
  <c r="W1235" s="1"/>
  <c r="V1236"/>
  <c r="W1236"/>
  <c r="V1237"/>
  <c r="W1237" s="1"/>
  <c r="V1238"/>
  <c r="W1238" s="1"/>
  <c r="V1239"/>
  <c r="W1239" s="1"/>
  <c r="V1240"/>
  <c r="W1240"/>
  <c r="V1241"/>
  <c r="W1241" s="1"/>
  <c r="V1242"/>
  <c r="W1242" s="1"/>
  <c r="V1243"/>
  <c r="W1243" s="1"/>
  <c r="V1244"/>
  <c r="W1244"/>
  <c r="V1245"/>
  <c r="W1245" s="1"/>
  <c r="V1246"/>
  <c r="W1246" s="1"/>
  <c r="V1247"/>
  <c r="W1247" s="1"/>
  <c r="V1248"/>
  <c r="W1248"/>
  <c r="V1249"/>
  <c r="W1249" s="1"/>
  <c r="V1250"/>
  <c r="W1250" s="1"/>
  <c r="V1251"/>
  <c r="W1251" s="1"/>
  <c r="V1252"/>
  <c r="W1252"/>
  <c r="V1253"/>
  <c r="W1253" s="1"/>
  <c r="V1254"/>
  <c r="W1254" s="1"/>
  <c r="V1255"/>
  <c r="W1255" s="1"/>
  <c r="V1256"/>
  <c r="W1256"/>
  <c r="V1257"/>
  <c r="W1257" s="1"/>
  <c r="V1258"/>
  <c r="W1258" s="1"/>
  <c r="V1259"/>
  <c r="W1259" s="1"/>
  <c r="V1260"/>
  <c r="W1260"/>
  <c r="V1261"/>
  <c r="W1261" s="1"/>
  <c r="V1262"/>
  <c r="W1262" s="1"/>
  <c r="V1263"/>
  <c r="W1263" s="1"/>
  <c r="V1264"/>
  <c r="W1264"/>
  <c r="V1265"/>
  <c r="W1265" s="1"/>
  <c r="V1266"/>
  <c r="W1266" s="1"/>
  <c r="V1267"/>
  <c r="W1267" s="1"/>
  <c r="V1268"/>
  <c r="W1268"/>
  <c r="V1269"/>
  <c r="W1269" s="1"/>
  <c r="V1270"/>
  <c r="W1270" s="1"/>
  <c r="V1271"/>
  <c r="W1271" s="1"/>
  <c r="V1272"/>
  <c r="W1272"/>
  <c r="V1273"/>
  <c r="W1273" s="1"/>
  <c r="V1274"/>
  <c r="W1274" s="1"/>
  <c r="V1275"/>
  <c r="W1275" s="1"/>
  <c r="V1276"/>
  <c r="W1276"/>
  <c r="V1277"/>
  <c r="W1277" s="1"/>
  <c r="V1278"/>
  <c r="W1278" s="1"/>
  <c r="V1279"/>
  <c r="W1279" s="1"/>
  <c r="V1280"/>
  <c r="W1280"/>
  <c r="V1281"/>
  <c r="W1281" s="1"/>
  <c r="V1282"/>
  <c r="W1282" s="1"/>
  <c r="V1283"/>
  <c r="W1283"/>
  <c r="V1284"/>
  <c r="W1284"/>
  <c r="V1285"/>
  <c r="W1285" s="1"/>
  <c r="V1286"/>
  <c r="W1286" s="1"/>
  <c r="V1287"/>
  <c r="W1287"/>
  <c r="V1288"/>
  <c r="W1288" s="1"/>
  <c r="V1289"/>
  <c r="W1289" s="1"/>
  <c r="V1290"/>
  <c r="W1290"/>
  <c r="V1291"/>
  <c r="W1291" s="1"/>
  <c r="V1292"/>
  <c r="W1292" s="1"/>
  <c r="V1293"/>
  <c r="W1293" s="1"/>
  <c r="V1294"/>
  <c r="W1294"/>
  <c r="V1295"/>
  <c r="W1295" s="1"/>
  <c r="V1296"/>
  <c r="W1296"/>
  <c r="V1297"/>
  <c r="W1297" s="1"/>
  <c r="V1298"/>
  <c r="W1298" s="1"/>
  <c r="V1299"/>
  <c r="W1299" s="1"/>
  <c r="V1300"/>
  <c r="W1300"/>
  <c r="V1301"/>
  <c r="W1301" s="1"/>
  <c r="V1302"/>
  <c r="W1302" s="1"/>
  <c r="V1303"/>
  <c r="W1303" s="1"/>
  <c r="V1304"/>
  <c r="W1304" s="1"/>
  <c r="V1305"/>
  <c r="W1305" s="1"/>
  <c r="V1306"/>
  <c r="W1306"/>
  <c r="V1307"/>
  <c r="W1307"/>
  <c r="V1308"/>
  <c r="W1308" s="1"/>
  <c r="V1309"/>
  <c r="W1309" s="1"/>
  <c r="V1310"/>
  <c r="W1310"/>
  <c r="V1311"/>
  <c r="W1311" s="1"/>
  <c r="V1312"/>
  <c r="W1312" s="1"/>
  <c r="V1313"/>
  <c r="W1313"/>
  <c r="V1314"/>
  <c r="W1314" s="1"/>
  <c r="V1315"/>
  <c r="W1315" s="1"/>
  <c r="V1316"/>
  <c r="W1316"/>
  <c r="V1317"/>
  <c r="W1317"/>
  <c r="V1318"/>
  <c r="W1318" s="1"/>
  <c r="V1319"/>
  <c r="W1319"/>
  <c r="V1320"/>
  <c r="W1320" s="1"/>
  <c r="V1321"/>
  <c r="W1321" s="1"/>
  <c r="V1322"/>
  <c r="W1322" s="1"/>
  <c r="V1323"/>
  <c r="W1323"/>
  <c r="V1324"/>
  <c r="W1324" s="1"/>
  <c r="V1325"/>
  <c r="W1325" s="1"/>
  <c r="V1326"/>
  <c r="W1326"/>
  <c r="V1327"/>
  <c r="W1327" s="1"/>
  <c r="V1328"/>
  <c r="W1328" s="1"/>
  <c r="V1329"/>
  <c r="W1329"/>
  <c r="V1330"/>
  <c r="W1330"/>
  <c r="V1331"/>
  <c r="W1331" s="1"/>
  <c r="V1332"/>
  <c r="W1332"/>
  <c r="V1333"/>
  <c r="W1333" s="1"/>
  <c r="V1334"/>
  <c r="W1334" s="1"/>
  <c r="V1335"/>
  <c r="W1335" s="1"/>
  <c r="V1336"/>
  <c r="W1336"/>
  <c r="V1337"/>
  <c r="W1337" s="1"/>
  <c r="V1338"/>
  <c r="W1338" s="1"/>
  <c r="V1339"/>
  <c r="W1339" s="1"/>
  <c r="V1340"/>
  <c r="W1340" s="1"/>
  <c r="V1341"/>
  <c r="W1341" s="1"/>
  <c r="V1342"/>
  <c r="W1342" s="1"/>
  <c r="V1343"/>
  <c r="W1343" s="1"/>
  <c r="V1344"/>
  <c r="W1344"/>
  <c r="V1345"/>
  <c r="W1345" s="1"/>
  <c r="V1346"/>
  <c r="W1346" s="1"/>
  <c r="V1347"/>
  <c r="W1347" s="1"/>
  <c r="V1348"/>
  <c r="W1348"/>
  <c r="V1349"/>
  <c r="W1349" s="1"/>
  <c r="V1350"/>
  <c r="W1350" s="1"/>
  <c r="V1351"/>
  <c r="W1351" s="1"/>
  <c r="V1352"/>
  <c r="W1352" s="1"/>
  <c r="V1353"/>
  <c r="W1353" s="1"/>
  <c r="V1354"/>
  <c r="W1354" s="1"/>
  <c r="V1355"/>
  <c r="W1355" s="1"/>
  <c r="V1356"/>
  <c r="W1356"/>
  <c r="V1357"/>
  <c r="W1357" s="1"/>
  <c r="V1358"/>
  <c r="W1358" s="1"/>
  <c r="V1359"/>
  <c r="W1359" s="1"/>
  <c r="V1360"/>
  <c r="W1360"/>
  <c r="V1361"/>
  <c r="W1361" s="1"/>
  <c r="V1362"/>
  <c r="W1362" s="1"/>
  <c r="V1363"/>
  <c r="W1363" s="1"/>
  <c r="V1364"/>
  <c r="W1364" s="1"/>
  <c r="V1365"/>
  <c r="W1365" s="1"/>
  <c r="V1366"/>
  <c r="W1366" s="1"/>
  <c r="V1367"/>
  <c r="W1367" s="1"/>
  <c r="V1368"/>
  <c r="W1368" s="1"/>
  <c r="V1369"/>
  <c r="W1369" s="1"/>
  <c r="V1370"/>
  <c r="W1370" s="1"/>
  <c r="V1371"/>
  <c r="W1371" s="1"/>
  <c r="V1372"/>
  <c r="W1372" s="1"/>
  <c r="V1373"/>
  <c r="W1373" s="1"/>
  <c r="V1374"/>
  <c r="W1374" s="1"/>
  <c r="V1375"/>
  <c r="W1375" s="1"/>
  <c r="V1376"/>
  <c r="W1376" s="1"/>
  <c r="V1377"/>
  <c r="W1377" s="1"/>
  <c r="V1378"/>
  <c r="W1378" s="1"/>
  <c r="V1379"/>
  <c r="W1379" s="1"/>
  <c r="V1380"/>
  <c r="W1380" s="1"/>
  <c r="V1381"/>
  <c r="W1381" s="1"/>
  <c r="V1382"/>
  <c r="W1382" s="1"/>
  <c r="V1383"/>
  <c r="W1383" s="1"/>
  <c r="V1384"/>
  <c r="W1384" s="1"/>
  <c r="V1385"/>
  <c r="W1385" s="1"/>
  <c r="V1386"/>
  <c r="W1386" s="1"/>
  <c r="V1387"/>
  <c r="W1387" s="1"/>
  <c r="V1388"/>
  <c r="W1388" s="1"/>
  <c r="V1389"/>
  <c r="W1389" s="1"/>
  <c r="V1390"/>
  <c r="W1390" s="1"/>
  <c r="V1391"/>
  <c r="W1391" s="1"/>
  <c r="V1392"/>
  <c r="W1392" s="1"/>
  <c r="V1393"/>
  <c r="W1393" s="1"/>
  <c r="V1394"/>
  <c r="W1394" s="1"/>
  <c r="V1395"/>
  <c r="W1395" s="1"/>
  <c r="V1396"/>
  <c r="W1396" s="1"/>
  <c r="V1397"/>
  <c r="W1397" s="1"/>
  <c r="V1398"/>
  <c r="W1398" s="1"/>
  <c r="V1399"/>
  <c r="W1399" s="1"/>
  <c r="V1400"/>
  <c r="W1400" s="1"/>
  <c r="V1401"/>
  <c r="W1401" s="1"/>
  <c r="V1402"/>
  <c r="W1402" s="1"/>
  <c r="V1403"/>
  <c r="W1403" s="1"/>
  <c r="V1404"/>
  <c r="W1404" s="1"/>
  <c r="V1405"/>
  <c r="W1405" s="1"/>
  <c r="V1406"/>
  <c r="W1406" s="1"/>
  <c r="V1407"/>
  <c r="W1407" s="1"/>
  <c r="V1408"/>
  <c r="W1408" s="1"/>
  <c r="V1409"/>
  <c r="W1409" s="1"/>
  <c r="V1410"/>
  <c r="W1410" s="1"/>
  <c r="V1411"/>
  <c r="W1411" s="1"/>
  <c r="V1412"/>
  <c r="W1412" s="1"/>
  <c r="V1413"/>
  <c r="W1413" s="1"/>
  <c r="V1414"/>
  <c r="W1414" s="1"/>
  <c r="V1415"/>
  <c r="W1415" s="1"/>
  <c r="V1416"/>
  <c r="W1416"/>
  <c r="V1417"/>
  <c r="W1417" s="1"/>
  <c r="V1418"/>
  <c r="W1418" s="1"/>
  <c r="V1419"/>
  <c r="W1419" s="1"/>
  <c r="V1420"/>
  <c r="W1420"/>
  <c r="V1421"/>
  <c r="W1421" s="1"/>
  <c r="V1422"/>
  <c r="W1422" s="1"/>
  <c r="V1423"/>
  <c r="W1423" s="1"/>
  <c r="V1424"/>
  <c r="W1424" s="1"/>
  <c r="V1425"/>
  <c r="W1425" s="1"/>
  <c r="V1426"/>
  <c r="W1426" s="1"/>
  <c r="V1427"/>
  <c r="W1427" s="1"/>
  <c r="V1428"/>
  <c r="W1428"/>
  <c r="V1429"/>
  <c r="W1429" s="1"/>
  <c r="V1430"/>
  <c r="W1430" s="1"/>
  <c r="V1431"/>
  <c r="W1431" s="1"/>
  <c r="V1432"/>
  <c r="W1432"/>
  <c r="V1433"/>
  <c r="W1433" s="1"/>
  <c r="V1434"/>
  <c r="W1434" s="1"/>
  <c r="V1435"/>
  <c r="W1435" s="1"/>
  <c r="V1436"/>
  <c r="W1436" s="1"/>
  <c r="V1437"/>
  <c r="W1437" s="1"/>
  <c r="V1438"/>
  <c r="W1438" s="1"/>
  <c r="V1439"/>
  <c r="W1439" s="1"/>
  <c r="V1440"/>
  <c r="W1440"/>
  <c r="V1441"/>
  <c r="W1441" s="1"/>
  <c r="V1442"/>
  <c r="W1442" s="1"/>
  <c r="V1443"/>
  <c r="W1443" s="1"/>
  <c r="V1444"/>
  <c r="W1444"/>
  <c r="V1445"/>
  <c r="W1445" s="1"/>
  <c r="V1446"/>
  <c r="W1446" s="1"/>
  <c r="V1447"/>
  <c r="W1447" s="1"/>
  <c r="V1448"/>
  <c r="W1448" s="1"/>
  <c r="V1449"/>
  <c r="W1449" s="1"/>
  <c r="V1450"/>
  <c r="W1450" s="1"/>
  <c r="V1451"/>
  <c r="W1451" s="1"/>
  <c r="V1452"/>
  <c r="W1452"/>
  <c r="V1453"/>
  <c r="W1453" s="1"/>
  <c r="V1454"/>
  <c r="W1454" s="1"/>
  <c r="V1455"/>
  <c r="W1455" s="1"/>
  <c r="V1456"/>
  <c r="W1456"/>
  <c r="V1457"/>
  <c r="W1457" s="1"/>
  <c r="V1458"/>
  <c r="W1458" s="1"/>
  <c r="V1459"/>
  <c r="W1459" s="1"/>
  <c r="V1460"/>
  <c r="W1460" s="1"/>
  <c r="V1461"/>
  <c r="W1461" s="1"/>
  <c r="V1462"/>
  <c r="W1462" s="1"/>
  <c r="V1463"/>
  <c r="W1463" s="1"/>
  <c r="V1464"/>
  <c r="W1464"/>
  <c r="V1465"/>
  <c r="W1465" s="1"/>
  <c r="V1466"/>
  <c r="W1466" s="1"/>
  <c r="V1467"/>
  <c r="W1467" s="1"/>
  <c r="V1468"/>
  <c r="W1468"/>
  <c r="V1469"/>
  <c r="W1469" s="1"/>
  <c r="V1470"/>
  <c r="W1470" s="1"/>
  <c r="V1471"/>
  <c r="W1471" s="1"/>
  <c r="V1472"/>
  <c r="W1472" s="1"/>
  <c r="V1473"/>
  <c r="W1473" s="1"/>
  <c r="V1474"/>
  <c r="W1474" s="1"/>
  <c r="V1475"/>
  <c r="W1475" s="1"/>
  <c r="V1476"/>
  <c r="W1476"/>
  <c r="V1477"/>
  <c r="W1477" s="1"/>
  <c r="V1478"/>
  <c r="W1478" s="1"/>
  <c r="V1479"/>
  <c r="W1479" s="1"/>
  <c r="V1480"/>
  <c r="W1480"/>
  <c r="V1481"/>
  <c r="W1481" s="1"/>
  <c r="V1482"/>
  <c r="W1482" s="1"/>
  <c r="V1483"/>
  <c r="W1483" s="1"/>
  <c r="V1484"/>
  <c r="W1484" s="1"/>
  <c r="V1485"/>
  <c r="W1485" s="1"/>
  <c r="V1486"/>
  <c r="W1486" s="1"/>
  <c r="V1487"/>
  <c r="W1487" s="1"/>
  <c r="V1488"/>
  <c r="W1488"/>
  <c r="V1489"/>
  <c r="W1489" s="1"/>
  <c r="V1490"/>
  <c r="W1490" s="1"/>
  <c r="V1491"/>
  <c r="W1491" s="1"/>
  <c r="V1492"/>
  <c r="W1492"/>
  <c r="V1493"/>
  <c r="W1493" s="1"/>
  <c r="V1494"/>
  <c r="W1494" s="1"/>
  <c r="V1495"/>
  <c r="W1495" s="1"/>
  <c r="V1496"/>
  <c r="W1496" s="1"/>
  <c r="V1497"/>
  <c r="W1497" s="1"/>
  <c r="V1498"/>
  <c r="W1498" s="1"/>
  <c r="V1499"/>
  <c r="W1499" s="1"/>
  <c r="V1500"/>
  <c r="W1500"/>
  <c r="V1501"/>
  <c r="W1501" s="1"/>
  <c r="V1502"/>
  <c r="W1502" s="1"/>
  <c r="V1503"/>
  <c r="W1503" s="1"/>
  <c r="V1504"/>
  <c r="W1504"/>
  <c r="V1505"/>
  <c r="W1505" s="1"/>
  <c r="V1506"/>
  <c r="W1506" s="1"/>
  <c r="V1507"/>
  <c r="W1507" s="1"/>
  <c r="V1508"/>
  <c r="W1508" s="1"/>
  <c r="V1509"/>
  <c r="W1509" s="1"/>
  <c r="V1510"/>
  <c r="W1510" s="1"/>
  <c r="V1511"/>
  <c r="W1511" s="1"/>
  <c r="V1512"/>
  <c r="W1512"/>
  <c r="V1513"/>
  <c r="W1513" s="1"/>
  <c r="V1514"/>
  <c r="W1514" s="1"/>
  <c r="V1515"/>
  <c r="W1515" s="1"/>
  <c r="V1516"/>
  <c r="W1516"/>
  <c r="V1517"/>
  <c r="W1517" s="1"/>
  <c r="V1518"/>
  <c r="W1518" s="1"/>
  <c r="V1519"/>
  <c r="W1519" s="1"/>
  <c r="V1520"/>
  <c r="W1520" s="1"/>
  <c r="V1521"/>
  <c r="W1521" s="1"/>
  <c r="V1522"/>
  <c r="W1522" s="1"/>
  <c r="V1523"/>
  <c r="W1523" s="1"/>
  <c r="V1524"/>
  <c r="W1524"/>
  <c r="V1525"/>
  <c r="W1525" s="1"/>
  <c r="V1526"/>
  <c r="W1526" s="1"/>
  <c r="V1527"/>
  <c r="W1527" s="1"/>
  <c r="V1528"/>
  <c r="W1528"/>
  <c r="V1529"/>
  <c r="W1529" s="1"/>
  <c r="V1530"/>
  <c r="W1530" s="1"/>
  <c r="V1531"/>
  <c r="W1531" s="1"/>
  <c r="V1532"/>
  <c r="W1532" s="1"/>
  <c r="V1533"/>
  <c r="W1533" s="1"/>
  <c r="V1534"/>
  <c r="W1534" s="1"/>
  <c r="V1535"/>
  <c r="W1535" s="1"/>
  <c r="V1536"/>
  <c r="W1536"/>
  <c r="V1537"/>
  <c r="W1537" s="1"/>
  <c r="V1538"/>
  <c r="W1538" s="1"/>
  <c r="V1539"/>
  <c r="W1539" s="1"/>
  <c r="V1540"/>
  <c r="W1540"/>
  <c r="V1541"/>
  <c r="W1541" s="1"/>
  <c r="V1542"/>
  <c r="W1542" s="1"/>
  <c r="V1543"/>
  <c r="W1543" s="1"/>
  <c r="V1544"/>
  <c r="W1544" s="1"/>
  <c r="V1545"/>
  <c r="W1545" s="1"/>
  <c r="V1546"/>
  <c r="W1546" s="1"/>
  <c r="V1547"/>
  <c r="W1547" s="1"/>
  <c r="V1548"/>
  <c r="W1548"/>
  <c r="V1549"/>
  <c r="W1549" s="1"/>
  <c r="V1550"/>
  <c r="W1550" s="1"/>
  <c r="V1551"/>
  <c r="W1551" s="1"/>
  <c r="V1552"/>
  <c r="W1552"/>
  <c r="V1553"/>
  <c r="W1553" s="1"/>
  <c r="V1554"/>
  <c r="W1554" s="1"/>
  <c r="V1555"/>
  <c r="W1555" s="1"/>
  <c r="V1556"/>
  <c r="W1556" s="1"/>
  <c r="V1557"/>
  <c r="W1557" s="1"/>
  <c r="V1558"/>
  <c r="W1558" s="1"/>
  <c r="V1559"/>
  <c r="W1559" s="1"/>
  <c r="V1560"/>
  <c r="W1560"/>
  <c r="V1561"/>
  <c r="W1561" s="1"/>
  <c r="V1562"/>
  <c r="W1562" s="1"/>
  <c r="V1563"/>
  <c r="W1563" s="1"/>
  <c r="V1564"/>
  <c r="W1564"/>
  <c r="V1565"/>
  <c r="W1565" s="1"/>
  <c r="V1566"/>
  <c r="W1566" s="1"/>
  <c r="V1567"/>
  <c r="W1567" s="1"/>
  <c r="V1568"/>
  <c r="W1568" s="1"/>
  <c r="V1569"/>
  <c r="W1569" s="1"/>
  <c r="V1570"/>
  <c r="W1570" s="1"/>
  <c r="V1571"/>
  <c r="W1571" s="1"/>
  <c r="V1572"/>
  <c r="W1572"/>
  <c r="V1573"/>
  <c r="W1573" s="1"/>
  <c r="V1574"/>
  <c r="W1574" s="1"/>
  <c r="V1575"/>
  <c r="W1575" s="1"/>
  <c r="V1576"/>
  <c r="W1576"/>
  <c r="V1577"/>
  <c r="W1577" s="1"/>
  <c r="V1578"/>
  <c r="W1578"/>
  <c r="V1579"/>
  <c r="W1579" s="1"/>
  <c r="V1580"/>
  <c r="W1580"/>
  <c r="V1581"/>
  <c r="W1581" s="1"/>
  <c r="V1582"/>
  <c r="W1582" s="1"/>
  <c r="V1583"/>
  <c r="W1583" s="1"/>
  <c r="V1584"/>
  <c r="W1584" s="1"/>
  <c r="V1585"/>
  <c r="W1585" s="1"/>
  <c r="V1586"/>
  <c r="W1586"/>
  <c r="V1587"/>
  <c r="W1587" s="1"/>
  <c r="V1588"/>
  <c r="W1588" s="1"/>
  <c r="V1589"/>
  <c r="W1589" s="1"/>
  <c r="V1590"/>
  <c r="W1590"/>
  <c r="V1591"/>
  <c r="W1591"/>
  <c r="V1592"/>
  <c r="W1592" s="1"/>
  <c r="V1593"/>
  <c r="W1593"/>
  <c r="V1594"/>
  <c r="W1594"/>
  <c r="V1595"/>
  <c r="W1595" s="1"/>
  <c r="V1596"/>
  <c r="W1596"/>
  <c r="V1597"/>
  <c r="W1597" s="1"/>
  <c r="V1598"/>
  <c r="W1598"/>
  <c r="V1599"/>
  <c r="W1599" s="1"/>
  <c r="V1600"/>
  <c r="W1600"/>
  <c r="V1601"/>
  <c r="W1601" s="1"/>
  <c r="V1602"/>
  <c r="W1602"/>
  <c r="V1603"/>
  <c r="W1603" s="1"/>
  <c r="V1604"/>
  <c r="W1604"/>
  <c r="V1605"/>
  <c r="W1605" s="1"/>
  <c r="V1606"/>
  <c r="W1606" s="1"/>
  <c r="V1607"/>
  <c r="W1607"/>
  <c r="V1608"/>
  <c r="W1608"/>
  <c r="V1609"/>
  <c r="W1609" s="1"/>
  <c r="V1610"/>
  <c r="W1610" s="1"/>
  <c r="V1611"/>
  <c r="W1611"/>
  <c r="V1612"/>
  <c r="W1612"/>
  <c r="V1613"/>
  <c r="W1613" s="1"/>
  <c r="V1614"/>
  <c r="W1614"/>
  <c r="V1615"/>
  <c r="W1615"/>
  <c r="V1616"/>
  <c r="W1616" s="1"/>
  <c r="V1617"/>
  <c r="W1617"/>
  <c r="V1618"/>
  <c r="W1618" s="1"/>
  <c r="V1619"/>
  <c r="W1619" s="1"/>
  <c r="V1620"/>
  <c r="W1620"/>
  <c r="V1621"/>
  <c r="W1621"/>
  <c r="V1622"/>
  <c r="W1622" s="1"/>
  <c r="V1623"/>
  <c r="W1623"/>
  <c r="V1624"/>
  <c r="W1624"/>
  <c r="V1625"/>
  <c r="W1625" s="1"/>
  <c r="V1626"/>
  <c r="W1626"/>
  <c r="V1627"/>
  <c r="W1627" s="1"/>
  <c r="V1628"/>
  <c r="W1628" s="1"/>
  <c r="V1629"/>
  <c r="W1629"/>
  <c r="V1630"/>
  <c r="W1630"/>
  <c r="V1631"/>
  <c r="W1631" s="1"/>
  <c r="V1632"/>
  <c r="W1632"/>
  <c r="V1633"/>
  <c r="W1633"/>
  <c r="V1634"/>
  <c r="W1634" s="1"/>
  <c r="V1635"/>
  <c r="W1635"/>
  <c r="V1636"/>
  <c r="W1636" s="1"/>
  <c r="V1637"/>
  <c r="W1637" s="1"/>
  <c r="V1638"/>
  <c r="W1638"/>
  <c r="V1639"/>
  <c r="W1639"/>
  <c r="V1640"/>
  <c r="W1640" s="1"/>
  <c r="V1641"/>
  <c r="W1641"/>
  <c r="V1642"/>
  <c r="W1642"/>
  <c r="V1643"/>
  <c r="W1643" s="1"/>
  <c r="V1644"/>
  <c r="W1644"/>
  <c r="V1645"/>
  <c r="W1645" s="1"/>
  <c r="V1646"/>
  <c r="W1646" s="1"/>
  <c r="V1647"/>
  <c r="W1647"/>
  <c r="V1648"/>
  <c r="W1648"/>
  <c r="V1649"/>
  <c r="W1649" s="1"/>
  <c r="V1650"/>
  <c r="W1650"/>
  <c r="V1651"/>
  <c r="W1651"/>
  <c r="V1652"/>
  <c r="W1652" s="1"/>
  <c r="V1653"/>
  <c r="W1653"/>
  <c r="V1654"/>
  <c r="W1654" s="1"/>
  <c r="V1655"/>
  <c r="W1655" s="1"/>
  <c r="V1656"/>
  <c r="W1656"/>
  <c r="V1657"/>
  <c r="W1657"/>
  <c r="V1658"/>
  <c r="W1658" s="1"/>
  <c r="V1659"/>
  <c r="W1659"/>
  <c r="V1660"/>
  <c r="W1660"/>
  <c r="V1661"/>
  <c r="W1661" s="1"/>
  <c r="V1662"/>
  <c r="W1662"/>
  <c r="V1663"/>
  <c r="W1663" s="1"/>
  <c r="V1664"/>
  <c r="W1664" s="1"/>
  <c r="V1665"/>
  <c r="W1665"/>
  <c r="V1666"/>
  <c r="W1666"/>
  <c r="V1667"/>
  <c r="W1667" s="1"/>
  <c r="V1668"/>
  <c r="W1668"/>
  <c r="V1669"/>
  <c r="W1669"/>
  <c r="V1670"/>
  <c r="W1670" s="1"/>
  <c r="V1671"/>
  <c r="W1671" s="1"/>
  <c r="V1672"/>
  <c r="W1672"/>
  <c r="V1673"/>
  <c r="W1673" s="1"/>
  <c r="V1674"/>
  <c r="W1674"/>
  <c r="V1675"/>
  <c r="W1675"/>
  <c r="V1676"/>
  <c r="W1676" s="1"/>
  <c r="V1677"/>
  <c r="W1677"/>
  <c r="V1678"/>
  <c r="W1678" s="1"/>
  <c r="V1679"/>
  <c r="W1679" s="1"/>
  <c r="V1680"/>
  <c r="W1680"/>
  <c r="V1681"/>
  <c r="W1681"/>
  <c r="V1682"/>
  <c r="W1682" s="1"/>
  <c r="V1683"/>
  <c r="W1683"/>
  <c r="V1684"/>
  <c r="W1684"/>
  <c r="V1685"/>
  <c r="W1685" s="1"/>
  <c r="V1686"/>
  <c r="W1686"/>
  <c r="V1687"/>
  <c r="W1687" s="1"/>
  <c r="V1688"/>
  <c r="W1688" s="1"/>
  <c r="V1689"/>
  <c r="W1689"/>
  <c r="V1690"/>
  <c r="W1690"/>
  <c r="V1691"/>
  <c r="W1691" s="1"/>
  <c r="V1692"/>
  <c r="W1692"/>
  <c r="V1693"/>
  <c r="W1693"/>
  <c r="V1694"/>
  <c r="W1694" s="1"/>
  <c r="V1695"/>
  <c r="W1695"/>
  <c r="V1696"/>
  <c r="W1696" s="1"/>
  <c r="V1697"/>
  <c r="W1697" s="1"/>
  <c r="V1698"/>
  <c r="W1698"/>
  <c r="V1699"/>
  <c r="W1699"/>
  <c r="V1700"/>
  <c r="W1700" s="1"/>
  <c r="V1701"/>
  <c r="W1701"/>
  <c r="V1702"/>
  <c r="W1702"/>
  <c r="V1703"/>
  <c r="W1703" s="1"/>
  <c r="V1704"/>
  <c r="W1704"/>
  <c r="V1705"/>
  <c r="W1705" s="1"/>
  <c r="V1706"/>
  <c r="W1706" s="1"/>
  <c r="V1707"/>
  <c r="W1707"/>
  <c r="V1708"/>
  <c r="W1708"/>
  <c r="V1709"/>
  <c r="W1709" s="1"/>
  <c r="V1710"/>
  <c r="W1710"/>
  <c r="V1711"/>
  <c r="W1711"/>
  <c r="V1712"/>
  <c r="W1712" s="1"/>
  <c r="V1713"/>
  <c r="W1713"/>
  <c r="V1714"/>
  <c r="W1714" s="1"/>
  <c r="V1715"/>
  <c r="W1715" s="1"/>
  <c r="V1716"/>
  <c r="W1716"/>
  <c r="V1717"/>
  <c r="W1717"/>
  <c r="V1718"/>
  <c r="W1718"/>
  <c r="V1719"/>
  <c r="W1719"/>
  <c r="V1720"/>
  <c r="W1720"/>
  <c r="V1721"/>
  <c r="W1721"/>
  <c r="V1722"/>
  <c r="W1722"/>
  <c r="V1723"/>
  <c r="W1723"/>
  <c r="V1724"/>
  <c r="W1724"/>
  <c r="V1725"/>
  <c r="W1725"/>
  <c r="V1726"/>
  <c r="W1726"/>
  <c r="V1727"/>
  <c r="W1727"/>
  <c r="V1728"/>
  <c r="W1728" s="1"/>
  <c r="V1729"/>
  <c r="W1729"/>
  <c r="V1730"/>
  <c r="W1730" s="1"/>
  <c r="V1731"/>
  <c r="W1731"/>
  <c r="V1732"/>
  <c r="W1732"/>
  <c r="V1733"/>
  <c r="W1733" s="1"/>
  <c r="V1734"/>
  <c r="W1734"/>
  <c r="V1735"/>
  <c r="W1735"/>
  <c r="V1736"/>
  <c r="W1736" s="1"/>
  <c r="V1737"/>
  <c r="W1737" s="1"/>
  <c r="V1738"/>
  <c r="W1738" s="1"/>
  <c r="X1726" i="5"/>
  <c r="D127" a="1"/>
  <c r="D127" s="1"/>
  <c r="D153" a="1"/>
  <c r="D153" s="1"/>
  <c r="D238" a="1"/>
  <c r="D238" s="1"/>
  <c r="D248" a="1"/>
  <c r="D248" s="1"/>
  <c r="D298" a="1"/>
  <c r="D298" s="1"/>
  <c r="D307" a="1"/>
  <c r="D307" s="1"/>
  <c r="D388" a="1"/>
  <c r="D388" s="1"/>
  <c r="D421" a="1"/>
  <c r="D421" s="1"/>
  <c r="D854" a="1"/>
  <c r="D854" s="1"/>
  <c r="D1336" a="1"/>
  <c r="D1336" s="1"/>
  <c r="D1539" a="1"/>
  <c r="D1539" s="1"/>
  <c r="D1587" a="1"/>
  <c r="D1587" s="1"/>
  <c r="D1639" a="1"/>
  <c r="D1639" s="1"/>
  <c r="D1234" a="1"/>
  <c r="D1234" s="1"/>
  <c r="D1698" a="1"/>
  <c r="D1698" s="1"/>
  <c r="D43" a="1"/>
  <c r="D43" s="1"/>
  <c r="D50" a="1"/>
  <c r="D50" s="1"/>
  <c r="D53" a="1"/>
  <c r="D53" s="1"/>
  <c r="D66" a="1"/>
  <c r="D66" s="1"/>
  <c r="D80" a="1"/>
  <c r="D80" s="1"/>
  <c r="D86" a="1"/>
  <c r="D86" s="1"/>
  <c r="D87" a="1"/>
  <c r="D87" s="1"/>
  <c r="D92" a="1"/>
  <c r="D92" s="1"/>
  <c r="D97" a="1"/>
  <c r="D97" s="1"/>
  <c r="D99" a="1"/>
  <c r="D99" s="1"/>
  <c r="D107" a="1"/>
  <c r="D107" s="1"/>
  <c r="D114" a="1"/>
  <c r="D114" s="1"/>
  <c r="D140" a="1"/>
  <c r="D140" s="1"/>
  <c r="D144" a="1"/>
  <c r="D144" s="1"/>
  <c r="D165" a="1"/>
  <c r="D165" s="1"/>
  <c r="D215" a="1"/>
  <c r="D215" s="1"/>
  <c r="D227" a="1"/>
  <c r="D227" s="1"/>
  <c r="D254" a="1"/>
  <c r="D254" s="1"/>
  <c r="D260" a="1"/>
  <c r="D260" s="1"/>
  <c r="D268" a="1"/>
  <c r="D268" s="1"/>
  <c r="D294" a="1"/>
  <c r="D294" s="1"/>
  <c r="D323" a="1"/>
  <c r="D323" s="1"/>
  <c r="D334" a="1"/>
  <c r="D334" s="1"/>
  <c r="D350" a="1"/>
  <c r="D350" s="1"/>
  <c r="D357" a="1"/>
  <c r="D357" s="1"/>
  <c r="D364" a="1"/>
  <c r="D364" s="1"/>
  <c r="D367" a="1"/>
  <c r="D367" s="1"/>
  <c r="D377" a="1"/>
  <c r="D377" s="1"/>
  <c r="D393" a="1"/>
  <c r="D393" s="1"/>
  <c r="D396" a="1"/>
  <c r="D396" s="1"/>
  <c r="D452" a="1"/>
  <c r="D452" s="1"/>
  <c r="D457" a="1"/>
  <c r="D457" s="1"/>
  <c r="D469" a="1"/>
  <c r="D469" s="1"/>
  <c r="D472" a="1"/>
  <c r="D472" s="1"/>
  <c r="D475" a="1"/>
  <c r="D475" s="1"/>
  <c r="D485" a="1"/>
  <c r="D485" s="1"/>
  <c r="D495" a="1"/>
  <c r="D495" s="1"/>
  <c r="D511" a="1"/>
  <c r="D511" s="1"/>
  <c r="D553" a="1"/>
  <c r="D553" s="1"/>
  <c r="D562" a="1"/>
  <c r="D562" s="1"/>
  <c r="D624" a="1"/>
  <c r="D624" s="1"/>
  <c r="D641" a="1"/>
  <c r="D641" s="1"/>
  <c r="D647" a="1"/>
  <c r="D647" s="1"/>
  <c r="D680" a="1"/>
  <c r="D680" s="1"/>
  <c r="D705" a="1"/>
  <c r="D705" s="1"/>
  <c r="D708" a="1"/>
  <c r="D708" s="1"/>
  <c r="D720" a="1"/>
  <c r="D720" s="1"/>
  <c r="D735" a="1"/>
  <c r="D735" s="1"/>
  <c r="D740" a="1"/>
  <c r="D740" s="1"/>
  <c r="D746" a="1"/>
  <c r="D746" s="1"/>
  <c r="D772" a="1"/>
  <c r="D772" s="1"/>
  <c r="D781" a="1"/>
  <c r="D781" s="1"/>
  <c r="D782" a="1"/>
  <c r="D782" s="1"/>
  <c r="D812" a="1"/>
  <c r="D812" s="1"/>
  <c r="D883" a="1"/>
  <c r="D883" s="1"/>
  <c r="D915" a="1"/>
  <c r="D915" s="1"/>
  <c r="D927" a="1"/>
  <c r="D927" s="1"/>
  <c r="D948" a="1"/>
  <c r="D948" s="1"/>
  <c r="D964" a="1"/>
  <c r="D964" s="1"/>
  <c r="D988" a="1"/>
  <c r="D988" s="1"/>
  <c r="D1045" a="1"/>
  <c r="D1045" s="1"/>
  <c r="D1093" a="1"/>
  <c r="D1093" s="1"/>
  <c r="D1118" a="1"/>
  <c r="D1118" s="1"/>
  <c r="D1171" a="1"/>
  <c r="D1171" s="1"/>
  <c r="D1202" a="1"/>
  <c r="D1202" s="1"/>
  <c r="D1261" a="1"/>
  <c r="D1261" s="1"/>
  <c r="D1328" a="1"/>
  <c r="D1328" s="1"/>
  <c r="D1343" a="1"/>
  <c r="D1343" s="1"/>
  <c r="D1349" a="1"/>
  <c r="D1349" s="1"/>
  <c r="D1373" a="1"/>
  <c r="D1373" s="1"/>
  <c r="D1434" a="1"/>
  <c r="D1434" s="1"/>
  <c r="D1581" a="1"/>
  <c r="D1581" s="1"/>
  <c r="D1590" a="1"/>
  <c r="D1590" s="1"/>
  <c r="D1653" a="1"/>
  <c r="D1653" s="1"/>
  <c r="D1656" a="1"/>
  <c r="D1656" s="1"/>
  <c r="D156" a="1"/>
  <c r="D156" s="1"/>
  <c r="D246" a="1"/>
  <c r="D246" s="1"/>
  <c r="D391" a="1"/>
  <c r="D391" s="1"/>
  <c r="D464" a="1"/>
  <c r="D464" s="1"/>
  <c r="D559" a="1"/>
  <c r="D559" s="1"/>
  <c r="D619" a="1"/>
  <c r="D619" s="1"/>
  <c r="D1340" a="1"/>
  <c r="D1340" s="1"/>
  <c r="D1603" a="1"/>
  <c r="D1603" s="1"/>
  <c r="D10" a="1"/>
  <c r="D10" s="1"/>
  <c r="D16" a="1"/>
  <c r="D16" s="1"/>
  <c r="D30" a="1"/>
  <c r="D30" s="1"/>
  <c r="D39" a="1"/>
  <c r="D39" s="1"/>
  <c r="D49" a="1"/>
  <c r="D49" s="1"/>
  <c r="D70" a="1"/>
  <c r="D70" s="1"/>
  <c r="D74" a="1"/>
  <c r="D74" s="1"/>
  <c r="D94" a="1"/>
  <c r="D94" s="1"/>
  <c r="D96" a="1"/>
  <c r="D96" s="1"/>
  <c r="D108" a="1"/>
  <c r="D108" s="1"/>
  <c r="D117" a="1"/>
  <c r="D117" s="1"/>
  <c r="D119" a="1"/>
  <c r="D119" s="1"/>
  <c r="D129" a="1"/>
  <c r="D129" s="1"/>
  <c r="D142" a="1"/>
  <c r="D142" s="1"/>
  <c r="D143" a="1"/>
  <c r="D143" s="1"/>
  <c r="D150" a="1"/>
  <c r="D150" s="1"/>
  <c r="D159" a="1"/>
  <c r="D159" s="1"/>
  <c r="D168" a="1"/>
  <c r="D168" s="1"/>
  <c r="D171" a="1"/>
  <c r="D171" s="1"/>
  <c r="D173" a="1"/>
  <c r="D173" s="1"/>
  <c r="D176" a="1"/>
  <c r="D176" s="1"/>
  <c r="D185" a="1"/>
  <c r="D185" s="1"/>
  <c r="D186" a="1"/>
  <c r="D186" s="1"/>
  <c r="D191" a="1"/>
  <c r="D191" s="1"/>
  <c r="D194" a="1"/>
  <c r="D194" s="1"/>
  <c r="D199" a="1"/>
  <c r="D199" s="1"/>
  <c r="D207" a="1"/>
  <c r="D207" s="1"/>
  <c r="D210" a="1"/>
  <c r="D210" s="1"/>
  <c r="D216" a="1"/>
  <c r="D216" s="1"/>
  <c r="D218" a="1"/>
  <c r="D218" s="1"/>
  <c r="D220" a="1"/>
  <c r="D220" s="1"/>
  <c r="D223" a="1"/>
  <c r="D223" s="1"/>
  <c r="D247" a="1"/>
  <c r="D247" s="1"/>
  <c r="D249" a="1"/>
  <c r="D249" s="1"/>
  <c r="D250" a="1"/>
  <c r="D250" s="1"/>
  <c r="D256" a="1"/>
  <c r="D256" s="1"/>
  <c r="D280" a="1"/>
  <c r="D280" s="1"/>
  <c r="D284" a="1"/>
  <c r="D284" s="1"/>
  <c r="D285" a="1"/>
  <c r="D285" s="1"/>
  <c r="D290" a="1"/>
  <c r="D290" s="1"/>
  <c r="D292" a="1"/>
  <c r="D292" s="1"/>
  <c r="D296" a="1"/>
  <c r="D296" s="1"/>
  <c r="D305" a="1"/>
  <c r="D305" s="1"/>
  <c r="D312" a="1"/>
  <c r="D312" s="1"/>
  <c r="D314" a="1"/>
  <c r="D314" s="1"/>
  <c r="D315" a="1"/>
  <c r="D315" s="1"/>
  <c r="D316" a="1"/>
  <c r="D316" s="1"/>
  <c r="D321" a="1"/>
  <c r="D321" s="1"/>
  <c r="D324" a="1"/>
  <c r="D324" s="1"/>
  <c r="D327" a="1"/>
  <c r="D327" s="1"/>
  <c r="D332" a="1"/>
  <c r="D332" s="1"/>
  <c r="D333" a="1"/>
  <c r="D333" s="1"/>
  <c r="D342" a="1"/>
  <c r="D342" s="1"/>
  <c r="D344" a="1"/>
  <c r="D344" s="1"/>
  <c r="D347" a="1"/>
  <c r="D347" s="1"/>
  <c r="D365" a="1"/>
  <c r="D365" s="1"/>
  <c r="D368" a="1"/>
  <c r="D368" s="1"/>
  <c r="D374" a="1"/>
  <c r="D374" s="1"/>
  <c r="D390" a="1"/>
  <c r="D390" s="1"/>
  <c r="D394" a="1"/>
  <c r="D394" s="1"/>
  <c r="D399" a="1"/>
  <c r="D399" s="1"/>
  <c r="D404" a="1"/>
  <c r="D404" s="1"/>
  <c r="D406" a="1"/>
  <c r="D406" s="1"/>
  <c r="D407" a="1"/>
  <c r="D407" s="1"/>
  <c r="D411" a="1"/>
  <c r="D411" s="1"/>
  <c r="D422" a="1"/>
  <c r="D422" s="1"/>
  <c r="D426" a="1"/>
  <c r="D426" s="1"/>
  <c r="D427" a="1"/>
  <c r="D427" s="1"/>
  <c r="D428" a="1"/>
  <c r="D428" s="1"/>
  <c r="D436" a="1"/>
  <c r="D436" s="1"/>
  <c r="D441" a="1"/>
  <c r="D441" s="1"/>
  <c r="D447" a="1"/>
  <c r="D447" s="1"/>
  <c r="D450" a="1"/>
  <c r="D450" s="1"/>
  <c r="D455" a="1"/>
  <c r="D455" s="1"/>
  <c r="D460" a="1"/>
  <c r="D460" s="1"/>
  <c r="D462" a="1"/>
  <c r="D462" s="1"/>
  <c r="D493" a="1"/>
  <c r="D493" s="1"/>
  <c r="D500" a="1"/>
  <c r="D500" s="1"/>
  <c r="D532" a="1"/>
  <c r="D532" s="1"/>
  <c r="D535" a="1"/>
  <c r="D535" s="1"/>
  <c r="D537" a="1"/>
  <c r="D537" s="1"/>
  <c r="D549" a="1"/>
  <c r="D549" s="1"/>
  <c r="D558" a="1"/>
  <c r="D558" s="1"/>
  <c r="D567" a="1"/>
  <c r="D567" s="1"/>
  <c r="D573" a="1"/>
  <c r="D573" s="1"/>
  <c r="D578" a="1"/>
  <c r="D578" s="1"/>
  <c r="D590" a="1"/>
  <c r="D590" s="1"/>
  <c r="D597" a="1"/>
  <c r="D597" s="1"/>
  <c r="D606" a="1"/>
  <c r="D606" s="1"/>
  <c r="D610" a="1"/>
  <c r="D610" s="1"/>
  <c r="D623" a="1"/>
  <c r="D623" s="1"/>
  <c r="D626" a="1"/>
  <c r="D626" s="1"/>
  <c r="D643" a="1"/>
  <c r="D643" s="1"/>
  <c r="D645" a="1"/>
  <c r="D645" s="1"/>
  <c r="D651" a="1"/>
  <c r="D651" s="1"/>
  <c r="D663" a="1"/>
  <c r="D663" s="1"/>
  <c r="D666" a="1"/>
  <c r="D666" s="1"/>
  <c r="D1238" a="1"/>
  <c r="D1238" s="1"/>
  <c r="D1244" a="1"/>
  <c r="D1244" s="1"/>
  <c r="D1250" a="1"/>
  <c r="D1250" s="1"/>
  <c r="D1252" a="1"/>
  <c r="D1252" s="1"/>
  <c r="D1256" a="1"/>
  <c r="D1256" s="1"/>
  <c r="D1267" a="1"/>
  <c r="D1267" s="1"/>
  <c r="D1290" a="1"/>
  <c r="D1290" s="1"/>
  <c r="D1296" a="1"/>
  <c r="D1296" s="1"/>
  <c r="D1297" a="1"/>
  <c r="D1297" s="1"/>
  <c r="D1298" a="1"/>
  <c r="D1298" s="1"/>
  <c r="D1300" a="1"/>
  <c r="D1300" s="1"/>
  <c r="D1302" a="1"/>
  <c r="D1302" s="1"/>
  <c r="D1313" a="1"/>
  <c r="D1313" s="1"/>
  <c r="D1317" a="1"/>
  <c r="D1317" s="1"/>
  <c r="D1320" a="1"/>
  <c r="D1320" s="1"/>
  <c r="D1324" a="1"/>
  <c r="D1324" s="1"/>
  <c r="D1352" a="1"/>
  <c r="D1352" s="1"/>
  <c r="D1355" a="1"/>
  <c r="D1355" s="1"/>
  <c r="D1366" a="1"/>
  <c r="D1366" s="1"/>
  <c r="D1375" a="1"/>
  <c r="D1375" s="1"/>
  <c r="D1378" a="1"/>
  <c r="D1378" s="1"/>
  <c r="D1380" a="1"/>
  <c r="D1380" s="1"/>
  <c r="D1394" a="1"/>
  <c r="D1394" s="1"/>
  <c r="D1403" a="1"/>
  <c r="D1403" s="1"/>
  <c r="D1406" a="1"/>
  <c r="D1406" s="1"/>
  <c r="D1410" a="1"/>
  <c r="D1410" s="1"/>
  <c r="D1417" a="1"/>
  <c r="D1417" s="1"/>
  <c r="D1439" a="1"/>
  <c r="D1439" s="1"/>
  <c r="D1447" a="1"/>
  <c r="D1447" s="1"/>
  <c r="D1456" a="1"/>
  <c r="D1456" s="1"/>
  <c r="D1467" a="1"/>
  <c r="D1467" s="1"/>
  <c r="D1472" a="1"/>
  <c r="D1472" s="1"/>
  <c r="D1479" a="1"/>
  <c r="D1479" s="1"/>
  <c r="D1480" a="1"/>
  <c r="D1480" s="1"/>
  <c r="D1487" a="1"/>
  <c r="D1487" s="1"/>
  <c r="D1506" a="1"/>
  <c r="D1506" s="1"/>
  <c r="D1507" a="1"/>
  <c r="D1507" s="1"/>
  <c r="D1509" a="1"/>
  <c r="D1509" s="1"/>
  <c r="D1524" a="1"/>
  <c r="D1524" s="1"/>
  <c r="D1528" a="1"/>
  <c r="D1528" s="1"/>
  <c r="D1529" a="1"/>
  <c r="D1529" s="1"/>
  <c r="D1534" a="1"/>
  <c r="D1534" s="1"/>
  <c r="D1540" a="1"/>
  <c r="D1540" s="1"/>
  <c r="D1545" a="1"/>
  <c r="D1545" s="1"/>
  <c r="D1553" a="1"/>
  <c r="D1553" s="1"/>
  <c r="D1554" a="1"/>
  <c r="D1554" s="1"/>
  <c r="D1560" a="1"/>
  <c r="D1560" s="1"/>
  <c r="D1585" a="1"/>
  <c r="D1585" s="1"/>
  <c r="D1588" a="1"/>
  <c r="D1588" s="1"/>
  <c r="D1601" a="1"/>
  <c r="D1601" s="1"/>
  <c r="D1616" a="1"/>
  <c r="D1616" s="1"/>
  <c r="D1624" a="1"/>
  <c r="D1624" s="1"/>
  <c r="D1626" a="1"/>
  <c r="D1626" s="1"/>
  <c r="D1630" a="1"/>
  <c r="D1630" s="1"/>
  <c r="D1637" a="1"/>
  <c r="D1637" s="1"/>
  <c r="D1646" a="1"/>
  <c r="D1646" s="1"/>
  <c r="D1648" a="1"/>
  <c r="D1648" s="1"/>
  <c r="D1678" a="1"/>
  <c r="D1678" s="1"/>
  <c r="D1684" a="1"/>
  <c r="D1684" s="1"/>
  <c r="D1693" a="1"/>
  <c r="D1693" s="1"/>
  <c r="D1706" a="1"/>
  <c r="D1706" s="1"/>
  <c r="D1713" a="1"/>
  <c r="D1713" s="1"/>
  <c r="D4" a="1"/>
  <c r="D4" s="1"/>
  <c r="D5" a="1"/>
  <c r="D5" s="1"/>
  <c r="D32" a="1"/>
  <c r="D32" s="1"/>
  <c r="D85" a="1"/>
  <c r="D85" s="1"/>
  <c r="D90" a="1"/>
  <c r="D90" s="1"/>
  <c r="D400" a="1"/>
  <c r="D400" s="1"/>
  <c r="D738" a="1"/>
  <c r="D738" s="1"/>
  <c r="D7" a="1"/>
  <c r="D7" s="1"/>
  <c r="D13" a="1"/>
  <c r="D13" s="1"/>
  <c r="D23" a="1"/>
  <c r="D23" s="1"/>
  <c r="D42" a="1"/>
  <c r="D42" s="1"/>
  <c r="D57" a="1"/>
  <c r="D57" s="1"/>
  <c r="D89" a="1"/>
  <c r="D89" s="1"/>
  <c r="D110" a="1"/>
  <c r="D110" s="1"/>
  <c r="D112" a="1"/>
  <c r="D112" s="1"/>
  <c r="D132" a="1"/>
  <c r="D132" s="1"/>
  <c r="D157" a="1"/>
  <c r="D157" s="1"/>
  <c r="D158" a="1"/>
  <c r="D158" s="1"/>
  <c r="D170" a="1"/>
  <c r="D170" s="1"/>
  <c r="D192" a="1"/>
  <c r="D192" s="1"/>
  <c r="D201" a="1"/>
  <c r="D201" s="1"/>
  <c r="D212" a="1"/>
  <c r="D212" s="1"/>
  <c r="D264" a="1"/>
  <c r="D264" s="1"/>
  <c r="D271" a="1"/>
  <c r="D271" s="1"/>
  <c r="D276" a="1"/>
  <c r="D276" s="1"/>
  <c r="D282" a="1"/>
  <c r="D282" s="1"/>
  <c r="D317" a="1"/>
  <c r="D317" s="1"/>
  <c r="D335" a="1"/>
  <c r="D335" s="1"/>
  <c r="D336" a="1"/>
  <c r="D336" s="1"/>
  <c r="D339" a="1"/>
  <c r="D339" s="1"/>
  <c r="D401" a="1"/>
  <c r="D401" s="1"/>
  <c r="D580" a="1"/>
  <c r="D580" s="1"/>
  <c r="D763" a="1"/>
  <c r="D763" s="1"/>
  <c r="D775" a="1"/>
  <c r="D775" s="1"/>
  <c r="D828" a="1"/>
  <c r="D828" s="1"/>
  <c r="D994" a="1"/>
  <c r="D994" s="1"/>
  <c r="D1000" a="1"/>
  <c r="D1000" s="1"/>
  <c r="D1056" a="1"/>
  <c r="D1056" s="1"/>
  <c r="D1276" a="1"/>
  <c r="D1276" s="1"/>
  <c r="D1303" a="1"/>
  <c r="D1303" s="1"/>
  <c r="D1367" a="1"/>
  <c r="D1367" s="1"/>
  <c r="D1395" a="1"/>
  <c r="D1395" s="1"/>
  <c r="D1481" a="1"/>
  <c r="D1481" s="1"/>
  <c r="D1649" a="1"/>
  <c r="D1649" s="1"/>
  <c r="D620" a="1"/>
  <c r="D620" s="1"/>
  <c r="D755" a="1"/>
  <c r="D755" s="1"/>
  <c r="D1503" a="1"/>
  <c r="D1503" s="1"/>
  <c r="D27" a="1"/>
  <c r="D27" s="1"/>
  <c r="D44" a="1"/>
  <c r="D44" s="1"/>
  <c r="D45" a="1"/>
  <c r="D45" s="1"/>
  <c r="D48" a="1"/>
  <c r="D48" s="1"/>
  <c r="D75" a="1"/>
  <c r="D75" s="1"/>
  <c r="D128" a="1"/>
  <c r="D128" s="1"/>
  <c r="D162" a="1"/>
  <c r="D162" s="1"/>
  <c r="D167" a="1"/>
  <c r="D167" s="1"/>
  <c r="D181" a="1"/>
  <c r="D181" s="1"/>
  <c r="D187" a="1"/>
  <c r="D187" s="1"/>
  <c r="D226" a="1"/>
  <c r="D226" s="1"/>
  <c r="D234" a="1"/>
  <c r="D234" s="1"/>
  <c r="D240" a="1"/>
  <c r="D240" s="1"/>
  <c r="D258" a="1"/>
  <c r="D258" s="1"/>
  <c r="D272" a="1"/>
  <c r="D272" s="1"/>
  <c r="D277" a="1"/>
  <c r="D277" s="1"/>
  <c r="D297" a="1"/>
  <c r="D297" s="1"/>
  <c r="D300" a="1"/>
  <c r="D300" s="1"/>
  <c r="D301" a="1"/>
  <c r="D301" s="1"/>
  <c r="D308" a="1"/>
  <c r="D308" s="1"/>
  <c r="D322" a="1"/>
  <c r="D322" s="1"/>
  <c r="D325" a="1"/>
  <c r="D325" s="1"/>
  <c r="D337" a="1"/>
  <c r="D337" s="1"/>
  <c r="D343" a="1"/>
  <c r="D343" s="1"/>
  <c r="D352" a="1"/>
  <c r="D352" s="1"/>
  <c r="D366" a="1"/>
  <c r="D366" s="1"/>
  <c r="D378" a="1"/>
  <c r="D378" s="1"/>
  <c r="D385" a="1"/>
  <c r="D385" s="1"/>
  <c r="D402" a="1"/>
  <c r="D402" s="1"/>
  <c r="D416" a="1"/>
  <c r="D416" s="1"/>
  <c r="D437" a="1"/>
  <c r="D437" s="1"/>
  <c r="D443" a="1"/>
  <c r="D443" s="1"/>
  <c r="D448" a="1"/>
  <c r="D448" s="1"/>
  <c r="D515" a="1"/>
  <c r="D515" s="1"/>
  <c r="D530" a="1"/>
  <c r="D530" s="1"/>
  <c r="D584" a="1"/>
  <c r="D584" s="1"/>
  <c r="D635" a="1"/>
  <c r="D635" s="1"/>
  <c r="D691" a="1"/>
  <c r="D691" s="1"/>
  <c r="D753" a="1"/>
  <c r="D753" s="1"/>
  <c r="D836" a="1"/>
  <c r="D836" s="1"/>
  <c r="D841" a="1"/>
  <c r="D841" s="1"/>
  <c r="D850" a="1"/>
  <c r="D850" s="1"/>
  <c r="D870" a="1"/>
  <c r="D870" s="1"/>
  <c r="D880" a="1"/>
  <c r="D880" s="1"/>
  <c r="D932" a="1"/>
  <c r="D932" s="1"/>
  <c r="D941" a="1"/>
  <c r="D941" s="1"/>
  <c r="D979" a="1"/>
  <c r="D979" s="1"/>
  <c r="D995" a="1"/>
  <c r="D995" s="1"/>
  <c r="D1006" a="1"/>
  <c r="D1006" s="1"/>
  <c r="D1043" a="1"/>
  <c r="D1043" s="1"/>
  <c r="D1049" a="1"/>
  <c r="D1049" s="1"/>
  <c r="D1059" a="1"/>
  <c r="D1059" s="1"/>
  <c r="D1099" a="1"/>
  <c r="D1099" s="1"/>
  <c r="D1116" a="1"/>
  <c r="D1116" s="1"/>
  <c r="D1169" a="1"/>
  <c r="D1169" s="1"/>
  <c r="D1179" a="1"/>
  <c r="D1179" s="1"/>
  <c r="D1216" a="1"/>
  <c r="D1216" s="1"/>
  <c r="D1268" a="1"/>
  <c r="D1268" s="1"/>
  <c r="D1275" a="1"/>
  <c r="D1275" s="1"/>
  <c r="D1277" a="1"/>
  <c r="D1277" s="1"/>
  <c r="D1287" a="1"/>
  <c r="D1287" s="1"/>
  <c r="D1384" a="1"/>
  <c r="D1384" s="1"/>
  <c r="D1411" a="1"/>
  <c r="D1411" s="1"/>
  <c r="D1546" a="1"/>
  <c r="D1546" s="1"/>
  <c r="D1568" a="1"/>
  <c r="D1568" s="1"/>
  <c r="D1594" a="1"/>
  <c r="D1594" s="1"/>
  <c r="D1666" a="1"/>
  <c r="D1666" s="1"/>
  <c r="D1668" a="1"/>
  <c r="D1668" s="1"/>
  <c r="D1679" a="1"/>
  <c r="D1679" s="1"/>
  <c r="D1683" a="1"/>
  <c r="D1683" s="1"/>
  <c r="D1714" a="1"/>
  <c r="D1714" s="1"/>
  <c r="D973" a="1"/>
  <c r="D973" s="1"/>
  <c r="D1071" a="1"/>
  <c r="D1071" s="1"/>
  <c r="D1341" a="1"/>
  <c r="D1341" s="1"/>
  <c r="D1413" a="1"/>
  <c r="D1413" s="1"/>
  <c r="D1436" a="1"/>
  <c r="D1436" s="1"/>
  <c r="D1444" a="1"/>
  <c r="D1444" s="1"/>
  <c r="D1604" a="1"/>
  <c r="D1604" s="1"/>
  <c r="D1634" a="1"/>
  <c r="D1634" s="1"/>
  <c r="D1644" a="1"/>
  <c r="D1644" s="1"/>
  <c r="D888" a="1"/>
  <c r="D888" s="1"/>
  <c r="D892" a="1"/>
  <c r="D892" s="1"/>
  <c r="D897" a="1"/>
  <c r="D897" s="1"/>
  <c r="D906" a="1"/>
  <c r="D906" s="1"/>
  <c r="D911" a="1"/>
  <c r="D911" s="1"/>
  <c r="D912" a="1"/>
  <c r="D912" s="1"/>
  <c r="D917" a="1"/>
  <c r="D917" s="1"/>
  <c r="D918" a="1"/>
  <c r="D918" s="1"/>
  <c r="D925" a="1"/>
  <c r="D925" s="1"/>
  <c r="D926" a="1"/>
  <c r="D926" s="1"/>
  <c r="D931" a="1"/>
  <c r="D931" s="1"/>
  <c r="D933" a="1"/>
  <c r="D933" s="1"/>
  <c r="D942" a="1"/>
  <c r="D942" s="1"/>
  <c r="D952" a="1"/>
  <c r="D952" s="1"/>
  <c r="D955" a="1"/>
  <c r="D955" s="1"/>
  <c r="D956" a="1"/>
  <c r="D956" s="1"/>
  <c r="D959" a="1"/>
  <c r="D959" s="1"/>
  <c r="D961" a="1"/>
  <c r="D961" s="1"/>
  <c r="D963" a="1"/>
  <c r="D963" s="1"/>
  <c r="D975" a="1"/>
  <c r="D975" s="1"/>
  <c r="D977" a="1"/>
  <c r="D977" s="1"/>
  <c r="D984" a="1"/>
  <c r="D984" s="1"/>
  <c r="D989" a="1"/>
  <c r="D989" s="1"/>
  <c r="D997" a="1"/>
  <c r="D997" s="1"/>
  <c r="D1001" a="1"/>
  <c r="D1001" s="1"/>
  <c r="D1017" a="1"/>
  <c r="D1017" s="1"/>
  <c r="D1018" a="1"/>
  <c r="D1018" s="1"/>
  <c r="D1020" a="1"/>
  <c r="D1020" s="1"/>
  <c r="D1036" a="1"/>
  <c r="D1036" s="1"/>
  <c r="D1041" a="1"/>
  <c r="D1041" s="1"/>
  <c r="D1050" a="1"/>
  <c r="D1050" s="1"/>
  <c r="D1057" a="1"/>
  <c r="D1057" s="1"/>
  <c r="D1060" a="1"/>
  <c r="D1060" s="1"/>
  <c r="D1073" a="1"/>
  <c r="D1073" s="1"/>
  <c r="D1077" a="1"/>
  <c r="D1077" s="1"/>
  <c r="D1083" a="1"/>
  <c r="D1083" s="1"/>
  <c r="D1086" a="1"/>
  <c r="D1086" s="1"/>
  <c r="D1095" a="1"/>
  <c r="D1095" s="1"/>
  <c r="D1100" a="1"/>
  <c r="D1100" s="1"/>
  <c r="D1102" a="1"/>
  <c r="D1102" s="1"/>
  <c r="D1104" a="1"/>
  <c r="D1104" s="1"/>
  <c r="D1105" a="1"/>
  <c r="D1105" s="1"/>
  <c r="D1106" a="1"/>
  <c r="D1106" s="1"/>
  <c r="D1110" a="1"/>
  <c r="D1110" s="1"/>
  <c r="D1112" a="1"/>
  <c r="D1112" s="1"/>
  <c r="D1123" a="1"/>
  <c r="D1123" s="1"/>
  <c r="D1129" a="1"/>
  <c r="D1129" s="1"/>
  <c r="D1135" a="1"/>
  <c r="D1135" s="1"/>
  <c r="D1143" a="1"/>
  <c r="D1143" s="1"/>
  <c r="D1154" a="1"/>
  <c r="D1154" s="1"/>
  <c r="D1160" a="1"/>
  <c r="D1160" s="1"/>
  <c r="D1163" a="1"/>
  <c r="D1163" s="1"/>
  <c r="D1168" a="1"/>
  <c r="D1168" s="1"/>
  <c r="D1170" a="1"/>
  <c r="D1170" s="1"/>
  <c r="D1176" a="1"/>
  <c r="D1176" s="1"/>
  <c r="D1177" a="1"/>
  <c r="D1177" s="1"/>
  <c r="D1186" a="1"/>
  <c r="D1186" s="1"/>
  <c r="D1193" a="1"/>
  <c r="D1193" s="1"/>
  <c r="D1207" a="1"/>
  <c r="D1207" s="1"/>
  <c r="D1211" a="1"/>
  <c r="D1211" s="1"/>
  <c r="D1220" a="1"/>
  <c r="D1220" s="1"/>
  <c r="D1222" a="1"/>
  <c r="D1222" s="1"/>
  <c r="D1224" a="1"/>
  <c r="D1224" s="1"/>
  <c r="D1225" a="1"/>
  <c r="D1225" s="1"/>
  <c r="D1226" a="1"/>
  <c r="D1226" s="1"/>
  <c r="D1228" a="1"/>
  <c r="D1228" s="1"/>
  <c r="D1231" a="1"/>
  <c r="D1231" s="1"/>
  <c r="D1232" a="1"/>
  <c r="D1232" s="1"/>
  <c r="D1239" a="1"/>
  <c r="D1239" s="1"/>
  <c r="D1240" a="1"/>
  <c r="D1240" s="1"/>
  <c r="D1241" a="1"/>
  <c r="D1241" s="1"/>
  <c r="D1245" a="1"/>
  <c r="D1245" s="1"/>
  <c r="D1251" a="1"/>
  <c r="D1251" s="1"/>
  <c r="D1257" a="1"/>
  <c r="D1257" s="1"/>
  <c r="D1260" a="1"/>
  <c r="D1260" s="1"/>
  <c r="D1269" a="1"/>
  <c r="D1269" s="1"/>
  <c r="D1278" a="1"/>
  <c r="D1278" s="1"/>
  <c r="D1291" a="1"/>
  <c r="D1291" s="1"/>
  <c r="D1299" a="1"/>
  <c r="D1299" s="1"/>
  <c r="D1301" a="1"/>
  <c r="D1301" s="1"/>
  <c r="D1307" a="1"/>
  <c r="D1307" s="1"/>
  <c r="D1309" a="1"/>
  <c r="D1309" s="1"/>
  <c r="D1318" a="1"/>
  <c r="D1318" s="1"/>
  <c r="D1325" a="1"/>
  <c r="D1325" s="1"/>
  <c r="D1346" a="1"/>
  <c r="D1346" s="1"/>
  <c r="D1353" a="1"/>
  <c r="D1353" s="1"/>
  <c r="D1356" a="1"/>
  <c r="D1356" s="1"/>
  <c r="D1358" a="1"/>
  <c r="D1358" s="1"/>
  <c r="D1368" a="1"/>
  <c r="D1368" s="1"/>
  <c r="D1376" a="1"/>
  <c r="D1376" s="1"/>
  <c r="D1379" a="1"/>
  <c r="D1379" s="1"/>
  <c r="D1381" a="1"/>
  <c r="D1381" s="1"/>
  <c r="D1385" a="1"/>
  <c r="D1385" s="1"/>
  <c r="D1388" a="1"/>
  <c r="D1388" s="1"/>
  <c r="D1392" a="1"/>
  <c r="D1392" s="1"/>
  <c r="D1396" a="1"/>
  <c r="D1396" s="1"/>
  <c r="D1404" a="1"/>
  <c r="D1404" s="1"/>
  <c r="D1407" a="1"/>
  <c r="D1407" s="1"/>
  <c r="D1415" a="1"/>
  <c r="D1415" s="1"/>
  <c r="D1416" a="1"/>
  <c r="D1416" s="1"/>
  <c r="D1418" a="1"/>
  <c r="D1418" s="1"/>
  <c r="D1420" a="1"/>
  <c r="D1420" s="1"/>
  <c r="D1430" a="1"/>
  <c r="D1430" s="1"/>
  <c r="D1442" a="1"/>
  <c r="D1442" s="1"/>
  <c r="D1448" a="1"/>
  <c r="D1448" s="1"/>
  <c r="D1450" a="1"/>
  <c r="D1450" s="1"/>
  <c r="D1457" a="1"/>
  <c r="D1457" s="1"/>
  <c r="D1462" a="1"/>
  <c r="D1462" s="1"/>
  <c r="D1470" a="1"/>
  <c r="D1470" s="1"/>
  <c r="D1473" a="1"/>
  <c r="D1473" s="1"/>
  <c r="D1475" a="1"/>
  <c r="D1475" s="1"/>
  <c r="D1477" a="1"/>
  <c r="D1477" s="1"/>
  <c r="D1482" a="1"/>
  <c r="D1482" s="1"/>
  <c r="D1491" a="1"/>
  <c r="D1491" s="1"/>
  <c r="D1505" a="1"/>
  <c r="D1505" s="1"/>
  <c r="D1510" a="1"/>
  <c r="D1510" s="1"/>
  <c r="D1512" a="1"/>
  <c r="D1512" s="1"/>
  <c r="D1516" a="1"/>
  <c r="D1516" s="1"/>
  <c r="D1525" a="1"/>
  <c r="D1525" s="1"/>
  <c r="D1530" a="1"/>
  <c r="D1530" s="1"/>
  <c r="D1535" a="1"/>
  <c r="D1535" s="1"/>
  <c r="D1541" a="1"/>
  <c r="D1541" s="1"/>
  <c r="D1555" a="1"/>
  <c r="D1555" s="1"/>
  <c r="D1563" a="1"/>
  <c r="D1563" s="1"/>
  <c r="D1569" a="1"/>
  <c r="D1569" s="1"/>
  <c r="D1573" a="1"/>
  <c r="D1573" s="1"/>
  <c r="D1579" a="1"/>
  <c r="D1579" s="1"/>
  <c r="D1599" a="1"/>
  <c r="D1599" s="1"/>
  <c r="D1606" a="1"/>
  <c r="D1606" s="1"/>
  <c r="D1609" a="1"/>
  <c r="D1609" s="1"/>
  <c r="D1611" a="1"/>
  <c r="D1611" s="1"/>
  <c r="D1617" a="1"/>
  <c r="D1617" s="1"/>
  <c r="D1619" a="1"/>
  <c r="D1619" s="1"/>
  <c r="D1625" a="1"/>
  <c r="D1625" s="1"/>
  <c r="D1627" a="1"/>
  <c r="D1627" s="1"/>
  <c r="D1631" a="1"/>
  <c r="D1631" s="1"/>
  <c r="D1638" a="1"/>
  <c r="D1638" s="1"/>
  <c r="D1640" a="1"/>
  <c r="D1640" s="1"/>
  <c r="D1647" a="1"/>
  <c r="D1647" s="1"/>
  <c r="D1667" a="1"/>
  <c r="D1667" s="1"/>
  <c r="D1669" a="1"/>
  <c r="D1669" s="1"/>
  <c r="D1672" a="1"/>
  <c r="D1672" s="1"/>
  <c r="D1686" a="1"/>
  <c r="D1686" s="1"/>
  <c r="D784" a="1"/>
  <c r="D784" s="1"/>
  <c r="D1029" a="1"/>
  <c r="D1029" s="1"/>
  <c r="D1401" a="1"/>
  <c r="D1401" s="1"/>
  <c r="D438" a="1"/>
  <c r="D438" s="1"/>
  <c r="D449" a="1"/>
  <c r="D449" s="1"/>
  <c r="D458" a="1"/>
  <c r="D458" s="1"/>
  <c r="D486" a="1"/>
  <c r="D486" s="1"/>
  <c r="D489" a="1"/>
  <c r="D489" s="1"/>
  <c r="D505" a="1"/>
  <c r="D505" s="1"/>
  <c r="D586" a="1"/>
  <c r="D586" s="1"/>
  <c r="D587" a="1"/>
  <c r="D587" s="1"/>
  <c r="D601" a="1"/>
  <c r="D601" s="1"/>
  <c r="D622" a="1"/>
  <c r="D622" s="1"/>
  <c r="D628" a="1"/>
  <c r="D628" s="1"/>
  <c r="D630" a="1"/>
  <c r="D630" s="1"/>
  <c r="D636" a="1"/>
  <c r="D636" s="1"/>
  <c r="D638" a="1"/>
  <c r="D638" s="1"/>
  <c r="D665" a="1"/>
  <c r="D665" s="1"/>
  <c r="D677" a="1"/>
  <c r="D677" s="1"/>
  <c r="D713" a="1"/>
  <c r="D713" s="1"/>
  <c r="D724" a="1"/>
  <c r="D724" s="1"/>
  <c r="D726" a="1"/>
  <c r="D726" s="1"/>
  <c r="D756" a="1"/>
  <c r="D756" s="1"/>
  <c r="D761" a="1"/>
  <c r="D761" s="1"/>
  <c r="D767" a="1"/>
  <c r="D767" s="1"/>
  <c r="D802" a="1"/>
  <c r="D802" s="1"/>
  <c r="D805" a="1"/>
  <c r="D805" s="1"/>
  <c r="D807" a="1"/>
  <c r="D807" s="1"/>
  <c r="D844" a="1"/>
  <c r="D844" s="1"/>
  <c r="D855" a="1"/>
  <c r="D855" s="1"/>
  <c r="D864" a="1"/>
  <c r="D864" s="1"/>
  <c r="D875" a="1"/>
  <c r="D875" s="1"/>
  <c r="D903" a="1"/>
  <c r="D903" s="1"/>
  <c r="D967" a="1"/>
  <c r="D967" s="1"/>
  <c r="D972" a="1"/>
  <c r="D972" s="1"/>
  <c r="D993" a="1"/>
  <c r="D993" s="1"/>
  <c r="D1011" a="1"/>
  <c r="D1011" s="1"/>
  <c r="D1028" a="1"/>
  <c r="D1028" s="1"/>
  <c r="D1052" a="1"/>
  <c r="D1052" s="1"/>
  <c r="D1063" a="1"/>
  <c r="D1063" s="1"/>
  <c r="D1069" a="1"/>
  <c r="D1069" s="1"/>
  <c r="D1088" a="1"/>
  <c r="D1088" s="1"/>
  <c r="D1109" a="1"/>
  <c r="D1109" s="1"/>
  <c r="D1121" a="1"/>
  <c r="D1121" s="1"/>
  <c r="D1126" a="1"/>
  <c r="D1126" s="1"/>
  <c r="D1134" a="1"/>
  <c r="D1134" s="1"/>
  <c r="D1137" a="1"/>
  <c r="D1137" s="1"/>
  <c r="D1146" a="1"/>
  <c r="D1146" s="1"/>
  <c r="D1148" a="1"/>
  <c r="D1148" s="1"/>
  <c r="D1150" a="1"/>
  <c r="D1150" s="1"/>
  <c r="D1157" a="1"/>
  <c r="D1157" s="1"/>
  <c r="D1164" a="1"/>
  <c r="D1164" s="1"/>
  <c r="D1166" a="1"/>
  <c r="D1166" s="1"/>
  <c r="D1167" a="1"/>
  <c r="D1167" s="1"/>
  <c r="D1175" a="1"/>
  <c r="D1175" s="1"/>
  <c r="D1191" a="1"/>
  <c r="D1191" s="1"/>
  <c r="D1200" a="1"/>
  <c r="D1200" s="1"/>
  <c r="D1242" a="1"/>
  <c r="D1242" s="1"/>
  <c r="D1253" a="1"/>
  <c r="D1253" s="1"/>
  <c r="D1314" a="1"/>
  <c r="D1314" s="1"/>
  <c r="D1333" a="1"/>
  <c r="D1333" s="1"/>
  <c r="D1360" a="1"/>
  <c r="D1360" s="1"/>
  <c r="D1362" a="1"/>
  <c r="D1362" s="1"/>
  <c r="D1399" a="1"/>
  <c r="D1399" s="1"/>
  <c r="D1400" a="1"/>
  <c r="D1400" s="1"/>
  <c r="D1414" a="1"/>
  <c r="D1414" s="1"/>
  <c r="D1422" a="1"/>
  <c r="D1422" s="1"/>
  <c r="D1433" a="1"/>
  <c r="D1433" s="1"/>
  <c r="D1459" a="1"/>
  <c r="D1459" s="1"/>
  <c r="D1476" a="1"/>
  <c r="D1476" s="1"/>
  <c r="D1478" a="1"/>
  <c r="D1478" s="1"/>
  <c r="D1488" a="1"/>
  <c r="D1488" s="1"/>
  <c r="D1495" a="1"/>
  <c r="D1495" s="1"/>
  <c r="D1498" a="1"/>
  <c r="D1498" s="1"/>
  <c r="D1500" a="1"/>
  <c r="D1500" s="1"/>
  <c r="D1513" a="1"/>
  <c r="D1513" s="1"/>
  <c r="D1517" a="1"/>
  <c r="D1517" s="1"/>
  <c r="D1526" a="1"/>
  <c r="D1526" s="1"/>
  <c r="D1531" a="1"/>
  <c r="D1531" s="1"/>
  <c r="D1547" a="1"/>
  <c r="D1547" s="1"/>
  <c r="D1559" a="1"/>
  <c r="D1559" s="1"/>
  <c r="D1570" a="1"/>
  <c r="D1570" s="1"/>
  <c r="D1572" a="1"/>
  <c r="D1572" s="1"/>
  <c r="D1576" a="1"/>
  <c r="D1576" s="1"/>
  <c r="D1589" a="1"/>
  <c r="D1589" s="1"/>
  <c r="D1610" a="1"/>
  <c r="D1610" s="1"/>
  <c r="D1612" a="1"/>
  <c r="D1612" s="1"/>
  <c r="D1613" a="1"/>
  <c r="D1613" s="1"/>
  <c r="D1641" a="1"/>
  <c r="D1641" s="1"/>
  <c r="D1664" a="1"/>
  <c r="D1664" s="1"/>
  <c r="D1680" a="1"/>
  <c r="D1680" s="1"/>
  <c r="D1685" a="1"/>
  <c r="D1685" s="1"/>
  <c r="D703" a="1"/>
  <c r="D703" s="1"/>
  <c r="D884" a="1"/>
  <c r="D884" s="1"/>
  <c r="D885" a="1"/>
  <c r="D885" s="1"/>
  <c r="D1564" a="1"/>
  <c r="D1564" s="1"/>
  <c r="D1699" a="1"/>
  <c r="D1699" s="1"/>
  <c r="D439" a="1"/>
  <c r="D439" s="1"/>
  <c r="D453" a="1"/>
  <c r="D453" s="1"/>
  <c r="D454" a="1"/>
  <c r="D454" s="1"/>
  <c r="D470" a="1"/>
  <c r="D470" s="1"/>
  <c r="D473" a="1"/>
  <c r="D473" s="1"/>
  <c r="D476" a="1"/>
  <c r="D476" s="1"/>
  <c r="D503" a="1"/>
  <c r="D503" s="1"/>
  <c r="D509" a="1"/>
  <c r="D509" s="1"/>
  <c r="D512" a="1"/>
  <c r="D512" s="1"/>
  <c r="D516" a="1"/>
  <c r="D516" s="1"/>
  <c r="D523" a="1"/>
  <c r="D523" s="1"/>
  <c r="D526" a="1"/>
  <c r="D526" s="1"/>
  <c r="D533" a="1"/>
  <c r="D533" s="1"/>
  <c r="D540" a="1"/>
  <c r="D540" s="1"/>
  <c r="D546" a="1"/>
  <c r="D546" s="1"/>
  <c r="D547" a="1"/>
  <c r="D547" s="1"/>
  <c r="D552" a="1"/>
  <c r="D552" s="1"/>
  <c r="D554" a="1"/>
  <c r="D554" s="1"/>
  <c r="D564" a="1"/>
  <c r="D564" s="1"/>
  <c r="D569" a="1"/>
  <c r="D569" s="1"/>
  <c r="D570" a="1"/>
  <c r="D570" s="1"/>
  <c r="D576" a="1"/>
  <c r="D576" s="1"/>
  <c r="D581" a="1"/>
  <c r="D581" s="1"/>
  <c r="D605" a="1"/>
  <c r="D605" s="1"/>
  <c r="D609" a="1"/>
  <c r="D609" s="1"/>
  <c r="D625" a="1"/>
  <c r="D625" s="1"/>
  <c r="D633" a="1"/>
  <c r="D633" s="1"/>
  <c r="D642" a="1"/>
  <c r="D642" s="1"/>
  <c r="D648" a="1"/>
  <c r="D648" s="1"/>
  <c r="D652" a="1"/>
  <c r="D652" s="1"/>
  <c r="D657" a="1"/>
  <c r="D657" s="1"/>
  <c r="D660" a="1"/>
  <c r="D660" s="1"/>
  <c r="D667" a="1"/>
  <c r="D667" s="1"/>
  <c r="D672" a="1"/>
  <c r="D672" s="1"/>
  <c r="D674" a="1"/>
  <c r="D674" s="1"/>
  <c r="D679" a="1"/>
  <c r="D679" s="1"/>
  <c r="D681" a="1"/>
  <c r="D681" s="1"/>
  <c r="D684" a="1"/>
  <c r="D684" s="1"/>
  <c r="D693" a="1"/>
  <c r="D693" s="1"/>
  <c r="D699" a="1"/>
  <c r="D699" s="1"/>
  <c r="D701" a="1"/>
  <c r="D701" s="1"/>
  <c r="D706" a="1"/>
  <c r="D706" s="1"/>
  <c r="D709" a="1"/>
  <c r="D709" s="1"/>
  <c r="D716" a="1"/>
  <c r="D716" s="1"/>
  <c r="D719" a="1"/>
  <c r="D719" s="1"/>
  <c r="D721" a="1"/>
  <c r="D721" s="1"/>
  <c r="D725" a="1"/>
  <c r="D725" s="1"/>
  <c r="D732" a="1"/>
  <c r="D732" s="1"/>
  <c r="D733" a="1"/>
  <c r="D733" s="1"/>
  <c r="D736" a="1"/>
  <c r="D736" s="1"/>
  <c r="D741" a="1"/>
  <c r="D741" s="1"/>
  <c r="D744" a="1"/>
  <c r="D744" s="1"/>
  <c r="D747" a="1"/>
  <c r="D747" s="1"/>
  <c r="D757" a="1"/>
  <c r="D757" s="1"/>
  <c r="D758" a="1"/>
  <c r="D758" s="1"/>
  <c r="D760" a="1"/>
  <c r="D760" s="1"/>
  <c r="D771" a="1"/>
  <c r="D771" s="1"/>
  <c r="D773" a="1"/>
  <c r="D773" s="1"/>
  <c r="D776" a="1"/>
  <c r="D776" s="1"/>
  <c r="D783" a="1"/>
  <c r="D783" s="1"/>
  <c r="D786" a="1"/>
  <c r="D786" s="1"/>
  <c r="D787" a="1"/>
  <c r="D787" s="1"/>
  <c r="D788" a="1"/>
  <c r="D788" s="1"/>
  <c r="D799" a="1"/>
  <c r="D799" s="1"/>
  <c r="D803" a="1"/>
  <c r="D803" s="1"/>
  <c r="D809" a="1"/>
  <c r="D809" s="1"/>
  <c r="D810" a="1"/>
  <c r="D810" s="1"/>
  <c r="D813" a="1"/>
  <c r="D813" s="1"/>
  <c r="D817" a="1"/>
  <c r="D817" s="1"/>
  <c r="D818" a="1"/>
  <c r="D818" s="1"/>
  <c r="D825" a="1"/>
  <c r="D825" s="1"/>
  <c r="D834" a="1"/>
  <c r="D834" s="1"/>
  <c r="D837" a="1"/>
  <c r="D837" s="1"/>
  <c r="D857" a="1"/>
  <c r="D857" s="1"/>
  <c r="D861" a="1"/>
  <c r="D861" s="1"/>
  <c r="D866" a="1"/>
  <c r="D866" s="1"/>
  <c r="D878" a="1"/>
  <c r="D878" s="1"/>
  <c r="D881" a="1"/>
  <c r="D881" s="1"/>
  <c r="D886" a="1"/>
  <c r="D886" s="1"/>
  <c r="D887" a="1"/>
  <c r="D887" s="1"/>
  <c r="D890" a="1"/>
  <c r="D890" s="1"/>
  <c r="D899" a="1"/>
  <c r="D899" s="1"/>
  <c r="D901" a="1"/>
  <c r="D901" s="1"/>
  <c r="D908" a="1"/>
  <c r="D908" s="1"/>
  <c r="D916" a="1"/>
  <c r="D916" s="1"/>
  <c r="D923" a="1"/>
  <c r="D923" s="1"/>
  <c r="D928" a="1"/>
  <c r="D928" s="1"/>
  <c r="D934" a="1"/>
  <c r="D934" s="1"/>
  <c r="D937" a="1"/>
  <c r="D937" s="1"/>
  <c r="D943" a="1"/>
  <c r="D943" s="1"/>
  <c r="D947" a="1"/>
  <c r="D947" s="1"/>
  <c r="D949" a="1"/>
  <c r="D949" s="1"/>
  <c r="D957" a="1"/>
  <c r="D957" s="1"/>
  <c r="D958" a="1"/>
  <c r="D958" s="1"/>
  <c r="D965" a="1"/>
  <c r="D965" s="1"/>
  <c r="D969" a="1"/>
  <c r="D969" s="1"/>
  <c r="D974" a="1"/>
  <c r="D974" s="1"/>
  <c r="D986" a="1"/>
  <c r="D986" s="1"/>
  <c r="D990" a="1"/>
  <c r="D990" s="1"/>
  <c r="D992" a="1"/>
  <c r="D992" s="1"/>
  <c r="D1002" a="1"/>
  <c r="D1002" s="1"/>
  <c r="D1005" a="1"/>
  <c r="D1005" s="1"/>
  <c r="D1008" a="1"/>
  <c r="D1008" s="1"/>
  <c r="D1012" a="1"/>
  <c r="D1012" s="1"/>
  <c r="D1015" a="1"/>
  <c r="D1015" s="1"/>
  <c r="D1021" a="1"/>
  <c r="D1021" s="1"/>
  <c r="D1023" a="1"/>
  <c r="D1023" s="1"/>
  <c r="D1027" a="1"/>
  <c r="D1027" s="1"/>
  <c r="D1037" a="1"/>
  <c r="D1037" s="1"/>
  <c r="D1038" a="1"/>
  <c r="D1038" s="1"/>
  <c r="D1046" a="1"/>
  <c r="D1046" s="1"/>
  <c r="D1054" a="1"/>
  <c r="D1054" s="1"/>
  <c r="D1062" a="1"/>
  <c r="D1062" s="1"/>
  <c r="D1066" a="1"/>
  <c r="D1066" s="1"/>
  <c r="D1084" a="1"/>
  <c r="D1084" s="1"/>
  <c r="D1091" a="1"/>
  <c r="D1091" s="1"/>
  <c r="D1094" a="1"/>
  <c r="D1094" s="1"/>
  <c r="D1119" a="1"/>
  <c r="D1119" s="1"/>
  <c r="D1122" a="1"/>
  <c r="D1122" s="1"/>
  <c r="D1128" a="1"/>
  <c r="D1128" s="1"/>
  <c r="D1144" a="1"/>
  <c r="D1144" s="1"/>
  <c r="D1149" a="1"/>
  <c r="D1149" s="1"/>
  <c r="D1161" a="1"/>
  <c r="D1161" s="1"/>
  <c r="D1172" a="1"/>
  <c r="D1172" s="1"/>
  <c r="D1184" a="1"/>
  <c r="D1184" s="1"/>
  <c r="D1185" a="1"/>
  <c r="D1185" s="1"/>
  <c r="D1187" a="1"/>
  <c r="D1187" s="1"/>
  <c r="D1188" a="1"/>
  <c r="D1188" s="1"/>
  <c r="D1192" a="1"/>
  <c r="D1192" s="1"/>
  <c r="D1195" a="1"/>
  <c r="D1195" s="1"/>
  <c r="D1197" a="1"/>
  <c r="D1197" s="1"/>
  <c r="D1199" a="1"/>
  <c r="D1199" s="1"/>
  <c r="D1201" a="1"/>
  <c r="D1201" s="1"/>
  <c r="D1203" a="1"/>
  <c r="D1203" s="1"/>
  <c r="D1205" a="1"/>
  <c r="D1205" s="1"/>
  <c r="D1208" a="1"/>
  <c r="D1208" s="1"/>
  <c r="D1217" a="1"/>
  <c r="D1217" s="1"/>
  <c r="D1218" a="1"/>
  <c r="D1218" s="1"/>
  <c r="D1221" a="1"/>
  <c r="D1221" s="1"/>
  <c r="D1229" a="1"/>
  <c r="D1229" s="1"/>
  <c r="D1235" a="1"/>
  <c r="D1235" s="1"/>
  <c r="D1246" a="1"/>
  <c r="D1246" s="1"/>
  <c r="D1248" a="1"/>
  <c r="D1248" s="1"/>
  <c r="D1279" a="1"/>
  <c r="D1279" s="1"/>
  <c r="D1284" a="1"/>
  <c r="D1284" s="1"/>
  <c r="D1289" a="1"/>
  <c r="D1289" s="1"/>
  <c r="D1295" a="1"/>
  <c r="D1295" s="1"/>
  <c r="D1319" a="1"/>
  <c r="D1319" s="1"/>
  <c r="D1321" a="1"/>
  <c r="D1321" s="1"/>
  <c r="D1326" a="1"/>
  <c r="D1326" s="1"/>
  <c r="D1329" a="1"/>
  <c r="D1329" s="1"/>
  <c r="D1330" a="1"/>
  <c r="D1330" s="1"/>
  <c r="D1331" a="1"/>
  <c r="D1331" s="1"/>
  <c r="D1334" a="1"/>
  <c r="D1334" s="1"/>
  <c r="D1339" a="1"/>
  <c r="D1339" s="1"/>
  <c r="D1344" a="1"/>
  <c r="D1344" s="1"/>
  <c r="D1350" a="1"/>
  <c r="D1350" s="1"/>
  <c r="D1351" a="1"/>
  <c r="D1351" s="1"/>
  <c r="D1354" a="1"/>
  <c r="D1354" s="1"/>
  <c r="D1365" a="1"/>
  <c r="D1365" s="1"/>
  <c r="D1374" a="1"/>
  <c r="D1374" s="1"/>
  <c r="D1377" a="1"/>
  <c r="D1377" s="1"/>
  <c r="D1389" a="1"/>
  <c r="D1389" s="1"/>
  <c r="D1397" a="1"/>
  <c r="D1397" s="1"/>
  <c r="D1419" a="1"/>
  <c r="D1419" s="1"/>
  <c r="D1421" a="1"/>
  <c r="D1421" s="1"/>
  <c r="D1441" a="1"/>
  <c r="D1441" s="1"/>
  <c r="D1445" a="1"/>
  <c r="D1445" s="1"/>
  <c r="D1446" a="1"/>
  <c r="D1446" s="1"/>
  <c r="D1464" a="1"/>
  <c r="D1464" s="1"/>
  <c r="D1469" a="1"/>
  <c r="D1469" s="1"/>
  <c r="D1492" a="1"/>
  <c r="D1492" s="1"/>
  <c r="D1497" a="1"/>
  <c r="D1497" s="1"/>
  <c r="D1499" a="1"/>
  <c r="D1499" s="1"/>
  <c r="D1511" a="1"/>
  <c r="D1511" s="1"/>
  <c r="D1515" a="1"/>
  <c r="D1515" s="1"/>
  <c r="D1519" a="1"/>
  <c r="D1519" s="1"/>
  <c r="D1533" a="1"/>
  <c r="D1533" s="1"/>
  <c r="D1550" a="1"/>
  <c r="D1550" s="1"/>
  <c r="D1565" a="1"/>
  <c r="D1565" s="1"/>
  <c r="D1566" a="1"/>
  <c r="D1566" s="1"/>
  <c r="D1567" a="1"/>
  <c r="D1567" s="1"/>
  <c r="D1575" a="1"/>
  <c r="D1575" s="1"/>
  <c r="D1578" a="1"/>
  <c r="D1578" s="1"/>
  <c r="D1582" a="1"/>
  <c r="D1582" s="1"/>
  <c r="D1584" a="1"/>
  <c r="D1584" s="1"/>
  <c r="D1591" a="1"/>
  <c r="D1591" s="1"/>
  <c r="D1592" a="1"/>
  <c r="D1592" s="1"/>
  <c r="D1598" a="1"/>
  <c r="D1598" s="1"/>
  <c r="D1600" a="1"/>
  <c r="D1600" s="1"/>
  <c r="D1605" a="1"/>
  <c r="D1605" s="1"/>
  <c r="D1607" a="1"/>
  <c r="D1607" s="1"/>
  <c r="D1615" a="1"/>
  <c r="D1615" s="1"/>
  <c r="D1623" a="1"/>
  <c r="D1623" s="1"/>
  <c r="D1633" a="1"/>
  <c r="D1633" s="1"/>
  <c r="D1635" a="1"/>
  <c r="D1635" s="1"/>
  <c r="D1654" a="1"/>
  <c r="D1654" s="1"/>
  <c r="D1657" a="1"/>
  <c r="D1657" s="1"/>
  <c r="D1661" a="1"/>
  <c r="D1661" s="1"/>
  <c r="D1662" a="1"/>
  <c r="D1662" s="1"/>
  <c r="D1663" a="1"/>
  <c r="D1663" s="1"/>
  <c r="D1665" a="1"/>
  <c r="D1665" s="1"/>
  <c r="D1688" a="1"/>
  <c r="D1688" s="1"/>
  <c r="D1689" a="1"/>
  <c r="D1689" s="1"/>
  <c r="D1696" a="1"/>
  <c r="D1696" s="1"/>
  <c r="D1697" a="1"/>
  <c r="D1697" s="1"/>
  <c r="D1716" a="1"/>
  <c r="D1716" s="1"/>
  <c r="D1718" a="1"/>
  <c r="D1718" s="1"/>
  <c r="D1719" a="1"/>
  <c r="D1719" s="1"/>
  <c r="D1720" a="1"/>
  <c r="D1720" s="1"/>
  <c r="D1722" a="1"/>
  <c r="D1722" s="1"/>
  <c r="D1723" a="1"/>
  <c r="D1723" s="1"/>
  <c r="D785" a="1"/>
  <c r="D785" s="1"/>
  <c r="D1030" a="1"/>
  <c r="D1030" s="1"/>
  <c r="D1700" a="1"/>
  <c r="D1700" s="1"/>
  <c r="D506" a="1"/>
  <c r="D506" s="1"/>
  <c r="D571" a="1"/>
  <c r="D571" s="1"/>
  <c r="D577" a="1"/>
  <c r="D577" s="1"/>
  <c r="D631" a="1"/>
  <c r="D631" s="1"/>
  <c r="D656" a="1"/>
  <c r="D656" s="1"/>
  <c r="D658" a="1"/>
  <c r="D658" s="1"/>
  <c r="D688" a="1"/>
  <c r="D688" s="1"/>
  <c r="D722" a="1"/>
  <c r="D722" s="1"/>
  <c r="D727" a="1"/>
  <c r="D727" s="1"/>
  <c r="D734" a="1"/>
  <c r="D734" s="1"/>
  <c r="D762" a="1"/>
  <c r="D762" s="1"/>
  <c r="D777" a="1"/>
  <c r="D777" s="1"/>
  <c r="D862" a="1"/>
  <c r="D862" s="1"/>
  <c r="D865" a="1"/>
  <c r="D865" s="1"/>
  <c r="D867" a="1"/>
  <c r="D867" s="1"/>
  <c r="D907" a="1"/>
  <c r="D907" s="1"/>
  <c r="D909" a="1"/>
  <c r="D909" s="1"/>
  <c r="D935" a="1"/>
  <c r="D935" s="1"/>
  <c r="D938" a="1"/>
  <c r="D938" s="1"/>
  <c r="D991" a="1"/>
  <c r="D991" s="1"/>
  <c r="D1067" a="1"/>
  <c r="D1067" s="1"/>
  <c r="D1096" a="1"/>
  <c r="D1096" s="1"/>
  <c r="D1173" a="1"/>
  <c r="D1173" s="1"/>
  <c r="D1230" a="1"/>
  <c r="D1230" s="1"/>
  <c r="D1247" a="1"/>
  <c r="D1247" s="1"/>
  <c r="D1460" a="1"/>
  <c r="D1460" s="1"/>
  <c r="D1493" a="1"/>
  <c r="D1493" s="1"/>
  <c r="D1514" a="1"/>
  <c r="D1514" s="1"/>
  <c r="D1518" a="1"/>
  <c r="D1518" s="1"/>
  <c r="D1536" a="1"/>
  <c r="D1536" s="1"/>
  <c r="D1571" a="1"/>
  <c r="D1571" s="1"/>
  <c r="D1602" a="1"/>
  <c r="D1602" s="1"/>
  <c r="D1608" a="1"/>
  <c r="D1608" s="1"/>
  <c r="D1614" a="1"/>
  <c r="D1614" s="1"/>
  <c r="D1724" a="1"/>
  <c r="D1724" s="1"/>
  <c r="D21" a="1"/>
  <c r="D21" s="1"/>
  <c r="D81" a="1"/>
  <c r="D81" s="1"/>
  <c r="D126" a="1"/>
  <c r="D126" s="1"/>
  <c r="D243" a="1"/>
  <c r="D243" s="1"/>
  <c r="D319" a="1"/>
  <c r="D319" s="1"/>
  <c r="D432" a="1"/>
  <c r="D432" s="1"/>
  <c r="D465" a="1"/>
  <c r="D465" s="1"/>
  <c r="D527" a="1"/>
  <c r="D527" s="1"/>
  <c r="D575" a="1"/>
  <c r="D575" s="1"/>
  <c r="D612" a="1"/>
  <c r="D612" s="1"/>
  <c r="D1130" a="1"/>
  <c r="D1130" s="1"/>
  <c r="D1190" a="1"/>
  <c r="D1190" s="1"/>
  <c r="D1243" a="1"/>
  <c r="D1243" s="1"/>
  <c r="D1522" a="1"/>
  <c r="D1522" s="1"/>
  <c r="D2" a="1"/>
  <c r="D2" s="1"/>
  <c r="D3" a="1"/>
  <c r="D3" s="1"/>
  <c r="D6" a="1"/>
  <c r="D6" s="1"/>
  <c r="D8" a="1"/>
  <c r="D8" s="1"/>
  <c r="D9" a="1"/>
  <c r="D9" s="1"/>
  <c r="D11" a="1"/>
  <c r="D11" s="1"/>
  <c r="D12" a="1"/>
  <c r="D12" s="1"/>
  <c r="D14" a="1"/>
  <c r="D14" s="1"/>
  <c r="D15" a="1"/>
  <c r="D15" s="1"/>
  <c r="D17" a="1"/>
  <c r="D17" s="1"/>
  <c r="D18" a="1"/>
  <c r="D18" s="1"/>
  <c r="D22" a="1"/>
  <c r="D22" s="1"/>
  <c r="D24" a="1"/>
  <c r="D24" s="1"/>
  <c r="D31" a="1"/>
  <c r="D31" s="1"/>
  <c r="D33" a="1"/>
  <c r="D33" s="1"/>
  <c r="D34" a="1"/>
  <c r="D34" s="1"/>
  <c r="D35" a="1"/>
  <c r="D35" s="1"/>
  <c r="D36" a="1"/>
  <c r="D36" s="1"/>
  <c r="D37" a="1"/>
  <c r="D37" s="1"/>
  <c r="D38" a="1"/>
  <c r="D38" s="1"/>
  <c r="D40" a="1"/>
  <c r="D40" s="1"/>
  <c r="D47" a="1"/>
  <c r="D47" s="1"/>
  <c r="D51" a="1"/>
  <c r="D51" s="1"/>
  <c r="D52" a="1"/>
  <c r="D52" s="1"/>
  <c r="D54" a="1"/>
  <c r="D54" s="1"/>
  <c r="D55" a="1"/>
  <c r="D55" s="1"/>
  <c r="D56" a="1"/>
  <c r="D56" s="1"/>
  <c r="D59" a="1"/>
  <c r="D59" s="1"/>
  <c r="D60" a="1"/>
  <c r="D60" s="1"/>
  <c r="D61" a="1"/>
  <c r="D61" s="1"/>
  <c r="D63" a="1"/>
  <c r="D63" s="1"/>
  <c r="D67" a="1"/>
  <c r="D67" s="1"/>
  <c r="D72" a="1"/>
  <c r="D72" s="1"/>
  <c r="D73" a="1"/>
  <c r="D73" s="1"/>
  <c r="D76" a="1"/>
  <c r="D76" s="1"/>
  <c r="D78" a="1"/>
  <c r="D78" s="1"/>
  <c r="D79" a="1"/>
  <c r="D79" s="1"/>
  <c r="D82" a="1"/>
  <c r="D82" s="1"/>
  <c r="D83" a="1"/>
  <c r="D83" s="1"/>
  <c r="D84" a="1"/>
  <c r="D84" s="1"/>
  <c r="D88" a="1"/>
  <c r="D88" s="1"/>
  <c r="D91" a="1"/>
  <c r="D91" s="1"/>
  <c r="D93" a="1"/>
  <c r="D93" s="1"/>
  <c r="D95" a="1"/>
  <c r="D95" s="1"/>
  <c r="D100" a="1"/>
  <c r="D100" s="1"/>
  <c r="D101" a="1"/>
  <c r="D101" s="1"/>
  <c r="D102" a="1"/>
  <c r="D102" s="1"/>
  <c r="D104" a="1"/>
  <c r="D104" s="1"/>
  <c r="D105" a="1"/>
  <c r="D105" s="1"/>
  <c r="D106" a="1"/>
  <c r="D106" s="1"/>
  <c r="D113" a="1"/>
  <c r="D113" s="1"/>
  <c r="D115" a="1"/>
  <c r="D115" s="1"/>
  <c r="D118" a="1"/>
  <c r="D118" s="1"/>
  <c r="D120" a="1"/>
  <c r="D120" s="1"/>
  <c r="D121" a="1"/>
  <c r="D121" s="1"/>
  <c r="D124" a="1"/>
  <c r="D124" s="1"/>
  <c r="D125" a="1"/>
  <c r="D125" s="1"/>
  <c r="D130" a="1"/>
  <c r="D130" s="1"/>
  <c r="D131" a="1"/>
  <c r="D131" s="1"/>
  <c r="D133" a="1"/>
  <c r="D133" s="1"/>
  <c r="D134" a="1"/>
  <c r="D134" s="1"/>
  <c r="D137" a="1"/>
  <c r="D137" s="1"/>
  <c r="D138" a="1"/>
  <c r="D138" s="1"/>
  <c r="D145" a="1"/>
  <c r="D145" s="1"/>
  <c r="D146" a="1"/>
  <c r="D146" s="1"/>
  <c r="D149" a="1"/>
  <c r="D149" s="1"/>
  <c r="D152" a="1"/>
  <c r="D152" s="1"/>
  <c r="D155" a="1"/>
  <c r="D155" s="1"/>
  <c r="D160" a="1"/>
  <c r="D160" s="1"/>
  <c r="D161" a="1"/>
  <c r="D161" s="1"/>
  <c r="D163" a="1"/>
  <c r="D163" s="1"/>
  <c r="D164" a="1"/>
  <c r="D164" s="1"/>
  <c r="D166" a="1"/>
  <c r="D166" s="1"/>
  <c r="D169" a="1"/>
  <c r="D169" s="1"/>
  <c r="D172" a="1"/>
  <c r="D172" s="1"/>
  <c r="D174" a="1"/>
  <c r="D174" s="1"/>
  <c r="D175" a="1"/>
  <c r="D175" s="1"/>
  <c r="D177" a="1"/>
  <c r="D177" s="1"/>
  <c r="D178" a="1"/>
  <c r="D178" s="1"/>
  <c r="D179" a="1"/>
  <c r="D179" s="1"/>
  <c r="D182" a="1"/>
  <c r="D182" s="1"/>
  <c r="D183" a="1"/>
  <c r="D183" s="1"/>
  <c r="D188" a="1"/>
  <c r="D188" s="1"/>
  <c r="D195" a="1"/>
  <c r="D195" s="1"/>
  <c r="D196" a="1"/>
  <c r="D196" s="1"/>
  <c r="D197" a="1"/>
  <c r="D197" s="1"/>
  <c r="D198" a="1"/>
  <c r="D198" s="1"/>
  <c r="D200" a="1"/>
  <c r="D200" s="1"/>
  <c r="D202" a="1"/>
  <c r="D202" s="1"/>
  <c r="D203" a="1"/>
  <c r="D203" s="1"/>
  <c r="D204" a="1"/>
  <c r="D204" s="1"/>
  <c r="D206" a="1"/>
  <c r="D206" s="1"/>
  <c r="D211" a="1"/>
  <c r="D211" s="1"/>
  <c r="D213" a="1"/>
  <c r="D213" s="1"/>
  <c r="D214" a="1"/>
  <c r="D214" s="1"/>
  <c r="D217" a="1"/>
  <c r="D217" s="1"/>
  <c r="D219" a="1"/>
  <c r="D219" s="1"/>
  <c r="D222" a="1"/>
  <c r="D222" s="1"/>
  <c r="D224" a="1"/>
  <c r="D224" s="1"/>
  <c r="D228" a="1"/>
  <c r="D228" s="1"/>
  <c r="D229" a="1"/>
  <c r="D229" s="1"/>
  <c r="D232" a="1"/>
  <c r="D232" s="1"/>
  <c r="D233" a="1"/>
  <c r="D233" s="1"/>
  <c r="D235" a="1"/>
  <c r="D235" s="1"/>
  <c r="D236" a="1"/>
  <c r="D236" s="1"/>
  <c r="D237" a="1"/>
  <c r="D237" s="1"/>
  <c r="D241" a="1"/>
  <c r="D241" s="1"/>
  <c r="D245" a="1"/>
  <c r="D245" s="1"/>
  <c r="D251" a="1"/>
  <c r="D251" s="1"/>
  <c r="D252" a="1"/>
  <c r="D252" s="1"/>
  <c r="D253" a="1"/>
  <c r="D253" s="1"/>
  <c r="D257" a="1"/>
  <c r="D257" s="1"/>
  <c r="D259" a="1"/>
  <c r="D259" s="1"/>
  <c r="D261" a="1"/>
  <c r="D261" s="1"/>
  <c r="D262" a="1"/>
  <c r="D262" s="1"/>
  <c r="D265" a="1"/>
  <c r="D265" s="1"/>
  <c r="D267" a="1"/>
  <c r="D267" s="1"/>
  <c r="D269" a="1"/>
  <c r="D269" s="1"/>
  <c r="D273" a="1"/>
  <c r="D273" s="1"/>
  <c r="D274" a="1"/>
  <c r="D274" s="1"/>
  <c r="D275" a="1"/>
  <c r="D275" s="1"/>
  <c r="D279" a="1"/>
  <c r="D279" s="1"/>
  <c r="D281" a="1"/>
  <c r="D281" s="1"/>
  <c r="D283" a="1"/>
  <c r="D283" s="1"/>
  <c r="D286" a="1"/>
  <c r="D286" s="1"/>
  <c r="D288" a="1"/>
  <c r="D288" s="1"/>
  <c r="D289" a="1"/>
  <c r="D289" s="1"/>
  <c r="D293" a="1"/>
  <c r="D293" s="1"/>
  <c r="D295" a="1"/>
  <c r="D295" s="1"/>
  <c r="D299" a="1"/>
  <c r="D299" s="1"/>
  <c r="D302" a="1"/>
  <c r="D302" s="1"/>
  <c r="D303" a="1"/>
  <c r="D303" s="1"/>
  <c r="D306" a="1"/>
  <c r="D306" s="1"/>
  <c r="D309" a="1"/>
  <c r="D309" s="1"/>
  <c r="D310" a="1"/>
  <c r="D310" s="1"/>
  <c r="D311" a="1"/>
  <c r="D311" s="1"/>
  <c r="D313" a="1"/>
  <c r="D313" s="1"/>
  <c r="D318" a="1"/>
  <c r="D318" s="1"/>
  <c r="D320" a="1"/>
  <c r="D320" s="1"/>
  <c r="D326" a="1"/>
  <c r="D326" s="1"/>
  <c r="D328" a="1"/>
  <c r="D328" s="1"/>
  <c r="D329" a="1"/>
  <c r="D329" s="1"/>
  <c r="D330" a="1"/>
  <c r="D330" s="1"/>
  <c r="D338" a="1"/>
  <c r="D338" s="1"/>
  <c r="D340" a="1"/>
  <c r="D340" s="1"/>
  <c r="D341" a="1"/>
  <c r="D341" s="1"/>
  <c r="D345" a="1"/>
  <c r="D345" s="1"/>
  <c r="D348" a="1"/>
  <c r="D348" s="1"/>
  <c r="D353" a="1"/>
  <c r="D353" s="1"/>
  <c r="D354" a="1"/>
  <c r="D354" s="1"/>
  <c r="D355" a="1"/>
  <c r="D355" s="1"/>
  <c r="D356" a="1"/>
  <c r="D356" s="1"/>
  <c r="D358" a="1"/>
  <c r="D358" s="1"/>
  <c r="D359" a="1"/>
  <c r="D359" s="1"/>
  <c r="D360" a="1"/>
  <c r="D360" s="1"/>
  <c r="D362" a="1"/>
  <c r="D362" s="1"/>
  <c r="D363" a="1"/>
  <c r="D363" s="1"/>
  <c r="D369" a="1"/>
  <c r="D369" s="1"/>
  <c r="D370" a="1"/>
  <c r="D370" s="1"/>
  <c r="D371" a="1"/>
  <c r="D371" s="1"/>
  <c r="D372" a="1"/>
  <c r="D372" s="1"/>
  <c r="D373" a="1"/>
  <c r="D373" s="1"/>
  <c r="D375" a="1"/>
  <c r="D375" s="1"/>
  <c r="D376" a="1"/>
  <c r="D376" s="1"/>
  <c r="D379" a="1"/>
  <c r="D379" s="1"/>
  <c r="D380" a="1"/>
  <c r="D380" s="1"/>
  <c r="D381" a="1"/>
  <c r="D381" s="1"/>
  <c r="D382" a="1"/>
  <c r="D382" s="1"/>
  <c r="D383" a="1"/>
  <c r="D383" s="1"/>
  <c r="D384" a="1"/>
  <c r="D384" s="1"/>
  <c r="D386" a="1"/>
  <c r="D386" s="1"/>
  <c r="D387" a="1"/>
  <c r="D387" s="1"/>
  <c r="D389" a="1"/>
  <c r="D389" s="1"/>
  <c r="D392" a="1"/>
  <c r="D392" s="1"/>
  <c r="D395" a="1"/>
  <c r="D395" s="1"/>
  <c r="D398" a="1"/>
  <c r="D398" s="1"/>
  <c r="D403" a="1"/>
  <c r="D403" s="1"/>
  <c r="D405" a="1"/>
  <c r="D405" s="1"/>
  <c r="D408" a="1"/>
  <c r="D408" s="1"/>
  <c r="D409" a="1"/>
  <c r="D409" s="1"/>
  <c r="D412" a="1"/>
  <c r="D412" s="1"/>
  <c r="D413" a="1"/>
  <c r="D413" s="1"/>
  <c r="D414" a="1"/>
  <c r="D414" s="1"/>
  <c r="D415" a="1"/>
  <c r="D415" s="1"/>
  <c r="D418" a="1"/>
  <c r="D418" s="1"/>
  <c r="D420" a="1"/>
  <c r="D420" s="1"/>
  <c r="D423" a="1"/>
  <c r="D423" s="1"/>
  <c r="D424" a="1"/>
  <c r="D424" s="1"/>
  <c r="D429" a="1"/>
  <c r="D429" s="1"/>
  <c r="D430" a="1"/>
  <c r="D430" s="1"/>
  <c r="D433" a="1"/>
  <c r="D433" s="1"/>
  <c r="D435" a="1"/>
  <c r="D435" s="1"/>
  <c r="D442" a="1"/>
  <c r="D442" s="1"/>
  <c r="D444" a="1"/>
  <c r="D444" s="1"/>
  <c r="D445" a="1"/>
  <c r="D445" s="1"/>
  <c r="D451" a="1"/>
  <c r="D451" s="1"/>
  <c r="D456" a="1"/>
  <c r="D456" s="1"/>
  <c r="D459" a="1"/>
  <c r="D459" s="1"/>
  <c r="D461" a="1"/>
  <c r="D461" s="1"/>
  <c r="D463" a="1"/>
  <c r="D463" s="1"/>
  <c r="D468" a="1"/>
  <c r="D468" s="1"/>
  <c r="D477" a="1"/>
  <c r="D477" s="1"/>
  <c r="D480" a="1"/>
  <c r="D480" s="1"/>
  <c r="D494" a="1"/>
  <c r="D494" s="1"/>
  <c r="D504" a="1"/>
  <c r="D504" s="1"/>
  <c r="D508" a="1"/>
  <c r="D508" s="1"/>
  <c r="D517" a="1"/>
  <c r="D517" s="1"/>
  <c r="D518" a="1"/>
  <c r="D518" s="1"/>
  <c r="D519" a="1"/>
  <c r="D519" s="1"/>
  <c r="D522" a="1"/>
  <c r="D522" s="1"/>
  <c r="D524" a="1"/>
  <c r="D524" s="1"/>
  <c r="D528" a="1"/>
  <c r="D528" s="1"/>
  <c r="D529" a="1"/>
  <c r="D529" s="1"/>
  <c r="D531" a="1"/>
  <c r="D531" s="1"/>
  <c r="D534" a="1"/>
  <c r="D534" s="1"/>
  <c r="D539" a="1"/>
  <c r="D539" s="1"/>
  <c r="D541" a="1"/>
  <c r="D541" s="1"/>
  <c r="D543" a="1"/>
  <c r="D543" s="1"/>
  <c r="D548" a="1"/>
  <c r="D548" s="1"/>
  <c r="D550" a="1"/>
  <c r="D550" s="1"/>
  <c r="D560" a="1"/>
  <c r="D560" s="1"/>
  <c r="D561" a="1"/>
  <c r="D561" s="1"/>
  <c r="D568" a="1"/>
  <c r="D568" s="1"/>
  <c r="D574" a="1"/>
  <c r="D574" s="1"/>
  <c r="D582" a="1"/>
  <c r="D582" s="1"/>
  <c r="D585" a="1"/>
  <c r="D585" s="1"/>
  <c r="D591" a="1"/>
  <c r="D591" s="1"/>
  <c r="D592" a="1"/>
  <c r="D592" s="1"/>
  <c r="D607" a="1"/>
  <c r="D607" s="1"/>
  <c r="D611" a="1"/>
  <c r="D611" s="1"/>
  <c r="D616" a="1"/>
  <c r="D616" s="1"/>
  <c r="D621" a="1"/>
  <c r="D621" s="1"/>
  <c r="D632" a="1"/>
  <c r="D632" s="1"/>
  <c r="D639" a="1"/>
  <c r="D639" s="1"/>
  <c r="D646" a="1"/>
  <c r="D646" s="1"/>
  <c r="D649" a="1"/>
  <c r="D649" s="1"/>
  <c r="D650" a="1"/>
  <c r="D650" s="1"/>
  <c r="D653" a="1"/>
  <c r="D653" s="1"/>
  <c r="D671" a="1"/>
  <c r="D671" s="1"/>
  <c r="D673" a="1"/>
  <c r="D673" s="1"/>
  <c r="D675" a="1"/>
  <c r="D675" s="1"/>
  <c r="D676" a="1"/>
  <c r="D676" s="1"/>
  <c r="D678" a="1"/>
  <c r="D678" s="1"/>
  <c r="D685" a="1"/>
  <c r="D685" s="1"/>
  <c r="D690" a="1"/>
  <c r="D690" s="1"/>
  <c r="D692" a="1"/>
  <c r="D692" s="1"/>
  <c r="D694" a="1"/>
  <c r="D694" s="1"/>
  <c r="D695" a="1"/>
  <c r="D695" s="1"/>
  <c r="D696" a="1"/>
  <c r="D696" s="1"/>
  <c r="D707" a="1"/>
  <c r="D707" s="1"/>
  <c r="D711" a="1"/>
  <c r="D711" s="1"/>
  <c r="D714" a="1"/>
  <c r="D714" s="1"/>
  <c r="D723" a="1"/>
  <c r="D723" s="1"/>
  <c r="D728" a="1"/>
  <c r="D728" s="1"/>
  <c r="D739" a="1"/>
  <c r="D739" s="1"/>
  <c r="D743" a="1"/>
  <c r="D743" s="1"/>
  <c r="D748" a="1"/>
  <c r="D748" s="1"/>
  <c r="D754" a="1"/>
  <c r="D754" s="1"/>
  <c r="D764" a="1"/>
  <c r="D764" s="1"/>
  <c r="D765" a="1"/>
  <c r="D765" s="1"/>
  <c r="D769" a="1"/>
  <c r="D769" s="1"/>
  <c r="D770" a="1"/>
  <c r="D770" s="1"/>
  <c r="D774" a="1"/>
  <c r="D774" s="1"/>
  <c r="D780" a="1"/>
  <c r="D780" s="1"/>
  <c r="D792" a="1"/>
  <c r="D792" s="1"/>
  <c r="D795" a="1"/>
  <c r="D795" s="1"/>
  <c r="D796" a="1"/>
  <c r="D796" s="1"/>
  <c r="D797" a="1"/>
  <c r="D797" s="1"/>
  <c r="D811" a="1"/>
  <c r="D811" s="1"/>
  <c r="D814" a="1"/>
  <c r="D814" s="1"/>
  <c r="D815" a="1"/>
  <c r="D815" s="1"/>
  <c r="D816" a="1"/>
  <c r="D816" s="1"/>
  <c r="D820" a="1"/>
  <c r="D820" s="1"/>
  <c r="D822" a="1"/>
  <c r="D822" s="1"/>
  <c r="D824" a="1"/>
  <c r="D824" s="1"/>
  <c r="D826" a="1"/>
  <c r="D826" s="1"/>
  <c r="D829" a="1"/>
  <c r="D829" s="1"/>
  <c r="D832" a="1"/>
  <c r="D832" s="1"/>
  <c r="D833" a="1"/>
  <c r="D833" s="1"/>
  <c r="D839" a="1"/>
  <c r="D839" s="1"/>
  <c r="D845" a="1"/>
  <c r="D845" s="1"/>
  <c r="D846" a="1"/>
  <c r="D846" s="1"/>
  <c r="D848" a="1"/>
  <c r="D848" s="1"/>
  <c r="D851" a="1"/>
  <c r="D851" s="1"/>
  <c r="D856" a="1"/>
  <c r="D856" s="1"/>
  <c r="D860" a="1"/>
  <c r="D860" s="1"/>
  <c r="D871" a="1"/>
  <c r="D871" s="1"/>
  <c r="D879" a="1"/>
  <c r="D879" s="1"/>
  <c r="D882" a="1"/>
  <c r="D882" s="1"/>
  <c r="D889" a="1"/>
  <c r="D889" s="1"/>
  <c r="D893" a="1"/>
  <c r="D893" s="1"/>
  <c r="D898" a="1"/>
  <c r="D898" s="1"/>
  <c r="D904" a="1"/>
  <c r="D904" s="1"/>
  <c r="D913" a="1"/>
  <c r="D913" s="1"/>
  <c r="D919" a="1"/>
  <c r="D919" s="1"/>
  <c r="D921" a="1"/>
  <c r="D921" s="1"/>
  <c r="D924" a="1"/>
  <c r="D924" s="1"/>
  <c r="D936" a="1"/>
  <c r="D936" s="1"/>
  <c r="D939" a="1"/>
  <c r="D939" s="1"/>
  <c r="D940" a="1"/>
  <c r="D940" s="1"/>
  <c r="D944" a="1"/>
  <c r="D944" s="1"/>
  <c r="D951" a="1"/>
  <c r="D951" s="1"/>
  <c r="D954" a="1"/>
  <c r="D954" s="1"/>
  <c r="D960" a="1"/>
  <c r="D960" s="1"/>
  <c r="D968" a="1"/>
  <c r="D968" s="1"/>
  <c r="D971" a="1"/>
  <c r="D971" s="1"/>
  <c r="D987" a="1"/>
  <c r="D987" s="1"/>
  <c r="D996" a="1"/>
  <c r="D996" s="1"/>
  <c r="D999" a="1"/>
  <c r="D999" s="1"/>
  <c r="D1009" a="1"/>
  <c r="D1009" s="1"/>
  <c r="D1013" a="1"/>
  <c r="D1013" s="1"/>
  <c r="D1014" a="1"/>
  <c r="D1014" s="1"/>
  <c r="D1031" a="1"/>
  <c r="D1031" s="1"/>
  <c r="D1039" a="1"/>
  <c r="D1039" s="1"/>
  <c r="D1047" a="1"/>
  <c r="D1047" s="1"/>
  <c r="D1048" a="1"/>
  <c r="D1048" s="1"/>
  <c r="D1051" a="1"/>
  <c r="D1051" s="1"/>
  <c r="D1058" a="1"/>
  <c r="D1058" s="1"/>
  <c r="D1061" a="1"/>
  <c r="D1061" s="1"/>
  <c r="D1068" a="1"/>
  <c r="D1068" s="1"/>
  <c r="D1075" a="1"/>
  <c r="D1075" s="1"/>
  <c r="D1076" a="1"/>
  <c r="D1076" s="1"/>
  <c r="D1085" a="1"/>
  <c r="D1085" s="1"/>
  <c r="D1097" a="1"/>
  <c r="D1097" s="1"/>
  <c r="D1111" a="1"/>
  <c r="D1111" s="1"/>
  <c r="D1113" a="1"/>
  <c r="D1113" s="1"/>
  <c r="D1114" a="1"/>
  <c r="D1114" s="1"/>
  <c r="D1127" a="1"/>
  <c r="D1127" s="1"/>
  <c r="D1142" a="1"/>
  <c r="D1142" s="1"/>
  <c r="D1145" a="1"/>
  <c r="D1145" s="1"/>
  <c r="D1147" a="1"/>
  <c r="D1147" s="1"/>
  <c r="D1151" a="1"/>
  <c r="D1151" s="1"/>
  <c r="D1152" a="1"/>
  <c r="D1152" s="1"/>
  <c r="D1153" a="1"/>
  <c r="D1153" s="1"/>
  <c r="D1156" a="1"/>
  <c r="D1156" s="1"/>
  <c r="D1162" a="1"/>
  <c r="D1162" s="1"/>
  <c r="D1165" a="1"/>
  <c r="D1165" s="1"/>
  <c r="D1178" a="1"/>
  <c r="D1178" s="1"/>
  <c r="D1182" a="1"/>
  <c r="D1182" s="1"/>
  <c r="D1189" a="1"/>
  <c r="D1189" s="1"/>
  <c r="D1196" a="1"/>
  <c r="D1196" s="1"/>
  <c r="D1198" a="1"/>
  <c r="D1198" s="1"/>
  <c r="D1209" a="1"/>
  <c r="D1209" s="1"/>
  <c r="D1212" a="1"/>
  <c r="D1212" s="1"/>
  <c r="D1215" a="1"/>
  <c r="D1215" s="1"/>
  <c r="D1219" a="1"/>
  <c r="D1219" s="1"/>
  <c r="D1223" a="1"/>
  <c r="D1223" s="1"/>
  <c r="D1233" a="1"/>
  <c r="D1233" s="1"/>
  <c r="D1237" a="1"/>
  <c r="D1237" s="1"/>
  <c r="D1249" a="1"/>
  <c r="D1249" s="1"/>
  <c r="D1263" a="1"/>
  <c r="D1263" s="1"/>
  <c r="D1264" a="1"/>
  <c r="D1264" s="1"/>
  <c r="D1273" a="1"/>
  <c r="D1273" s="1"/>
  <c r="D1280" a="1"/>
  <c r="D1280" s="1"/>
  <c r="D1285" a="1"/>
  <c r="D1285" s="1"/>
  <c r="D1286" a="1"/>
  <c r="D1286" s="1"/>
  <c r="D1294" a="1"/>
  <c r="D1294" s="1"/>
  <c r="D1310" a="1"/>
  <c r="D1310" s="1"/>
  <c r="D1322" a="1"/>
  <c r="D1322" s="1"/>
  <c r="D1323" a="1"/>
  <c r="D1323" s="1"/>
  <c r="D1327" a="1"/>
  <c r="D1327" s="1"/>
  <c r="D1342" a="1"/>
  <c r="D1342" s="1"/>
  <c r="D1357" a="1"/>
  <c r="D1357" s="1"/>
  <c r="D1359" a="1"/>
  <c r="D1359" s="1"/>
  <c r="D1372" a="1"/>
  <c r="D1372" s="1"/>
  <c r="D1386" a="1"/>
  <c r="D1386" s="1"/>
  <c r="D1390" a="1"/>
  <c r="D1390" s="1"/>
  <c r="D1393" a="1"/>
  <c r="D1393" s="1"/>
  <c r="D1408" a="1"/>
  <c r="D1408" s="1"/>
  <c r="D1409" a="1"/>
  <c r="D1409" s="1"/>
  <c r="D1423" a="1"/>
  <c r="D1423" s="1"/>
  <c r="D1435" a="1"/>
  <c r="D1435" s="1"/>
  <c r="D1437" a="1"/>
  <c r="D1437" s="1"/>
  <c r="D1443" a="1"/>
  <c r="D1443" s="1"/>
  <c r="D1449" a="1"/>
  <c r="D1449" s="1"/>
  <c r="D1452" a="1"/>
  <c r="D1452" s="1"/>
  <c r="D1453" a="1"/>
  <c r="D1453" s="1"/>
  <c r="D1455" a="1"/>
  <c r="D1455" s="1"/>
  <c r="D1458" a="1"/>
  <c r="D1458" s="1"/>
  <c r="D1463" a="1"/>
  <c r="D1463" s="1"/>
  <c r="D1465" a="1"/>
  <c r="D1465" s="1"/>
  <c r="D1468" a="1"/>
  <c r="D1468" s="1"/>
  <c r="D1489" a="1"/>
  <c r="D1489" s="1"/>
  <c r="D1490" a="1"/>
  <c r="D1490" s="1"/>
  <c r="D1494" a="1"/>
  <c r="D1494" s="1"/>
  <c r="D1502" a="1"/>
  <c r="D1502" s="1"/>
  <c r="D1508" a="1"/>
  <c r="D1508" s="1"/>
  <c r="D1520" a="1"/>
  <c r="D1520" s="1"/>
  <c r="D1521" a="1"/>
  <c r="D1521" s="1"/>
  <c r="D1523" a="1"/>
  <c r="D1523" s="1"/>
  <c r="D1527" a="1"/>
  <c r="D1527" s="1"/>
  <c r="D1556" a="1"/>
  <c r="D1556" s="1"/>
  <c r="D1561" a="1"/>
  <c r="D1561" s="1"/>
  <c r="D1580" a="1"/>
  <c r="D1580" s="1"/>
  <c r="D1593" a="1"/>
  <c r="D1593" s="1"/>
  <c r="D1595" a="1"/>
  <c r="D1595" s="1"/>
  <c r="D1618" a="1"/>
  <c r="D1618" s="1"/>
  <c r="D1620" a="1"/>
  <c r="D1620" s="1"/>
  <c r="D1632" a="1"/>
  <c r="D1632" s="1"/>
  <c r="D1643" a="1"/>
  <c r="D1643" s="1"/>
  <c r="D1645" a="1"/>
  <c r="D1645" s="1"/>
  <c r="D1650" a="1"/>
  <c r="D1650" s="1"/>
  <c r="D1655" a="1"/>
  <c r="D1655" s="1"/>
  <c r="D1658" a="1"/>
  <c r="D1658" s="1"/>
  <c r="D1660" a="1"/>
  <c r="D1660" s="1"/>
  <c r="D1670" a="1"/>
  <c r="D1670" s="1"/>
  <c r="D1673" a="1"/>
  <c r="D1673" s="1"/>
  <c r="D1676" a="1"/>
  <c r="D1676" s="1"/>
  <c r="D1681" a="1"/>
  <c r="D1681" s="1"/>
  <c r="D483" a="1"/>
  <c r="D483" s="1"/>
  <c r="D513" a="1"/>
  <c r="D513" s="1"/>
  <c r="D599" a="1"/>
  <c r="D599" s="1"/>
  <c r="D654" a="1"/>
  <c r="D654" s="1"/>
  <c r="D980" a="1"/>
  <c r="D980" s="1"/>
  <c r="D1304" a="1"/>
  <c r="D1304" s="1"/>
  <c r="D1427" a="1"/>
  <c r="D1427" s="1"/>
  <c r="D1574" a="1"/>
  <c r="D1574" s="1"/>
  <c r="D484" a="1"/>
  <c r="D484" s="1"/>
  <c r="D501" a="1"/>
  <c r="D501" s="1"/>
  <c r="D637" a="1"/>
  <c r="D637" s="1"/>
  <c r="D778" a="1"/>
  <c r="D778" s="1"/>
  <c r="D830" a="1"/>
  <c r="D830" s="1"/>
  <c r="D981" a="1"/>
  <c r="D981" s="1"/>
  <c r="D1003" a="1"/>
  <c r="D1003" s="1"/>
  <c r="D1158" a="1"/>
  <c r="D1158" s="1"/>
  <c r="D1180" a="1"/>
  <c r="D1180" s="1"/>
  <c r="D1254" a="1"/>
  <c r="D1254" s="1"/>
  <c r="D1270" a="1"/>
  <c r="D1270" s="1"/>
  <c r="D1305" a="1"/>
  <c r="D1305" s="1"/>
  <c r="D1483" a="1"/>
  <c r="D1483" s="1"/>
  <c r="D1548" a="1"/>
  <c r="D1548" s="1"/>
  <c r="D1651" a="1"/>
  <c r="D1651" s="1"/>
  <c r="D1674" a="1"/>
  <c r="D1674" s="1"/>
  <c r="D1504" a="1"/>
  <c r="D1504" s="1"/>
  <c r="D482" a="1"/>
  <c r="D482" s="1"/>
  <c r="D487" a="1"/>
  <c r="D487" s="1"/>
  <c r="D502" a="1"/>
  <c r="D502" s="1"/>
  <c r="D514" a="1"/>
  <c r="D514" s="1"/>
  <c r="D544" a="1"/>
  <c r="D544" s="1"/>
  <c r="D579" a="1"/>
  <c r="D579" s="1"/>
  <c r="D593" a="1"/>
  <c r="D593" s="1"/>
  <c r="D594" a="1"/>
  <c r="D594" s="1"/>
  <c r="D600" a="1"/>
  <c r="D600" s="1"/>
  <c r="D627" a="1"/>
  <c r="D627" s="1"/>
  <c r="D629" a="1"/>
  <c r="D629" s="1"/>
  <c r="D655" a="1"/>
  <c r="D655" s="1"/>
  <c r="D659" a="1"/>
  <c r="D659" s="1"/>
  <c r="D686" a="1"/>
  <c r="D686" s="1"/>
  <c r="D697" a="1"/>
  <c r="D697" s="1"/>
  <c r="D712" a="1"/>
  <c r="D712" s="1"/>
  <c r="D737" a="1"/>
  <c r="D737" s="1"/>
  <c r="D759" a="1"/>
  <c r="D759" s="1"/>
  <c r="D779" a="1"/>
  <c r="D779" s="1"/>
  <c r="D831" a="1"/>
  <c r="D831" s="1"/>
  <c r="D902" a="1"/>
  <c r="D902" s="1"/>
  <c r="D922" a="1"/>
  <c r="D922" s="1"/>
  <c r="D966" a="1"/>
  <c r="D966" s="1"/>
  <c r="D982" a="1"/>
  <c r="D982" s="1"/>
  <c r="D983" a="1"/>
  <c r="D983" s="1"/>
  <c r="D1004" a="1"/>
  <c r="D1004" s="1"/>
  <c r="D1007" a="1"/>
  <c r="D1007" s="1"/>
  <c r="D1010" a="1"/>
  <c r="D1010" s="1"/>
  <c r="D1044" a="1"/>
  <c r="D1044" s="1"/>
  <c r="D1115" a="1"/>
  <c r="D1115" s="1"/>
  <c r="D1136" a="1"/>
  <c r="D1136" s="1"/>
  <c r="D1159" a="1"/>
  <c r="D1159" s="1"/>
  <c r="D1181" a="1"/>
  <c r="D1181" s="1"/>
  <c r="D1255" a="1"/>
  <c r="D1255" s="1"/>
  <c r="D1271" a="1"/>
  <c r="D1271" s="1"/>
  <c r="D1274" a="1"/>
  <c r="D1274" s="1"/>
  <c r="D1281" a="1"/>
  <c r="D1281" s="1"/>
  <c r="D1282" a="1"/>
  <c r="D1282" s="1"/>
  <c r="D1288" a="1"/>
  <c r="D1288" s="1"/>
  <c r="D1306" a="1"/>
  <c r="D1306" s="1"/>
  <c r="D1364" a="1"/>
  <c r="D1364" s="1"/>
  <c r="D1369" a="1"/>
  <c r="D1369" s="1"/>
  <c r="D1387" a="1"/>
  <c r="D1387" s="1"/>
  <c r="D1405" a="1"/>
  <c r="D1405" s="1"/>
  <c r="D1424" a="1"/>
  <c r="D1424" s="1"/>
  <c r="D1425" a="1"/>
  <c r="D1425" s="1"/>
  <c r="D1428" a="1"/>
  <c r="D1428" s="1"/>
  <c r="D1484" a="1"/>
  <c r="D1484" s="1"/>
  <c r="D1549" a="1"/>
  <c r="D1549" s="1"/>
  <c r="D1596" a="1"/>
  <c r="D1596" s="1"/>
  <c r="D1597" a="1"/>
  <c r="D1597" s="1"/>
  <c r="D1652" a="1"/>
  <c r="D1652" s="1"/>
  <c r="D1690" a="1"/>
  <c r="D1690" s="1"/>
  <c r="D1702" a="1"/>
  <c r="D1702" s="1"/>
  <c r="D1709" a="1"/>
  <c r="D1709" s="1"/>
  <c r="D111" a="1"/>
  <c r="D111" s="1"/>
  <c r="D123" a="1"/>
  <c r="D123" s="1"/>
  <c r="D136" a="1"/>
  <c r="D136" s="1"/>
  <c r="D148" a="1"/>
  <c r="D148" s="1"/>
  <c r="D749" a="1"/>
  <c r="D749" s="1"/>
  <c r="D1532" a="1"/>
  <c r="D1532" s="1"/>
  <c r="D19" a="1"/>
  <c r="D19" s="1"/>
  <c r="D20" a="1"/>
  <c r="D20" s="1"/>
  <c r="D25" a="1"/>
  <c r="D25" s="1"/>
  <c r="D26" a="1"/>
  <c r="D26" s="1"/>
  <c r="D28" a="1"/>
  <c r="D28" s="1"/>
  <c r="D29" a="1"/>
  <c r="D29" s="1"/>
  <c r="D41" a="1"/>
  <c r="D41" s="1"/>
  <c r="D46" a="1"/>
  <c r="D46" s="1"/>
  <c r="D58" a="1"/>
  <c r="D58" s="1"/>
  <c r="D62" a="1"/>
  <c r="D62" s="1"/>
  <c r="D64" a="1"/>
  <c r="D64" s="1"/>
  <c r="D65" a="1"/>
  <c r="D65" s="1"/>
  <c r="D68" a="1"/>
  <c r="D68" s="1"/>
  <c r="D69" a="1"/>
  <c r="D69" s="1"/>
  <c r="D71" a="1"/>
  <c r="D71" s="1"/>
  <c r="D77" a="1"/>
  <c r="D77" s="1"/>
  <c r="D98" a="1"/>
  <c r="D98" s="1"/>
  <c r="D103" a="1"/>
  <c r="D103" s="1"/>
  <c r="D109" a="1"/>
  <c r="D109" s="1"/>
  <c r="D116" a="1"/>
  <c r="D116" s="1"/>
  <c r="D122" a="1"/>
  <c r="D122" s="1"/>
  <c r="D135" a="1"/>
  <c r="D135" s="1"/>
  <c r="D139" a="1"/>
  <c r="D139" s="1"/>
  <c r="D141" a="1"/>
  <c r="D141" s="1"/>
  <c r="D147" a="1"/>
  <c r="D147" s="1"/>
  <c r="D151" a="1"/>
  <c r="D151" s="1"/>
  <c r="D154" a="1"/>
  <c r="D154" s="1"/>
  <c r="D180" a="1"/>
  <c r="D180" s="1"/>
  <c r="D184" a="1"/>
  <c r="D184" s="1"/>
  <c r="D189" a="1"/>
  <c r="D189" s="1"/>
  <c r="D190" a="1"/>
  <c r="D190" s="1"/>
  <c r="D193" a="1"/>
  <c r="D193" s="1"/>
  <c r="D205" a="1"/>
  <c r="D205" s="1"/>
  <c r="D208" a="1"/>
  <c r="D208" s="1"/>
  <c r="D209" a="1"/>
  <c r="D209" s="1"/>
  <c r="D221" a="1"/>
  <c r="D221" s="1"/>
  <c r="D225" a="1"/>
  <c r="D225" s="1"/>
  <c r="D230" a="1"/>
  <c r="D230" s="1"/>
  <c r="D231" a="1"/>
  <c r="D231" s="1"/>
  <c r="D239" a="1"/>
  <c r="D239" s="1"/>
  <c r="D242" a="1"/>
  <c r="D242" s="1"/>
  <c r="D244" a="1"/>
  <c r="D244" s="1"/>
  <c r="D255" a="1"/>
  <c r="D255" s="1"/>
  <c r="D263" a="1"/>
  <c r="D263" s="1"/>
  <c r="D266" a="1"/>
  <c r="D266" s="1"/>
  <c r="D270" a="1"/>
  <c r="D270" s="1"/>
  <c r="D278" a="1"/>
  <c r="D278" s="1"/>
  <c r="D287" a="1"/>
  <c r="D287" s="1"/>
  <c r="D291" a="1"/>
  <c r="D291" s="1"/>
  <c r="D304" a="1"/>
  <c r="D304" s="1"/>
  <c r="D331" a="1"/>
  <c r="D331" s="1"/>
  <c r="D446" a="1"/>
  <c r="D446" s="1"/>
  <c r="D478" a="1"/>
  <c r="D478" s="1"/>
  <c r="D603" a="1"/>
  <c r="D603" s="1"/>
  <c r="D664" a="1"/>
  <c r="D664" s="1"/>
  <c r="D668" a="1"/>
  <c r="D668" s="1"/>
  <c r="D710" a="1"/>
  <c r="D710" s="1"/>
  <c r="D742" a="1"/>
  <c r="D742" s="1"/>
  <c r="D793" a="1"/>
  <c r="D793" s="1"/>
  <c r="D858" a="1"/>
  <c r="D858" s="1"/>
  <c r="D868" a="1"/>
  <c r="D868" s="1"/>
  <c r="D930" a="1"/>
  <c r="D930" s="1"/>
  <c r="D962" a="1"/>
  <c r="D962" s="1"/>
  <c r="D1024" a="1"/>
  <c r="D1024" s="1"/>
  <c r="D1081" a="1"/>
  <c r="D1081" s="1"/>
  <c r="D1120" a="1"/>
  <c r="D1120" s="1"/>
  <c r="D1131" a="1"/>
  <c r="D1131" s="1"/>
  <c r="D1155" a="1"/>
  <c r="D1155" s="1"/>
  <c r="D1347" a="1"/>
  <c r="D1347" s="1"/>
  <c r="D1361" a="1"/>
  <c r="D1361" s="1"/>
  <c r="D1454" a="1"/>
  <c r="D1454" s="1"/>
  <c r="D1557" a="1"/>
  <c r="D1557" s="1"/>
  <c r="D1628" a="1"/>
  <c r="D1628" s="1"/>
  <c r="D1675" a="1"/>
  <c r="D1675" s="1"/>
  <c r="D750" a="1"/>
  <c r="D750" s="1"/>
  <c r="D346" a="1"/>
  <c r="D346" s="1"/>
  <c r="D351" a="1"/>
  <c r="D351" s="1"/>
  <c r="D361" a="1"/>
  <c r="D361" s="1"/>
  <c r="D397" a="1"/>
  <c r="D397" s="1"/>
  <c r="D417" a="1"/>
  <c r="D417" s="1"/>
  <c r="D419" a="1"/>
  <c r="D419" s="1"/>
  <c r="D431" a="1"/>
  <c r="D431" s="1"/>
  <c r="D434" a="1"/>
  <c r="D434" s="1"/>
  <c r="D467" a="1"/>
  <c r="D467" s="1"/>
  <c r="D479" a="1"/>
  <c r="D479" s="1"/>
  <c r="D492" a="1"/>
  <c r="D492" s="1"/>
  <c r="D496" a="1"/>
  <c r="D496" s="1"/>
  <c r="D510" a="1"/>
  <c r="D510" s="1"/>
  <c r="D525" a="1"/>
  <c r="D525" s="1"/>
  <c r="D542" a="1"/>
  <c r="D542" s="1"/>
  <c r="D604" a="1"/>
  <c r="D604" s="1"/>
  <c r="D644" a="1"/>
  <c r="D644" s="1"/>
  <c r="D661" a="1"/>
  <c r="D661" s="1"/>
  <c r="D669" a="1"/>
  <c r="D669" s="1"/>
  <c r="D682" a="1"/>
  <c r="D682" s="1"/>
  <c r="D700" a="1"/>
  <c r="D700" s="1"/>
  <c r="D704" a="1"/>
  <c r="D704" s="1"/>
  <c r="D717" a="1"/>
  <c r="D717" s="1"/>
  <c r="D768" a="1"/>
  <c r="D768" s="1"/>
  <c r="D794" a="1"/>
  <c r="D794" s="1"/>
  <c r="D840" a="1"/>
  <c r="D840" s="1"/>
  <c r="D847" a="1"/>
  <c r="D847" s="1"/>
  <c r="D859" a="1"/>
  <c r="D859" s="1"/>
  <c r="D929" a="1"/>
  <c r="D929" s="1"/>
  <c r="D950" a="1"/>
  <c r="D950" s="1"/>
  <c r="D1025" a="1"/>
  <c r="D1025" s="1"/>
  <c r="D1053" a="1"/>
  <c r="D1053" s="1"/>
  <c r="D1072" a="1"/>
  <c r="D1072" s="1"/>
  <c r="D1078" a="1"/>
  <c r="D1078" s="1"/>
  <c r="D1080" a="1"/>
  <c r="D1080" s="1"/>
  <c r="D1082" a="1"/>
  <c r="D1082" s="1"/>
  <c r="D1132" a="1"/>
  <c r="D1132" s="1"/>
  <c r="D1262" a="1"/>
  <c r="D1262" s="1"/>
  <c r="D1272" a="1"/>
  <c r="D1272" s="1"/>
  <c r="D1283" a="1"/>
  <c r="D1283" s="1"/>
  <c r="D1292" a="1"/>
  <c r="D1292" s="1"/>
  <c r="D1335" a="1"/>
  <c r="D1335" s="1"/>
  <c r="D1348" a="1"/>
  <c r="D1348" s="1"/>
  <c r="D1382" a="1"/>
  <c r="D1382" s="1"/>
  <c r="D1451" a="1"/>
  <c r="D1451" s="1"/>
  <c r="D1496" a="1"/>
  <c r="D1496" s="1"/>
  <c r="D1537" a="1"/>
  <c r="D1537" s="1"/>
  <c r="D1562" a="1"/>
  <c r="D1562" s="1"/>
  <c r="D1583" a="1"/>
  <c r="D1583" s="1"/>
  <c r="D1629" a="1"/>
  <c r="D1629" s="1"/>
  <c r="D1642" a="1"/>
  <c r="D1642" s="1"/>
  <c r="D1705" a="1"/>
  <c r="D1705" s="1"/>
  <c r="D1708" a="1"/>
  <c r="D1708" s="1"/>
  <c r="D1711" a="1"/>
  <c r="D1711" s="1"/>
  <c r="D1692" a="1"/>
  <c r="D1692" s="1"/>
  <c r="D1694" a="1"/>
  <c r="D1694" s="1"/>
  <c r="D1701" a="1"/>
  <c r="D1701" s="1"/>
  <c r="D1704" a="1"/>
  <c r="D1704" s="1"/>
  <c r="D1707" a="1"/>
  <c r="D1707" s="1"/>
  <c r="D1712" a="1"/>
  <c r="D1712" s="1"/>
  <c r="D1715" a="1"/>
  <c r="D1715" s="1"/>
  <c r="D1691" a="1"/>
  <c r="D1691" s="1"/>
  <c r="D1703" a="1"/>
  <c r="D1703" s="1"/>
  <c r="D1710" a="1"/>
  <c r="D1710" s="1"/>
  <c r="D491" a="1"/>
  <c r="D491" s="1"/>
  <c r="D798" a="1"/>
  <c r="D798" s="1"/>
  <c r="D440" a="1"/>
  <c r="D440" s="1"/>
  <c r="D471" a="1"/>
  <c r="D471" s="1"/>
  <c r="D481" a="1"/>
  <c r="D481" s="1"/>
  <c r="D488" a="1"/>
  <c r="D488" s="1"/>
  <c r="D497" a="1"/>
  <c r="D497" s="1"/>
  <c r="D536" a="1"/>
  <c r="D536" s="1"/>
  <c r="D545" a="1"/>
  <c r="D545" s="1"/>
  <c r="D555" a="1"/>
  <c r="D555" s="1"/>
  <c r="D565" a="1"/>
  <c r="D565" s="1"/>
  <c r="D595" a="1"/>
  <c r="D595" s="1"/>
  <c r="D602" a="1"/>
  <c r="D602" s="1"/>
  <c r="D613" a="1"/>
  <c r="D613" s="1"/>
  <c r="D618" a="1"/>
  <c r="D618" s="1"/>
  <c r="D670" a="1"/>
  <c r="D670" s="1"/>
  <c r="D729" a="1"/>
  <c r="D729" s="1"/>
  <c r="D789" a="1"/>
  <c r="D789" s="1"/>
  <c r="D801" a="1"/>
  <c r="D801" s="1"/>
  <c r="D808" a="1"/>
  <c r="D808" s="1"/>
  <c r="D823" a="1"/>
  <c r="D823" s="1"/>
  <c r="D838" a="1"/>
  <c r="D838" s="1"/>
  <c r="D843" a="1"/>
  <c r="D843" s="1"/>
  <c r="D869" a="1"/>
  <c r="D869" s="1"/>
  <c r="D872" a="1"/>
  <c r="D872" s="1"/>
  <c r="D891" a="1"/>
  <c r="D891" s="1"/>
  <c r="D894" a="1"/>
  <c r="D894" s="1"/>
  <c r="D896" a="1"/>
  <c r="D896" s="1"/>
  <c r="D900" a="1"/>
  <c r="D900" s="1"/>
  <c r="D910" a="1"/>
  <c r="D910" s="1"/>
  <c r="D914" a="1"/>
  <c r="D914" s="1"/>
  <c r="D946" a="1"/>
  <c r="D946" s="1"/>
  <c r="D953" a="1"/>
  <c r="D953" s="1"/>
  <c r="D1019" a="1"/>
  <c r="D1019" s="1"/>
  <c r="D1032" a="1"/>
  <c r="D1032" s="1"/>
  <c r="D1033" a="1"/>
  <c r="D1033" s="1"/>
  <c r="D1035" a="1"/>
  <c r="D1035" s="1"/>
  <c r="D1055" a="1"/>
  <c r="D1055" s="1"/>
  <c r="D1070" a="1"/>
  <c r="D1070" s="1"/>
  <c r="D1074" a="1"/>
  <c r="D1074" s="1"/>
  <c r="D1087" a="1"/>
  <c r="D1087" s="1"/>
  <c r="D1089" a="1"/>
  <c r="D1089" s="1"/>
  <c r="D1117" a="1"/>
  <c r="D1117" s="1"/>
  <c r="D1133" a="1"/>
  <c r="D1133" s="1"/>
  <c r="D1138" a="1"/>
  <c r="D1138" s="1"/>
  <c r="D1139" a="1"/>
  <c r="D1139" s="1"/>
  <c r="D1174" a="1"/>
  <c r="D1174" s="1"/>
  <c r="D1204" a="1"/>
  <c r="D1204" s="1"/>
  <c r="D1206" a="1"/>
  <c r="D1206" s="1"/>
  <c r="D1337" a="1"/>
  <c r="D1337" s="1"/>
  <c r="D1345" a="1"/>
  <c r="D1345" s="1"/>
  <c r="D1363" a="1"/>
  <c r="D1363" s="1"/>
  <c r="D1370" a="1"/>
  <c r="D1370" s="1"/>
  <c r="D1371" a="1"/>
  <c r="D1371" s="1"/>
  <c r="D1383" a="1"/>
  <c r="D1383" s="1"/>
  <c r="D1426" a="1"/>
  <c r="D1426" s="1"/>
  <c r="D1429" a="1"/>
  <c r="D1429" s="1"/>
  <c r="D1432" a="1"/>
  <c r="D1432" s="1"/>
  <c r="D1551" a="1"/>
  <c r="D1551" s="1"/>
  <c r="D1577" a="1"/>
  <c r="D1577" s="1"/>
  <c r="D1636" a="1"/>
  <c r="D1636" s="1"/>
  <c r="D1659" a="1"/>
  <c r="D1659" s="1"/>
  <c r="D425" a="1"/>
  <c r="D425" s="1"/>
  <c r="D410" a="1"/>
  <c r="D410" s="1"/>
  <c r="D498" a="1"/>
  <c r="D498" s="1"/>
  <c r="D538" a="1"/>
  <c r="D538" s="1"/>
  <c r="D556" a="1"/>
  <c r="D556" s="1"/>
  <c r="D563" a="1"/>
  <c r="D563" s="1"/>
  <c r="D566" a="1"/>
  <c r="D566" s="1"/>
  <c r="D583" a="1"/>
  <c r="D583" s="1"/>
  <c r="D614" a="1"/>
  <c r="D614" s="1"/>
  <c r="D662" a="1"/>
  <c r="D662" s="1"/>
  <c r="D683" a="1"/>
  <c r="D683" s="1"/>
  <c r="D745" a="1"/>
  <c r="D745" s="1"/>
  <c r="D751" a="1"/>
  <c r="D751" s="1"/>
  <c r="D752" a="1"/>
  <c r="D752" s="1"/>
  <c r="D790" a="1"/>
  <c r="D790" s="1"/>
  <c r="D791" a="1"/>
  <c r="D791" s="1"/>
  <c r="D821" a="1"/>
  <c r="D821" s="1"/>
  <c r="D849" a="1"/>
  <c r="D849" s="1"/>
  <c r="D852" a="1"/>
  <c r="D852" s="1"/>
  <c r="D873" a="1"/>
  <c r="D873" s="1"/>
  <c r="D877" a="1"/>
  <c r="D877" s="1"/>
  <c r="D895" a="1"/>
  <c r="D895" s="1"/>
  <c r="D998" a="1"/>
  <c r="D998" s="1"/>
  <c r="D1026" a="1"/>
  <c r="D1026" s="1"/>
  <c r="D1034" a="1"/>
  <c r="D1034" s="1"/>
  <c r="D1090" a="1"/>
  <c r="D1090" s="1"/>
  <c r="D1101" a="1"/>
  <c r="D1101" s="1"/>
  <c r="D1140" a="1"/>
  <c r="D1140" s="1"/>
  <c r="D1213" a="1"/>
  <c r="D1213" s="1"/>
  <c r="D1236" a="1"/>
  <c r="D1236" s="1"/>
  <c r="D1266" a="1"/>
  <c r="D1266" s="1"/>
  <c r="D1316" a="1"/>
  <c r="D1316" s="1"/>
  <c r="D1402" a="1"/>
  <c r="D1402" s="1"/>
  <c r="D1412" a="1"/>
  <c r="D1412" s="1"/>
  <c r="D1474" a="1"/>
  <c r="D1474" s="1"/>
  <c r="D1542" a="1"/>
  <c r="D1542" s="1"/>
  <c r="D1544" a="1"/>
  <c r="D1544" s="1"/>
  <c r="D1552" a="1"/>
  <c r="D1552" s="1"/>
  <c r="D1558" a="1"/>
  <c r="D1558" s="1"/>
  <c r="D1687" a="1"/>
  <c r="D1687" s="1"/>
  <c r="D1717" a="1"/>
  <c r="D1717" s="1"/>
  <c r="D466" a="1"/>
  <c r="D466" s="1"/>
  <c r="D474" a="1"/>
  <c r="D474" s="1"/>
  <c r="D490" a="1"/>
  <c r="D490" s="1"/>
  <c r="D499" a="1"/>
  <c r="D499" s="1"/>
  <c r="D507" a="1"/>
  <c r="D507" s="1"/>
  <c r="D521" a="1"/>
  <c r="D521" s="1"/>
  <c r="D551" a="1"/>
  <c r="D551" s="1"/>
  <c r="D557" a="1"/>
  <c r="D557" s="1"/>
  <c r="D596" a="1"/>
  <c r="D596" s="1"/>
  <c r="D615" a="1"/>
  <c r="D615" s="1"/>
  <c r="D634" a="1"/>
  <c r="D634" s="1"/>
  <c r="D640" a="1"/>
  <c r="D640" s="1"/>
  <c r="D689" a="1"/>
  <c r="D689" s="1"/>
  <c r="D702" a="1"/>
  <c r="D702" s="1"/>
  <c r="D718" a="1"/>
  <c r="D718" s="1"/>
  <c r="D730" a="1"/>
  <c r="D730" s="1"/>
  <c r="D800" a="1"/>
  <c r="D800" s="1"/>
  <c r="D806" a="1"/>
  <c r="D806" s="1"/>
  <c r="D819" a="1"/>
  <c r="D819" s="1"/>
  <c r="D827" a="1"/>
  <c r="D827" s="1"/>
  <c r="D853" a="1"/>
  <c r="D853" s="1"/>
  <c r="D863" a="1"/>
  <c r="D863" s="1"/>
  <c r="D874" a="1"/>
  <c r="D874" s="1"/>
  <c r="D876" a="1"/>
  <c r="D876" s="1"/>
  <c r="D920" a="1"/>
  <c r="D920" s="1"/>
  <c r="D945" a="1"/>
  <c r="D945" s="1"/>
  <c r="D970" a="1"/>
  <c r="D970" s="1"/>
  <c r="D976" a="1"/>
  <c r="D976" s="1"/>
  <c r="D978" a="1"/>
  <c r="D978" s="1"/>
  <c r="D985" a="1"/>
  <c r="D985" s="1"/>
  <c r="D1016" a="1"/>
  <c r="D1016" s="1"/>
  <c r="D1022" a="1"/>
  <c r="D1022" s="1"/>
  <c r="D1040" a="1"/>
  <c r="D1040" s="1"/>
  <c r="D1064" a="1"/>
  <c r="D1064" s="1"/>
  <c r="D1065" a="1"/>
  <c r="D1065" s="1"/>
  <c r="D1079" a="1"/>
  <c r="D1079" s="1"/>
  <c r="D1103" a="1"/>
  <c r="D1103" s="1"/>
  <c r="D1108" a="1"/>
  <c r="D1108" s="1"/>
  <c r="D1124" a="1"/>
  <c r="D1124" s="1"/>
  <c r="D1125" a="1"/>
  <c r="D1125" s="1"/>
  <c r="D1141" a="1"/>
  <c r="D1141" s="1"/>
  <c r="D1183" a="1"/>
  <c r="D1183" s="1"/>
  <c r="D1210" a="1"/>
  <c r="D1210" s="1"/>
  <c r="D1214" a="1"/>
  <c r="D1214" s="1"/>
  <c r="D1258" a="1"/>
  <c r="D1258" s="1"/>
  <c r="D1308" a="1"/>
  <c r="D1308" s="1"/>
  <c r="D1311" a="1"/>
  <c r="D1311" s="1"/>
  <c r="D1315" a="1"/>
  <c r="D1315" s="1"/>
  <c r="D1338" a="1"/>
  <c r="D1338" s="1"/>
  <c r="D1398" a="1"/>
  <c r="D1398" s="1"/>
  <c r="D1431" a="1"/>
  <c r="D1431" s="1"/>
  <c r="D1461" a="1"/>
  <c r="D1461" s="1"/>
  <c r="D1471" a="1"/>
  <c r="D1471" s="1"/>
  <c r="D1485" a="1"/>
  <c r="D1485" s="1"/>
  <c r="D1501" a="1"/>
  <c r="D1501" s="1"/>
  <c r="D1538" a="1"/>
  <c r="D1538" s="1"/>
  <c r="D1543" a="1"/>
  <c r="D1543" s="1"/>
  <c r="D1586" a="1"/>
  <c r="D1586" s="1"/>
  <c r="D1621" a="1"/>
  <c r="D1621" s="1"/>
  <c r="D1671" a="1"/>
  <c r="D1671" s="1"/>
  <c r="D1721" a="1"/>
  <c r="D1721" s="1"/>
  <c r="D1092" a="1"/>
  <c r="D1092" s="1"/>
  <c r="D349" a="1"/>
  <c r="D349" s="1"/>
  <c r="D520" a="1"/>
  <c r="D520" s="1"/>
  <c r="D572" a="1"/>
  <c r="D572" s="1"/>
  <c r="D588" a="1"/>
  <c r="D588" s="1"/>
  <c r="D589" a="1"/>
  <c r="D589" s="1"/>
  <c r="D598" a="1"/>
  <c r="D598" s="1"/>
  <c r="D608" a="1"/>
  <c r="D608" s="1"/>
  <c r="D617" a="1"/>
  <c r="D617" s="1"/>
  <c r="D687" a="1"/>
  <c r="D687" s="1"/>
  <c r="D698" a="1"/>
  <c r="D698" s="1"/>
  <c r="D715" a="1"/>
  <c r="D715" s="1"/>
  <c r="D731" a="1"/>
  <c r="D731" s="1"/>
  <c r="D766" a="1"/>
  <c r="D766" s="1"/>
  <c r="D804" a="1"/>
  <c r="D804" s="1"/>
  <c r="D835" a="1"/>
  <c r="D835" s="1"/>
  <c r="D842" a="1"/>
  <c r="D842" s="1"/>
  <c r="D905" a="1"/>
  <c r="D905" s="1"/>
  <c r="D1042" a="1"/>
  <c r="D1042" s="1"/>
  <c r="D1098" a="1"/>
  <c r="D1098" s="1"/>
  <c r="D1107" a="1"/>
  <c r="D1107" s="1"/>
  <c r="D1194" a="1"/>
  <c r="D1194" s="1"/>
  <c r="D1227" a="1"/>
  <c r="D1227" s="1"/>
  <c r="D1259" a="1"/>
  <c r="D1259" s="1"/>
  <c r="D1265" a="1"/>
  <c r="D1265" s="1"/>
  <c r="D1293" a="1"/>
  <c r="D1293" s="1"/>
  <c r="D1332" a="1"/>
  <c r="D1332" s="1"/>
  <c r="D1391" a="1"/>
  <c r="D1391" s="1"/>
  <c r="D1438" a="1"/>
  <c r="D1438" s="1"/>
  <c r="D1440" a="1"/>
  <c r="D1440" s="1"/>
  <c r="D1466" a="1"/>
  <c r="D1466" s="1"/>
  <c r="D1486" a="1"/>
  <c r="D1486" s="1"/>
  <c r="D1622" a="1"/>
  <c r="D1622" s="1"/>
  <c r="D1677" a="1"/>
  <c r="D1677" s="1"/>
  <c r="D1682" a="1"/>
  <c r="D1682" s="1"/>
  <c r="D1695" a="1"/>
  <c r="D1695" s="1"/>
  <c r="D1725" a="1"/>
  <c r="D1725" s="1"/>
  <c r="D1726" a="1"/>
  <c r="D1726" s="1"/>
  <c r="D1727" a="1"/>
  <c r="D1727" s="1"/>
  <c r="D1728" a="1"/>
  <c r="D1728" s="1"/>
  <c r="D1729" a="1"/>
  <c r="D1729" s="1"/>
  <c r="D1730" a="1"/>
  <c r="D1730" s="1"/>
  <c r="D1731" a="1"/>
  <c r="D1731" s="1"/>
  <c r="D1732" a="1"/>
  <c r="D1732" s="1"/>
  <c r="D1733" a="1"/>
  <c r="D1733" s="1"/>
  <c r="D1734" a="1"/>
  <c r="D1734" s="1"/>
  <c r="D1735" a="1"/>
  <c r="D1735" s="1"/>
  <c r="D1736" a="1"/>
  <c r="D1736" s="1"/>
  <c r="D1737" a="1"/>
  <c r="D1737" s="1"/>
  <c r="D1312" a="1"/>
  <c r="D1312" s="1"/>
  <c r="S608" i="7"/>
  <c r="T608"/>
  <c r="S943"/>
  <c r="T943"/>
  <c r="S717"/>
  <c r="T717"/>
  <c r="U717" s="1"/>
  <c r="S944"/>
  <c r="T944"/>
  <c r="S1018"/>
  <c r="T1018"/>
  <c r="S841"/>
  <c r="T841"/>
  <c r="S1069"/>
  <c r="T1069"/>
  <c r="S609"/>
  <c r="T609"/>
  <c r="S945"/>
  <c r="T945"/>
  <c r="S610"/>
  <c r="T610"/>
  <c r="S946"/>
  <c r="T946"/>
  <c r="S842"/>
  <c r="T842"/>
  <c r="U842" s="1"/>
  <c r="S1070"/>
  <c r="T1070"/>
  <c r="S1071"/>
  <c r="T1071"/>
  <c r="S718"/>
  <c r="T718"/>
  <c r="S611"/>
  <c r="T611"/>
  <c r="S543"/>
  <c r="T543"/>
  <c r="S719"/>
  <c r="T719"/>
  <c r="S720"/>
  <c r="T720"/>
  <c r="S1072"/>
  <c r="T1072"/>
  <c r="S721"/>
  <c r="T721"/>
  <c r="S947"/>
  <c r="T947"/>
  <c r="S612"/>
  <c r="T612"/>
  <c r="S722"/>
  <c r="T722"/>
  <c r="S613"/>
  <c r="T613"/>
  <c r="S843"/>
  <c r="T843"/>
  <c r="S948"/>
  <c r="T948"/>
  <c r="U948" s="1"/>
  <c r="S723"/>
  <c r="T723"/>
  <c r="U723" s="1"/>
  <c r="S724"/>
  <c r="T724"/>
  <c r="S1073"/>
  <c r="T1073"/>
  <c r="S844"/>
  <c r="T844"/>
  <c r="S614"/>
  <c r="T614"/>
  <c r="S845"/>
  <c r="T845"/>
  <c r="S846"/>
  <c r="T846"/>
  <c r="S725"/>
  <c r="T725"/>
  <c r="S615"/>
  <c r="T615"/>
  <c r="U615" s="1"/>
  <c r="S847"/>
  <c r="T847"/>
  <c r="S949"/>
  <c r="T949"/>
  <c r="S726"/>
  <c r="T726"/>
  <c r="S1019"/>
  <c r="T1019"/>
  <c r="S616"/>
  <c r="T616"/>
  <c r="S617"/>
  <c r="T617"/>
  <c r="S727"/>
  <c r="T727"/>
  <c r="S618"/>
  <c r="T618"/>
  <c r="S728"/>
  <c r="T728"/>
  <c r="S619"/>
  <c r="T619"/>
  <c r="S1020"/>
  <c r="T1020"/>
  <c r="S1074"/>
  <c r="T1074"/>
  <c r="S620"/>
  <c r="T620"/>
  <c r="S621"/>
  <c r="T621"/>
  <c r="S1075"/>
  <c r="T1075"/>
  <c r="U1075" s="1"/>
  <c r="S1021"/>
  <c r="T1021"/>
  <c r="S622"/>
  <c r="T622"/>
  <c r="S1076"/>
  <c r="T1076"/>
  <c r="S848"/>
  <c r="T848"/>
  <c r="S950"/>
  <c r="T950"/>
  <c r="S729"/>
  <c r="T729"/>
  <c r="S849"/>
  <c r="T849"/>
  <c r="S623"/>
  <c r="T623"/>
  <c r="S730"/>
  <c r="T730"/>
  <c r="U730" s="1"/>
  <c r="S731"/>
  <c r="T731"/>
  <c r="S624"/>
  <c r="T624"/>
  <c r="S625"/>
  <c r="T625"/>
  <c r="S1022"/>
  <c r="T1022"/>
  <c r="S732"/>
  <c r="T732"/>
  <c r="S733"/>
  <c r="T733"/>
  <c r="S626"/>
  <c r="T626"/>
  <c r="S951"/>
  <c r="T951"/>
  <c r="S627"/>
  <c r="T627"/>
  <c r="S628"/>
  <c r="T628"/>
  <c r="S850"/>
  <c r="T850"/>
  <c r="S1023"/>
  <c r="T1023"/>
  <c r="S629"/>
  <c r="T629"/>
  <c r="S851"/>
  <c r="T851"/>
  <c r="S1024"/>
  <c r="T1024"/>
  <c r="U1024" s="1"/>
  <c r="S952"/>
  <c r="T952"/>
  <c r="U952" s="1"/>
  <c r="S630"/>
  <c r="T630"/>
  <c r="S734"/>
  <c r="T734"/>
  <c r="S1025"/>
  <c r="T1025"/>
  <c r="S631"/>
  <c r="T631"/>
  <c r="S852"/>
  <c r="T852"/>
  <c r="S1077"/>
  <c r="T1077"/>
  <c r="S735"/>
  <c r="T735"/>
  <c r="S1089"/>
  <c r="T1089"/>
  <c r="S1078"/>
  <c r="T1078"/>
  <c r="S953"/>
  <c r="T953"/>
  <c r="S632"/>
  <c r="T632"/>
  <c r="S736"/>
  <c r="T736"/>
  <c r="S1090"/>
  <c r="T1090"/>
  <c r="S1026"/>
  <c r="T1026"/>
  <c r="S853"/>
  <c r="T853"/>
  <c r="S633"/>
  <c r="T633"/>
  <c r="S1079"/>
  <c r="T1079"/>
  <c r="S737"/>
  <c r="T737"/>
  <c r="S738"/>
  <c r="T738"/>
  <c r="S854"/>
  <c r="T854"/>
  <c r="S855"/>
  <c r="T855"/>
  <c r="S634"/>
  <c r="T634"/>
  <c r="S1027"/>
  <c r="T1027"/>
  <c r="S739"/>
  <c r="T739"/>
  <c r="S740"/>
  <c r="T740"/>
  <c r="S1028"/>
  <c r="U1028" s="1"/>
  <c r="T1028"/>
  <c r="S741"/>
  <c r="T741"/>
  <c r="U741" s="1"/>
  <c r="S856"/>
  <c r="T856"/>
  <c r="S742"/>
  <c r="T742"/>
  <c r="S954"/>
  <c r="T954"/>
  <c r="U954" s="1"/>
  <c r="S1029"/>
  <c r="T1029"/>
  <c r="S857"/>
  <c r="T857"/>
  <c r="S743"/>
  <c r="T743"/>
  <c r="S955"/>
  <c r="T955"/>
  <c r="S744"/>
  <c r="T744"/>
  <c r="S858"/>
  <c r="T858"/>
  <c r="U858" s="1"/>
  <c r="S745"/>
  <c r="T745"/>
  <c r="S1030"/>
  <c r="T1030"/>
  <c r="S956"/>
  <c r="T956"/>
  <c r="S1031"/>
  <c r="T1031"/>
  <c r="S859"/>
  <c r="T859"/>
  <c r="S1080"/>
  <c r="T1080"/>
  <c r="S1688"/>
  <c r="T1688"/>
  <c r="S1689"/>
  <c r="T1689"/>
  <c r="S1690"/>
  <c r="T1690"/>
  <c r="S1691"/>
  <c r="T1691"/>
  <c r="S1692"/>
  <c r="T1692"/>
  <c r="U1692" s="1"/>
  <c r="S1693"/>
  <c r="T1693"/>
  <c r="U1693"/>
  <c r="S1694"/>
  <c r="T1694"/>
  <c r="S1695"/>
  <c r="T1695"/>
  <c r="S1696"/>
  <c r="T1696"/>
  <c r="U1696" s="1"/>
  <c r="S1697"/>
  <c r="T1697"/>
  <c r="S1698"/>
  <c r="T1698"/>
  <c r="S1699"/>
  <c r="T1699"/>
  <c r="U1699" s="1"/>
  <c r="S1700"/>
  <c r="T1700"/>
  <c r="S1701"/>
  <c r="T1701"/>
  <c r="U1701" s="1"/>
  <c r="S1702"/>
  <c r="T1702"/>
  <c r="S1703"/>
  <c r="T1703"/>
  <c r="U1703" s="1"/>
  <c r="S1704"/>
  <c r="T1704"/>
  <c r="S1705"/>
  <c r="T1705"/>
  <c r="U1705" s="1"/>
  <c r="S1706"/>
  <c r="T1706"/>
  <c r="U1706" s="1"/>
  <c r="S1707"/>
  <c r="T1707"/>
  <c r="S1708"/>
  <c r="T1708"/>
  <c r="S1709"/>
  <c r="T1709"/>
  <c r="U1709" s="1"/>
  <c r="S1710"/>
  <c r="T1710"/>
  <c r="S1711"/>
  <c r="T1711"/>
  <c r="S1712"/>
  <c r="T1712"/>
  <c r="S1713"/>
  <c r="T1713"/>
  <c r="S1714"/>
  <c r="T1714"/>
  <c r="S1715"/>
  <c r="T1715"/>
  <c r="U1715" s="1"/>
  <c r="S1716"/>
  <c r="T1716"/>
  <c r="S1717"/>
  <c r="U1717" s="1"/>
  <c r="T1717"/>
  <c r="S1718"/>
  <c r="T1718"/>
  <c r="S1719"/>
  <c r="T1719"/>
  <c r="S1720"/>
  <c r="T1720"/>
  <c r="U1720" s="1"/>
  <c r="S1721"/>
  <c r="T1721"/>
  <c r="S1722"/>
  <c r="T1722"/>
  <c r="S1723"/>
  <c r="T1723"/>
  <c r="U1723" s="1"/>
  <c r="S1724"/>
  <c r="T1724"/>
  <c r="X1725" i="5"/>
  <c r="C127" a="1"/>
  <c r="C127" s="1"/>
  <c r="C153" a="1"/>
  <c r="C153" s="1"/>
  <c r="C238" a="1"/>
  <c r="C238" s="1"/>
  <c r="C248" a="1"/>
  <c r="C248" s="1"/>
  <c r="C298" a="1"/>
  <c r="C298" s="1"/>
  <c r="C307" a="1"/>
  <c r="C307" s="1"/>
  <c r="C388" a="1"/>
  <c r="C388" s="1"/>
  <c r="C421" a="1"/>
  <c r="C421" s="1"/>
  <c r="C854" a="1"/>
  <c r="C854" s="1"/>
  <c r="C1336" a="1"/>
  <c r="C1336" s="1"/>
  <c r="C1539" a="1"/>
  <c r="C1539" s="1"/>
  <c r="C1587" a="1"/>
  <c r="C1587" s="1"/>
  <c r="C1639" a="1"/>
  <c r="C1639" s="1"/>
  <c r="C1234" a="1"/>
  <c r="C1234" s="1"/>
  <c r="C1698" a="1"/>
  <c r="C1698" s="1"/>
  <c r="C43" a="1"/>
  <c r="C43" s="1"/>
  <c r="C50" a="1"/>
  <c r="C50" s="1"/>
  <c r="C53" a="1"/>
  <c r="C53" s="1"/>
  <c r="C66" a="1"/>
  <c r="C66" s="1"/>
  <c r="C80" a="1"/>
  <c r="C80" s="1"/>
  <c r="C86" a="1"/>
  <c r="C86" s="1"/>
  <c r="C87" a="1"/>
  <c r="C87" s="1"/>
  <c r="C92" a="1"/>
  <c r="C92" s="1"/>
  <c r="C97" a="1"/>
  <c r="C97" s="1"/>
  <c r="C99" a="1"/>
  <c r="C99" s="1"/>
  <c r="C107" a="1"/>
  <c r="C107" s="1"/>
  <c r="C114" a="1"/>
  <c r="C114" s="1"/>
  <c r="C140" a="1"/>
  <c r="C140" s="1"/>
  <c r="C144" a="1"/>
  <c r="C144" s="1"/>
  <c r="C165" a="1"/>
  <c r="C165" s="1"/>
  <c r="C215" a="1"/>
  <c r="C215" s="1"/>
  <c r="C227" a="1"/>
  <c r="C227" s="1"/>
  <c r="C254" a="1"/>
  <c r="C254" s="1"/>
  <c r="C260" a="1"/>
  <c r="C260" s="1"/>
  <c r="C268" a="1"/>
  <c r="C268" s="1"/>
  <c r="C294" a="1"/>
  <c r="C294" s="1"/>
  <c r="C323" a="1"/>
  <c r="C323" s="1"/>
  <c r="C334" a="1"/>
  <c r="C334" s="1"/>
  <c r="C350" a="1"/>
  <c r="C350" s="1"/>
  <c r="C357" a="1"/>
  <c r="C357" s="1"/>
  <c r="C364" a="1"/>
  <c r="C364" s="1"/>
  <c r="C367" a="1"/>
  <c r="C367" s="1"/>
  <c r="C377" a="1"/>
  <c r="C377" s="1"/>
  <c r="C393" a="1"/>
  <c r="C393" s="1"/>
  <c r="C396" a="1"/>
  <c r="C396" s="1"/>
  <c r="C452" a="1"/>
  <c r="C452" s="1"/>
  <c r="C457" a="1"/>
  <c r="C457" s="1"/>
  <c r="C469" a="1"/>
  <c r="C469" s="1"/>
  <c r="C472" a="1"/>
  <c r="C472" s="1"/>
  <c r="C475" a="1"/>
  <c r="C475" s="1"/>
  <c r="C485" a="1"/>
  <c r="C485" s="1"/>
  <c r="C495" a="1"/>
  <c r="C495" s="1"/>
  <c r="C511" a="1"/>
  <c r="C511" s="1"/>
  <c r="C553" a="1"/>
  <c r="C553" s="1"/>
  <c r="C562" a="1"/>
  <c r="C562" s="1"/>
  <c r="C624" a="1"/>
  <c r="C624" s="1"/>
  <c r="C641" a="1"/>
  <c r="C641" s="1"/>
  <c r="C647" a="1"/>
  <c r="C647" s="1"/>
  <c r="C680" a="1"/>
  <c r="C680" s="1"/>
  <c r="C705" a="1"/>
  <c r="C705" s="1"/>
  <c r="C708" a="1"/>
  <c r="C708" s="1"/>
  <c r="C720" a="1"/>
  <c r="C720" s="1"/>
  <c r="C735" a="1"/>
  <c r="C735" s="1"/>
  <c r="C740" a="1"/>
  <c r="C740" s="1"/>
  <c r="C746" a="1"/>
  <c r="C746" s="1"/>
  <c r="C772" a="1"/>
  <c r="C772" s="1"/>
  <c r="C781" a="1"/>
  <c r="C781" s="1"/>
  <c r="C782" a="1"/>
  <c r="C782" s="1"/>
  <c r="C812" a="1"/>
  <c r="C812" s="1"/>
  <c r="C883" a="1"/>
  <c r="C883" s="1"/>
  <c r="C915" a="1"/>
  <c r="C915" s="1"/>
  <c r="C927" a="1"/>
  <c r="C927" s="1"/>
  <c r="C948" a="1"/>
  <c r="C948" s="1"/>
  <c r="C964" a="1"/>
  <c r="C964" s="1"/>
  <c r="C988" a="1"/>
  <c r="C988" s="1"/>
  <c r="C1045" a="1"/>
  <c r="C1045" s="1"/>
  <c r="C1093" a="1"/>
  <c r="C1093" s="1"/>
  <c r="C1118" a="1"/>
  <c r="C1118" s="1"/>
  <c r="C1171" a="1"/>
  <c r="C1171" s="1"/>
  <c r="C1202" a="1"/>
  <c r="C1202" s="1"/>
  <c r="C1261" a="1"/>
  <c r="C1261" s="1"/>
  <c r="C1328" a="1"/>
  <c r="C1328" s="1"/>
  <c r="C1343" a="1"/>
  <c r="C1343" s="1"/>
  <c r="C1349" a="1"/>
  <c r="C1349" s="1"/>
  <c r="C1373" a="1"/>
  <c r="C1373" s="1"/>
  <c r="C1434" a="1"/>
  <c r="C1434" s="1"/>
  <c r="C1581" a="1"/>
  <c r="C1581" s="1"/>
  <c r="C1590" a="1"/>
  <c r="C1590" s="1"/>
  <c r="C1653" a="1"/>
  <c r="C1653" s="1"/>
  <c r="C1656" a="1"/>
  <c r="C1656" s="1"/>
  <c r="C156" a="1"/>
  <c r="C156" s="1"/>
  <c r="C246" a="1"/>
  <c r="C246" s="1"/>
  <c r="C391" a="1"/>
  <c r="C391" s="1"/>
  <c r="C464" a="1"/>
  <c r="C464" s="1"/>
  <c r="C559" a="1"/>
  <c r="C559" s="1"/>
  <c r="C619" a="1"/>
  <c r="C619" s="1"/>
  <c r="C1340" a="1"/>
  <c r="C1340" s="1"/>
  <c r="C1603" a="1"/>
  <c r="C1603" s="1"/>
  <c r="C10" a="1"/>
  <c r="C10" s="1"/>
  <c r="C16" a="1"/>
  <c r="C16" s="1"/>
  <c r="C30" a="1"/>
  <c r="C30" s="1"/>
  <c r="C39" a="1"/>
  <c r="C39" s="1"/>
  <c r="C49" a="1"/>
  <c r="C49" s="1"/>
  <c r="C70" a="1"/>
  <c r="C70" s="1"/>
  <c r="C74" a="1"/>
  <c r="C74" s="1"/>
  <c r="C94" a="1"/>
  <c r="C94" s="1"/>
  <c r="C96" a="1"/>
  <c r="C96" s="1"/>
  <c r="C108" a="1"/>
  <c r="C108" s="1"/>
  <c r="C117" a="1"/>
  <c r="C117" s="1"/>
  <c r="C119" a="1"/>
  <c r="C119" s="1"/>
  <c r="C129" a="1"/>
  <c r="C129" s="1"/>
  <c r="C142" a="1"/>
  <c r="C142" s="1"/>
  <c r="C143" a="1"/>
  <c r="C143" s="1"/>
  <c r="C150" a="1"/>
  <c r="C150" s="1"/>
  <c r="C159" a="1"/>
  <c r="C159" s="1"/>
  <c r="C168" a="1"/>
  <c r="C168" s="1"/>
  <c r="C171" a="1"/>
  <c r="C171" s="1"/>
  <c r="C173" a="1"/>
  <c r="C173" s="1"/>
  <c r="C176" a="1"/>
  <c r="C176" s="1"/>
  <c r="C185" a="1"/>
  <c r="C185" s="1"/>
  <c r="C186" a="1"/>
  <c r="C186" s="1"/>
  <c r="C191" a="1"/>
  <c r="C191" s="1"/>
  <c r="C194" a="1"/>
  <c r="C194" s="1"/>
  <c r="C199" a="1"/>
  <c r="C199" s="1"/>
  <c r="C207" a="1"/>
  <c r="C207" s="1"/>
  <c r="C210" a="1"/>
  <c r="C210" s="1"/>
  <c r="C216" a="1"/>
  <c r="C216" s="1"/>
  <c r="C218" a="1"/>
  <c r="C218" s="1"/>
  <c r="C220" a="1"/>
  <c r="C220" s="1"/>
  <c r="C223" a="1"/>
  <c r="C223" s="1"/>
  <c r="C247" a="1"/>
  <c r="C247" s="1"/>
  <c r="C249" a="1"/>
  <c r="C249" s="1"/>
  <c r="C250" a="1"/>
  <c r="C250" s="1"/>
  <c r="C256" a="1"/>
  <c r="C256" s="1"/>
  <c r="C280" a="1"/>
  <c r="C280" s="1"/>
  <c r="C284" a="1"/>
  <c r="C284" s="1"/>
  <c r="C285" a="1"/>
  <c r="C285" s="1"/>
  <c r="C290" a="1"/>
  <c r="C290" s="1"/>
  <c r="C292" a="1"/>
  <c r="C292" s="1"/>
  <c r="C296" a="1"/>
  <c r="C296" s="1"/>
  <c r="C305" a="1"/>
  <c r="C305" s="1"/>
  <c r="C312" a="1"/>
  <c r="C312" s="1"/>
  <c r="C314" a="1"/>
  <c r="C314" s="1"/>
  <c r="C315" a="1"/>
  <c r="C315" s="1"/>
  <c r="C316" a="1"/>
  <c r="C316" s="1"/>
  <c r="C321" a="1"/>
  <c r="C321" s="1"/>
  <c r="C324" a="1"/>
  <c r="C324" s="1"/>
  <c r="C327" a="1"/>
  <c r="C327" s="1"/>
  <c r="C332" a="1"/>
  <c r="C332" s="1"/>
  <c r="C333" a="1"/>
  <c r="C333" s="1"/>
  <c r="C342" a="1"/>
  <c r="C342" s="1"/>
  <c r="C344" a="1"/>
  <c r="C344" s="1"/>
  <c r="C347" a="1"/>
  <c r="C347" s="1"/>
  <c r="C365" a="1"/>
  <c r="C365" s="1"/>
  <c r="C368" a="1"/>
  <c r="C368" s="1"/>
  <c r="C374" a="1"/>
  <c r="C374" s="1"/>
  <c r="C390" a="1"/>
  <c r="C390" s="1"/>
  <c r="C394" a="1"/>
  <c r="C394" s="1"/>
  <c r="C399" a="1"/>
  <c r="C399" s="1"/>
  <c r="C404" a="1"/>
  <c r="C404" s="1"/>
  <c r="C406" a="1"/>
  <c r="C406" s="1"/>
  <c r="C407" a="1"/>
  <c r="C407" s="1"/>
  <c r="C411" a="1"/>
  <c r="C411" s="1"/>
  <c r="C422" a="1"/>
  <c r="C422" s="1"/>
  <c r="C426" a="1"/>
  <c r="C426" s="1"/>
  <c r="C427" a="1"/>
  <c r="C427" s="1"/>
  <c r="C428" a="1"/>
  <c r="C428" s="1"/>
  <c r="C436" a="1"/>
  <c r="C436" s="1"/>
  <c r="C441" a="1"/>
  <c r="C441" s="1"/>
  <c r="C447" a="1"/>
  <c r="C447" s="1"/>
  <c r="C450" a="1"/>
  <c r="C450" s="1"/>
  <c r="C455" a="1"/>
  <c r="C455" s="1"/>
  <c r="C460" a="1"/>
  <c r="C460" s="1"/>
  <c r="C462" a="1"/>
  <c r="C462" s="1"/>
  <c r="C493" a="1"/>
  <c r="C493" s="1"/>
  <c r="C500" a="1"/>
  <c r="C500" s="1"/>
  <c r="C532" a="1"/>
  <c r="C532" s="1"/>
  <c r="C535" a="1"/>
  <c r="C535" s="1"/>
  <c r="C537" a="1"/>
  <c r="C537" s="1"/>
  <c r="C549" a="1"/>
  <c r="C549" s="1"/>
  <c r="C558" a="1"/>
  <c r="C558" s="1"/>
  <c r="C567" a="1"/>
  <c r="C567" s="1"/>
  <c r="C573" a="1"/>
  <c r="C573" s="1"/>
  <c r="C578" a="1"/>
  <c r="C578" s="1"/>
  <c r="C590" a="1"/>
  <c r="C590" s="1"/>
  <c r="C597" a="1"/>
  <c r="C597" s="1"/>
  <c r="C606" a="1"/>
  <c r="C606" s="1"/>
  <c r="C610" a="1"/>
  <c r="C610" s="1"/>
  <c r="C623" a="1"/>
  <c r="C623" s="1"/>
  <c r="C626" a="1"/>
  <c r="C626" s="1"/>
  <c r="C643" a="1"/>
  <c r="C643" s="1"/>
  <c r="C645" a="1"/>
  <c r="C645" s="1"/>
  <c r="C651" a="1"/>
  <c r="C651" s="1"/>
  <c r="C663" a="1"/>
  <c r="C663" s="1"/>
  <c r="C666" a="1"/>
  <c r="C666" s="1"/>
  <c r="C1238" a="1"/>
  <c r="C1238" s="1"/>
  <c r="C1244" a="1"/>
  <c r="C1244" s="1"/>
  <c r="C1250" a="1"/>
  <c r="C1250" s="1"/>
  <c r="C1252" a="1"/>
  <c r="C1252" s="1"/>
  <c r="C1256" a="1"/>
  <c r="C1256" s="1"/>
  <c r="C1267" a="1"/>
  <c r="C1267" s="1"/>
  <c r="C1290" a="1"/>
  <c r="C1290" s="1"/>
  <c r="C1296" a="1"/>
  <c r="C1296" s="1"/>
  <c r="C1297" a="1"/>
  <c r="C1297" s="1"/>
  <c r="C1298" a="1"/>
  <c r="C1298" s="1"/>
  <c r="C1300" a="1"/>
  <c r="C1300" s="1"/>
  <c r="C1302" a="1"/>
  <c r="C1302" s="1"/>
  <c r="C1313" a="1"/>
  <c r="C1313" s="1"/>
  <c r="C1317" a="1"/>
  <c r="C1317" s="1"/>
  <c r="C1320" a="1"/>
  <c r="C1320" s="1"/>
  <c r="C1324" a="1"/>
  <c r="C1324" s="1"/>
  <c r="C1352" a="1"/>
  <c r="C1352" s="1"/>
  <c r="C1355" a="1"/>
  <c r="C1355" s="1"/>
  <c r="C1366" a="1"/>
  <c r="C1366" s="1"/>
  <c r="C1375" a="1"/>
  <c r="C1375" s="1"/>
  <c r="C1378" a="1"/>
  <c r="C1378" s="1"/>
  <c r="C1380" a="1"/>
  <c r="C1380" s="1"/>
  <c r="C1394" a="1"/>
  <c r="C1394" s="1"/>
  <c r="C1403" a="1"/>
  <c r="C1403" s="1"/>
  <c r="C1406" a="1"/>
  <c r="C1406" s="1"/>
  <c r="C1410" a="1"/>
  <c r="C1410" s="1"/>
  <c r="C1417" a="1"/>
  <c r="C1417" s="1"/>
  <c r="C1439" a="1"/>
  <c r="C1439" s="1"/>
  <c r="C1447" a="1"/>
  <c r="C1447" s="1"/>
  <c r="C1456" a="1"/>
  <c r="C1456" s="1"/>
  <c r="C1467" a="1"/>
  <c r="C1467" s="1"/>
  <c r="C1472" a="1"/>
  <c r="C1472" s="1"/>
  <c r="C1479" a="1"/>
  <c r="C1479" s="1"/>
  <c r="C1480" a="1"/>
  <c r="C1480" s="1"/>
  <c r="C1487" a="1"/>
  <c r="C1487" s="1"/>
  <c r="C1506" a="1"/>
  <c r="C1506" s="1"/>
  <c r="C1507" a="1"/>
  <c r="C1507" s="1"/>
  <c r="C1509" a="1"/>
  <c r="C1509" s="1"/>
  <c r="C1524" a="1"/>
  <c r="C1524" s="1"/>
  <c r="C1528" a="1"/>
  <c r="C1528" s="1"/>
  <c r="C1529" a="1"/>
  <c r="C1529" s="1"/>
  <c r="C1534" a="1"/>
  <c r="C1534" s="1"/>
  <c r="C1540" a="1"/>
  <c r="C1540" s="1"/>
  <c r="C1545" a="1"/>
  <c r="C1545" s="1"/>
  <c r="C1553" a="1"/>
  <c r="C1553" s="1"/>
  <c r="C1554" a="1"/>
  <c r="C1554" s="1"/>
  <c r="C1560" a="1"/>
  <c r="C1560" s="1"/>
  <c r="C1585" a="1"/>
  <c r="C1585" s="1"/>
  <c r="C1588" a="1"/>
  <c r="C1588" s="1"/>
  <c r="C1601" a="1"/>
  <c r="C1601" s="1"/>
  <c r="C1616" a="1"/>
  <c r="C1616" s="1"/>
  <c r="C1624" a="1"/>
  <c r="C1624" s="1"/>
  <c r="C1626" a="1"/>
  <c r="C1626" s="1"/>
  <c r="C1630" a="1"/>
  <c r="C1630" s="1"/>
  <c r="C1637" a="1"/>
  <c r="C1637" s="1"/>
  <c r="C1646" a="1"/>
  <c r="C1646" s="1"/>
  <c r="C1648" a="1"/>
  <c r="C1648" s="1"/>
  <c r="C1678" a="1"/>
  <c r="C1678" s="1"/>
  <c r="C1684" a="1"/>
  <c r="C1684" s="1"/>
  <c r="C1693" a="1"/>
  <c r="C1693" s="1"/>
  <c r="C1706" a="1"/>
  <c r="C1706" s="1"/>
  <c r="C1713" a="1"/>
  <c r="C1713" s="1"/>
  <c r="C4" a="1"/>
  <c r="C4" s="1"/>
  <c r="C5" a="1"/>
  <c r="C5" s="1"/>
  <c r="C32" a="1"/>
  <c r="C32" s="1"/>
  <c r="C85" a="1"/>
  <c r="C85" s="1"/>
  <c r="C90" a="1"/>
  <c r="C90" s="1"/>
  <c r="C400" a="1"/>
  <c r="C400" s="1"/>
  <c r="C738" a="1"/>
  <c r="C738" s="1"/>
  <c r="C7" a="1"/>
  <c r="C7" s="1"/>
  <c r="C13" a="1"/>
  <c r="C13" s="1"/>
  <c r="C23" a="1"/>
  <c r="C23" s="1"/>
  <c r="C42" a="1"/>
  <c r="C42" s="1"/>
  <c r="C57" a="1"/>
  <c r="C57" s="1"/>
  <c r="C89" a="1"/>
  <c r="C89" s="1"/>
  <c r="C110" a="1"/>
  <c r="C110" s="1"/>
  <c r="C112" a="1"/>
  <c r="C112" s="1"/>
  <c r="C132" a="1"/>
  <c r="C132" s="1"/>
  <c r="C157" a="1"/>
  <c r="C157" s="1"/>
  <c r="C158" a="1"/>
  <c r="C158" s="1"/>
  <c r="C170" a="1"/>
  <c r="C170" s="1"/>
  <c r="C192" a="1"/>
  <c r="C192" s="1"/>
  <c r="C201" a="1"/>
  <c r="C201" s="1"/>
  <c r="C212" a="1"/>
  <c r="C212" s="1"/>
  <c r="C264" a="1"/>
  <c r="C264" s="1"/>
  <c r="C271" a="1"/>
  <c r="C271" s="1"/>
  <c r="C276" a="1"/>
  <c r="C276" s="1"/>
  <c r="C282" a="1"/>
  <c r="C282" s="1"/>
  <c r="C317" a="1"/>
  <c r="C317" s="1"/>
  <c r="C335" a="1"/>
  <c r="C335" s="1"/>
  <c r="C336" a="1"/>
  <c r="C336" s="1"/>
  <c r="C339" a="1"/>
  <c r="C339" s="1"/>
  <c r="C401" a="1"/>
  <c r="C401" s="1"/>
  <c r="C580" a="1"/>
  <c r="C580" s="1"/>
  <c r="C763" a="1"/>
  <c r="C763" s="1"/>
  <c r="C775" a="1"/>
  <c r="C775" s="1"/>
  <c r="C828" a="1"/>
  <c r="C828" s="1"/>
  <c r="C994" a="1"/>
  <c r="C994" s="1"/>
  <c r="C1000" a="1"/>
  <c r="C1000" s="1"/>
  <c r="C1056" a="1"/>
  <c r="C1056" s="1"/>
  <c r="C1276" a="1"/>
  <c r="C1276" s="1"/>
  <c r="C1303" a="1"/>
  <c r="C1303" s="1"/>
  <c r="C1367" a="1"/>
  <c r="C1367" s="1"/>
  <c r="C1395" a="1"/>
  <c r="C1395" s="1"/>
  <c r="C1481" a="1"/>
  <c r="C1481" s="1"/>
  <c r="C1649" a="1"/>
  <c r="C1649" s="1"/>
  <c r="C620" a="1"/>
  <c r="C620" s="1"/>
  <c r="C755" a="1"/>
  <c r="C755" s="1"/>
  <c r="C1503" a="1"/>
  <c r="C1503" s="1"/>
  <c r="C27" a="1"/>
  <c r="C27" s="1"/>
  <c r="C44" a="1"/>
  <c r="C44" s="1"/>
  <c r="C45" a="1"/>
  <c r="C45" s="1"/>
  <c r="C48" a="1"/>
  <c r="C48" s="1"/>
  <c r="C75" a="1"/>
  <c r="C75" s="1"/>
  <c r="C128" a="1"/>
  <c r="C128" s="1"/>
  <c r="C162" a="1"/>
  <c r="C162" s="1"/>
  <c r="C167" a="1"/>
  <c r="C167" s="1"/>
  <c r="C181" a="1"/>
  <c r="C181" s="1"/>
  <c r="C187" a="1"/>
  <c r="C187" s="1"/>
  <c r="C226" a="1"/>
  <c r="C226" s="1"/>
  <c r="C234" a="1"/>
  <c r="C234" s="1"/>
  <c r="C240" a="1"/>
  <c r="C240" s="1"/>
  <c r="C258" a="1"/>
  <c r="C258" s="1"/>
  <c r="C272" a="1"/>
  <c r="C272" s="1"/>
  <c r="C277" a="1"/>
  <c r="C277" s="1"/>
  <c r="C297" a="1"/>
  <c r="C297" s="1"/>
  <c r="C300" a="1"/>
  <c r="C300" s="1"/>
  <c r="C301" a="1"/>
  <c r="C301" s="1"/>
  <c r="C308" a="1"/>
  <c r="C308" s="1"/>
  <c r="C322" a="1"/>
  <c r="C322" s="1"/>
  <c r="C325" a="1"/>
  <c r="C325" s="1"/>
  <c r="C337" a="1"/>
  <c r="C337" s="1"/>
  <c r="C343" a="1"/>
  <c r="C343" s="1"/>
  <c r="C352" a="1"/>
  <c r="C352" s="1"/>
  <c r="C366" a="1"/>
  <c r="C366" s="1"/>
  <c r="C378" a="1"/>
  <c r="C378" s="1"/>
  <c r="C385" a="1"/>
  <c r="C385" s="1"/>
  <c r="C402" a="1"/>
  <c r="C402" s="1"/>
  <c r="C416" a="1"/>
  <c r="C416" s="1"/>
  <c r="C437" a="1"/>
  <c r="C437" s="1"/>
  <c r="C443" a="1"/>
  <c r="C443" s="1"/>
  <c r="C448" a="1"/>
  <c r="C448" s="1"/>
  <c r="C515" a="1"/>
  <c r="C515" s="1"/>
  <c r="C530" a="1"/>
  <c r="C530" s="1"/>
  <c r="C584" a="1"/>
  <c r="C584" s="1"/>
  <c r="C635" a="1"/>
  <c r="C635" s="1"/>
  <c r="C691" a="1"/>
  <c r="C691" s="1"/>
  <c r="C753" a="1"/>
  <c r="C753" s="1"/>
  <c r="C836" a="1"/>
  <c r="C836" s="1"/>
  <c r="C841" a="1"/>
  <c r="C841" s="1"/>
  <c r="C850" a="1"/>
  <c r="C850" s="1"/>
  <c r="C870" a="1"/>
  <c r="C870" s="1"/>
  <c r="C880" a="1"/>
  <c r="C880" s="1"/>
  <c r="C932" a="1"/>
  <c r="C932" s="1"/>
  <c r="C941" a="1"/>
  <c r="C941" s="1"/>
  <c r="C979" a="1"/>
  <c r="C979" s="1"/>
  <c r="C995" a="1"/>
  <c r="C995" s="1"/>
  <c r="C1006" a="1"/>
  <c r="C1006" s="1"/>
  <c r="C1043" a="1"/>
  <c r="C1043" s="1"/>
  <c r="C1049" a="1"/>
  <c r="C1049" s="1"/>
  <c r="C1059" a="1"/>
  <c r="C1059" s="1"/>
  <c r="C1099" a="1"/>
  <c r="C1099" s="1"/>
  <c r="C1116" a="1"/>
  <c r="C1116" s="1"/>
  <c r="C1169" a="1"/>
  <c r="C1169" s="1"/>
  <c r="C1179" a="1"/>
  <c r="C1179" s="1"/>
  <c r="C1216" a="1"/>
  <c r="C1216" s="1"/>
  <c r="C1268" a="1"/>
  <c r="C1268" s="1"/>
  <c r="C1275" a="1"/>
  <c r="C1275" s="1"/>
  <c r="C1277" a="1"/>
  <c r="C1277" s="1"/>
  <c r="C1287" a="1"/>
  <c r="C1287" s="1"/>
  <c r="C1384" a="1"/>
  <c r="C1384" s="1"/>
  <c r="C1411" a="1"/>
  <c r="C1411" s="1"/>
  <c r="C1546" a="1"/>
  <c r="C1546" s="1"/>
  <c r="C1568" a="1"/>
  <c r="C1568" s="1"/>
  <c r="C1594" a="1"/>
  <c r="C1594" s="1"/>
  <c r="C1666" a="1"/>
  <c r="C1666" s="1"/>
  <c r="C1668" a="1"/>
  <c r="C1668" s="1"/>
  <c r="C1679" a="1"/>
  <c r="C1679" s="1"/>
  <c r="C1683" a="1"/>
  <c r="C1683" s="1"/>
  <c r="C1714" a="1"/>
  <c r="C1714" s="1"/>
  <c r="C973" a="1"/>
  <c r="C973" s="1"/>
  <c r="C1071" a="1"/>
  <c r="C1071" s="1"/>
  <c r="C1341" a="1"/>
  <c r="C1341" s="1"/>
  <c r="C1413" a="1"/>
  <c r="C1413" s="1"/>
  <c r="C1436" a="1"/>
  <c r="C1436" s="1"/>
  <c r="C1444" a="1"/>
  <c r="C1444" s="1"/>
  <c r="C1604" a="1"/>
  <c r="C1604" s="1"/>
  <c r="C1634" a="1"/>
  <c r="C1634" s="1"/>
  <c r="C1644" a="1"/>
  <c r="C1644" s="1"/>
  <c r="C888" a="1"/>
  <c r="C888" s="1"/>
  <c r="C892" a="1"/>
  <c r="C892" s="1"/>
  <c r="C897" a="1"/>
  <c r="C897" s="1"/>
  <c r="C906" a="1"/>
  <c r="C906" s="1"/>
  <c r="C911" a="1"/>
  <c r="C911" s="1"/>
  <c r="C912" a="1"/>
  <c r="C912" s="1"/>
  <c r="C917" a="1"/>
  <c r="C917" s="1"/>
  <c r="C918" a="1"/>
  <c r="C918" s="1"/>
  <c r="C925" a="1"/>
  <c r="C925" s="1"/>
  <c r="C926" a="1"/>
  <c r="C926" s="1"/>
  <c r="C931" a="1"/>
  <c r="C931" s="1"/>
  <c r="C933" a="1"/>
  <c r="C933" s="1"/>
  <c r="C942" a="1"/>
  <c r="C942" s="1"/>
  <c r="C952" a="1"/>
  <c r="C952" s="1"/>
  <c r="C955" a="1"/>
  <c r="C955" s="1"/>
  <c r="C956" a="1"/>
  <c r="C956" s="1"/>
  <c r="C959" a="1"/>
  <c r="C959" s="1"/>
  <c r="C961" a="1"/>
  <c r="C961" s="1"/>
  <c r="C963" a="1"/>
  <c r="C963" s="1"/>
  <c r="C975" a="1"/>
  <c r="C975" s="1"/>
  <c r="C977" a="1"/>
  <c r="C977" s="1"/>
  <c r="C984" a="1"/>
  <c r="C984" s="1"/>
  <c r="C989" a="1"/>
  <c r="C989" s="1"/>
  <c r="C997" a="1"/>
  <c r="C997" s="1"/>
  <c r="C1001" a="1"/>
  <c r="C1001" s="1"/>
  <c r="C1017" a="1"/>
  <c r="C1017" s="1"/>
  <c r="C1018" a="1"/>
  <c r="C1018" s="1"/>
  <c r="C1020" a="1"/>
  <c r="C1020" s="1"/>
  <c r="C1036" a="1"/>
  <c r="C1036" s="1"/>
  <c r="C1041" a="1"/>
  <c r="C1041" s="1"/>
  <c r="C1050" a="1"/>
  <c r="C1050" s="1"/>
  <c r="C1057" a="1"/>
  <c r="C1057" s="1"/>
  <c r="C1060" a="1"/>
  <c r="C1060" s="1"/>
  <c r="C1073" a="1"/>
  <c r="C1073" s="1"/>
  <c r="C1077" a="1"/>
  <c r="C1077" s="1"/>
  <c r="C1083" a="1"/>
  <c r="C1083" s="1"/>
  <c r="C1086" a="1"/>
  <c r="C1086" s="1"/>
  <c r="C1095" a="1"/>
  <c r="C1095" s="1"/>
  <c r="C1100" a="1"/>
  <c r="C1100" s="1"/>
  <c r="C1102" a="1"/>
  <c r="C1102" s="1"/>
  <c r="C1104" a="1"/>
  <c r="C1104" s="1"/>
  <c r="C1105" a="1"/>
  <c r="C1105" s="1"/>
  <c r="C1106" a="1"/>
  <c r="C1106" s="1"/>
  <c r="C1110" a="1"/>
  <c r="C1110" s="1"/>
  <c r="C1112" a="1"/>
  <c r="C1112" s="1"/>
  <c r="C1123" a="1"/>
  <c r="C1123" s="1"/>
  <c r="C1129" a="1"/>
  <c r="C1129" s="1"/>
  <c r="C1135" a="1"/>
  <c r="C1135" s="1"/>
  <c r="C1143" a="1"/>
  <c r="C1143" s="1"/>
  <c r="C1154" a="1"/>
  <c r="C1154" s="1"/>
  <c r="C1160" a="1"/>
  <c r="C1160" s="1"/>
  <c r="C1163" a="1"/>
  <c r="C1163" s="1"/>
  <c r="C1168" a="1"/>
  <c r="C1168" s="1"/>
  <c r="C1170" a="1"/>
  <c r="C1170" s="1"/>
  <c r="C1176" a="1"/>
  <c r="C1176" s="1"/>
  <c r="C1177" a="1"/>
  <c r="C1177" s="1"/>
  <c r="C1186" a="1"/>
  <c r="C1186" s="1"/>
  <c r="C1193" a="1"/>
  <c r="C1193" s="1"/>
  <c r="C1207" a="1"/>
  <c r="C1207" s="1"/>
  <c r="C1211" a="1"/>
  <c r="C1211" s="1"/>
  <c r="C1220" a="1"/>
  <c r="C1220" s="1"/>
  <c r="C1222" a="1"/>
  <c r="C1222" s="1"/>
  <c r="C1224" a="1"/>
  <c r="C1224" s="1"/>
  <c r="C1225" a="1"/>
  <c r="C1225" s="1"/>
  <c r="C1226" a="1"/>
  <c r="C1226" s="1"/>
  <c r="C1228" a="1"/>
  <c r="C1228" s="1"/>
  <c r="C1231" a="1"/>
  <c r="C1231" s="1"/>
  <c r="C1232" a="1"/>
  <c r="C1232" s="1"/>
  <c r="C1239" a="1"/>
  <c r="C1239" s="1"/>
  <c r="C1240" a="1"/>
  <c r="C1240" s="1"/>
  <c r="C1241" a="1"/>
  <c r="C1241" s="1"/>
  <c r="C1245" a="1"/>
  <c r="C1245" s="1"/>
  <c r="C1251" a="1"/>
  <c r="C1251" s="1"/>
  <c r="C1257" a="1"/>
  <c r="C1257" s="1"/>
  <c r="C1260" a="1"/>
  <c r="C1260" s="1"/>
  <c r="C1269" a="1"/>
  <c r="C1269" s="1"/>
  <c r="C1278" a="1"/>
  <c r="C1278" s="1"/>
  <c r="C1291" a="1"/>
  <c r="C1291" s="1"/>
  <c r="C1299" a="1"/>
  <c r="C1299" s="1"/>
  <c r="C1301" a="1"/>
  <c r="C1301" s="1"/>
  <c r="C1307" a="1"/>
  <c r="C1307" s="1"/>
  <c r="C1309" a="1"/>
  <c r="C1309" s="1"/>
  <c r="C1318" a="1"/>
  <c r="C1318" s="1"/>
  <c r="C1325" a="1"/>
  <c r="C1325" s="1"/>
  <c r="C1346" a="1"/>
  <c r="C1346" s="1"/>
  <c r="C1353" a="1"/>
  <c r="C1353" s="1"/>
  <c r="C1356" a="1"/>
  <c r="C1356" s="1"/>
  <c r="C1358" a="1"/>
  <c r="C1358" s="1"/>
  <c r="C1368" a="1"/>
  <c r="C1368" s="1"/>
  <c r="C1376" a="1"/>
  <c r="C1376" s="1"/>
  <c r="C1379" a="1"/>
  <c r="C1379" s="1"/>
  <c r="C1381" a="1"/>
  <c r="C1381" s="1"/>
  <c r="C1385" a="1"/>
  <c r="C1385" s="1"/>
  <c r="C1388" a="1"/>
  <c r="C1388" s="1"/>
  <c r="C1392" a="1"/>
  <c r="C1392" s="1"/>
  <c r="C1396" a="1"/>
  <c r="C1396" s="1"/>
  <c r="C1404" a="1"/>
  <c r="C1404" s="1"/>
  <c r="C1407" a="1"/>
  <c r="C1407" s="1"/>
  <c r="C1415" a="1"/>
  <c r="C1415" s="1"/>
  <c r="C1416" a="1"/>
  <c r="C1416" s="1"/>
  <c r="C1418" a="1"/>
  <c r="C1418" s="1"/>
  <c r="C1420" a="1"/>
  <c r="C1420" s="1"/>
  <c r="C1430" a="1"/>
  <c r="C1430" s="1"/>
  <c r="C1442" a="1"/>
  <c r="C1442" s="1"/>
  <c r="C1448" a="1"/>
  <c r="C1448" s="1"/>
  <c r="C1450" a="1"/>
  <c r="C1450" s="1"/>
  <c r="C1457" a="1"/>
  <c r="C1457" s="1"/>
  <c r="C1462" a="1"/>
  <c r="C1462" s="1"/>
  <c r="C1470" a="1"/>
  <c r="C1470" s="1"/>
  <c r="C1473" a="1"/>
  <c r="C1473" s="1"/>
  <c r="C1475" a="1"/>
  <c r="C1475" s="1"/>
  <c r="C1477" a="1"/>
  <c r="C1477" s="1"/>
  <c r="C1482" a="1"/>
  <c r="C1482" s="1"/>
  <c r="C1491" a="1"/>
  <c r="C1491" s="1"/>
  <c r="C1505" a="1"/>
  <c r="C1505" s="1"/>
  <c r="C1510" a="1"/>
  <c r="C1510" s="1"/>
  <c r="C1512" a="1"/>
  <c r="C1512" s="1"/>
  <c r="C1516" a="1"/>
  <c r="C1516" s="1"/>
  <c r="C1525" a="1"/>
  <c r="C1525" s="1"/>
  <c r="C1530" a="1"/>
  <c r="C1530" s="1"/>
  <c r="C1535" a="1"/>
  <c r="C1535" s="1"/>
  <c r="C1541" a="1"/>
  <c r="C1541" s="1"/>
  <c r="C1555" a="1"/>
  <c r="C1555" s="1"/>
  <c r="C1563" a="1"/>
  <c r="C1563" s="1"/>
  <c r="C1569" a="1"/>
  <c r="C1569" s="1"/>
  <c r="C1573" a="1"/>
  <c r="C1573" s="1"/>
  <c r="C1579" a="1"/>
  <c r="C1579" s="1"/>
  <c r="C1599" a="1"/>
  <c r="C1599" s="1"/>
  <c r="C1606" a="1"/>
  <c r="C1606" s="1"/>
  <c r="C1609" a="1"/>
  <c r="C1609" s="1"/>
  <c r="C1611" a="1"/>
  <c r="C1611" s="1"/>
  <c r="C1617" a="1"/>
  <c r="C1617" s="1"/>
  <c r="C1619" a="1"/>
  <c r="C1619" s="1"/>
  <c r="C1625" a="1"/>
  <c r="C1625" s="1"/>
  <c r="C1627" a="1"/>
  <c r="C1627" s="1"/>
  <c r="C1631" a="1"/>
  <c r="C1631" s="1"/>
  <c r="C1638" a="1"/>
  <c r="C1638" s="1"/>
  <c r="C1640" a="1"/>
  <c r="C1640" s="1"/>
  <c r="C1647" a="1"/>
  <c r="C1647" s="1"/>
  <c r="C1667" a="1"/>
  <c r="C1667" s="1"/>
  <c r="C1669" a="1"/>
  <c r="C1669" s="1"/>
  <c r="C1672" a="1"/>
  <c r="C1672" s="1"/>
  <c r="C1686" a="1"/>
  <c r="C1686" s="1"/>
  <c r="C784" a="1"/>
  <c r="C784" s="1"/>
  <c r="C1029" a="1"/>
  <c r="C1029" s="1"/>
  <c r="C1401" a="1"/>
  <c r="C1401" s="1"/>
  <c r="C438" a="1"/>
  <c r="C438" s="1"/>
  <c r="C449" a="1"/>
  <c r="C449" s="1"/>
  <c r="C458" a="1"/>
  <c r="C458" s="1"/>
  <c r="C486" a="1"/>
  <c r="C486" s="1"/>
  <c r="C489" a="1"/>
  <c r="C489" s="1"/>
  <c r="C505" a="1"/>
  <c r="C505" s="1"/>
  <c r="C586" a="1"/>
  <c r="C586" s="1"/>
  <c r="C587" a="1"/>
  <c r="C587" s="1"/>
  <c r="C601" a="1"/>
  <c r="C601" s="1"/>
  <c r="C622" a="1"/>
  <c r="C622" s="1"/>
  <c r="C628" a="1"/>
  <c r="C628" s="1"/>
  <c r="C630" a="1"/>
  <c r="C630" s="1"/>
  <c r="C636" a="1"/>
  <c r="C636" s="1"/>
  <c r="C638" a="1"/>
  <c r="C638" s="1"/>
  <c r="C665" a="1"/>
  <c r="C665" s="1"/>
  <c r="C677" a="1"/>
  <c r="C677" s="1"/>
  <c r="C713" a="1"/>
  <c r="C713" s="1"/>
  <c r="C724" a="1"/>
  <c r="C724" s="1"/>
  <c r="C726" a="1"/>
  <c r="C726" s="1"/>
  <c r="C756" a="1"/>
  <c r="C756" s="1"/>
  <c r="C761" a="1"/>
  <c r="C761" s="1"/>
  <c r="C767" a="1"/>
  <c r="C767" s="1"/>
  <c r="C802" a="1"/>
  <c r="C802" s="1"/>
  <c r="C805" a="1"/>
  <c r="C805" s="1"/>
  <c r="C807" a="1"/>
  <c r="C807" s="1"/>
  <c r="C844" a="1"/>
  <c r="C844" s="1"/>
  <c r="C855" a="1"/>
  <c r="C855" s="1"/>
  <c r="C864" a="1"/>
  <c r="C864" s="1"/>
  <c r="C875" a="1"/>
  <c r="C875" s="1"/>
  <c r="C903" a="1"/>
  <c r="C903" s="1"/>
  <c r="C967" a="1"/>
  <c r="C967" s="1"/>
  <c r="C972" a="1"/>
  <c r="C972" s="1"/>
  <c r="C993" a="1"/>
  <c r="C993" s="1"/>
  <c r="C1011" a="1"/>
  <c r="C1011" s="1"/>
  <c r="C1028" a="1"/>
  <c r="C1028" s="1"/>
  <c r="C1052" a="1"/>
  <c r="C1052" s="1"/>
  <c r="C1063" a="1"/>
  <c r="C1063" s="1"/>
  <c r="C1069" a="1"/>
  <c r="C1069" s="1"/>
  <c r="C1088" a="1"/>
  <c r="C1088" s="1"/>
  <c r="C1109" a="1"/>
  <c r="C1109" s="1"/>
  <c r="C1121" a="1"/>
  <c r="C1121" s="1"/>
  <c r="C1126" a="1"/>
  <c r="C1126" s="1"/>
  <c r="C1134" a="1"/>
  <c r="C1134" s="1"/>
  <c r="C1137" a="1"/>
  <c r="C1137" s="1"/>
  <c r="C1146" a="1"/>
  <c r="C1146" s="1"/>
  <c r="C1148" a="1"/>
  <c r="C1148" s="1"/>
  <c r="C1150" a="1"/>
  <c r="C1150" s="1"/>
  <c r="C1157" a="1"/>
  <c r="C1157" s="1"/>
  <c r="C1164" a="1"/>
  <c r="C1164" s="1"/>
  <c r="C1166" a="1"/>
  <c r="C1166" s="1"/>
  <c r="C1167" a="1"/>
  <c r="C1167" s="1"/>
  <c r="C1175" a="1"/>
  <c r="C1175" s="1"/>
  <c r="C1191" a="1"/>
  <c r="C1191" s="1"/>
  <c r="C1200" a="1"/>
  <c r="C1200" s="1"/>
  <c r="C1242" a="1"/>
  <c r="C1242" s="1"/>
  <c r="C1253" a="1"/>
  <c r="C1253" s="1"/>
  <c r="C1314" a="1"/>
  <c r="C1314" s="1"/>
  <c r="C1333" a="1"/>
  <c r="C1333" s="1"/>
  <c r="C1360" a="1"/>
  <c r="C1360" s="1"/>
  <c r="C1362" a="1"/>
  <c r="C1362" s="1"/>
  <c r="C1399" a="1"/>
  <c r="C1399" s="1"/>
  <c r="C1400" a="1"/>
  <c r="C1400" s="1"/>
  <c r="C1414" a="1"/>
  <c r="C1414" s="1"/>
  <c r="C1422" a="1"/>
  <c r="C1422" s="1"/>
  <c r="C1433" a="1"/>
  <c r="C1433" s="1"/>
  <c r="C1459" a="1"/>
  <c r="C1459" s="1"/>
  <c r="C1476" a="1"/>
  <c r="C1476" s="1"/>
  <c r="C1478" a="1"/>
  <c r="C1478" s="1"/>
  <c r="C1488" a="1"/>
  <c r="C1488" s="1"/>
  <c r="C1495" a="1"/>
  <c r="C1495" s="1"/>
  <c r="C1498" a="1"/>
  <c r="C1498" s="1"/>
  <c r="C1500" a="1"/>
  <c r="C1500" s="1"/>
  <c r="C1513" a="1"/>
  <c r="C1513" s="1"/>
  <c r="C1517" a="1"/>
  <c r="C1517" s="1"/>
  <c r="C1526" a="1"/>
  <c r="C1526" s="1"/>
  <c r="C1531" a="1"/>
  <c r="C1531" s="1"/>
  <c r="C1547" a="1"/>
  <c r="C1547" s="1"/>
  <c r="C1559" a="1"/>
  <c r="C1559" s="1"/>
  <c r="C1570" a="1"/>
  <c r="C1570" s="1"/>
  <c r="C1572" a="1"/>
  <c r="C1572" s="1"/>
  <c r="C1576" a="1"/>
  <c r="C1576" s="1"/>
  <c r="C1589" a="1"/>
  <c r="C1589" s="1"/>
  <c r="C1610" a="1"/>
  <c r="C1610" s="1"/>
  <c r="C1612" a="1"/>
  <c r="C1612" s="1"/>
  <c r="C1613" a="1"/>
  <c r="C1613" s="1"/>
  <c r="C1641" a="1"/>
  <c r="C1641" s="1"/>
  <c r="C1664" a="1"/>
  <c r="C1664" s="1"/>
  <c r="C1680" a="1"/>
  <c r="C1680" s="1"/>
  <c r="C1685" a="1"/>
  <c r="C1685" s="1"/>
  <c r="C703" a="1"/>
  <c r="C703" s="1"/>
  <c r="C884" a="1"/>
  <c r="C884" s="1"/>
  <c r="C885" a="1"/>
  <c r="C885" s="1"/>
  <c r="C1564" a="1"/>
  <c r="C1564" s="1"/>
  <c r="C1699" a="1"/>
  <c r="C1699" s="1"/>
  <c r="C439" a="1"/>
  <c r="C439" s="1"/>
  <c r="C453" a="1"/>
  <c r="C453" s="1"/>
  <c r="C454" a="1"/>
  <c r="C454" s="1"/>
  <c r="C470" a="1"/>
  <c r="C470" s="1"/>
  <c r="C473" a="1"/>
  <c r="C473" s="1"/>
  <c r="C476" a="1"/>
  <c r="C476" s="1"/>
  <c r="C503" a="1"/>
  <c r="C503" s="1"/>
  <c r="C509" a="1"/>
  <c r="C509" s="1"/>
  <c r="C512" a="1"/>
  <c r="C512" s="1"/>
  <c r="C516" a="1"/>
  <c r="C516" s="1"/>
  <c r="C523" a="1"/>
  <c r="C523" s="1"/>
  <c r="C526" a="1"/>
  <c r="C526" s="1"/>
  <c r="C533" a="1"/>
  <c r="C533" s="1"/>
  <c r="C540" a="1"/>
  <c r="C540" s="1"/>
  <c r="C546" a="1"/>
  <c r="C546" s="1"/>
  <c r="C547" a="1"/>
  <c r="C547" s="1"/>
  <c r="C552" a="1"/>
  <c r="C552" s="1"/>
  <c r="C554" a="1"/>
  <c r="C554" s="1"/>
  <c r="C564" a="1"/>
  <c r="C564" s="1"/>
  <c r="C569" a="1"/>
  <c r="C569" s="1"/>
  <c r="C570" a="1"/>
  <c r="C570" s="1"/>
  <c r="C576" a="1"/>
  <c r="C576" s="1"/>
  <c r="C581" a="1"/>
  <c r="C581" s="1"/>
  <c r="C605" a="1"/>
  <c r="C605" s="1"/>
  <c r="C609" a="1"/>
  <c r="C609" s="1"/>
  <c r="C625" a="1"/>
  <c r="C625" s="1"/>
  <c r="C633" a="1"/>
  <c r="C633" s="1"/>
  <c r="C642" a="1"/>
  <c r="C642" s="1"/>
  <c r="C648" a="1"/>
  <c r="C648" s="1"/>
  <c r="C652" a="1"/>
  <c r="C652" s="1"/>
  <c r="C657" a="1"/>
  <c r="C657" s="1"/>
  <c r="C660" a="1"/>
  <c r="C660" s="1"/>
  <c r="C667" a="1"/>
  <c r="C667" s="1"/>
  <c r="C672" a="1"/>
  <c r="C672" s="1"/>
  <c r="C674" a="1"/>
  <c r="C674" s="1"/>
  <c r="C679" a="1"/>
  <c r="C679" s="1"/>
  <c r="C681" a="1"/>
  <c r="C681" s="1"/>
  <c r="C684" a="1"/>
  <c r="C684" s="1"/>
  <c r="C693" a="1"/>
  <c r="C693" s="1"/>
  <c r="C699" a="1"/>
  <c r="C699" s="1"/>
  <c r="C701" a="1"/>
  <c r="C701" s="1"/>
  <c r="C706" a="1"/>
  <c r="C706" s="1"/>
  <c r="C709" a="1"/>
  <c r="C709" s="1"/>
  <c r="C716" a="1"/>
  <c r="C716" s="1"/>
  <c r="C719" a="1"/>
  <c r="C719" s="1"/>
  <c r="C721" a="1"/>
  <c r="C721" s="1"/>
  <c r="C725" a="1"/>
  <c r="C725" s="1"/>
  <c r="C732" a="1"/>
  <c r="C732" s="1"/>
  <c r="C733" a="1"/>
  <c r="C733" s="1"/>
  <c r="C736" a="1"/>
  <c r="C736" s="1"/>
  <c r="C741" a="1"/>
  <c r="C741" s="1"/>
  <c r="C744" a="1"/>
  <c r="C744" s="1"/>
  <c r="C747" a="1"/>
  <c r="C747" s="1"/>
  <c r="C757" a="1"/>
  <c r="C757" s="1"/>
  <c r="C758" a="1"/>
  <c r="C758" s="1"/>
  <c r="C760" a="1"/>
  <c r="C760" s="1"/>
  <c r="C771" a="1"/>
  <c r="C771" s="1"/>
  <c r="C773" a="1"/>
  <c r="C773" s="1"/>
  <c r="C776" a="1"/>
  <c r="C776" s="1"/>
  <c r="C783" a="1"/>
  <c r="C783" s="1"/>
  <c r="C786" a="1"/>
  <c r="C786" s="1"/>
  <c r="C787" a="1"/>
  <c r="C787" s="1"/>
  <c r="C788" a="1"/>
  <c r="C788" s="1"/>
  <c r="C799" a="1"/>
  <c r="C799" s="1"/>
  <c r="C803" a="1"/>
  <c r="C803" s="1"/>
  <c r="C809" a="1"/>
  <c r="C809" s="1"/>
  <c r="C810" a="1"/>
  <c r="C810" s="1"/>
  <c r="C813" a="1"/>
  <c r="C813" s="1"/>
  <c r="C817" a="1"/>
  <c r="C817" s="1"/>
  <c r="C818" a="1"/>
  <c r="C818" s="1"/>
  <c r="C825" a="1"/>
  <c r="C825" s="1"/>
  <c r="C834" a="1"/>
  <c r="C834" s="1"/>
  <c r="C837" a="1"/>
  <c r="C837" s="1"/>
  <c r="C857" a="1"/>
  <c r="C857" s="1"/>
  <c r="C861" a="1"/>
  <c r="C861" s="1"/>
  <c r="C866" a="1"/>
  <c r="C866" s="1"/>
  <c r="C878" a="1"/>
  <c r="C878" s="1"/>
  <c r="C881" a="1"/>
  <c r="C881" s="1"/>
  <c r="C886" a="1"/>
  <c r="C886" s="1"/>
  <c r="C887" a="1"/>
  <c r="C887" s="1"/>
  <c r="C890" a="1"/>
  <c r="C890" s="1"/>
  <c r="C899" a="1"/>
  <c r="C899" s="1"/>
  <c r="C901" a="1"/>
  <c r="C901" s="1"/>
  <c r="C908" a="1"/>
  <c r="C908" s="1"/>
  <c r="C916" a="1"/>
  <c r="C916" s="1"/>
  <c r="C923" a="1"/>
  <c r="C923" s="1"/>
  <c r="C928" a="1"/>
  <c r="C928" s="1"/>
  <c r="C934" a="1"/>
  <c r="C934" s="1"/>
  <c r="C937" a="1"/>
  <c r="C937" s="1"/>
  <c r="C943" a="1"/>
  <c r="C943" s="1"/>
  <c r="C947" a="1"/>
  <c r="C947" s="1"/>
  <c r="C949" a="1"/>
  <c r="C949" s="1"/>
  <c r="C957" a="1"/>
  <c r="C957" s="1"/>
  <c r="C958" a="1"/>
  <c r="C958" s="1"/>
  <c r="C965" a="1"/>
  <c r="C965" s="1"/>
  <c r="C969" a="1"/>
  <c r="C969" s="1"/>
  <c r="C974" a="1"/>
  <c r="C974" s="1"/>
  <c r="C986" a="1"/>
  <c r="C986" s="1"/>
  <c r="C990" a="1"/>
  <c r="C990" s="1"/>
  <c r="C992" a="1"/>
  <c r="C992" s="1"/>
  <c r="C1002" a="1"/>
  <c r="C1002" s="1"/>
  <c r="C1005" a="1"/>
  <c r="C1005" s="1"/>
  <c r="C1008" a="1"/>
  <c r="C1008" s="1"/>
  <c r="C1012" a="1"/>
  <c r="C1012" s="1"/>
  <c r="C1015" a="1"/>
  <c r="C1015" s="1"/>
  <c r="C1021" a="1"/>
  <c r="C1021" s="1"/>
  <c r="C1023" a="1"/>
  <c r="C1023" s="1"/>
  <c r="C1027" a="1"/>
  <c r="C1027" s="1"/>
  <c r="C1037" a="1"/>
  <c r="C1037" s="1"/>
  <c r="C1038" a="1"/>
  <c r="C1038" s="1"/>
  <c r="C1046" a="1"/>
  <c r="C1046" s="1"/>
  <c r="C1054" a="1"/>
  <c r="C1054" s="1"/>
  <c r="C1062" a="1"/>
  <c r="C1062" s="1"/>
  <c r="C1066" a="1"/>
  <c r="C1066" s="1"/>
  <c r="C1084" a="1"/>
  <c r="C1084" s="1"/>
  <c r="C1091" a="1"/>
  <c r="C1091" s="1"/>
  <c r="C1094" a="1"/>
  <c r="C1094" s="1"/>
  <c r="C1119" a="1"/>
  <c r="C1119" s="1"/>
  <c r="C1122" a="1"/>
  <c r="C1122" s="1"/>
  <c r="C1128" a="1"/>
  <c r="C1128" s="1"/>
  <c r="C1144" a="1"/>
  <c r="C1144" s="1"/>
  <c r="C1149" a="1"/>
  <c r="C1149" s="1"/>
  <c r="C1161" a="1"/>
  <c r="C1161" s="1"/>
  <c r="C1172" a="1"/>
  <c r="C1172" s="1"/>
  <c r="C1184" a="1"/>
  <c r="C1184" s="1"/>
  <c r="C1185" a="1"/>
  <c r="C1185" s="1"/>
  <c r="C1187" a="1"/>
  <c r="C1187" s="1"/>
  <c r="C1188" a="1"/>
  <c r="C1188" s="1"/>
  <c r="C1192" a="1"/>
  <c r="C1192" s="1"/>
  <c r="C1195" a="1"/>
  <c r="C1195" s="1"/>
  <c r="C1197" a="1"/>
  <c r="C1197" s="1"/>
  <c r="C1199" a="1"/>
  <c r="C1199" s="1"/>
  <c r="C1201" a="1"/>
  <c r="C1201" s="1"/>
  <c r="C1203" a="1"/>
  <c r="C1203" s="1"/>
  <c r="C1205" a="1"/>
  <c r="C1205" s="1"/>
  <c r="C1208" a="1"/>
  <c r="C1208" s="1"/>
  <c r="C1217" a="1"/>
  <c r="C1217" s="1"/>
  <c r="C1218" a="1"/>
  <c r="C1218" s="1"/>
  <c r="C1221" a="1"/>
  <c r="C1221" s="1"/>
  <c r="C1229" a="1"/>
  <c r="C1229" s="1"/>
  <c r="C1235" a="1"/>
  <c r="C1235" s="1"/>
  <c r="C1246" a="1"/>
  <c r="C1246" s="1"/>
  <c r="C1248" a="1"/>
  <c r="C1248" s="1"/>
  <c r="C1279" a="1"/>
  <c r="C1279" s="1"/>
  <c r="C1284" a="1"/>
  <c r="C1284" s="1"/>
  <c r="C1289" a="1"/>
  <c r="C1289" s="1"/>
  <c r="C1295" a="1"/>
  <c r="C1295" s="1"/>
  <c r="C1319" a="1"/>
  <c r="C1319" s="1"/>
  <c r="C1321" a="1"/>
  <c r="C1321" s="1"/>
  <c r="C1326" a="1"/>
  <c r="C1326" s="1"/>
  <c r="C1329" a="1"/>
  <c r="C1329" s="1"/>
  <c r="C1330" a="1"/>
  <c r="C1330" s="1"/>
  <c r="C1331" a="1"/>
  <c r="C1331" s="1"/>
  <c r="C1334" a="1"/>
  <c r="C1334" s="1"/>
  <c r="C1339" a="1"/>
  <c r="C1339" s="1"/>
  <c r="C1344" a="1"/>
  <c r="C1344" s="1"/>
  <c r="C1350" a="1"/>
  <c r="C1350" s="1"/>
  <c r="C1351" a="1"/>
  <c r="C1351" s="1"/>
  <c r="C1354" a="1"/>
  <c r="C1354" s="1"/>
  <c r="C1365" a="1"/>
  <c r="C1365" s="1"/>
  <c r="C1374" a="1"/>
  <c r="C1374" s="1"/>
  <c r="C1377" a="1"/>
  <c r="C1377" s="1"/>
  <c r="C1389" a="1"/>
  <c r="C1389" s="1"/>
  <c r="C1397" a="1"/>
  <c r="C1397" s="1"/>
  <c r="C1419" a="1"/>
  <c r="C1419" s="1"/>
  <c r="C1421" a="1"/>
  <c r="C1421" s="1"/>
  <c r="C1441" a="1"/>
  <c r="C1441" s="1"/>
  <c r="C1445" a="1"/>
  <c r="C1445" s="1"/>
  <c r="C1446" a="1"/>
  <c r="C1446" s="1"/>
  <c r="C1464" a="1"/>
  <c r="C1464" s="1"/>
  <c r="C1469" a="1"/>
  <c r="C1469" s="1"/>
  <c r="C1492" a="1"/>
  <c r="C1492" s="1"/>
  <c r="C1497" a="1"/>
  <c r="C1497" s="1"/>
  <c r="C1499" a="1"/>
  <c r="C1499" s="1"/>
  <c r="C1511" a="1"/>
  <c r="C1511" s="1"/>
  <c r="C1515" a="1"/>
  <c r="C1515" s="1"/>
  <c r="C1519" a="1"/>
  <c r="C1519" s="1"/>
  <c r="C1533" a="1"/>
  <c r="C1533" s="1"/>
  <c r="C1550" a="1"/>
  <c r="C1550" s="1"/>
  <c r="C1565" a="1"/>
  <c r="C1565" s="1"/>
  <c r="C1566" a="1"/>
  <c r="C1566" s="1"/>
  <c r="C1567" a="1"/>
  <c r="C1567" s="1"/>
  <c r="C1575" a="1"/>
  <c r="C1575" s="1"/>
  <c r="C1578" a="1"/>
  <c r="C1578" s="1"/>
  <c r="C1582" a="1"/>
  <c r="C1582" s="1"/>
  <c r="C1584" a="1"/>
  <c r="C1584" s="1"/>
  <c r="C1591" a="1"/>
  <c r="C1591" s="1"/>
  <c r="C1592" a="1"/>
  <c r="C1592" s="1"/>
  <c r="C1598" a="1"/>
  <c r="C1598" s="1"/>
  <c r="C1600" a="1"/>
  <c r="C1600" s="1"/>
  <c r="C1605" a="1"/>
  <c r="C1605" s="1"/>
  <c r="C1607" a="1"/>
  <c r="C1607" s="1"/>
  <c r="C1615" a="1"/>
  <c r="C1615" s="1"/>
  <c r="C1623" a="1"/>
  <c r="C1623" s="1"/>
  <c r="C1633" a="1"/>
  <c r="C1633" s="1"/>
  <c r="C1635" a="1"/>
  <c r="C1635" s="1"/>
  <c r="C1654" a="1"/>
  <c r="C1654" s="1"/>
  <c r="C1657" a="1"/>
  <c r="C1657" s="1"/>
  <c r="C1661" a="1"/>
  <c r="C1661" s="1"/>
  <c r="C1662" a="1"/>
  <c r="C1662" s="1"/>
  <c r="C1663" a="1"/>
  <c r="C1663" s="1"/>
  <c r="C1665" a="1"/>
  <c r="C1665" s="1"/>
  <c r="C1688" a="1"/>
  <c r="C1688" s="1"/>
  <c r="C1689" a="1"/>
  <c r="C1689" s="1"/>
  <c r="C1696" a="1"/>
  <c r="C1696" s="1"/>
  <c r="C1697" a="1"/>
  <c r="C1697" s="1"/>
  <c r="C1716" a="1"/>
  <c r="C1716" s="1"/>
  <c r="C1718" a="1"/>
  <c r="C1718" s="1"/>
  <c r="C1719" a="1"/>
  <c r="C1719" s="1"/>
  <c r="C1720" a="1"/>
  <c r="C1720" s="1"/>
  <c r="C1722" a="1"/>
  <c r="C1722" s="1"/>
  <c r="C1723" a="1"/>
  <c r="C1723" s="1"/>
  <c r="C785" a="1"/>
  <c r="C785" s="1"/>
  <c r="C1030" a="1"/>
  <c r="C1030" s="1"/>
  <c r="C1700" a="1"/>
  <c r="C1700" s="1"/>
  <c r="C506" a="1"/>
  <c r="C506" s="1"/>
  <c r="C571" a="1"/>
  <c r="C571" s="1"/>
  <c r="C577" a="1"/>
  <c r="C577" s="1"/>
  <c r="C631" a="1"/>
  <c r="C631" s="1"/>
  <c r="C656" a="1"/>
  <c r="C656" s="1"/>
  <c r="C658" a="1"/>
  <c r="C658" s="1"/>
  <c r="C688" a="1"/>
  <c r="C688" s="1"/>
  <c r="C722" a="1"/>
  <c r="C722" s="1"/>
  <c r="C727" a="1"/>
  <c r="C727" s="1"/>
  <c r="C734" a="1"/>
  <c r="C734" s="1"/>
  <c r="C762" a="1"/>
  <c r="C762" s="1"/>
  <c r="C777" a="1"/>
  <c r="C777" s="1"/>
  <c r="C862" a="1"/>
  <c r="C862" s="1"/>
  <c r="C865" a="1"/>
  <c r="C865" s="1"/>
  <c r="C867" a="1"/>
  <c r="C867" s="1"/>
  <c r="C907" a="1"/>
  <c r="C907" s="1"/>
  <c r="C909" a="1"/>
  <c r="C909" s="1"/>
  <c r="C935" a="1"/>
  <c r="C935" s="1"/>
  <c r="C938" a="1"/>
  <c r="C938" s="1"/>
  <c r="C991" a="1"/>
  <c r="C991" s="1"/>
  <c r="C1067" a="1"/>
  <c r="C1067" s="1"/>
  <c r="C1096" a="1"/>
  <c r="C1096" s="1"/>
  <c r="C1173" a="1"/>
  <c r="C1173" s="1"/>
  <c r="C1230" a="1"/>
  <c r="C1230" s="1"/>
  <c r="C1247" a="1"/>
  <c r="C1247" s="1"/>
  <c r="C1460" a="1"/>
  <c r="C1460" s="1"/>
  <c r="C1493" a="1"/>
  <c r="C1493" s="1"/>
  <c r="C1514" a="1"/>
  <c r="C1514" s="1"/>
  <c r="C1518" a="1"/>
  <c r="C1518" s="1"/>
  <c r="C1536" a="1"/>
  <c r="C1536" s="1"/>
  <c r="C1571" a="1"/>
  <c r="C1571" s="1"/>
  <c r="C1602" a="1"/>
  <c r="C1602" s="1"/>
  <c r="C1608" a="1"/>
  <c r="C1608" s="1"/>
  <c r="C1614" a="1"/>
  <c r="C1614" s="1"/>
  <c r="C1724" a="1"/>
  <c r="C1724" s="1"/>
  <c r="C21" a="1"/>
  <c r="C21" s="1"/>
  <c r="C81" a="1"/>
  <c r="C81" s="1"/>
  <c r="C126" a="1"/>
  <c r="C126" s="1"/>
  <c r="C243" a="1"/>
  <c r="C243" s="1"/>
  <c r="C319" a="1"/>
  <c r="C319" s="1"/>
  <c r="C432" a="1"/>
  <c r="C432" s="1"/>
  <c r="C465" a="1"/>
  <c r="C465" s="1"/>
  <c r="C527" a="1"/>
  <c r="C527" s="1"/>
  <c r="C575" a="1"/>
  <c r="C575" s="1"/>
  <c r="C612" a="1"/>
  <c r="C612" s="1"/>
  <c r="C1130" a="1"/>
  <c r="C1130" s="1"/>
  <c r="C1190" a="1"/>
  <c r="C1190" s="1"/>
  <c r="C1243" a="1"/>
  <c r="C1243" s="1"/>
  <c r="C1522" a="1"/>
  <c r="C1522" s="1"/>
  <c r="C2" a="1"/>
  <c r="C2" s="1"/>
  <c r="C3" a="1"/>
  <c r="C3" s="1"/>
  <c r="C6" a="1"/>
  <c r="C6" s="1"/>
  <c r="C8" a="1"/>
  <c r="C8" s="1"/>
  <c r="C9" a="1"/>
  <c r="C9" s="1"/>
  <c r="C11" a="1"/>
  <c r="C11" s="1"/>
  <c r="C12" a="1"/>
  <c r="C12" s="1"/>
  <c r="C14" a="1"/>
  <c r="C14" s="1"/>
  <c r="C15" a="1"/>
  <c r="C15" s="1"/>
  <c r="C17" a="1"/>
  <c r="C17" s="1"/>
  <c r="C18" a="1"/>
  <c r="C18" s="1"/>
  <c r="C22" a="1"/>
  <c r="C22" s="1"/>
  <c r="C24" a="1"/>
  <c r="C24" s="1"/>
  <c r="C31" a="1"/>
  <c r="C31" s="1"/>
  <c r="C33" a="1"/>
  <c r="C33" s="1"/>
  <c r="C34" a="1"/>
  <c r="C34" s="1"/>
  <c r="C35" a="1"/>
  <c r="C35" s="1"/>
  <c r="C36" a="1"/>
  <c r="C36" s="1"/>
  <c r="C37" a="1"/>
  <c r="C37" s="1"/>
  <c r="C38" a="1"/>
  <c r="C38" s="1"/>
  <c r="C40" a="1"/>
  <c r="C40" s="1"/>
  <c r="C47" a="1"/>
  <c r="C47" s="1"/>
  <c r="C51" a="1"/>
  <c r="C51" s="1"/>
  <c r="C52" a="1"/>
  <c r="C52" s="1"/>
  <c r="C54" a="1"/>
  <c r="C54" s="1"/>
  <c r="C55" a="1"/>
  <c r="C55" s="1"/>
  <c r="C56" a="1"/>
  <c r="C56" s="1"/>
  <c r="C59" a="1"/>
  <c r="C59" s="1"/>
  <c r="C60" a="1"/>
  <c r="C60" s="1"/>
  <c r="C61" a="1"/>
  <c r="C61" s="1"/>
  <c r="C63" a="1"/>
  <c r="C63" s="1"/>
  <c r="C67" a="1"/>
  <c r="C67" s="1"/>
  <c r="C72" a="1"/>
  <c r="C72" s="1"/>
  <c r="C73" a="1"/>
  <c r="C73" s="1"/>
  <c r="C76" a="1"/>
  <c r="C76" s="1"/>
  <c r="C78" a="1"/>
  <c r="C78" s="1"/>
  <c r="C79" a="1"/>
  <c r="C79" s="1"/>
  <c r="C82" a="1"/>
  <c r="C82" s="1"/>
  <c r="C83" a="1"/>
  <c r="C83" s="1"/>
  <c r="C84" a="1"/>
  <c r="C84" s="1"/>
  <c r="C88" a="1"/>
  <c r="C88" s="1"/>
  <c r="C91" a="1"/>
  <c r="C91" s="1"/>
  <c r="C93" a="1"/>
  <c r="C93" s="1"/>
  <c r="C95" a="1"/>
  <c r="C95" s="1"/>
  <c r="C100" a="1"/>
  <c r="C100" s="1"/>
  <c r="C101" a="1"/>
  <c r="C101" s="1"/>
  <c r="C102" a="1"/>
  <c r="C102" s="1"/>
  <c r="C104" a="1"/>
  <c r="C104" s="1"/>
  <c r="C105" a="1"/>
  <c r="C105" s="1"/>
  <c r="C106" a="1"/>
  <c r="C106" s="1"/>
  <c r="C113" a="1"/>
  <c r="C113" s="1"/>
  <c r="C115" a="1"/>
  <c r="C115" s="1"/>
  <c r="C118" a="1"/>
  <c r="C118" s="1"/>
  <c r="C120" a="1"/>
  <c r="C120" s="1"/>
  <c r="C121" a="1"/>
  <c r="C121" s="1"/>
  <c r="C124" a="1"/>
  <c r="C124" s="1"/>
  <c r="C125" a="1"/>
  <c r="C125" s="1"/>
  <c r="C130" a="1"/>
  <c r="C130" s="1"/>
  <c r="C131" a="1"/>
  <c r="C131" s="1"/>
  <c r="C133" a="1"/>
  <c r="C133" s="1"/>
  <c r="C134" a="1"/>
  <c r="C134" s="1"/>
  <c r="C137" a="1"/>
  <c r="C137" s="1"/>
  <c r="C138" a="1"/>
  <c r="C138" s="1"/>
  <c r="C145" a="1"/>
  <c r="C145" s="1"/>
  <c r="C146" a="1"/>
  <c r="C146" s="1"/>
  <c r="C149" a="1"/>
  <c r="C149" s="1"/>
  <c r="C152" a="1"/>
  <c r="C152" s="1"/>
  <c r="C155" a="1"/>
  <c r="C155" s="1"/>
  <c r="C160" a="1"/>
  <c r="C160" s="1"/>
  <c r="C161" a="1"/>
  <c r="C161" s="1"/>
  <c r="C163" a="1"/>
  <c r="C163" s="1"/>
  <c r="C164" a="1"/>
  <c r="C164" s="1"/>
  <c r="C166" a="1"/>
  <c r="C166" s="1"/>
  <c r="C169" a="1"/>
  <c r="C169" s="1"/>
  <c r="C172" a="1"/>
  <c r="C172" s="1"/>
  <c r="C174" a="1"/>
  <c r="C174" s="1"/>
  <c r="C175" a="1"/>
  <c r="C175" s="1"/>
  <c r="C177" a="1"/>
  <c r="C177" s="1"/>
  <c r="C178" a="1"/>
  <c r="C178" s="1"/>
  <c r="C179" a="1"/>
  <c r="C179" s="1"/>
  <c r="C182" a="1"/>
  <c r="C182" s="1"/>
  <c r="C183" a="1"/>
  <c r="C183" s="1"/>
  <c r="C188" a="1"/>
  <c r="C188" s="1"/>
  <c r="C195" a="1"/>
  <c r="C195" s="1"/>
  <c r="C196" a="1"/>
  <c r="C196" s="1"/>
  <c r="C197" a="1"/>
  <c r="C197" s="1"/>
  <c r="C198" a="1"/>
  <c r="C198" s="1"/>
  <c r="C200" a="1"/>
  <c r="C200" s="1"/>
  <c r="C202" a="1"/>
  <c r="C202" s="1"/>
  <c r="C203" a="1"/>
  <c r="C203" s="1"/>
  <c r="C204" a="1"/>
  <c r="C204" s="1"/>
  <c r="C206" a="1"/>
  <c r="C206" s="1"/>
  <c r="C211" a="1"/>
  <c r="C211" s="1"/>
  <c r="C213" a="1"/>
  <c r="C213" s="1"/>
  <c r="C214" a="1"/>
  <c r="C214" s="1"/>
  <c r="C217" a="1"/>
  <c r="C217" s="1"/>
  <c r="C219" a="1"/>
  <c r="C219" s="1"/>
  <c r="C222" a="1"/>
  <c r="C222" s="1"/>
  <c r="C224" a="1"/>
  <c r="C224" s="1"/>
  <c r="C228" a="1"/>
  <c r="C228" s="1"/>
  <c r="C229" a="1"/>
  <c r="C229" s="1"/>
  <c r="C232" a="1"/>
  <c r="C232" s="1"/>
  <c r="C233" a="1"/>
  <c r="C233" s="1"/>
  <c r="C235" a="1"/>
  <c r="C235" s="1"/>
  <c r="C236" a="1"/>
  <c r="C236" s="1"/>
  <c r="C237" a="1"/>
  <c r="C237" s="1"/>
  <c r="C241" a="1"/>
  <c r="C241" s="1"/>
  <c r="C245" a="1"/>
  <c r="C245" s="1"/>
  <c r="C251" a="1"/>
  <c r="C251" s="1"/>
  <c r="C252" a="1"/>
  <c r="C252" s="1"/>
  <c r="C253" a="1"/>
  <c r="C253" s="1"/>
  <c r="C257" a="1"/>
  <c r="C257" s="1"/>
  <c r="C259" a="1"/>
  <c r="C259" s="1"/>
  <c r="C261" a="1"/>
  <c r="C261" s="1"/>
  <c r="C262" a="1"/>
  <c r="C262" s="1"/>
  <c r="C265" a="1"/>
  <c r="C265" s="1"/>
  <c r="C267" a="1"/>
  <c r="C267" s="1"/>
  <c r="C269" a="1"/>
  <c r="C269" s="1"/>
  <c r="C273" a="1"/>
  <c r="C273" s="1"/>
  <c r="C274" a="1"/>
  <c r="C274" s="1"/>
  <c r="C275" a="1"/>
  <c r="C275" s="1"/>
  <c r="C279" a="1"/>
  <c r="C279" s="1"/>
  <c r="C281" a="1"/>
  <c r="C281" s="1"/>
  <c r="C283" a="1"/>
  <c r="C283" s="1"/>
  <c r="C286" a="1"/>
  <c r="C286" s="1"/>
  <c r="C288" a="1"/>
  <c r="C288" s="1"/>
  <c r="C289" a="1"/>
  <c r="C289" s="1"/>
  <c r="C293" a="1"/>
  <c r="C293" s="1"/>
  <c r="C295" a="1"/>
  <c r="C295" s="1"/>
  <c r="C299" a="1"/>
  <c r="C299" s="1"/>
  <c r="C302" a="1"/>
  <c r="C302" s="1"/>
  <c r="C303" a="1"/>
  <c r="C303" s="1"/>
  <c r="C306" a="1"/>
  <c r="C306" s="1"/>
  <c r="C309" a="1"/>
  <c r="C309" s="1"/>
  <c r="C310" a="1"/>
  <c r="C310" s="1"/>
  <c r="C311" a="1"/>
  <c r="C311" s="1"/>
  <c r="C313" a="1"/>
  <c r="C313" s="1"/>
  <c r="C318" a="1"/>
  <c r="C318" s="1"/>
  <c r="C320" a="1"/>
  <c r="C320" s="1"/>
  <c r="C326" a="1"/>
  <c r="C326" s="1"/>
  <c r="C328" a="1"/>
  <c r="C328" s="1"/>
  <c r="C329" a="1"/>
  <c r="C329" s="1"/>
  <c r="C330" a="1"/>
  <c r="C330" s="1"/>
  <c r="C338" a="1"/>
  <c r="C338" s="1"/>
  <c r="C340" a="1"/>
  <c r="C340" s="1"/>
  <c r="C341" a="1"/>
  <c r="C341" s="1"/>
  <c r="C345" a="1"/>
  <c r="C345" s="1"/>
  <c r="C348" a="1"/>
  <c r="C348" s="1"/>
  <c r="C353" a="1"/>
  <c r="C353" s="1"/>
  <c r="C354" a="1"/>
  <c r="C354" s="1"/>
  <c r="C355" a="1"/>
  <c r="C355" s="1"/>
  <c r="C356" a="1"/>
  <c r="C356" s="1"/>
  <c r="C358" a="1"/>
  <c r="C358" s="1"/>
  <c r="C359" a="1"/>
  <c r="C359" s="1"/>
  <c r="C360" a="1"/>
  <c r="C360" s="1"/>
  <c r="C362" a="1"/>
  <c r="C362" s="1"/>
  <c r="C363" a="1"/>
  <c r="C363" s="1"/>
  <c r="C369" a="1"/>
  <c r="C369" s="1"/>
  <c r="C370" a="1"/>
  <c r="C370" s="1"/>
  <c r="C371" a="1"/>
  <c r="C371" s="1"/>
  <c r="C372" a="1"/>
  <c r="C372" s="1"/>
  <c r="C373" a="1"/>
  <c r="C373" s="1"/>
  <c r="C375" a="1"/>
  <c r="C375" s="1"/>
  <c r="C376" a="1"/>
  <c r="C376" s="1"/>
  <c r="C379" a="1"/>
  <c r="C379" s="1"/>
  <c r="C380" a="1"/>
  <c r="C380" s="1"/>
  <c r="C381" a="1"/>
  <c r="C381" s="1"/>
  <c r="C382" a="1"/>
  <c r="C382" s="1"/>
  <c r="C383" a="1"/>
  <c r="C383" s="1"/>
  <c r="C384" a="1"/>
  <c r="C384" s="1"/>
  <c r="C386" a="1"/>
  <c r="C386" s="1"/>
  <c r="C387" a="1"/>
  <c r="C387" s="1"/>
  <c r="C389" a="1"/>
  <c r="C389" s="1"/>
  <c r="C392" a="1"/>
  <c r="C392" s="1"/>
  <c r="C395" a="1"/>
  <c r="C395" s="1"/>
  <c r="C398" a="1"/>
  <c r="C398" s="1"/>
  <c r="C403" a="1"/>
  <c r="C403" s="1"/>
  <c r="C405" a="1"/>
  <c r="C405" s="1"/>
  <c r="C408" a="1"/>
  <c r="C408" s="1"/>
  <c r="C409" a="1"/>
  <c r="C409" s="1"/>
  <c r="C412" a="1"/>
  <c r="C412" s="1"/>
  <c r="C413" a="1"/>
  <c r="C413" s="1"/>
  <c r="C414" a="1"/>
  <c r="C414" s="1"/>
  <c r="C415" a="1"/>
  <c r="C415" s="1"/>
  <c r="C418" a="1"/>
  <c r="C418" s="1"/>
  <c r="C420" a="1"/>
  <c r="C420" s="1"/>
  <c r="C423" a="1"/>
  <c r="C423" s="1"/>
  <c r="C424" a="1"/>
  <c r="C424" s="1"/>
  <c r="C429" a="1"/>
  <c r="C429" s="1"/>
  <c r="C430" a="1"/>
  <c r="C430" s="1"/>
  <c r="C433" a="1"/>
  <c r="C433" s="1"/>
  <c r="C435" a="1"/>
  <c r="C435" s="1"/>
  <c r="C442" a="1"/>
  <c r="C442" s="1"/>
  <c r="C444" a="1"/>
  <c r="C444" s="1"/>
  <c r="C445" a="1"/>
  <c r="C445" s="1"/>
  <c r="C451" a="1"/>
  <c r="C451" s="1"/>
  <c r="C456" a="1"/>
  <c r="C456" s="1"/>
  <c r="C459" a="1"/>
  <c r="C459" s="1"/>
  <c r="C461" a="1"/>
  <c r="C461" s="1"/>
  <c r="C463" a="1"/>
  <c r="C463" s="1"/>
  <c r="C468" a="1"/>
  <c r="C468" s="1"/>
  <c r="C477" a="1"/>
  <c r="C477" s="1"/>
  <c r="C480" a="1"/>
  <c r="C480" s="1"/>
  <c r="C494" a="1"/>
  <c r="C494" s="1"/>
  <c r="C504" a="1"/>
  <c r="C504" s="1"/>
  <c r="C508" a="1"/>
  <c r="C508" s="1"/>
  <c r="C517" a="1"/>
  <c r="C517" s="1"/>
  <c r="C518" a="1"/>
  <c r="C518" s="1"/>
  <c r="C519" a="1"/>
  <c r="C519" s="1"/>
  <c r="C522" a="1"/>
  <c r="C522" s="1"/>
  <c r="C524" a="1"/>
  <c r="C524" s="1"/>
  <c r="C528" a="1"/>
  <c r="C528" s="1"/>
  <c r="C529" a="1"/>
  <c r="C529" s="1"/>
  <c r="C531" a="1"/>
  <c r="C531" s="1"/>
  <c r="C534" a="1"/>
  <c r="C534" s="1"/>
  <c r="C539" a="1"/>
  <c r="C539" s="1"/>
  <c r="C541" a="1"/>
  <c r="C541" s="1"/>
  <c r="C543" a="1"/>
  <c r="C543" s="1"/>
  <c r="C548" a="1"/>
  <c r="C548" s="1"/>
  <c r="C550" a="1"/>
  <c r="C550" s="1"/>
  <c r="C560" a="1"/>
  <c r="C560" s="1"/>
  <c r="C561" a="1"/>
  <c r="C561" s="1"/>
  <c r="C568" a="1"/>
  <c r="C568" s="1"/>
  <c r="C574" a="1"/>
  <c r="C574" s="1"/>
  <c r="C582" a="1"/>
  <c r="C582" s="1"/>
  <c r="C585" a="1"/>
  <c r="C585" s="1"/>
  <c r="C591" a="1"/>
  <c r="C591" s="1"/>
  <c r="C592" a="1"/>
  <c r="C592" s="1"/>
  <c r="C607" a="1"/>
  <c r="C607" s="1"/>
  <c r="C611" a="1"/>
  <c r="C611" s="1"/>
  <c r="C616" a="1"/>
  <c r="C616" s="1"/>
  <c r="C621" a="1"/>
  <c r="C621" s="1"/>
  <c r="C632" a="1"/>
  <c r="C632" s="1"/>
  <c r="C639" a="1"/>
  <c r="C639" s="1"/>
  <c r="C646" a="1"/>
  <c r="C646" s="1"/>
  <c r="C649" a="1"/>
  <c r="C649" s="1"/>
  <c r="C650" a="1"/>
  <c r="C650" s="1"/>
  <c r="C653" a="1"/>
  <c r="C653" s="1"/>
  <c r="C671" a="1"/>
  <c r="C671" s="1"/>
  <c r="C673" a="1"/>
  <c r="C673" s="1"/>
  <c r="C675" a="1"/>
  <c r="C675" s="1"/>
  <c r="C676" a="1"/>
  <c r="C676" s="1"/>
  <c r="C678" a="1"/>
  <c r="C678" s="1"/>
  <c r="C685" a="1"/>
  <c r="C685" s="1"/>
  <c r="C690" a="1"/>
  <c r="C690" s="1"/>
  <c r="C692" a="1"/>
  <c r="C692" s="1"/>
  <c r="C694" a="1"/>
  <c r="C694" s="1"/>
  <c r="C695" a="1"/>
  <c r="C695" s="1"/>
  <c r="C696" a="1"/>
  <c r="C696" s="1"/>
  <c r="C707" a="1"/>
  <c r="C707" s="1"/>
  <c r="C711" a="1"/>
  <c r="C711" s="1"/>
  <c r="C714" a="1"/>
  <c r="C714" s="1"/>
  <c r="C723" a="1"/>
  <c r="C723" s="1"/>
  <c r="C728" a="1"/>
  <c r="C728" s="1"/>
  <c r="C739" a="1"/>
  <c r="C739" s="1"/>
  <c r="C743" a="1"/>
  <c r="C743" s="1"/>
  <c r="C748" a="1"/>
  <c r="C748" s="1"/>
  <c r="C754" a="1"/>
  <c r="C754" s="1"/>
  <c r="C764" a="1"/>
  <c r="C764" s="1"/>
  <c r="C765" a="1"/>
  <c r="C765" s="1"/>
  <c r="C769" a="1"/>
  <c r="C769" s="1"/>
  <c r="C770" a="1"/>
  <c r="C770" s="1"/>
  <c r="C774" a="1"/>
  <c r="C774" s="1"/>
  <c r="C780" a="1"/>
  <c r="C780" s="1"/>
  <c r="C792" a="1"/>
  <c r="C792" s="1"/>
  <c r="C795" a="1"/>
  <c r="C795" s="1"/>
  <c r="C796" a="1"/>
  <c r="C796" s="1"/>
  <c r="C797" a="1"/>
  <c r="C797" s="1"/>
  <c r="C811" a="1"/>
  <c r="C811" s="1"/>
  <c r="C814" a="1"/>
  <c r="C814" s="1"/>
  <c r="C815" a="1"/>
  <c r="C815" s="1"/>
  <c r="C816" a="1"/>
  <c r="C816" s="1"/>
  <c r="C820" a="1"/>
  <c r="C820" s="1"/>
  <c r="C822" a="1"/>
  <c r="C822" s="1"/>
  <c r="C824" a="1"/>
  <c r="C824" s="1"/>
  <c r="C826" a="1"/>
  <c r="C826" s="1"/>
  <c r="C829" a="1"/>
  <c r="C829" s="1"/>
  <c r="C832" a="1"/>
  <c r="C832" s="1"/>
  <c r="C833" a="1"/>
  <c r="C833" s="1"/>
  <c r="C839" a="1"/>
  <c r="C839" s="1"/>
  <c r="C845" a="1"/>
  <c r="C845" s="1"/>
  <c r="C846" a="1"/>
  <c r="C846" s="1"/>
  <c r="C848" a="1"/>
  <c r="C848" s="1"/>
  <c r="C851" a="1"/>
  <c r="C851" s="1"/>
  <c r="C856" a="1"/>
  <c r="C856" s="1"/>
  <c r="C860" a="1"/>
  <c r="C860" s="1"/>
  <c r="C871" a="1"/>
  <c r="C871" s="1"/>
  <c r="C879" a="1"/>
  <c r="C879" s="1"/>
  <c r="C882" a="1"/>
  <c r="C882" s="1"/>
  <c r="C889" a="1"/>
  <c r="C889" s="1"/>
  <c r="C893" a="1"/>
  <c r="C893" s="1"/>
  <c r="C898" a="1"/>
  <c r="C898" s="1"/>
  <c r="C904" a="1"/>
  <c r="C904" s="1"/>
  <c r="C913" a="1"/>
  <c r="C913" s="1"/>
  <c r="C919" a="1"/>
  <c r="C919" s="1"/>
  <c r="C921" a="1"/>
  <c r="C921" s="1"/>
  <c r="C924" a="1"/>
  <c r="C924" s="1"/>
  <c r="C936" a="1"/>
  <c r="C936" s="1"/>
  <c r="C939" a="1"/>
  <c r="C939" s="1"/>
  <c r="C940" a="1"/>
  <c r="C940" s="1"/>
  <c r="C944" a="1"/>
  <c r="C944" s="1"/>
  <c r="C951" a="1"/>
  <c r="C951" s="1"/>
  <c r="C954" a="1"/>
  <c r="C954" s="1"/>
  <c r="C960" a="1"/>
  <c r="C960" s="1"/>
  <c r="C968" a="1"/>
  <c r="C968" s="1"/>
  <c r="C971" a="1"/>
  <c r="C971" s="1"/>
  <c r="C987" a="1"/>
  <c r="C987" s="1"/>
  <c r="C996" a="1"/>
  <c r="C996" s="1"/>
  <c r="C999" a="1"/>
  <c r="C999" s="1"/>
  <c r="C1009" a="1"/>
  <c r="C1009" s="1"/>
  <c r="C1013" a="1"/>
  <c r="C1013" s="1"/>
  <c r="C1014" a="1"/>
  <c r="C1014" s="1"/>
  <c r="C1031" a="1"/>
  <c r="C1031" s="1"/>
  <c r="C1039" a="1"/>
  <c r="C1039" s="1"/>
  <c r="C1047" a="1"/>
  <c r="C1047" s="1"/>
  <c r="C1048" a="1"/>
  <c r="C1048" s="1"/>
  <c r="C1051" a="1"/>
  <c r="C1051" s="1"/>
  <c r="C1058" a="1"/>
  <c r="C1058" s="1"/>
  <c r="C1061" a="1"/>
  <c r="C1061" s="1"/>
  <c r="C1068" a="1"/>
  <c r="C1068" s="1"/>
  <c r="C1075" a="1"/>
  <c r="C1075" s="1"/>
  <c r="C1076" a="1"/>
  <c r="C1076" s="1"/>
  <c r="C1085" a="1"/>
  <c r="C1085" s="1"/>
  <c r="C1097" a="1"/>
  <c r="C1097" s="1"/>
  <c r="C1111" a="1"/>
  <c r="C1111" s="1"/>
  <c r="C1113" a="1"/>
  <c r="C1113" s="1"/>
  <c r="C1114" a="1"/>
  <c r="C1114" s="1"/>
  <c r="C1127" a="1"/>
  <c r="C1127" s="1"/>
  <c r="C1142" a="1"/>
  <c r="C1142" s="1"/>
  <c r="C1145" a="1"/>
  <c r="C1145" s="1"/>
  <c r="C1147" a="1"/>
  <c r="C1147" s="1"/>
  <c r="C1151" a="1"/>
  <c r="C1151" s="1"/>
  <c r="C1152" a="1"/>
  <c r="C1152" s="1"/>
  <c r="C1153" a="1"/>
  <c r="C1153" s="1"/>
  <c r="C1156" a="1"/>
  <c r="C1156" s="1"/>
  <c r="C1162" a="1"/>
  <c r="C1162" s="1"/>
  <c r="C1165" a="1"/>
  <c r="C1165" s="1"/>
  <c r="C1178" a="1"/>
  <c r="C1178" s="1"/>
  <c r="C1182" a="1"/>
  <c r="C1182" s="1"/>
  <c r="C1189" a="1"/>
  <c r="C1189" s="1"/>
  <c r="C1196" a="1"/>
  <c r="C1196" s="1"/>
  <c r="C1198" a="1"/>
  <c r="C1198" s="1"/>
  <c r="C1209" a="1"/>
  <c r="C1209" s="1"/>
  <c r="C1212" a="1"/>
  <c r="C1212" s="1"/>
  <c r="C1215" a="1"/>
  <c r="C1215" s="1"/>
  <c r="C1219" a="1"/>
  <c r="C1219" s="1"/>
  <c r="C1223" a="1"/>
  <c r="C1223" s="1"/>
  <c r="C1233" a="1"/>
  <c r="C1233" s="1"/>
  <c r="C1237" a="1"/>
  <c r="C1237" s="1"/>
  <c r="C1249" a="1"/>
  <c r="C1249" s="1"/>
  <c r="C1263" a="1"/>
  <c r="C1263" s="1"/>
  <c r="C1264" a="1"/>
  <c r="C1264" s="1"/>
  <c r="C1273" a="1"/>
  <c r="C1273" s="1"/>
  <c r="C1280" a="1"/>
  <c r="C1280" s="1"/>
  <c r="C1285" a="1"/>
  <c r="C1285" s="1"/>
  <c r="C1286" a="1"/>
  <c r="C1286" s="1"/>
  <c r="C1294" a="1"/>
  <c r="C1294" s="1"/>
  <c r="C1310" a="1"/>
  <c r="C1310" s="1"/>
  <c r="C1322" a="1"/>
  <c r="C1322" s="1"/>
  <c r="C1323" a="1"/>
  <c r="C1323" s="1"/>
  <c r="C1327" a="1"/>
  <c r="C1327" s="1"/>
  <c r="C1342" a="1"/>
  <c r="C1342" s="1"/>
  <c r="C1357" a="1"/>
  <c r="C1357" s="1"/>
  <c r="C1359" a="1"/>
  <c r="C1359" s="1"/>
  <c r="C1372" a="1"/>
  <c r="C1372" s="1"/>
  <c r="C1386" a="1"/>
  <c r="C1386" s="1"/>
  <c r="C1390" a="1"/>
  <c r="C1390" s="1"/>
  <c r="C1393" a="1"/>
  <c r="C1393" s="1"/>
  <c r="C1408" a="1"/>
  <c r="C1408" s="1"/>
  <c r="C1409" a="1"/>
  <c r="C1409" s="1"/>
  <c r="C1423" a="1"/>
  <c r="C1423" s="1"/>
  <c r="C1435" a="1"/>
  <c r="C1435" s="1"/>
  <c r="C1437" a="1"/>
  <c r="C1437" s="1"/>
  <c r="C1443" a="1"/>
  <c r="C1443" s="1"/>
  <c r="C1449" a="1"/>
  <c r="C1449" s="1"/>
  <c r="C1452" a="1"/>
  <c r="C1452" s="1"/>
  <c r="C1453" a="1"/>
  <c r="C1453" s="1"/>
  <c r="C1455" a="1"/>
  <c r="C1455" s="1"/>
  <c r="C1458" a="1"/>
  <c r="C1458" s="1"/>
  <c r="C1463" a="1"/>
  <c r="C1463" s="1"/>
  <c r="C1465" a="1"/>
  <c r="C1465" s="1"/>
  <c r="C1468" a="1"/>
  <c r="C1468" s="1"/>
  <c r="C1489" a="1"/>
  <c r="C1489" s="1"/>
  <c r="C1490" a="1"/>
  <c r="C1490" s="1"/>
  <c r="C1494" a="1"/>
  <c r="C1494" s="1"/>
  <c r="C1502" a="1"/>
  <c r="C1502" s="1"/>
  <c r="C1508" a="1"/>
  <c r="C1508" s="1"/>
  <c r="C1520" a="1"/>
  <c r="C1520" s="1"/>
  <c r="C1521" a="1"/>
  <c r="C1521" s="1"/>
  <c r="C1523" a="1"/>
  <c r="C1523" s="1"/>
  <c r="C1527" a="1"/>
  <c r="C1527" s="1"/>
  <c r="C1556" a="1"/>
  <c r="C1556" s="1"/>
  <c r="C1561" a="1"/>
  <c r="C1561" s="1"/>
  <c r="C1580" a="1"/>
  <c r="C1580" s="1"/>
  <c r="C1593" a="1"/>
  <c r="C1593" s="1"/>
  <c r="C1595" a="1"/>
  <c r="C1595" s="1"/>
  <c r="C1618" a="1"/>
  <c r="C1618" s="1"/>
  <c r="C1620" a="1"/>
  <c r="C1620" s="1"/>
  <c r="C1632" a="1"/>
  <c r="C1632" s="1"/>
  <c r="C1643" a="1"/>
  <c r="C1643" s="1"/>
  <c r="C1645" a="1"/>
  <c r="C1645" s="1"/>
  <c r="C1650" a="1"/>
  <c r="C1650" s="1"/>
  <c r="C1655" a="1"/>
  <c r="C1655" s="1"/>
  <c r="C1658" a="1"/>
  <c r="C1658" s="1"/>
  <c r="C1660" a="1"/>
  <c r="C1660" s="1"/>
  <c r="C1670" a="1"/>
  <c r="C1670" s="1"/>
  <c r="C1673" a="1"/>
  <c r="C1673" s="1"/>
  <c r="C1676" a="1"/>
  <c r="C1676" s="1"/>
  <c r="C1681" a="1"/>
  <c r="C1681" s="1"/>
  <c r="C483" a="1"/>
  <c r="C483" s="1"/>
  <c r="C513" a="1"/>
  <c r="C513" s="1"/>
  <c r="C599" a="1"/>
  <c r="C599" s="1"/>
  <c r="C654" a="1"/>
  <c r="C654" s="1"/>
  <c r="C980" a="1"/>
  <c r="C980" s="1"/>
  <c r="C1304" a="1"/>
  <c r="C1304" s="1"/>
  <c r="C1427" a="1"/>
  <c r="C1427" s="1"/>
  <c r="C1574" a="1"/>
  <c r="C1574" s="1"/>
  <c r="C484" a="1"/>
  <c r="C484" s="1"/>
  <c r="C501" a="1"/>
  <c r="C501" s="1"/>
  <c r="C637" a="1"/>
  <c r="C637" s="1"/>
  <c r="C778" a="1"/>
  <c r="C778" s="1"/>
  <c r="C830" a="1"/>
  <c r="C830" s="1"/>
  <c r="C981" a="1"/>
  <c r="C981" s="1"/>
  <c r="C1003" a="1"/>
  <c r="C1003" s="1"/>
  <c r="C1158" a="1"/>
  <c r="C1158" s="1"/>
  <c r="C1180" a="1"/>
  <c r="C1180" s="1"/>
  <c r="C1254" a="1"/>
  <c r="C1254" s="1"/>
  <c r="C1270" a="1"/>
  <c r="C1270" s="1"/>
  <c r="C1305" a="1"/>
  <c r="C1305" s="1"/>
  <c r="C1483" a="1"/>
  <c r="C1483" s="1"/>
  <c r="C1548" a="1"/>
  <c r="C1548" s="1"/>
  <c r="C1651" a="1"/>
  <c r="C1651" s="1"/>
  <c r="C1674" a="1"/>
  <c r="C1674" s="1"/>
  <c r="C1504" a="1"/>
  <c r="C1504" s="1"/>
  <c r="C482" a="1"/>
  <c r="C482" s="1"/>
  <c r="C487" a="1"/>
  <c r="C487" s="1"/>
  <c r="C502" a="1"/>
  <c r="C502" s="1"/>
  <c r="C514" a="1"/>
  <c r="C514" s="1"/>
  <c r="C544" a="1"/>
  <c r="C544" s="1"/>
  <c r="C579" a="1"/>
  <c r="C579" s="1"/>
  <c r="C593" a="1"/>
  <c r="C593" s="1"/>
  <c r="C594" a="1"/>
  <c r="C594" s="1"/>
  <c r="C600" a="1"/>
  <c r="C600" s="1"/>
  <c r="C627" a="1"/>
  <c r="C627" s="1"/>
  <c r="C629" a="1"/>
  <c r="C629" s="1"/>
  <c r="C655" a="1"/>
  <c r="C655" s="1"/>
  <c r="C659" a="1"/>
  <c r="C659" s="1"/>
  <c r="C686" a="1"/>
  <c r="C686" s="1"/>
  <c r="C697" a="1"/>
  <c r="C697" s="1"/>
  <c r="C712" a="1"/>
  <c r="C712" s="1"/>
  <c r="C737" a="1"/>
  <c r="C737" s="1"/>
  <c r="C759" a="1"/>
  <c r="C759" s="1"/>
  <c r="C779" a="1"/>
  <c r="C779" s="1"/>
  <c r="C831" a="1"/>
  <c r="C831" s="1"/>
  <c r="C902" a="1"/>
  <c r="C902" s="1"/>
  <c r="C922" a="1"/>
  <c r="C922" s="1"/>
  <c r="C966" a="1"/>
  <c r="C966" s="1"/>
  <c r="C982" a="1"/>
  <c r="C982" s="1"/>
  <c r="C983" a="1"/>
  <c r="C983" s="1"/>
  <c r="C1004" a="1"/>
  <c r="C1004" s="1"/>
  <c r="C1007" a="1"/>
  <c r="C1007" s="1"/>
  <c r="C1010" a="1"/>
  <c r="C1010" s="1"/>
  <c r="C1044" a="1"/>
  <c r="C1044" s="1"/>
  <c r="C1115" a="1"/>
  <c r="C1115" s="1"/>
  <c r="C1136" a="1"/>
  <c r="C1136" s="1"/>
  <c r="C1159" a="1"/>
  <c r="C1159" s="1"/>
  <c r="C1181" a="1"/>
  <c r="C1181" s="1"/>
  <c r="C1255" a="1"/>
  <c r="C1255" s="1"/>
  <c r="C1271" a="1"/>
  <c r="C1271" s="1"/>
  <c r="C1274" a="1"/>
  <c r="C1274" s="1"/>
  <c r="C1281" a="1"/>
  <c r="C1281" s="1"/>
  <c r="C1282" a="1"/>
  <c r="C1282" s="1"/>
  <c r="C1288" a="1"/>
  <c r="C1288" s="1"/>
  <c r="C1306" a="1"/>
  <c r="C1306" s="1"/>
  <c r="C1364" a="1"/>
  <c r="C1364" s="1"/>
  <c r="C1369" a="1"/>
  <c r="C1369" s="1"/>
  <c r="C1387" a="1"/>
  <c r="C1387" s="1"/>
  <c r="C1405" a="1"/>
  <c r="C1405" s="1"/>
  <c r="C1424" a="1"/>
  <c r="C1424" s="1"/>
  <c r="C1425" a="1"/>
  <c r="C1425" s="1"/>
  <c r="C1428" a="1"/>
  <c r="C1428" s="1"/>
  <c r="C1484" a="1"/>
  <c r="C1484" s="1"/>
  <c r="C1549" a="1"/>
  <c r="C1549" s="1"/>
  <c r="C1596" a="1"/>
  <c r="C1596" s="1"/>
  <c r="C1597" a="1"/>
  <c r="C1597" s="1"/>
  <c r="C1652" a="1"/>
  <c r="C1652" s="1"/>
  <c r="C1690" a="1"/>
  <c r="C1690" s="1"/>
  <c r="C1702" a="1"/>
  <c r="C1702" s="1"/>
  <c r="C1709" a="1"/>
  <c r="C1709" s="1"/>
  <c r="C111" a="1"/>
  <c r="C111" s="1"/>
  <c r="C123" a="1"/>
  <c r="C123" s="1"/>
  <c r="C136" a="1"/>
  <c r="C136" s="1"/>
  <c r="C148" a="1"/>
  <c r="C148" s="1"/>
  <c r="C749" a="1"/>
  <c r="C749" s="1"/>
  <c r="C1532" a="1"/>
  <c r="C1532" s="1"/>
  <c r="C19" a="1"/>
  <c r="C19" s="1"/>
  <c r="C20" a="1"/>
  <c r="C20" s="1"/>
  <c r="C25" a="1"/>
  <c r="C25" s="1"/>
  <c r="C26" a="1"/>
  <c r="C26" s="1"/>
  <c r="C28" a="1"/>
  <c r="C28" s="1"/>
  <c r="C29" a="1"/>
  <c r="C29" s="1"/>
  <c r="C41" a="1"/>
  <c r="C41" s="1"/>
  <c r="C46" a="1"/>
  <c r="C46" s="1"/>
  <c r="C58" a="1"/>
  <c r="C58" s="1"/>
  <c r="C62" a="1"/>
  <c r="C62" s="1"/>
  <c r="C64" a="1"/>
  <c r="C64" s="1"/>
  <c r="C65" a="1"/>
  <c r="C65" s="1"/>
  <c r="C68" a="1"/>
  <c r="C68" s="1"/>
  <c r="C69" a="1"/>
  <c r="C69" s="1"/>
  <c r="C71" a="1"/>
  <c r="C71" s="1"/>
  <c r="C77" a="1"/>
  <c r="C77" s="1"/>
  <c r="C98" a="1"/>
  <c r="C98" s="1"/>
  <c r="C103" a="1"/>
  <c r="C103" s="1"/>
  <c r="C109" a="1"/>
  <c r="C109" s="1"/>
  <c r="C116" a="1"/>
  <c r="C116" s="1"/>
  <c r="C122" a="1"/>
  <c r="C122" s="1"/>
  <c r="C135" a="1"/>
  <c r="C135" s="1"/>
  <c r="C139" a="1"/>
  <c r="C139" s="1"/>
  <c r="C141" a="1"/>
  <c r="C141" s="1"/>
  <c r="C147" a="1"/>
  <c r="C147" s="1"/>
  <c r="C151" a="1"/>
  <c r="C151" s="1"/>
  <c r="C154" a="1"/>
  <c r="C154" s="1"/>
  <c r="C180" a="1"/>
  <c r="C180" s="1"/>
  <c r="C184" a="1"/>
  <c r="C184" s="1"/>
  <c r="C189" a="1"/>
  <c r="C189" s="1"/>
  <c r="C190" a="1"/>
  <c r="C190" s="1"/>
  <c r="C193" a="1"/>
  <c r="C193" s="1"/>
  <c r="C205" a="1"/>
  <c r="C205" s="1"/>
  <c r="C208" a="1"/>
  <c r="C208" s="1"/>
  <c r="C209" a="1"/>
  <c r="C209" s="1"/>
  <c r="C221" a="1"/>
  <c r="C221" s="1"/>
  <c r="C225" a="1"/>
  <c r="C225" s="1"/>
  <c r="C230" a="1"/>
  <c r="C230" s="1"/>
  <c r="C231" a="1"/>
  <c r="C231" s="1"/>
  <c r="C239" a="1"/>
  <c r="C239" s="1"/>
  <c r="C242" a="1"/>
  <c r="C242" s="1"/>
  <c r="C244" a="1"/>
  <c r="C244" s="1"/>
  <c r="C255" a="1"/>
  <c r="C255" s="1"/>
  <c r="C263" a="1"/>
  <c r="C263" s="1"/>
  <c r="C266" a="1"/>
  <c r="C266" s="1"/>
  <c r="C270" a="1"/>
  <c r="C270" s="1"/>
  <c r="C278" a="1"/>
  <c r="C278" s="1"/>
  <c r="C287" a="1"/>
  <c r="C287" s="1"/>
  <c r="C291" a="1"/>
  <c r="C291" s="1"/>
  <c r="C304" a="1"/>
  <c r="C304" s="1"/>
  <c r="C331" a="1"/>
  <c r="C331" s="1"/>
  <c r="C446" a="1"/>
  <c r="C446" s="1"/>
  <c r="C478" a="1"/>
  <c r="C478" s="1"/>
  <c r="C603" a="1"/>
  <c r="C603" s="1"/>
  <c r="C664" a="1"/>
  <c r="C664" s="1"/>
  <c r="C668" a="1"/>
  <c r="C668" s="1"/>
  <c r="C710" a="1"/>
  <c r="C710" s="1"/>
  <c r="C742" a="1"/>
  <c r="C742" s="1"/>
  <c r="C793" a="1"/>
  <c r="C793" s="1"/>
  <c r="C858" a="1"/>
  <c r="C858" s="1"/>
  <c r="C868" a="1"/>
  <c r="C868" s="1"/>
  <c r="C930" a="1"/>
  <c r="C930" s="1"/>
  <c r="C962" a="1"/>
  <c r="C962" s="1"/>
  <c r="C1024" a="1"/>
  <c r="C1024" s="1"/>
  <c r="C1081" a="1"/>
  <c r="C1081" s="1"/>
  <c r="C1120" a="1"/>
  <c r="C1120" s="1"/>
  <c r="C1131" a="1"/>
  <c r="C1131" s="1"/>
  <c r="C1155" a="1"/>
  <c r="C1155" s="1"/>
  <c r="C1347" a="1"/>
  <c r="C1347" s="1"/>
  <c r="C1361" a="1"/>
  <c r="C1361" s="1"/>
  <c r="C1454" a="1"/>
  <c r="C1454" s="1"/>
  <c r="C1557" a="1"/>
  <c r="C1557" s="1"/>
  <c r="C1628" a="1"/>
  <c r="C1628" s="1"/>
  <c r="C1675" a="1"/>
  <c r="C1675" s="1"/>
  <c r="C750" a="1"/>
  <c r="C750" s="1"/>
  <c r="C346" a="1"/>
  <c r="C346" s="1"/>
  <c r="C351" a="1"/>
  <c r="C351" s="1"/>
  <c r="C361" a="1"/>
  <c r="C361" s="1"/>
  <c r="C397" a="1"/>
  <c r="C397" s="1"/>
  <c r="C417" a="1"/>
  <c r="C417" s="1"/>
  <c r="C419" a="1"/>
  <c r="C419" s="1"/>
  <c r="C431" a="1"/>
  <c r="C431" s="1"/>
  <c r="C434" a="1"/>
  <c r="C434" s="1"/>
  <c r="C467" a="1"/>
  <c r="C467" s="1"/>
  <c r="C479" a="1"/>
  <c r="C479" s="1"/>
  <c r="C492" a="1"/>
  <c r="C492" s="1"/>
  <c r="C496" a="1"/>
  <c r="C496" s="1"/>
  <c r="C510" a="1"/>
  <c r="C510" s="1"/>
  <c r="C525" a="1"/>
  <c r="C525" s="1"/>
  <c r="C542" a="1"/>
  <c r="C542" s="1"/>
  <c r="C604" a="1"/>
  <c r="C604" s="1"/>
  <c r="C644" a="1"/>
  <c r="C644" s="1"/>
  <c r="C661" a="1"/>
  <c r="C661" s="1"/>
  <c r="C669" a="1"/>
  <c r="C669" s="1"/>
  <c r="C682" a="1"/>
  <c r="C682" s="1"/>
  <c r="C700" a="1"/>
  <c r="C700" s="1"/>
  <c r="C704" a="1"/>
  <c r="C704" s="1"/>
  <c r="C717" a="1"/>
  <c r="C717" s="1"/>
  <c r="C768" a="1"/>
  <c r="C768" s="1"/>
  <c r="C794" a="1"/>
  <c r="C794" s="1"/>
  <c r="C840" a="1"/>
  <c r="C840" s="1"/>
  <c r="C847" a="1"/>
  <c r="C847" s="1"/>
  <c r="C859" a="1"/>
  <c r="C859" s="1"/>
  <c r="C929" a="1"/>
  <c r="C929" s="1"/>
  <c r="C950" a="1"/>
  <c r="C950" s="1"/>
  <c r="C1025" a="1"/>
  <c r="C1025" s="1"/>
  <c r="C1053" a="1"/>
  <c r="C1053" s="1"/>
  <c r="C1072" a="1"/>
  <c r="C1072" s="1"/>
  <c r="C1078" a="1"/>
  <c r="C1078" s="1"/>
  <c r="C1080" a="1"/>
  <c r="C1080" s="1"/>
  <c r="C1082" a="1"/>
  <c r="C1082" s="1"/>
  <c r="C1132" a="1"/>
  <c r="C1132" s="1"/>
  <c r="C1262" a="1"/>
  <c r="C1262" s="1"/>
  <c r="C1272" a="1"/>
  <c r="C1272" s="1"/>
  <c r="C1283" a="1"/>
  <c r="C1283" s="1"/>
  <c r="C1292" a="1"/>
  <c r="C1292" s="1"/>
  <c r="C1335" a="1"/>
  <c r="C1335" s="1"/>
  <c r="C1348" a="1"/>
  <c r="C1348" s="1"/>
  <c r="C1382" a="1"/>
  <c r="C1382" s="1"/>
  <c r="C1451" a="1"/>
  <c r="C1451" s="1"/>
  <c r="C1496" a="1"/>
  <c r="C1496" s="1"/>
  <c r="C1537" a="1"/>
  <c r="C1537" s="1"/>
  <c r="C1562" a="1"/>
  <c r="C1562" s="1"/>
  <c r="C1583" a="1"/>
  <c r="C1583" s="1"/>
  <c r="C1629" a="1"/>
  <c r="C1629" s="1"/>
  <c r="C1642" a="1"/>
  <c r="C1642" s="1"/>
  <c r="C1705" a="1"/>
  <c r="C1705" s="1"/>
  <c r="C1708" a="1"/>
  <c r="C1708" s="1"/>
  <c r="C1711" a="1"/>
  <c r="C1711" s="1"/>
  <c r="C1692" a="1"/>
  <c r="C1692" s="1"/>
  <c r="C1694" a="1"/>
  <c r="C1694" s="1"/>
  <c r="C1701" a="1"/>
  <c r="C1701" s="1"/>
  <c r="C1704" a="1"/>
  <c r="C1704" s="1"/>
  <c r="C1707" a="1"/>
  <c r="C1707" s="1"/>
  <c r="C1712" a="1"/>
  <c r="C1712" s="1"/>
  <c r="C1715" a="1"/>
  <c r="C1715" s="1"/>
  <c r="C1691" a="1"/>
  <c r="C1691" s="1"/>
  <c r="C1703" a="1"/>
  <c r="C1703" s="1"/>
  <c r="C1710" a="1"/>
  <c r="C1710" s="1"/>
  <c r="C491" a="1"/>
  <c r="C491" s="1"/>
  <c r="C798" a="1"/>
  <c r="C798" s="1"/>
  <c r="C440" a="1"/>
  <c r="C440" s="1"/>
  <c r="C471" a="1"/>
  <c r="C471" s="1"/>
  <c r="C481" a="1"/>
  <c r="C481" s="1"/>
  <c r="C488" a="1"/>
  <c r="C488" s="1"/>
  <c r="C497" a="1"/>
  <c r="C497" s="1"/>
  <c r="C536" a="1"/>
  <c r="C536" s="1"/>
  <c r="C545" a="1"/>
  <c r="C545" s="1"/>
  <c r="C555" a="1"/>
  <c r="C555" s="1"/>
  <c r="C565" a="1"/>
  <c r="C565" s="1"/>
  <c r="C595" a="1"/>
  <c r="C595" s="1"/>
  <c r="C602" a="1"/>
  <c r="C602" s="1"/>
  <c r="C613" a="1"/>
  <c r="C613" s="1"/>
  <c r="C618" a="1"/>
  <c r="C618" s="1"/>
  <c r="C670" a="1"/>
  <c r="C670" s="1"/>
  <c r="C729" a="1"/>
  <c r="C729" s="1"/>
  <c r="C789" a="1"/>
  <c r="C789" s="1"/>
  <c r="C801" a="1"/>
  <c r="C801" s="1"/>
  <c r="C808" a="1"/>
  <c r="C808" s="1"/>
  <c r="C823" a="1"/>
  <c r="C823" s="1"/>
  <c r="C838" a="1"/>
  <c r="C838" s="1"/>
  <c r="C843" a="1"/>
  <c r="C843" s="1"/>
  <c r="C869" a="1"/>
  <c r="C869" s="1"/>
  <c r="C872" a="1"/>
  <c r="C872" s="1"/>
  <c r="C891" a="1"/>
  <c r="C891" s="1"/>
  <c r="C894" a="1"/>
  <c r="C894" s="1"/>
  <c r="C896" a="1"/>
  <c r="C896" s="1"/>
  <c r="C900" a="1"/>
  <c r="C900" s="1"/>
  <c r="C910" a="1"/>
  <c r="C910" s="1"/>
  <c r="C914" a="1"/>
  <c r="C914" s="1"/>
  <c r="C946" a="1"/>
  <c r="C946" s="1"/>
  <c r="C953" a="1"/>
  <c r="C953" s="1"/>
  <c r="C1019" a="1"/>
  <c r="C1019" s="1"/>
  <c r="C1032" a="1"/>
  <c r="C1032" s="1"/>
  <c r="C1033" a="1"/>
  <c r="C1033" s="1"/>
  <c r="C1035" a="1"/>
  <c r="C1035" s="1"/>
  <c r="C1055" a="1"/>
  <c r="C1055" s="1"/>
  <c r="C1070" a="1"/>
  <c r="C1070" s="1"/>
  <c r="C1074" a="1"/>
  <c r="C1074" s="1"/>
  <c r="C1087" a="1"/>
  <c r="C1087" s="1"/>
  <c r="C1089" a="1"/>
  <c r="C1089" s="1"/>
  <c r="C1117" a="1"/>
  <c r="C1117" s="1"/>
  <c r="C1133" a="1"/>
  <c r="C1133" s="1"/>
  <c r="C1138" a="1"/>
  <c r="C1138" s="1"/>
  <c r="C1139" a="1"/>
  <c r="C1139" s="1"/>
  <c r="C1174" a="1"/>
  <c r="C1174" s="1"/>
  <c r="C1204" a="1"/>
  <c r="C1204" s="1"/>
  <c r="C1206" a="1"/>
  <c r="C1206" s="1"/>
  <c r="C1337" a="1"/>
  <c r="C1337" s="1"/>
  <c r="C1345" a="1"/>
  <c r="C1345" s="1"/>
  <c r="C1363" a="1"/>
  <c r="C1363" s="1"/>
  <c r="C1370" a="1"/>
  <c r="C1370" s="1"/>
  <c r="C1371" a="1"/>
  <c r="C1371" s="1"/>
  <c r="C1383" a="1"/>
  <c r="C1383" s="1"/>
  <c r="C1426" a="1"/>
  <c r="C1426" s="1"/>
  <c r="C1429" a="1"/>
  <c r="C1429" s="1"/>
  <c r="C1432" a="1"/>
  <c r="C1432" s="1"/>
  <c r="C1551" a="1"/>
  <c r="C1551" s="1"/>
  <c r="C1577" a="1"/>
  <c r="C1577" s="1"/>
  <c r="C1636" a="1"/>
  <c r="C1636" s="1"/>
  <c r="C1659" a="1"/>
  <c r="C1659" s="1"/>
  <c r="C425" a="1"/>
  <c r="C425" s="1"/>
  <c r="C410" a="1"/>
  <c r="C410" s="1"/>
  <c r="C498" a="1"/>
  <c r="C498" s="1"/>
  <c r="C538" a="1"/>
  <c r="C538" s="1"/>
  <c r="C556" a="1"/>
  <c r="C556" s="1"/>
  <c r="C563" a="1"/>
  <c r="C563" s="1"/>
  <c r="C566" a="1"/>
  <c r="C566" s="1"/>
  <c r="C583" a="1"/>
  <c r="C583" s="1"/>
  <c r="C614" a="1"/>
  <c r="C614" s="1"/>
  <c r="C662" a="1"/>
  <c r="C662" s="1"/>
  <c r="C683" a="1"/>
  <c r="C683" s="1"/>
  <c r="C745" a="1"/>
  <c r="C745" s="1"/>
  <c r="C751" a="1"/>
  <c r="C751" s="1"/>
  <c r="C752" a="1"/>
  <c r="C752" s="1"/>
  <c r="C790" a="1"/>
  <c r="C790" s="1"/>
  <c r="C791" a="1"/>
  <c r="C791" s="1"/>
  <c r="C821" a="1"/>
  <c r="C821" s="1"/>
  <c r="C849" a="1"/>
  <c r="C849" s="1"/>
  <c r="C852" a="1"/>
  <c r="C852" s="1"/>
  <c r="C873" a="1"/>
  <c r="C873" s="1"/>
  <c r="C877" a="1"/>
  <c r="C877" s="1"/>
  <c r="C895" a="1"/>
  <c r="C895" s="1"/>
  <c r="C998" a="1"/>
  <c r="C998" s="1"/>
  <c r="C1026" a="1"/>
  <c r="C1026" s="1"/>
  <c r="C1034" a="1"/>
  <c r="C1034" s="1"/>
  <c r="C1090" a="1"/>
  <c r="C1090" s="1"/>
  <c r="C1101" a="1"/>
  <c r="C1101" s="1"/>
  <c r="C1140" a="1"/>
  <c r="C1140" s="1"/>
  <c r="C1213" a="1"/>
  <c r="C1213" s="1"/>
  <c r="C1236" a="1"/>
  <c r="C1236" s="1"/>
  <c r="C1266" a="1"/>
  <c r="C1266" s="1"/>
  <c r="C1316" a="1"/>
  <c r="C1316" s="1"/>
  <c r="C1402" a="1"/>
  <c r="C1402" s="1"/>
  <c r="C1412" a="1"/>
  <c r="C1412" s="1"/>
  <c r="C1474" a="1"/>
  <c r="C1474" s="1"/>
  <c r="C1542" a="1"/>
  <c r="C1542" s="1"/>
  <c r="C1544" a="1"/>
  <c r="C1544" s="1"/>
  <c r="C1552" a="1"/>
  <c r="C1552" s="1"/>
  <c r="C1558" a="1"/>
  <c r="C1558" s="1"/>
  <c r="C1687" a="1"/>
  <c r="C1687" s="1"/>
  <c r="C1717" a="1"/>
  <c r="C1717" s="1"/>
  <c r="C466" a="1"/>
  <c r="C466" s="1"/>
  <c r="C474" a="1"/>
  <c r="C474" s="1"/>
  <c r="C490" a="1"/>
  <c r="C490" s="1"/>
  <c r="C499" a="1"/>
  <c r="C499" s="1"/>
  <c r="C507" a="1"/>
  <c r="C507" s="1"/>
  <c r="C521" a="1"/>
  <c r="C521" s="1"/>
  <c r="C551" a="1"/>
  <c r="C551" s="1"/>
  <c r="C557" a="1"/>
  <c r="C557" s="1"/>
  <c r="C596" a="1"/>
  <c r="C596" s="1"/>
  <c r="C615" a="1"/>
  <c r="C615" s="1"/>
  <c r="C634" a="1"/>
  <c r="C634" s="1"/>
  <c r="C640" a="1"/>
  <c r="C640" s="1"/>
  <c r="C689" a="1"/>
  <c r="C689" s="1"/>
  <c r="C702" a="1"/>
  <c r="C702" s="1"/>
  <c r="C718" a="1"/>
  <c r="C718" s="1"/>
  <c r="C730" a="1"/>
  <c r="C730" s="1"/>
  <c r="C800" a="1"/>
  <c r="C800" s="1"/>
  <c r="C806" a="1"/>
  <c r="C806" s="1"/>
  <c r="C819" a="1"/>
  <c r="C819" s="1"/>
  <c r="C827" a="1"/>
  <c r="C827" s="1"/>
  <c r="C853" a="1"/>
  <c r="C853" s="1"/>
  <c r="C863" a="1"/>
  <c r="C863" s="1"/>
  <c r="C874" a="1"/>
  <c r="C874" s="1"/>
  <c r="C876" a="1"/>
  <c r="C876" s="1"/>
  <c r="C920" a="1"/>
  <c r="C920" s="1"/>
  <c r="C945" a="1"/>
  <c r="C945" s="1"/>
  <c r="C970" a="1"/>
  <c r="C970" s="1"/>
  <c r="C976" a="1"/>
  <c r="C976" s="1"/>
  <c r="C978" a="1"/>
  <c r="C978" s="1"/>
  <c r="C985" a="1"/>
  <c r="C985" s="1"/>
  <c r="C1016" a="1"/>
  <c r="C1016" s="1"/>
  <c r="C1022" a="1"/>
  <c r="C1022" s="1"/>
  <c r="C1040" a="1"/>
  <c r="C1040" s="1"/>
  <c r="C1064" a="1"/>
  <c r="C1064" s="1"/>
  <c r="C1065" a="1"/>
  <c r="C1065" s="1"/>
  <c r="C1079" a="1"/>
  <c r="C1079" s="1"/>
  <c r="C1103" a="1"/>
  <c r="C1103" s="1"/>
  <c r="C1108" a="1"/>
  <c r="C1108" s="1"/>
  <c r="C1124" a="1"/>
  <c r="C1124" s="1"/>
  <c r="C1125" a="1"/>
  <c r="C1125" s="1"/>
  <c r="C1141" a="1"/>
  <c r="C1141" s="1"/>
  <c r="C1183" a="1"/>
  <c r="C1183" s="1"/>
  <c r="C1210" a="1"/>
  <c r="C1210" s="1"/>
  <c r="C1214" a="1"/>
  <c r="C1214" s="1"/>
  <c r="C1258" a="1"/>
  <c r="C1258" s="1"/>
  <c r="C1308" a="1"/>
  <c r="C1308" s="1"/>
  <c r="C1311" a="1"/>
  <c r="C1311" s="1"/>
  <c r="C1315" a="1"/>
  <c r="C1315" s="1"/>
  <c r="C1338" a="1"/>
  <c r="C1338" s="1"/>
  <c r="C1398" a="1"/>
  <c r="C1398" s="1"/>
  <c r="C1431" a="1"/>
  <c r="C1431" s="1"/>
  <c r="C1461" a="1"/>
  <c r="C1461" s="1"/>
  <c r="C1471" a="1"/>
  <c r="C1471" s="1"/>
  <c r="C1485" a="1"/>
  <c r="C1485" s="1"/>
  <c r="C1501" a="1"/>
  <c r="C1501" s="1"/>
  <c r="C1538" a="1"/>
  <c r="C1538" s="1"/>
  <c r="C1543" a="1"/>
  <c r="C1543" s="1"/>
  <c r="C1586" a="1"/>
  <c r="C1586" s="1"/>
  <c r="C1621" a="1"/>
  <c r="C1621" s="1"/>
  <c r="C1671" a="1"/>
  <c r="C1671" s="1"/>
  <c r="C1721" a="1"/>
  <c r="C1721" s="1"/>
  <c r="C1092" a="1"/>
  <c r="C1092" s="1"/>
  <c r="C349" a="1"/>
  <c r="C349" s="1"/>
  <c r="C520" a="1"/>
  <c r="C520" s="1"/>
  <c r="C572" a="1"/>
  <c r="C572" s="1"/>
  <c r="C588" a="1"/>
  <c r="C588" s="1"/>
  <c r="C589" a="1"/>
  <c r="C589" s="1"/>
  <c r="C598" a="1"/>
  <c r="C598" s="1"/>
  <c r="C608" a="1"/>
  <c r="C608" s="1"/>
  <c r="C617" a="1"/>
  <c r="C617" s="1"/>
  <c r="C687" a="1"/>
  <c r="C687" s="1"/>
  <c r="C698" a="1"/>
  <c r="C698" s="1"/>
  <c r="C715" a="1"/>
  <c r="C715" s="1"/>
  <c r="C731" a="1"/>
  <c r="C731" s="1"/>
  <c r="C766" a="1"/>
  <c r="C766" s="1"/>
  <c r="C804" a="1"/>
  <c r="C804" s="1"/>
  <c r="C835" a="1"/>
  <c r="C835" s="1"/>
  <c r="C842" a="1"/>
  <c r="C842" s="1"/>
  <c r="C905" a="1"/>
  <c r="C905" s="1"/>
  <c r="C1042" a="1"/>
  <c r="C1042" s="1"/>
  <c r="C1098" a="1"/>
  <c r="C1098" s="1"/>
  <c r="C1107" a="1"/>
  <c r="C1107" s="1"/>
  <c r="C1194" a="1"/>
  <c r="C1194" s="1"/>
  <c r="C1227" a="1"/>
  <c r="C1227" s="1"/>
  <c r="C1259" a="1"/>
  <c r="C1259" s="1"/>
  <c r="C1265" a="1"/>
  <c r="C1265" s="1"/>
  <c r="C1293" a="1"/>
  <c r="C1293" s="1"/>
  <c r="C1332" a="1"/>
  <c r="C1332" s="1"/>
  <c r="C1391" a="1"/>
  <c r="C1391" s="1"/>
  <c r="C1438" a="1"/>
  <c r="C1438" s="1"/>
  <c r="C1440" a="1"/>
  <c r="C1440" s="1"/>
  <c r="C1466" a="1"/>
  <c r="C1466" s="1"/>
  <c r="C1486" a="1"/>
  <c r="C1486" s="1"/>
  <c r="C1622" a="1"/>
  <c r="C1622" s="1"/>
  <c r="C1677" a="1"/>
  <c r="C1677" s="1"/>
  <c r="C1682" a="1"/>
  <c r="C1682" s="1"/>
  <c r="C1695" a="1"/>
  <c r="C1695" s="1"/>
  <c r="C1725" a="1"/>
  <c r="C1725" s="1"/>
  <c r="C1726" a="1"/>
  <c r="C1726" s="1"/>
  <c r="C1727" a="1"/>
  <c r="C1727" s="1"/>
  <c r="C1728" a="1"/>
  <c r="C1728" s="1"/>
  <c r="C1729" a="1"/>
  <c r="C1729" s="1"/>
  <c r="C1730" a="1"/>
  <c r="C1730" s="1"/>
  <c r="C1731" a="1"/>
  <c r="C1731" s="1"/>
  <c r="C1732" a="1"/>
  <c r="C1732" s="1"/>
  <c r="C1733" a="1"/>
  <c r="C1733" s="1"/>
  <c r="C1734" a="1"/>
  <c r="C1734" s="1"/>
  <c r="C1735" a="1"/>
  <c r="C1735" s="1"/>
  <c r="C1736" a="1"/>
  <c r="C1736" s="1"/>
  <c r="C1737" a="1"/>
  <c r="C1737" s="1"/>
  <c r="C1312" a="1"/>
  <c r="C1312" s="1"/>
  <c r="AK35"/>
  <c r="AK39"/>
  <c r="AK38"/>
  <c r="AG39"/>
  <c r="AG38"/>
  <c r="AC39"/>
  <c r="AC38"/>
  <c r="X1716"/>
  <c r="X1717"/>
  <c r="X1718"/>
  <c r="X1719"/>
  <c r="X1720"/>
  <c r="X1721"/>
  <c r="X1722"/>
  <c r="X1723"/>
  <c r="X1724"/>
  <c r="X1713"/>
  <c r="X1714"/>
  <c r="X1715"/>
  <c r="X1702"/>
  <c r="X1703"/>
  <c r="X1704"/>
  <c r="X1705"/>
  <c r="X1706"/>
  <c r="X1707"/>
  <c r="X1708"/>
  <c r="X1709"/>
  <c r="X1710"/>
  <c r="X1711"/>
  <c r="X1712"/>
  <c r="X1692"/>
  <c r="X1693"/>
  <c r="X1694"/>
  <c r="X1695"/>
  <c r="X1696"/>
  <c r="X1697"/>
  <c r="X1698"/>
  <c r="X1699"/>
  <c r="X1700"/>
  <c r="X1701"/>
  <c r="U1690"/>
  <c r="X1690"/>
  <c r="U1691"/>
  <c r="X1691"/>
  <c r="U1685"/>
  <c r="X1685"/>
  <c r="U1686"/>
  <c r="X1686"/>
  <c r="U1687"/>
  <c r="X1687"/>
  <c r="U1688"/>
  <c r="X1688"/>
  <c r="U1689"/>
  <c r="X1689"/>
  <c r="B1818" i="22" a="1"/>
  <c r="B1818" s="1"/>
  <c r="A1818" a="1"/>
  <c r="A1818" s="1"/>
  <c r="B1817"/>
  <c r="B1817" a="1"/>
  <c r="A1817" a="1"/>
  <c r="A1817" s="1"/>
  <c r="B1816"/>
  <c r="B1816" a="1"/>
  <c r="A1816" a="1"/>
  <c r="A1816" s="1"/>
  <c r="B1815" a="1"/>
  <c r="B1815" s="1"/>
  <c r="A1815"/>
  <c r="A1815" a="1"/>
  <c r="B1814"/>
  <c r="B1814" a="1"/>
  <c r="A1814" a="1"/>
  <c r="A1814" s="1"/>
  <c r="B1813"/>
  <c r="B1813" a="1"/>
  <c r="A1813" a="1"/>
  <c r="A1813" s="1"/>
  <c r="B1812" a="1"/>
  <c r="B1812" s="1"/>
  <c r="A1812" a="1"/>
  <c r="A1812" s="1"/>
  <c r="B1811"/>
  <c r="B1811" a="1"/>
  <c r="A1811" a="1"/>
  <c r="A1811" s="1"/>
  <c r="B1810" a="1"/>
  <c r="B1810" s="1"/>
  <c r="A1810" a="1"/>
  <c r="A1810" s="1"/>
  <c r="B1809" a="1"/>
  <c r="B1809" s="1"/>
  <c r="A1809" a="1"/>
  <c r="A1809" s="1"/>
  <c r="B1808"/>
  <c r="B1808" a="1"/>
  <c r="A1808" a="1"/>
  <c r="A1808" s="1"/>
  <c r="B1807" a="1"/>
  <c r="B1807" s="1"/>
  <c r="A1807" a="1"/>
  <c r="A1807" s="1"/>
  <c r="B1806" a="1"/>
  <c r="B1806" s="1"/>
  <c r="A1806" a="1"/>
  <c r="A1806" s="1"/>
  <c r="B1805" a="1"/>
  <c r="B1805" s="1"/>
  <c r="A1805" a="1"/>
  <c r="A1805" s="1"/>
  <c r="B1804" a="1"/>
  <c r="B1804" s="1"/>
  <c r="A1804" a="1"/>
  <c r="A1804" s="1"/>
  <c r="B1803" a="1"/>
  <c r="B1803" s="1"/>
  <c r="A1803" a="1"/>
  <c r="A1803" s="1"/>
  <c r="B1802"/>
  <c r="B1802" a="1"/>
  <c r="A1802" a="1"/>
  <c r="A1802" s="1"/>
  <c r="B1801" a="1"/>
  <c r="B1801" s="1"/>
  <c r="A1801" a="1"/>
  <c r="A1801" s="1"/>
  <c r="B1800" a="1"/>
  <c r="B1800" s="1"/>
  <c r="A1800" a="1"/>
  <c r="A1800" s="1"/>
  <c r="B1799"/>
  <c r="B1799" a="1"/>
  <c r="A1799" a="1"/>
  <c r="A1799" s="1"/>
  <c r="B1798" a="1"/>
  <c r="B1798" s="1"/>
  <c r="A1798" a="1"/>
  <c r="A1798" s="1"/>
  <c r="B1797" a="1"/>
  <c r="B1797" s="1"/>
  <c r="A1797" a="1"/>
  <c r="A1797" s="1"/>
  <c r="B1796" a="1"/>
  <c r="B1796" s="1"/>
  <c r="A1796" a="1"/>
  <c r="A1796" s="1"/>
  <c r="V1782"/>
  <c r="S1782"/>
  <c r="V1781"/>
  <c r="S1781"/>
  <c r="V1780"/>
  <c r="S1780"/>
  <c r="V1779"/>
  <c r="S1779"/>
  <c r="V1778"/>
  <c r="S1778"/>
  <c r="V1777"/>
  <c r="S1777"/>
  <c r="V1776"/>
  <c r="S1776"/>
  <c r="V1775"/>
  <c r="S1775"/>
  <c r="B2" a="1"/>
  <c r="B2" s="1"/>
  <c r="V1774"/>
  <c r="S1774"/>
  <c r="V1773"/>
  <c r="S1773"/>
  <c r="V1772"/>
  <c r="S1772"/>
  <c r="V1771"/>
  <c r="S1771"/>
  <c r="V1770"/>
  <c r="S1770"/>
  <c r="V1769"/>
  <c r="S1769"/>
  <c r="V1768"/>
  <c r="S1768"/>
  <c r="V1767"/>
  <c r="S1767"/>
  <c r="V1766"/>
  <c r="S1766"/>
  <c r="V1765"/>
  <c r="S1765"/>
  <c r="V1764"/>
  <c r="S1764"/>
  <c r="V1763"/>
  <c r="S1763"/>
  <c r="V1762"/>
  <c r="S1762"/>
  <c r="V1761"/>
  <c r="S1761"/>
  <c r="V1760"/>
  <c r="S1760"/>
  <c r="V1759"/>
  <c r="S1759"/>
  <c r="V1758"/>
  <c r="S1758"/>
  <c r="V1757"/>
  <c r="S1757"/>
  <c r="V1756"/>
  <c r="S1756"/>
  <c r="V1755"/>
  <c r="S1755"/>
  <c r="V1754"/>
  <c r="S1754"/>
  <c r="V1753"/>
  <c r="S1753"/>
  <c r="V1752"/>
  <c r="S1752"/>
  <c r="V1751"/>
  <c r="S1751"/>
  <c r="V1750"/>
  <c r="S1750"/>
  <c r="V1749"/>
  <c r="S1749"/>
  <c r="V1748"/>
  <c r="S1748"/>
  <c r="V1747"/>
  <c r="S1747"/>
  <c r="V1746"/>
  <c r="S1746"/>
  <c r="V1745"/>
  <c r="S1745"/>
  <c r="V1744"/>
  <c r="S1744"/>
  <c r="V1743"/>
  <c r="S1743"/>
  <c r="V1742"/>
  <c r="S1742"/>
  <c r="V1741"/>
  <c r="S1741"/>
  <c r="V1740"/>
  <c r="S1740"/>
  <c r="V1739"/>
  <c r="S1739"/>
  <c r="V1738"/>
  <c r="S1738"/>
  <c r="V1737"/>
  <c r="S1737"/>
  <c r="V1736"/>
  <c r="S1736"/>
  <c r="V1735"/>
  <c r="S1735"/>
  <c r="V1734"/>
  <c r="S1734"/>
  <c r="V1733"/>
  <c r="S1733"/>
  <c r="V1732"/>
  <c r="S1732"/>
  <c r="V1731"/>
  <c r="S1731"/>
  <c r="V1730"/>
  <c r="S1730"/>
  <c r="V1729"/>
  <c r="S1729"/>
  <c r="V1728"/>
  <c r="S1728"/>
  <c r="V1727"/>
  <c r="S1727"/>
  <c r="V1726"/>
  <c r="S1726"/>
  <c r="V1725"/>
  <c r="S1725"/>
  <c r="V1724"/>
  <c r="S1724"/>
  <c r="V1723"/>
  <c r="S1723"/>
  <c r="V1722"/>
  <c r="S1722"/>
  <c r="V1721"/>
  <c r="S1721"/>
  <c r="V1720"/>
  <c r="S1720"/>
  <c r="V1719"/>
  <c r="S1719"/>
  <c r="V1718"/>
  <c r="S1718"/>
  <c r="V1717"/>
  <c r="S1717"/>
  <c r="V1716"/>
  <c r="S1716"/>
  <c r="V1715"/>
  <c r="S1715"/>
  <c r="V1714"/>
  <c r="S1714"/>
  <c r="V1713"/>
  <c r="S1713"/>
  <c r="V1712"/>
  <c r="S1712"/>
  <c r="V1711"/>
  <c r="S1711"/>
  <c r="V1710"/>
  <c r="S1710"/>
  <c r="V1709"/>
  <c r="S1709"/>
  <c r="V1708"/>
  <c r="S1708"/>
  <c r="V1707"/>
  <c r="S1707"/>
  <c r="V1706"/>
  <c r="S1706"/>
  <c r="V1705"/>
  <c r="S1705"/>
  <c r="V1704"/>
  <c r="S1704"/>
  <c r="V1703"/>
  <c r="S1703"/>
  <c r="V1702"/>
  <c r="S1702"/>
  <c r="V1701"/>
  <c r="S1701"/>
  <c r="V1700"/>
  <c r="S1700"/>
  <c r="V1699"/>
  <c r="S1699"/>
  <c r="V1698"/>
  <c r="S1698"/>
  <c r="V1697"/>
  <c r="S1697"/>
  <c r="V1696"/>
  <c r="S1696"/>
  <c r="V1695"/>
  <c r="S1695"/>
  <c r="V1694"/>
  <c r="S1694"/>
  <c r="V1693"/>
  <c r="S1693"/>
  <c r="V1692"/>
  <c r="S1692"/>
  <c r="V1691"/>
  <c r="S1691"/>
  <c r="V1690"/>
  <c r="S1690"/>
  <c r="V1689"/>
  <c r="S1689"/>
  <c r="V1688"/>
  <c r="S1688"/>
  <c r="V1687"/>
  <c r="S1687"/>
  <c r="V1686"/>
  <c r="S1686"/>
  <c r="V1685"/>
  <c r="S1685"/>
  <c r="V1684"/>
  <c r="S1684"/>
  <c r="V1683"/>
  <c r="S1683"/>
  <c r="V1682"/>
  <c r="S1682"/>
  <c r="V1681"/>
  <c r="S1681"/>
  <c r="V1680"/>
  <c r="S1680"/>
  <c r="V1679"/>
  <c r="S1679"/>
  <c r="V1678"/>
  <c r="S1678"/>
  <c r="V1677"/>
  <c r="S1677"/>
  <c r="V1676"/>
  <c r="S1676"/>
  <c r="V1675"/>
  <c r="S1675"/>
  <c r="V1674"/>
  <c r="S1674"/>
  <c r="V1673"/>
  <c r="S1673"/>
  <c r="V1672"/>
  <c r="S1672"/>
  <c r="V1671"/>
  <c r="S1671"/>
  <c r="V1670"/>
  <c r="S1670"/>
  <c r="V1669"/>
  <c r="S1669"/>
  <c r="V1668"/>
  <c r="S1668"/>
  <c r="V1667"/>
  <c r="S1667"/>
  <c r="V1666"/>
  <c r="S1666"/>
  <c r="V1665"/>
  <c r="S1665"/>
  <c r="V1664"/>
  <c r="S1664"/>
  <c r="V1663"/>
  <c r="S1663"/>
  <c r="V1662"/>
  <c r="S1662"/>
  <c r="V1661"/>
  <c r="S1661"/>
  <c r="V1660"/>
  <c r="S1660"/>
  <c r="V1659"/>
  <c r="S1659"/>
  <c r="V1658"/>
  <c r="S1658"/>
  <c r="V1657"/>
  <c r="S1657"/>
  <c r="V1656"/>
  <c r="S1656"/>
  <c r="V1655"/>
  <c r="S1655"/>
  <c r="B64" a="1"/>
  <c r="B64" s="1"/>
  <c r="V1654"/>
  <c r="S1654"/>
  <c r="V1653"/>
  <c r="S1653"/>
  <c r="V1652"/>
  <c r="S1652"/>
  <c r="V1651"/>
  <c r="S1651"/>
  <c r="V1650"/>
  <c r="S1650"/>
  <c r="V1649"/>
  <c r="S1649"/>
  <c r="V1648"/>
  <c r="S1648"/>
  <c r="V1647"/>
  <c r="S1647"/>
  <c r="V1646"/>
  <c r="S1646"/>
  <c r="V1645"/>
  <c r="S1645"/>
  <c r="V1644"/>
  <c r="S1644"/>
  <c r="V1643"/>
  <c r="S1643"/>
  <c r="V1642"/>
  <c r="S1642"/>
  <c r="V1641"/>
  <c r="S1641"/>
  <c r="V1640"/>
  <c r="S1640"/>
  <c r="V1639"/>
  <c r="S1639"/>
  <c r="V1638"/>
  <c r="S1638"/>
  <c r="V1637"/>
  <c r="S1637"/>
  <c r="V1636"/>
  <c r="S1636"/>
  <c r="V1635"/>
  <c r="S1635"/>
  <c r="V1634"/>
  <c r="S1634"/>
  <c r="V1633"/>
  <c r="S1633"/>
  <c r="V1632"/>
  <c r="S1632"/>
  <c r="V1631"/>
  <c r="S1631"/>
  <c r="V1630"/>
  <c r="S1630"/>
  <c r="V1629"/>
  <c r="S1629"/>
  <c r="V1628"/>
  <c r="S1628"/>
  <c r="V1627"/>
  <c r="S1627"/>
  <c r="V1626"/>
  <c r="S1626"/>
  <c r="V1625"/>
  <c r="S1625"/>
  <c r="V1624"/>
  <c r="S1624"/>
  <c r="V1623"/>
  <c r="S1623"/>
  <c r="V1622"/>
  <c r="S1622"/>
  <c r="V1621"/>
  <c r="S1621"/>
  <c r="V1620"/>
  <c r="S1620"/>
  <c r="V1619"/>
  <c r="S1619"/>
  <c r="V1618"/>
  <c r="S1618"/>
  <c r="V1617"/>
  <c r="S1617"/>
  <c r="V1616"/>
  <c r="S1616"/>
  <c r="V1615"/>
  <c r="S1615"/>
  <c r="V1614"/>
  <c r="S1614"/>
  <c r="V1613"/>
  <c r="S1613"/>
  <c r="V1612"/>
  <c r="S1612"/>
  <c r="V1611"/>
  <c r="S1611"/>
  <c r="V1610"/>
  <c r="S1610"/>
  <c r="V1609"/>
  <c r="S1609"/>
  <c r="V1608"/>
  <c r="S1608"/>
  <c r="V1607"/>
  <c r="S1607"/>
  <c r="V1606"/>
  <c r="S1606"/>
  <c r="V1605"/>
  <c r="S1605"/>
  <c r="V1604"/>
  <c r="S1604"/>
  <c r="V1603"/>
  <c r="S1603"/>
  <c r="V1602"/>
  <c r="S1602"/>
  <c r="V1601"/>
  <c r="S1601"/>
  <c r="V1600"/>
  <c r="S1600"/>
  <c r="V1599"/>
  <c r="S1599"/>
  <c r="V1598"/>
  <c r="S1598"/>
  <c r="V1597"/>
  <c r="S1597"/>
  <c r="V1596"/>
  <c r="S1596"/>
  <c r="V1595"/>
  <c r="S1595"/>
  <c r="V1594"/>
  <c r="S1594"/>
  <c r="V1593"/>
  <c r="S1593"/>
  <c r="V1592"/>
  <c r="S1592"/>
  <c r="V1591"/>
  <c r="S1591"/>
  <c r="V1590"/>
  <c r="S1590"/>
  <c r="V1589"/>
  <c r="S1589"/>
  <c r="V1588"/>
  <c r="S1588"/>
  <c r="V1587"/>
  <c r="S1587"/>
  <c r="V1586"/>
  <c r="S1586"/>
  <c r="V1585"/>
  <c r="S1585"/>
  <c r="V1584"/>
  <c r="S1584"/>
  <c r="V1583"/>
  <c r="S1583"/>
  <c r="V1582"/>
  <c r="S1582"/>
  <c r="V1581"/>
  <c r="S1581"/>
  <c r="V1580"/>
  <c r="S1580"/>
  <c r="V1579"/>
  <c r="S1579"/>
  <c r="V1578"/>
  <c r="S1578"/>
  <c r="V1577"/>
  <c r="S1577"/>
  <c r="V1576"/>
  <c r="S1576"/>
  <c r="V1575"/>
  <c r="S1575"/>
  <c r="V1574"/>
  <c r="S1574"/>
  <c r="V1573"/>
  <c r="S1573"/>
  <c r="V1572"/>
  <c r="S1572"/>
  <c r="V1571"/>
  <c r="S1571"/>
  <c r="V1570"/>
  <c r="S1570"/>
  <c r="V1569"/>
  <c r="S1569"/>
  <c r="V1568"/>
  <c r="S1568"/>
  <c r="V1567"/>
  <c r="S1567"/>
  <c r="V1566"/>
  <c r="S1566"/>
  <c r="V1565"/>
  <c r="S1565"/>
  <c r="V1564"/>
  <c r="S1564"/>
  <c r="V1563"/>
  <c r="S1563"/>
  <c r="V1562"/>
  <c r="S1562"/>
  <c r="V1561"/>
  <c r="S1561"/>
  <c r="V1560"/>
  <c r="S1560"/>
  <c r="V1559"/>
  <c r="S1559"/>
  <c r="V1558"/>
  <c r="S1558"/>
  <c r="V1557"/>
  <c r="S1557"/>
  <c r="V1556"/>
  <c r="S1556"/>
  <c r="V1555"/>
  <c r="S1555"/>
  <c r="V1554"/>
  <c r="S1554"/>
  <c r="V1553"/>
  <c r="S1553"/>
  <c r="V1552"/>
  <c r="S1552"/>
  <c r="V1551"/>
  <c r="S1551"/>
  <c r="V1550"/>
  <c r="S1550"/>
  <c r="V1549"/>
  <c r="S1549"/>
  <c r="V1548"/>
  <c r="S1548"/>
  <c r="V1547"/>
  <c r="S1547"/>
  <c r="V1546"/>
  <c r="S1546"/>
  <c r="V1545"/>
  <c r="S1545"/>
  <c r="V1544"/>
  <c r="S1544"/>
  <c r="V1543"/>
  <c r="S1543"/>
  <c r="V1542"/>
  <c r="S1542"/>
  <c r="V1541"/>
  <c r="S1541"/>
  <c r="V1540"/>
  <c r="S1540"/>
  <c r="V1539"/>
  <c r="S1539"/>
  <c r="V1538"/>
  <c r="S1538"/>
  <c r="V1537"/>
  <c r="S1537"/>
  <c r="V1536"/>
  <c r="S1536"/>
  <c r="V1535"/>
  <c r="S1535"/>
  <c r="V1534"/>
  <c r="S1534"/>
  <c r="V1533"/>
  <c r="S1533"/>
  <c r="V1532"/>
  <c r="S1532"/>
  <c r="V1531"/>
  <c r="S1531"/>
  <c r="V1530"/>
  <c r="S1530"/>
  <c r="V1529"/>
  <c r="S1529"/>
  <c r="V1528"/>
  <c r="S1528"/>
  <c r="V1527"/>
  <c r="S1527"/>
  <c r="V1526"/>
  <c r="S1526"/>
  <c r="V1525"/>
  <c r="S1525"/>
  <c r="V1524"/>
  <c r="S1524"/>
  <c r="V1523"/>
  <c r="S1523"/>
  <c r="V1522"/>
  <c r="S1522"/>
  <c r="V1521"/>
  <c r="S1521"/>
  <c r="V1520"/>
  <c r="S1520"/>
  <c r="V1519"/>
  <c r="S1519"/>
  <c r="V1518"/>
  <c r="S1518"/>
  <c r="V1517"/>
  <c r="S1517"/>
  <c r="V1516"/>
  <c r="S1516"/>
  <c r="V1515"/>
  <c r="S1515"/>
  <c r="V1514"/>
  <c r="S1514"/>
  <c r="V1513"/>
  <c r="S1513"/>
  <c r="V1512"/>
  <c r="S1512"/>
  <c r="V1511"/>
  <c r="S1511"/>
  <c r="V1510"/>
  <c r="S1510"/>
  <c r="V1509"/>
  <c r="S1509"/>
  <c r="V1508"/>
  <c r="S1508"/>
  <c r="V1507"/>
  <c r="S1507"/>
  <c r="V1506"/>
  <c r="S1506"/>
  <c r="V1505"/>
  <c r="S1505"/>
  <c r="V1504"/>
  <c r="S1504"/>
  <c r="V1503"/>
  <c r="S1503"/>
  <c r="V1502"/>
  <c r="S1502"/>
  <c r="V1501"/>
  <c r="S1501"/>
  <c r="V1500"/>
  <c r="S1500"/>
  <c r="V1499"/>
  <c r="S1499"/>
  <c r="B57" a="1"/>
  <c r="B57" s="1"/>
  <c r="V1498"/>
  <c r="S1498"/>
  <c r="V1497"/>
  <c r="S1497"/>
  <c r="V1496"/>
  <c r="S1496"/>
  <c r="V1495"/>
  <c r="S1495"/>
  <c r="V1494"/>
  <c r="S1494"/>
  <c r="V1493"/>
  <c r="S1493"/>
  <c r="V1492"/>
  <c r="S1492"/>
  <c r="V1491"/>
  <c r="S1491"/>
  <c r="V1490"/>
  <c r="S1490"/>
  <c r="V1489"/>
  <c r="S1489"/>
  <c r="V1488"/>
  <c r="S1488"/>
  <c r="V1487"/>
  <c r="S1487"/>
  <c r="V1486"/>
  <c r="S1486"/>
  <c r="V1485"/>
  <c r="S1485"/>
  <c r="V1484"/>
  <c r="S1484"/>
  <c r="V1483"/>
  <c r="S1483"/>
  <c r="V1482"/>
  <c r="S1482"/>
  <c r="V1481"/>
  <c r="S1481"/>
  <c r="V1480"/>
  <c r="S1480"/>
  <c r="V1479"/>
  <c r="S1479"/>
  <c r="V1478"/>
  <c r="S1478"/>
  <c r="V1477"/>
  <c r="S1477"/>
  <c r="V1476"/>
  <c r="S1476"/>
  <c r="V1475"/>
  <c r="S1475"/>
  <c r="V1474"/>
  <c r="S1474"/>
  <c r="V1473"/>
  <c r="S1473"/>
  <c r="V1472"/>
  <c r="S1472"/>
  <c r="V1471"/>
  <c r="S1471"/>
  <c r="V1470"/>
  <c r="S1470"/>
  <c r="V1469"/>
  <c r="S1469"/>
  <c r="V1468"/>
  <c r="S1468"/>
  <c r="V1467"/>
  <c r="S1467"/>
  <c r="V1466"/>
  <c r="S1466"/>
  <c r="V1465"/>
  <c r="S1465"/>
  <c r="V1464"/>
  <c r="S1464"/>
  <c r="V1463"/>
  <c r="S1463"/>
  <c r="V1462"/>
  <c r="S1462"/>
  <c r="V1461"/>
  <c r="S1461"/>
  <c r="V1460"/>
  <c r="S1460"/>
  <c r="V1459"/>
  <c r="S1459"/>
  <c r="V1458"/>
  <c r="S1458"/>
  <c r="V1457"/>
  <c r="S1457"/>
  <c r="V1456"/>
  <c r="S1456"/>
  <c r="V1455"/>
  <c r="S1455"/>
  <c r="V1454"/>
  <c r="S1454"/>
  <c r="V1453"/>
  <c r="S1453"/>
  <c r="V1452"/>
  <c r="S1452"/>
  <c r="V1451"/>
  <c r="S1451"/>
  <c r="V1450"/>
  <c r="S1450"/>
  <c r="V1449"/>
  <c r="S1449"/>
  <c r="V1448"/>
  <c r="S1448"/>
  <c r="V1447"/>
  <c r="S1447"/>
  <c r="V1446"/>
  <c r="S1446"/>
  <c r="V1445"/>
  <c r="S1445"/>
  <c r="V1444"/>
  <c r="S1444"/>
  <c r="V1443"/>
  <c r="S1443"/>
  <c r="V1442"/>
  <c r="S1442"/>
  <c r="V1441"/>
  <c r="S1441"/>
  <c r="V1440"/>
  <c r="S1440"/>
  <c r="V1439"/>
  <c r="S1439"/>
  <c r="V1438"/>
  <c r="S1438"/>
  <c r="V1437"/>
  <c r="S1437"/>
  <c r="V1436"/>
  <c r="S1436"/>
  <c r="V1435"/>
  <c r="S1435"/>
  <c r="V1434"/>
  <c r="S1434"/>
  <c r="V1433"/>
  <c r="S1433"/>
  <c r="V1432"/>
  <c r="S1432"/>
  <c r="V1431"/>
  <c r="S1431"/>
  <c r="V1430"/>
  <c r="S1430"/>
  <c r="V1429"/>
  <c r="S1429"/>
  <c r="V1428"/>
  <c r="S1428"/>
  <c r="V1427"/>
  <c r="S1427"/>
  <c r="V1426"/>
  <c r="S1426"/>
  <c r="V1425"/>
  <c r="S1425"/>
  <c r="V1424"/>
  <c r="S1424"/>
  <c r="V1423"/>
  <c r="S1423"/>
  <c r="V1422"/>
  <c r="S1422"/>
  <c r="V1421"/>
  <c r="S1421"/>
  <c r="V1420"/>
  <c r="S1420"/>
  <c r="V1419"/>
  <c r="S1419"/>
  <c r="V1418"/>
  <c r="S1418"/>
  <c r="V1417"/>
  <c r="S1417"/>
  <c r="V1416"/>
  <c r="S1416"/>
  <c r="V1415"/>
  <c r="S1415"/>
  <c r="V1414"/>
  <c r="S1414"/>
  <c r="V1413"/>
  <c r="S1413"/>
  <c r="V1412"/>
  <c r="S1412"/>
  <c r="V1411"/>
  <c r="S1411"/>
  <c r="V1410"/>
  <c r="S1410"/>
  <c r="V1409"/>
  <c r="S1409"/>
  <c r="V1408"/>
  <c r="S1408"/>
  <c r="V1407"/>
  <c r="S1407"/>
  <c r="V1406"/>
  <c r="S1406"/>
  <c r="V1405"/>
  <c r="S1405"/>
  <c r="V1404"/>
  <c r="S1404"/>
  <c r="V1403"/>
  <c r="S1403"/>
  <c r="V1402"/>
  <c r="S1402"/>
  <c r="V1401"/>
  <c r="S1401"/>
  <c r="V1400"/>
  <c r="S1400"/>
  <c r="V1399"/>
  <c r="S1399"/>
  <c r="V1398"/>
  <c r="S1398"/>
  <c r="V1397"/>
  <c r="S1397"/>
  <c r="V1396"/>
  <c r="S1396"/>
  <c r="V1395"/>
  <c r="S1395"/>
  <c r="V1394"/>
  <c r="S1394"/>
  <c r="V1393"/>
  <c r="S1393"/>
  <c r="V1392"/>
  <c r="S1392"/>
  <c r="V1391"/>
  <c r="S1391"/>
  <c r="V1390"/>
  <c r="S1390"/>
  <c r="V1389"/>
  <c r="S1389"/>
  <c r="V1388"/>
  <c r="S1388"/>
  <c r="V1387"/>
  <c r="S1387"/>
  <c r="V1386"/>
  <c r="S1386"/>
  <c r="V1385"/>
  <c r="S1385"/>
  <c r="V1384"/>
  <c r="S1384"/>
  <c r="V1383"/>
  <c r="S1383"/>
  <c r="V1382"/>
  <c r="S1382"/>
  <c r="V1381"/>
  <c r="S1381"/>
  <c r="V1380"/>
  <c r="S1380"/>
  <c r="V1379"/>
  <c r="S1379"/>
  <c r="B54" a="1"/>
  <c r="B54" s="1"/>
  <c r="A54" a="1"/>
  <c r="A54" s="1"/>
  <c r="V1378"/>
  <c r="S1378"/>
  <c r="V1377"/>
  <c r="S1377"/>
  <c r="V1376"/>
  <c r="S1376"/>
  <c r="V1375"/>
  <c r="S1375"/>
  <c r="V1374"/>
  <c r="S1374"/>
  <c r="V1373"/>
  <c r="S1373"/>
  <c r="V1372"/>
  <c r="S1372"/>
  <c r="V1371"/>
  <c r="S1371"/>
  <c r="V1370"/>
  <c r="S1370"/>
  <c r="V1369"/>
  <c r="S1369"/>
  <c r="V1368"/>
  <c r="S1368"/>
  <c r="V1367"/>
  <c r="S1367"/>
  <c r="V1366"/>
  <c r="S1366"/>
  <c r="V1365"/>
  <c r="S1365"/>
  <c r="V1364"/>
  <c r="S1364"/>
  <c r="V1363"/>
  <c r="S1363"/>
  <c r="V1362"/>
  <c r="S1362"/>
  <c r="V1361"/>
  <c r="S1361"/>
  <c r="V1360"/>
  <c r="S1360"/>
  <c r="V1359"/>
  <c r="S1359"/>
  <c r="V1358"/>
  <c r="S1358"/>
  <c r="V1357"/>
  <c r="S1357"/>
  <c r="V1356"/>
  <c r="S1356"/>
  <c r="V1355"/>
  <c r="S1355"/>
  <c r="V1354"/>
  <c r="S1354"/>
  <c r="V1353"/>
  <c r="S1353"/>
  <c r="V1352"/>
  <c r="S1352"/>
  <c r="V1351"/>
  <c r="S1351"/>
  <c r="V1350"/>
  <c r="S1350"/>
  <c r="V1349"/>
  <c r="S1349"/>
  <c r="V1348"/>
  <c r="S1348"/>
  <c r="V1347"/>
  <c r="S1347"/>
  <c r="V1346"/>
  <c r="S1346"/>
  <c r="V1345"/>
  <c r="S1345"/>
  <c r="V1344"/>
  <c r="S1344"/>
  <c r="V1343"/>
  <c r="S1343"/>
  <c r="V1342"/>
  <c r="S1342"/>
  <c r="V1341"/>
  <c r="S1341"/>
  <c r="V1340"/>
  <c r="S1340"/>
  <c r="V1339"/>
  <c r="S1339"/>
  <c r="V1338"/>
  <c r="S1338"/>
  <c r="V1337"/>
  <c r="S1337"/>
  <c r="V1336"/>
  <c r="S1336"/>
  <c r="V1335"/>
  <c r="S1335"/>
  <c r="V1334"/>
  <c r="S1334"/>
  <c r="V1333"/>
  <c r="S1333"/>
  <c r="B8" a="1"/>
  <c r="B8" s="1"/>
  <c r="V1332"/>
  <c r="S1332"/>
  <c r="V1331"/>
  <c r="S1331"/>
  <c r="V1330"/>
  <c r="S1330"/>
  <c r="V1329"/>
  <c r="S1329"/>
  <c r="V1328"/>
  <c r="S1328"/>
  <c r="V1327"/>
  <c r="S1327"/>
  <c r="V1326"/>
  <c r="S1326"/>
  <c r="V1325"/>
  <c r="S1325"/>
  <c r="V1324"/>
  <c r="S1324"/>
  <c r="V1323"/>
  <c r="S1323"/>
  <c r="V1322"/>
  <c r="S1322"/>
  <c r="V1321"/>
  <c r="S1321"/>
  <c r="V1320"/>
  <c r="S1320"/>
  <c r="V1319"/>
  <c r="S1319"/>
  <c r="V1318"/>
  <c r="S1318"/>
  <c r="V1317"/>
  <c r="S1317"/>
  <c r="V1316"/>
  <c r="S1316"/>
  <c r="V1315"/>
  <c r="S1315"/>
  <c r="V1314"/>
  <c r="S1314"/>
  <c r="V1313"/>
  <c r="S1313"/>
  <c r="V1312"/>
  <c r="S1312"/>
  <c r="V1311"/>
  <c r="S1311"/>
  <c r="V1310"/>
  <c r="S1310"/>
  <c r="V1309"/>
  <c r="S1309"/>
  <c r="V1308"/>
  <c r="S1308"/>
  <c r="V1307"/>
  <c r="S1307"/>
  <c r="V1306"/>
  <c r="S1306"/>
  <c r="V1305"/>
  <c r="S1305"/>
  <c r="V1304"/>
  <c r="S1304"/>
  <c r="V1303"/>
  <c r="S1303"/>
  <c r="V1302"/>
  <c r="S1302"/>
  <c r="V1301"/>
  <c r="S1301"/>
  <c r="V1300"/>
  <c r="S1300"/>
  <c r="V1299"/>
  <c r="S1299"/>
  <c r="V1298"/>
  <c r="S1298"/>
  <c r="V1297"/>
  <c r="S1297"/>
  <c r="V1296"/>
  <c r="S1296"/>
  <c r="V1295"/>
  <c r="S1295"/>
  <c r="V1294"/>
  <c r="S1294"/>
  <c r="V1293"/>
  <c r="S1293"/>
  <c r="V1292"/>
  <c r="S1292"/>
  <c r="V1291"/>
  <c r="S1291"/>
  <c r="V1290"/>
  <c r="S1290"/>
  <c r="V1289"/>
  <c r="S1289"/>
  <c r="V1288"/>
  <c r="S1288"/>
  <c r="V1287"/>
  <c r="S1287"/>
  <c r="V1286"/>
  <c r="S1286"/>
  <c r="V1285"/>
  <c r="S1285"/>
  <c r="V1284"/>
  <c r="S1284"/>
  <c r="V1283"/>
  <c r="S1283"/>
  <c r="V1282"/>
  <c r="S1282"/>
  <c r="V1281"/>
  <c r="S1281"/>
  <c r="V1280"/>
  <c r="S1280"/>
  <c r="V1279"/>
  <c r="S1279"/>
  <c r="V1278"/>
  <c r="S1278"/>
  <c r="V1277"/>
  <c r="S1277"/>
  <c r="V1276"/>
  <c r="S1276"/>
  <c r="V1275"/>
  <c r="S1275"/>
  <c r="V1274"/>
  <c r="S1274"/>
  <c r="V1273"/>
  <c r="S1273"/>
  <c r="V1272"/>
  <c r="S1272"/>
  <c r="V1271"/>
  <c r="S1271"/>
  <c r="V1270"/>
  <c r="S1270"/>
  <c r="V1269"/>
  <c r="S1269"/>
  <c r="V1268"/>
  <c r="S1268"/>
  <c r="V1267"/>
  <c r="S1267"/>
  <c r="V1266"/>
  <c r="S1266"/>
  <c r="V1265"/>
  <c r="S1265"/>
  <c r="V1264"/>
  <c r="S1264"/>
  <c r="V1263"/>
  <c r="S1263"/>
  <c r="V1262"/>
  <c r="S1262"/>
  <c r="V1261"/>
  <c r="S1261"/>
  <c r="V1260"/>
  <c r="S1260"/>
  <c r="V1259"/>
  <c r="S1259"/>
  <c r="V1258"/>
  <c r="S1258"/>
  <c r="V1257"/>
  <c r="S1257"/>
  <c r="V1256"/>
  <c r="S1256"/>
  <c r="V1255"/>
  <c r="S1255"/>
  <c r="V1254"/>
  <c r="S1254"/>
  <c r="V1253"/>
  <c r="S1253"/>
  <c r="V1252"/>
  <c r="S1252"/>
  <c r="V1251"/>
  <c r="S1251"/>
  <c r="V1250"/>
  <c r="S1250"/>
  <c r="V1249"/>
  <c r="S1249"/>
  <c r="V1248"/>
  <c r="S1248"/>
  <c r="V1247"/>
  <c r="S1247"/>
  <c r="V1246"/>
  <c r="S1246"/>
  <c r="V1245"/>
  <c r="S1245"/>
  <c r="V1244"/>
  <c r="S1244"/>
  <c r="V1243"/>
  <c r="S1243"/>
  <c r="V1242"/>
  <c r="S1242"/>
  <c r="V1241"/>
  <c r="S1241"/>
  <c r="V1240"/>
  <c r="S1240"/>
  <c r="V1239"/>
  <c r="S1239"/>
  <c r="V1238"/>
  <c r="S1238"/>
  <c r="V1237"/>
  <c r="S1237"/>
  <c r="V1236"/>
  <c r="S1236"/>
  <c r="V1235"/>
  <c r="S1235"/>
  <c r="V1234"/>
  <c r="S1234"/>
  <c r="V1233"/>
  <c r="S1233"/>
  <c r="V1232"/>
  <c r="S1232"/>
  <c r="V1231"/>
  <c r="S1231"/>
  <c r="V1230"/>
  <c r="S1230"/>
  <c r="V1229"/>
  <c r="S1229"/>
  <c r="V1228"/>
  <c r="S1228"/>
  <c r="V1227"/>
  <c r="S1227"/>
  <c r="V1226"/>
  <c r="S1226"/>
  <c r="V1225"/>
  <c r="S1225"/>
  <c r="V1224"/>
  <c r="S1224"/>
  <c r="V1223"/>
  <c r="S1223"/>
  <c r="V1222"/>
  <c r="S1222"/>
  <c r="V1221"/>
  <c r="S1221"/>
  <c r="V1220"/>
  <c r="S1220"/>
  <c r="V1219"/>
  <c r="S1219"/>
  <c r="V1218"/>
  <c r="S1218"/>
  <c r="V1217"/>
  <c r="S1217"/>
  <c r="V1216"/>
  <c r="S1216"/>
  <c r="V1215"/>
  <c r="S1215"/>
  <c r="V1214"/>
  <c r="S1214"/>
  <c r="V1213"/>
  <c r="S1213"/>
  <c r="V1212"/>
  <c r="S1212"/>
  <c r="V1211"/>
  <c r="S1211"/>
  <c r="V1210"/>
  <c r="S1210"/>
  <c r="V1209"/>
  <c r="S1209"/>
  <c r="V1208"/>
  <c r="S1208"/>
  <c r="V1207"/>
  <c r="S1207"/>
  <c r="V1206"/>
  <c r="S1206"/>
  <c r="V1205"/>
  <c r="S1205"/>
  <c r="V1204"/>
  <c r="S1204"/>
  <c r="V1203"/>
  <c r="S1203"/>
  <c r="V1202"/>
  <c r="S1202"/>
  <c r="V1201"/>
  <c r="S1201"/>
  <c r="V1200"/>
  <c r="S1200"/>
  <c r="V1199"/>
  <c r="S1199"/>
  <c r="V1198"/>
  <c r="S1198"/>
  <c r="V1197"/>
  <c r="S1197"/>
  <c r="V1196"/>
  <c r="S1196"/>
  <c r="V1195"/>
  <c r="S1195"/>
  <c r="V1194"/>
  <c r="S1194"/>
  <c r="V1193"/>
  <c r="S1193"/>
  <c r="V1192"/>
  <c r="S1192"/>
  <c r="V1191"/>
  <c r="S1191"/>
  <c r="V1190"/>
  <c r="S1190"/>
  <c r="V1189"/>
  <c r="S1189"/>
  <c r="V1188"/>
  <c r="S1188"/>
  <c r="V1187"/>
  <c r="S1187"/>
  <c r="V1186"/>
  <c r="S1186"/>
  <c r="V1185"/>
  <c r="S1185"/>
  <c r="V1184"/>
  <c r="S1184"/>
  <c r="V1183"/>
  <c r="S1183"/>
  <c r="V1182"/>
  <c r="S1182"/>
  <c r="V1181"/>
  <c r="S1181"/>
  <c r="V1180"/>
  <c r="S1180"/>
  <c r="V1179"/>
  <c r="S1179"/>
  <c r="V1178"/>
  <c r="S1178"/>
  <c r="V1177"/>
  <c r="S1177"/>
  <c r="V1176"/>
  <c r="S1176"/>
  <c r="V1175"/>
  <c r="S1175"/>
  <c r="V1174"/>
  <c r="S1174"/>
  <c r="V1173"/>
  <c r="S1173"/>
  <c r="V1172"/>
  <c r="S1172"/>
  <c r="V1171"/>
  <c r="S1171"/>
  <c r="V1170"/>
  <c r="S1170"/>
  <c r="V1169"/>
  <c r="S1169"/>
  <c r="V1168"/>
  <c r="S1168"/>
  <c r="V1167"/>
  <c r="S1167"/>
  <c r="V1166"/>
  <c r="S1166"/>
  <c r="V1165"/>
  <c r="S1165"/>
  <c r="V1164"/>
  <c r="S1164"/>
  <c r="V1163"/>
  <c r="S1163"/>
  <c r="V1162"/>
  <c r="S1162"/>
  <c r="V1161"/>
  <c r="S1161"/>
  <c r="V1160"/>
  <c r="S1160"/>
  <c r="V1159"/>
  <c r="S1159"/>
  <c r="V1158"/>
  <c r="S1158"/>
  <c r="V1157"/>
  <c r="S1157"/>
  <c r="V1156"/>
  <c r="S1156"/>
  <c r="V1155"/>
  <c r="S1155"/>
  <c r="V1154"/>
  <c r="S1154"/>
  <c r="V1153"/>
  <c r="S1153"/>
  <c r="V1152"/>
  <c r="S1152"/>
  <c r="V1151"/>
  <c r="S1151"/>
  <c r="V1150"/>
  <c r="S1150"/>
  <c r="V1149"/>
  <c r="S1149"/>
  <c r="V1148"/>
  <c r="S1148"/>
  <c r="V1147"/>
  <c r="S1147"/>
  <c r="V1146"/>
  <c r="S1146"/>
  <c r="V1145"/>
  <c r="S1145"/>
  <c r="V1144"/>
  <c r="S1144"/>
  <c r="V1143"/>
  <c r="S1143"/>
  <c r="B40" a="1"/>
  <c r="B40" s="1"/>
  <c r="V1142"/>
  <c r="S1142"/>
  <c r="V1141"/>
  <c r="S1141"/>
  <c r="V1140"/>
  <c r="S1140"/>
  <c r="V1139"/>
  <c r="S1139"/>
  <c r="V1138"/>
  <c r="S1138"/>
  <c r="V1137"/>
  <c r="S1137"/>
  <c r="V1136"/>
  <c r="S1136"/>
  <c r="V1135"/>
  <c r="S1135"/>
  <c r="V1134"/>
  <c r="S1134"/>
  <c r="V1133"/>
  <c r="S1133"/>
  <c r="V1132"/>
  <c r="S1132"/>
  <c r="V1131"/>
  <c r="S1131"/>
  <c r="V1130"/>
  <c r="S1130"/>
  <c r="V1129"/>
  <c r="S1129"/>
  <c r="V1128"/>
  <c r="S1128"/>
  <c r="V1127"/>
  <c r="S1127"/>
  <c r="V1126"/>
  <c r="S1126"/>
  <c r="V1125"/>
  <c r="S1125"/>
  <c r="V1124"/>
  <c r="S1124"/>
  <c r="V1123"/>
  <c r="S1123"/>
  <c r="V1122"/>
  <c r="S1122"/>
  <c r="V1121"/>
  <c r="S1121"/>
  <c r="V1120"/>
  <c r="S1120"/>
  <c r="V1119"/>
  <c r="S1119"/>
  <c r="V1118"/>
  <c r="S1118"/>
  <c r="V1117"/>
  <c r="S1117"/>
  <c r="V1116"/>
  <c r="S1116"/>
  <c r="V1115"/>
  <c r="S1115"/>
  <c r="V1114"/>
  <c r="S1114"/>
  <c r="V1113"/>
  <c r="S1113"/>
  <c r="V1112"/>
  <c r="S1112"/>
  <c r="V1111"/>
  <c r="S1111"/>
  <c r="V1110"/>
  <c r="S1110"/>
  <c r="V1109"/>
  <c r="S1109"/>
  <c r="V1108"/>
  <c r="S1108"/>
  <c r="V1107"/>
  <c r="S1107"/>
  <c r="V1106"/>
  <c r="S1106"/>
  <c r="V1105"/>
  <c r="S1105"/>
  <c r="V1104"/>
  <c r="S1104"/>
  <c r="V1103"/>
  <c r="S1103"/>
  <c r="V1102"/>
  <c r="S1102"/>
  <c r="V1101"/>
  <c r="S1101"/>
  <c r="V1100"/>
  <c r="S1100"/>
  <c r="V1099"/>
  <c r="S1099"/>
  <c r="V1098"/>
  <c r="S1098"/>
  <c r="V1097"/>
  <c r="S1097"/>
  <c r="V1096"/>
  <c r="S1096"/>
  <c r="V1095"/>
  <c r="S1095"/>
  <c r="V1094"/>
  <c r="S1094"/>
  <c r="V1093"/>
  <c r="S1093"/>
  <c r="V1092"/>
  <c r="S1092"/>
  <c r="V1091"/>
  <c r="S1091"/>
  <c r="V1090"/>
  <c r="S1090"/>
  <c r="V1089"/>
  <c r="S1089"/>
  <c r="V1088"/>
  <c r="S1088"/>
  <c r="V1087"/>
  <c r="S1087"/>
  <c r="V1086"/>
  <c r="S1086"/>
  <c r="V1085"/>
  <c r="S1085"/>
  <c r="V1084"/>
  <c r="S1084"/>
  <c r="V1083"/>
  <c r="S1083"/>
  <c r="V1082"/>
  <c r="S1082"/>
  <c r="V1081"/>
  <c r="S1081"/>
  <c r="V1080"/>
  <c r="S1080"/>
  <c r="V1079"/>
  <c r="S1079"/>
  <c r="V1078"/>
  <c r="S1078"/>
  <c r="V1077"/>
  <c r="S1077"/>
  <c r="V1076"/>
  <c r="S1076"/>
  <c r="V1075"/>
  <c r="S1075"/>
  <c r="V1074"/>
  <c r="S1074"/>
  <c r="V1073"/>
  <c r="S1073"/>
  <c r="V1072"/>
  <c r="S1072"/>
  <c r="V1071"/>
  <c r="S1071"/>
  <c r="V1070"/>
  <c r="S1070"/>
  <c r="V1069"/>
  <c r="S1069"/>
  <c r="V1068"/>
  <c r="S1068"/>
  <c r="V1067"/>
  <c r="S1067"/>
  <c r="V1066"/>
  <c r="S1066"/>
  <c r="V1065"/>
  <c r="S1065"/>
  <c r="V1064"/>
  <c r="S1064"/>
  <c r="V1063"/>
  <c r="S1063"/>
  <c r="V1062"/>
  <c r="S1062"/>
  <c r="V1061"/>
  <c r="S1061"/>
  <c r="V1060"/>
  <c r="S1060"/>
  <c r="V1059"/>
  <c r="S1059"/>
  <c r="V1058"/>
  <c r="S1058"/>
  <c r="V1057"/>
  <c r="S1057"/>
  <c r="V1056"/>
  <c r="S1056"/>
  <c r="V1055"/>
  <c r="S1055"/>
  <c r="V1054"/>
  <c r="S1054"/>
  <c r="V1053"/>
  <c r="S1053"/>
  <c r="V1052"/>
  <c r="S1052"/>
  <c r="V1051"/>
  <c r="S1051"/>
  <c r="V1050"/>
  <c r="S1050"/>
  <c r="V1049"/>
  <c r="S1049"/>
  <c r="V1048"/>
  <c r="S1048"/>
  <c r="V1047"/>
  <c r="S1047"/>
  <c r="V1046"/>
  <c r="S1046"/>
  <c r="V1045"/>
  <c r="S1045"/>
  <c r="V1044"/>
  <c r="S1044"/>
  <c r="V1043"/>
  <c r="S1043"/>
  <c r="V1042"/>
  <c r="S1042"/>
  <c r="V1041"/>
  <c r="S1041"/>
  <c r="V1040"/>
  <c r="S1040"/>
  <c r="V1039"/>
  <c r="S1039"/>
  <c r="V1038"/>
  <c r="S1038"/>
  <c r="V1037"/>
  <c r="S1037"/>
  <c r="V1036"/>
  <c r="S1036"/>
  <c r="V1035"/>
  <c r="S1035"/>
  <c r="V1034"/>
  <c r="S1034"/>
  <c r="V1033"/>
  <c r="S1033"/>
  <c r="V1032"/>
  <c r="S1032"/>
  <c r="V1031"/>
  <c r="S1031"/>
  <c r="V1030"/>
  <c r="S1030"/>
  <c r="V1029"/>
  <c r="S1029"/>
  <c r="V1028"/>
  <c r="S1028"/>
  <c r="V1027"/>
  <c r="S1027"/>
  <c r="V1026"/>
  <c r="S1026"/>
  <c r="V1025"/>
  <c r="S1025"/>
  <c r="V1024"/>
  <c r="S1024"/>
  <c r="V1023"/>
  <c r="S1023"/>
  <c r="V1022"/>
  <c r="S1022"/>
  <c r="V1021"/>
  <c r="S1021"/>
  <c r="V1020"/>
  <c r="S1020"/>
  <c r="V1019"/>
  <c r="S1019"/>
  <c r="V1018"/>
  <c r="S1018"/>
  <c r="V1017"/>
  <c r="S1017"/>
  <c r="V1016"/>
  <c r="S1016"/>
  <c r="V1015"/>
  <c r="S1015"/>
  <c r="V1014"/>
  <c r="S1014"/>
  <c r="V1013"/>
  <c r="S1013"/>
  <c r="V1012"/>
  <c r="S1012"/>
  <c r="V1011"/>
  <c r="S1011"/>
  <c r="V1010"/>
  <c r="S1010"/>
  <c r="V1009"/>
  <c r="S1009"/>
  <c r="V1008"/>
  <c r="S1008"/>
  <c r="V1007"/>
  <c r="S1007"/>
  <c r="V1006"/>
  <c r="S1006"/>
  <c r="V1005"/>
  <c r="S1005"/>
  <c r="V1004"/>
  <c r="S1004"/>
  <c r="V1003"/>
  <c r="S1003"/>
  <c r="V1002"/>
  <c r="S1002"/>
  <c r="V1001"/>
  <c r="S1001"/>
  <c r="V1000"/>
  <c r="S1000"/>
  <c r="V999"/>
  <c r="S999"/>
  <c r="V998"/>
  <c r="S998"/>
  <c r="V997"/>
  <c r="S997"/>
  <c r="V996"/>
  <c r="S996"/>
  <c r="V995"/>
  <c r="S995"/>
  <c r="V994"/>
  <c r="S994"/>
  <c r="V993"/>
  <c r="S993"/>
  <c r="V992"/>
  <c r="S992"/>
  <c r="V991"/>
  <c r="S991"/>
  <c r="V990"/>
  <c r="Z37" s="1"/>
  <c r="S990"/>
  <c r="V989"/>
  <c r="S989"/>
  <c r="V988"/>
  <c r="S988"/>
  <c r="V987"/>
  <c r="S987"/>
  <c r="V986"/>
  <c r="S986"/>
  <c r="V985"/>
  <c r="S985"/>
  <c r="V984"/>
  <c r="S984"/>
  <c r="V983"/>
  <c r="S983"/>
  <c r="V982"/>
  <c r="S982"/>
  <c r="V981"/>
  <c r="S981"/>
  <c r="V980"/>
  <c r="S980"/>
  <c r="V979"/>
  <c r="S979"/>
  <c r="V978"/>
  <c r="S978"/>
  <c r="V977"/>
  <c r="S977"/>
  <c r="V976"/>
  <c r="S976"/>
  <c r="V975"/>
  <c r="S975"/>
  <c r="V974"/>
  <c r="S974"/>
  <c r="V973"/>
  <c r="S973"/>
  <c r="V972"/>
  <c r="S972"/>
  <c r="V971"/>
  <c r="S971"/>
  <c r="V970"/>
  <c r="S970"/>
  <c r="V969"/>
  <c r="S969"/>
  <c r="V968"/>
  <c r="S968"/>
  <c r="V967"/>
  <c r="S967"/>
  <c r="V966"/>
  <c r="S966"/>
  <c r="V965"/>
  <c r="S965"/>
  <c r="V964"/>
  <c r="S964"/>
  <c r="V963"/>
  <c r="S963"/>
  <c r="V962"/>
  <c r="S962"/>
  <c r="V961"/>
  <c r="S961"/>
  <c r="V960"/>
  <c r="S960"/>
  <c r="V959"/>
  <c r="S959"/>
  <c r="V958"/>
  <c r="S958"/>
  <c r="V957"/>
  <c r="S957"/>
  <c r="V956"/>
  <c r="S956"/>
  <c r="V955"/>
  <c r="S955"/>
  <c r="V954"/>
  <c r="S954"/>
  <c r="V953"/>
  <c r="S953"/>
  <c r="V952"/>
  <c r="S952"/>
  <c r="V951"/>
  <c r="S951"/>
  <c r="V950"/>
  <c r="S950"/>
  <c r="V949"/>
  <c r="S949"/>
  <c r="V948"/>
  <c r="S948"/>
  <c r="V947"/>
  <c r="S947"/>
  <c r="V946"/>
  <c r="S946"/>
  <c r="V945"/>
  <c r="S945"/>
  <c r="V944"/>
  <c r="S944"/>
  <c r="V943"/>
  <c r="S943"/>
  <c r="V942"/>
  <c r="S942"/>
  <c r="V941"/>
  <c r="S941"/>
  <c r="V940"/>
  <c r="S940"/>
  <c r="V939"/>
  <c r="S939"/>
  <c r="V938"/>
  <c r="S938"/>
  <c r="V937"/>
  <c r="S937"/>
  <c r="V936"/>
  <c r="S936"/>
  <c r="V935"/>
  <c r="S935"/>
  <c r="V934"/>
  <c r="S934"/>
  <c r="V933"/>
  <c r="S933"/>
  <c r="V932"/>
  <c r="S932"/>
  <c r="V931"/>
  <c r="S931"/>
  <c r="V930"/>
  <c r="S930"/>
  <c r="V929"/>
  <c r="S929"/>
  <c r="V928"/>
  <c r="S928"/>
  <c r="V927"/>
  <c r="S927"/>
  <c r="V926"/>
  <c r="S926"/>
  <c r="V925"/>
  <c r="S925"/>
  <c r="V924"/>
  <c r="S924"/>
  <c r="V923"/>
  <c r="S923"/>
  <c r="V922"/>
  <c r="S922"/>
  <c r="V921"/>
  <c r="S921"/>
  <c r="V920"/>
  <c r="S920"/>
  <c r="V919"/>
  <c r="S919"/>
  <c r="V918"/>
  <c r="S918"/>
  <c r="V917"/>
  <c r="S917"/>
  <c r="V916"/>
  <c r="S916"/>
  <c r="V915"/>
  <c r="S915"/>
  <c r="V914"/>
  <c r="S914"/>
  <c r="V913"/>
  <c r="S913"/>
  <c r="V912"/>
  <c r="S912"/>
  <c r="V911"/>
  <c r="S911"/>
  <c r="V910"/>
  <c r="S910"/>
  <c r="V909"/>
  <c r="S909"/>
  <c r="V908"/>
  <c r="S908"/>
  <c r="V907"/>
  <c r="S907"/>
  <c r="V906"/>
  <c r="S906"/>
  <c r="V905"/>
  <c r="S905"/>
  <c r="V904"/>
  <c r="S904"/>
  <c r="V903"/>
  <c r="S903"/>
  <c r="V902"/>
  <c r="S902"/>
  <c r="V901"/>
  <c r="S901"/>
  <c r="V900"/>
  <c r="S900"/>
  <c r="V899"/>
  <c r="S899"/>
  <c r="V898"/>
  <c r="S898"/>
  <c r="V897"/>
  <c r="S897"/>
  <c r="V896"/>
  <c r="S896"/>
  <c r="V895"/>
  <c r="S895"/>
  <c r="V894"/>
  <c r="S894"/>
  <c r="V893"/>
  <c r="S893"/>
  <c r="V892"/>
  <c r="S892"/>
  <c r="V891"/>
  <c r="S891"/>
  <c r="V890"/>
  <c r="S890"/>
  <c r="V889"/>
  <c r="S889"/>
  <c r="V888"/>
  <c r="S888"/>
  <c r="V887"/>
  <c r="S887"/>
  <c r="V886"/>
  <c r="S886"/>
  <c r="V885"/>
  <c r="S885"/>
  <c r="V884"/>
  <c r="S884"/>
  <c r="V883"/>
  <c r="S883"/>
  <c r="V882"/>
  <c r="S882"/>
  <c r="V881"/>
  <c r="S881"/>
  <c r="V880"/>
  <c r="S880"/>
  <c r="V879"/>
  <c r="S879"/>
  <c r="V878"/>
  <c r="S878"/>
  <c r="V877"/>
  <c r="S877"/>
  <c r="V876"/>
  <c r="S876"/>
  <c r="V875"/>
  <c r="S875"/>
  <c r="V874"/>
  <c r="S874"/>
  <c r="V873"/>
  <c r="S873"/>
  <c r="V872"/>
  <c r="S872"/>
  <c r="V871"/>
  <c r="S871"/>
  <c r="V870"/>
  <c r="S870"/>
  <c r="V869"/>
  <c r="S869"/>
  <c r="V868"/>
  <c r="S868"/>
  <c r="V867"/>
  <c r="S867"/>
  <c r="V866"/>
  <c r="S866"/>
  <c r="V865"/>
  <c r="S865"/>
  <c r="V864"/>
  <c r="S864"/>
  <c r="V863"/>
  <c r="S863"/>
  <c r="V862"/>
  <c r="S862"/>
  <c r="V861"/>
  <c r="S861"/>
  <c r="V860"/>
  <c r="S860"/>
  <c r="V859"/>
  <c r="S859"/>
  <c r="V858"/>
  <c r="S858"/>
  <c r="V857"/>
  <c r="S857"/>
  <c r="V856"/>
  <c r="S856"/>
  <c r="V855"/>
  <c r="S855"/>
  <c r="V854"/>
  <c r="S854"/>
  <c r="V853"/>
  <c r="S853"/>
  <c r="V852"/>
  <c r="S852"/>
  <c r="V851"/>
  <c r="S851"/>
  <c r="V850"/>
  <c r="S850"/>
  <c r="V849"/>
  <c r="S849"/>
  <c r="V848"/>
  <c r="S848"/>
  <c r="V847"/>
  <c r="S847"/>
  <c r="V846"/>
  <c r="S846"/>
  <c r="V845"/>
  <c r="S845"/>
  <c r="V844"/>
  <c r="S844"/>
  <c r="V843"/>
  <c r="S843"/>
  <c r="V842"/>
  <c r="S842"/>
  <c r="V841"/>
  <c r="S841"/>
  <c r="V840"/>
  <c r="S840"/>
  <c r="V839"/>
  <c r="S839"/>
  <c r="V838"/>
  <c r="S838"/>
  <c r="V837"/>
  <c r="S837"/>
  <c r="V836"/>
  <c r="S836"/>
  <c r="V835"/>
  <c r="S835"/>
  <c r="V834"/>
  <c r="S834"/>
  <c r="V833"/>
  <c r="S833"/>
  <c r="V832"/>
  <c r="S832"/>
  <c r="V831"/>
  <c r="S831"/>
  <c r="V830"/>
  <c r="S830"/>
  <c r="V829"/>
  <c r="S829"/>
  <c r="V828"/>
  <c r="S828"/>
  <c r="V827"/>
  <c r="S827"/>
  <c r="V826"/>
  <c r="S826"/>
  <c r="V825"/>
  <c r="S825"/>
  <c r="V824"/>
  <c r="S824"/>
  <c r="V823"/>
  <c r="S823"/>
  <c r="V822"/>
  <c r="S822"/>
  <c r="V821"/>
  <c r="S821"/>
  <c r="V820"/>
  <c r="S820"/>
  <c r="V819"/>
  <c r="S819"/>
  <c r="V818"/>
  <c r="S818"/>
  <c r="V817"/>
  <c r="S817"/>
  <c r="V816"/>
  <c r="S816"/>
  <c r="V815"/>
  <c r="S815"/>
  <c r="B37" a="1"/>
  <c r="B37" s="1"/>
  <c r="V814"/>
  <c r="S814"/>
  <c r="V813"/>
  <c r="S813"/>
  <c r="V812"/>
  <c r="S812"/>
  <c r="V811"/>
  <c r="S811"/>
  <c r="V810"/>
  <c r="S810"/>
  <c r="V809"/>
  <c r="S809"/>
  <c r="V808"/>
  <c r="S808"/>
  <c r="V807"/>
  <c r="S807"/>
  <c r="V806"/>
  <c r="S806"/>
  <c r="V805"/>
  <c r="S805"/>
  <c r="V804"/>
  <c r="S804"/>
  <c r="V803"/>
  <c r="S803"/>
  <c r="V802"/>
  <c r="S802"/>
  <c r="V801"/>
  <c r="S801"/>
  <c r="V800"/>
  <c r="S800"/>
  <c r="V799"/>
  <c r="S799"/>
  <c r="V798"/>
  <c r="S798"/>
  <c r="V797"/>
  <c r="S797"/>
  <c r="B44" a="1"/>
  <c r="B44" s="1"/>
  <c r="V796"/>
  <c r="S796"/>
  <c r="V795"/>
  <c r="S795"/>
  <c r="V794"/>
  <c r="S794"/>
  <c r="V793"/>
  <c r="S793"/>
  <c r="V792"/>
  <c r="S792"/>
  <c r="V791"/>
  <c r="S791"/>
  <c r="V790"/>
  <c r="S790"/>
  <c r="V789"/>
  <c r="S789"/>
  <c r="V788"/>
  <c r="S788"/>
  <c r="V787"/>
  <c r="S787"/>
  <c r="V786"/>
  <c r="S786"/>
  <c r="V785"/>
  <c r="S785"/>
  <c r="V784"/>
  <c r="S784"/>
  <c r="V783"/>
  <c r="S783"/>
  <c r="V782"/>
  <c r="S782"/>
  <c r="V781"/>
  <c r="S781"/>
  <c r="V780"/>
  <c r="S780"/>
  <c r="V779"/>
  <c r="S779"/>
  <c r="V778"/>
  <c r="S778"/>
  <c r="V777"/>
  <c r="S777"/>
  <c r="V776"/>
  <c r="S776"/>
  <c r="V775"/>
  <c r="S775"/>
  <c r="V774"/>
  <c r="S774"/>
  <c r="V773"/>
  <c r="S773"/>
  <c r="V772"/>
  <c r="S772"/>
  <c r="V771"/>
  <c r="S771"/>
  <c r="V770"/>
  <c r="S770"/>
  <c r="V769"/>
  <c r="S769"/>
  <c r="V768"/>
  <c r="S768"/>
  <c r="V767"/>
  <c r="S767"/>
  <c r="V766"/>
  <c r="S766"/>
  <c r="V765"/>
  <c r="S765"/>
  <c r="V764"/>
  <c r="S764"/>
  <c r="V763"/>
  <c r="S763"/>
  <c r="V762"/>
  <c r="S762"/>
  <c r="V761"/>
  <c r="S761"/>
  <c r="V760"/>
  <c r="S760"/>
  <c r="V759"/>
  <c r="S759"/>
  <c r="V758"/>
  <c r="S758"/>
  <c r="V757"/>
  <c r="S757"/>
  <c r="V756"/>
  <c r="S756"/>
  <c r="V755"/>
  <c r="S755"/>
  <c r="V754"/>
  <c r="S754"/>
  <c r="V753"/>
  <c r="S753"/>
  <c r="V752"/>
  <c r="S752"/>
  <c r="V751"/>
  <c r="S751"/>
  <c r="V750"/>
  <c r="S750"/>
  <c r="V749"/>
  <c r="S749"/>
  <c r="V748"/>
  <c r="S748"/>
  <c r="V747"/>
  <c r="S747"/>
  <c r="V746"/>
  <c r="S746"/>
  <c r="V745"/>
  <c r="S745"/>
  <c r="V744"/>
  <c r="S744"/>
  <c r="V743"/>
  <c r="S743"/>
  <c r="V742"/>
  <c r="S742"/>
  <c r="V741"/>
  <c r="S741"/>
  <c r="V740"/>
  <c r="S740"/>
  <c r="V739"/>
  <c r="S739"/>
  <c r="V738"/>
  <c r="S738"/>
  <c r="V737"/>
  <c r="S737"/>
  <c r="V736"/>
  <c r="S736"/>
  <c r="V735"/>
  <c r="S735"/>
  <c r="V734"/>
  <c r="S734"/>
  <c r="B52" a="1"/>
  <c r="B52" s="1"/>
  <c r="A52" a="1"/>
  <c r="A52" s="1"/>
  <c r="V733"/>
  <c r="S733"/>
  <c r="V732"/>
  <c r="S732"/>
  <c r="V731"/>
  <c r="S731"/>
  <c r="V730"/>
  <c r="S730"/>
  <c r="V729"/>
  <c r="S729"/>
  <c r="V728"/>
  <c r="S728"/>
  <c r="V727"/>
  <c r="S727"/>
  <c r="V726"/>
  <c r="S726"/>
  <c r="V725"/>
  <c r="S725"/>
  <c r="V724"/>
  <c r="S724"/>
  <c r="V723"/>
  <c r="S723"/>
  <c r="V722"/>
  <c r="S722"/>
  <c r="V721"/>
  <c r="S721"/>
  <c r="V720"/>
  <c r="S720"/>
  <c r="V719"/>
  <c r="S719"/>
  <c r="V718"/>
  <c r="S718"/>
  <c r="V717"/>
  <c r="S717"/>
  <c r="V716"/>
  <c r="S716"/>
  <c r="V715"/>
  <c r="S715"/>
  <c r="V714"/>
  <c r="S714"/>
  <c r="V713"/>
  <c r="S713"/>
  <c r="V712"/>
  <c r="S712"/>
  <c r="V711"/>
  <c r="S711"/>
  <c r="V710"/>
  <c r="S710"/>
  <c r="V709"/>
  <c r="S709"/>
  <c r="V708"/>
  <c r="S708"/>
  <c r="V707"/>
  <c r="S707"/>
  <c r="V706"/>
  <c r="S706"/>
  <c r="V705"/>
  <c r="S705"/>
  <c r="V704"/>
  <c r="S704"/>
  <c r="V703"/>
  <c r="S703"/>
  <c r="V702"/>
  <c r="S702"/>
  <c r="V701"/>
  <c r="S701"/>
  <c r="V700"/>
  <c r="S700"/>
  <c r="V699"/>
  <c r="S699"/>
  <c r="V698"/>
  <c r="S698"/>
  <c r="V697"/>
  <c r="S697"/>
  <c r="V696"/>
  <c r="S696"/>
  <c r="V695"/>
  <c r="S695"/>
  <c r="V694"/>
  <c r="S694"/>
  <c r="V693"/>
  <c r="S693"/>
  <c r="V692"/>
  <c r="S692"/>
  <c r="V691"/>
  <c r="S691"/>
  <c r="V690"/>
  <c r="S690"/>
  <c r="V689"/>
  <c r="S689"/>
  <c r="V688"/>
  <c r="S688"/>
  <c r="V687"/>
  <c r="S687"/>
  <c r="V686"/>
  <c r="S686"/>
  <c r="V685"/>
  <c r="S685"/>
  <c r="V684"/>
  <c r="S684"/>
  <c r="V683"/>
  <c r="S683"/>
  <c r="V682"/>
  <c r="S682"/>
  <c r="V681"/>
  <c r="S681"/>
  <c r="V680"/>
  <c r="S680"/>
  <c r="V679"/>
  <c r="S679"/>
  <c r="B61" a="1"/>
  <c r="B61" s="1"/>
  <c r="V678"/>
  <c r="S678"/>
  <c r="V677"/>
  <c r="S677"/>
  <c r="V676"/>
  <c r="S676"/>
  <c r="V675"/>
  <c r="S675"/>
  <c r="V674"/>
  <c r="S674"/>
  <c r="V673"/>
  <c r="S673"/>
  <c r="V672"/>
  <c r="S672"/>
  <c r="V671"/>
  <c r="S671"/>
  <c r="V670"/>
  <c r="S670"/>
  <c r="V669"/>
  <c r="S669"/>
  <c r="V668"/>
  <c r="S668"/>
  <c r="V667"/>
  <c r="S667"/>
  <c r="V666"/>
  <c r="S666"/>
  <c r="V665"/>
  <c r="S665"/>
  <c r="V664"/>
  <c r="S664"/>
  <c r="V663"/>
  <c r="S663"/>
  <c r="V662"/>
  <c r="S662"/>
  <c r="V661"/>
  <c r="S661"/>
  <c r="V660"/>
  <c r="S660"/>
  <c r="V659"/>
  <c r="S659"/>
  <c r="V658"/>
  <c r="S658"/>
  <c r="V657"/>
  <c r="S657"/>
  <c r="V656"/>
  <c r="S656"/>
  <c r="V655"/>
  <c r="S655"/>
  <c r="V654"/>
  <c r="S654"/>
  <c r="V653"/>
  <c r="S653"/>
  <c r="V652"/>
  <c r="S652"/>
  <c r="V651"/>
  <c r="S651"/>
  <c r="B31" a="1"/>
  <c r="B31" s="1"/>
  <c r="A31" a="1"/>
  <c r="A31" s="1"/>
  <c r="V650"/>
  <c r="S650"/>
  <c r="V649"/>
  <c r="S649"/>
  <c r="V648"/>
  <c r="S648"/>
  <c r="V647"/>
  <c r="S647"/>
  <c r="V646"/>
  <c r="S646"/>
  <c r="V645"/>
  <c r="S645"/>
  <c r="V644"/>
  <c r="S644"/>
  <c r="V643"/>
  <c r="S643"/>
  <c r="V642"/>
  <c r="S642"/>
  <c r="V641"/>
  <c r="S641"/>
  <c r="V640"/>
  <c r="S640"/>
  <c r="V639"/>
  <c r="S639"/>
  <c r="V638"/>
  <c r="S638"/>
  <c r="V637"/>
  <c r="S637"/>
  <c r="B38" a="1"/>
  <c r="B38" s="1"/>
  <c r="V636"/>
  <c r="S636"/>
  <c r="V635"/>
  <c r="S635"/>
  <c r="V634"/>
  <c r="S634"/>
  <c r="V633"/>
  <c r="S633"/>
  <c r="V632"/>
  <c r="S632"/>
  <c r="V631"/>
  <c r="S631"/>
  <c r="V630"/>
  <c r="S630"/>
  <c r="V629"/>
  <c r="S629"/>
  <c r="V628"/>
  <c r="S628"/>
  <c r="V627"/>
  <c r="S627"/>
  <c r="V626"/>
  <c r="S626"/>
  <c r="V625"/>
  <c r="S625"/>
  <c r="V624"/>
  <c r="S624"/>
  <c r="V623"/>
  <c r="S623"/>
  <c r="V622"/>
  <c r="S622"/>
  <c r="V621"/>
  <c r="S621"/>
  <c r="V620"/>
  <c r="S620"/>
  <c r="V619"/>
  <c r="S619"/>
  <c r="V618"/>
  <c r="S618"/>
  <c r="V617"/>
  <c r="S617"/>
  <c r="B5" a="1"/>
  <c r="B5" s="1"/>
  <c r="V616"/>
  <c r="S616"/>
  <c r="V615"/>
  <c r="S615"/>
  <c r="V614"/>
  <c r="S614"/>
  <c r="V613"/>
  <c r="S613"/>
  <c r="V612"/>
  <c r="S612"/>
  <c r="B13" a="1"/>
  <c r="B13" s="1"/>
  <c r="A13" a="1"/>
  <c r="A13" s="1"/>
  <c r="V611"/>
  <c r="S611"/>
  <c r="B62" a="1"/>
  <c r="B62" s="1"/>
  <c r="A62" a="1"/>
  <c r="A62" s="1"/>
  <c r="V610"/>
  <c r="S610"/>
  <c r="V609"/>
  <c r="S609"/>
  <c r="V608"/>
  <c r="S608"/>
  <c r="V607"/>
  <c r="S607"/>
  <c r="V606"/>
  <c r="S606"/>
  <c r="B33" a="1"/>
  <c r="B33" s="1"/>
  <c r="V605"/>
  <c r="S605"/>
  <c r="V604"/>
  <c r="S604"/>
  <c r="V603"/>
  <c r="S603"/>
  <c r="V602"/>
  <c r="S602"/>
  <c r="V601"/>
  <c r="S601"/>
  <c r="V600"/>
  <c r="S600"/>
  <c r="V599"/>
  <c r="S599"/>
  <c r="V598"/>
  <c r="S598"/>
  <c r="V597"/>
  <c r="S597"/>
  <c r="V596"/>
  <c r="S596"/>
  <c r="V595"/>
  <c r="S595"/>
  <c r="V594"/>
  <c r="S594"/>
  <c r="V593"/>
  <c r="S593"/>
  <c r="V592"/>
  <c r="S592"/>
  <c r="V591"/>
  <c r="S591"/>
  <c r="V590"/>
  <c r="S590"/>
  <c r="V589"/>
  <c r="S589"/>
  <c r="V588"/>
  <c r="S588"/>
  <c r="V587"/>
  <c r="S587"/>
  <c r="V586"/>
  <c r="S586"/>
  <c r="V585"/>
  <c r="S585"/>
  <c r="V584"/>
  <c r="S584"/>
  <c r="V583"/>
  <c r="S583"/>
  <c r="V582"/>
  <c r="S582"/>
  <c r="V581"/>
  <c r="S581"/>
  <c r="V580"/>
  <c r="S580"/>
  <c r="V579"/>
  <c r="S579"/>
  <c r="V578"/>
  <c r="S578"/>
  <c r="V577"/>
  <c r="S577"/>
  <c r="V576"/>
  <c r="S576"/>
  <c r="V575"/>
  <c r="S575"/>
  <c r="V574"/>
  <c r="S574"/>
  <c r="V573"/>
  <c r="S573"/>
  <c r="V572"/>
  <c r="S572"/>
  <c r="V571"/>
  <c r="S571"/>
  <c r="V570"/>
  <c r="S570"/>
  <c r="V569"/>
  <c r="S569"/>
  <c r="V568"/>
  <c r="S568"/>
  <c r="V567"/>
  <c r="S567"/>
  <c r="V566"/>
  <c r="S566"/>
  <c r="V565"/>
  <c r="S565"/>
  <c r="V564"/>
  <c r="S564"/>
  <c r="V563"/>
  <c r="S563"/>
  <c r="V562"/>
  <c r="S562"/>
  <c r="V561"/>
  <c r="S561"/>
  <c r="V560"/>
  <c r="S560"/>
  <c r="V559"/>
  <c r="S559"/>
  <c r="V558"/>
  <c r="S558"/>
  <c r="V557"/>
  <c r="S557"/>
  <c r="V556"/>
  <c r="S556"/>
  <c r="V555"/>
  <c r="S555"/>
  <c r="V554"/>
  <c r="S554"/>
  <c r="V553"/>
  <c r="S553"/>
  <c r="V552"/>
  <c r="S552"/>
  <c r="V551"/>
  <c r="S551"/>
  <c r="B46" a="1"/>
  <c r="B46" s="1"/>
  <c r="V550"/>
  <c r="S550"/>
  <c r="V549"/>
  <c r="S549"/>
  <c r="V548"/>
  <c r="S548"/>
  <c r="V547"/>
  <c r="S547"/>
  <c r="V546"/>
  <c r="S546"/>
  <c r="V545"/>
  <c r="S545"/>
  <c r="V544"/>
  <c r="S544"/>
  <c r="V543"/>
  <c r="S543"/>
  <c r="V542"/>
  <c r="S542"/>
  <c r="V541"/>
  <c r="S541"/>
  <c r="V540"/>
  <c r="S540"/>
  <c r="V539"/>
  <c r="S539"/>
  <c r="V538"/>
  <c r="S538"/>
  <c r="V537"/>
  <c r="S537"/>
  <c r="V536"/>
  <c r="S536"/>
  <c r="V535"/>
  <c r="S535"/>
  <c r="V534"/>
  <c r="S534"/>
  <c r="V533"/>
  <c r="S533"/>
  <c r="V532"/>
  <c r="S532"/>
  <c r="V531"/>
  <c r="S531"/>
  <c r="V530"/>
  <c r="S530"/>
  <c r="V529"/>
  <c r="V528"/>
  <c r="V527"/>
  <c r="V526"/>
  <c r="V525"/>
  <c r="B53" a="1"/>
  <c r="B53" s="1"/>
  <c r="V524"/>
  <c r="V523"/>
  <c r="V522"/>
  <c r="V521"/>
  <c r="V520"/>
  <c r="V519"/>
  <c r="V518"/>
  <c r="B45" a="1"/>
  <c r="B45" s="1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B58" a="1"/>
  <c r="B58" s="1"/>
  <c r="V488"/>
  <c r="V487"/>
  <c r="V486"/>
  <c r="V485"/>
  <c r="V484"/>
  <c r="V483"/>
  <c r="V482"/>
  <c r="B10" a="1"/>
  <c r="B10" s="1"/>
  <c r="A10" a="1"/>
  <c r="A10" s="1"/>
  <c r="V481"/>
  <c r="V480"/>
  <c r="V479"/>
  <c r="V478"/>
  <c r="V477"/>
  <c r="V476"/>
  <c r="V475"/>
  <c r="V474"/>
  <c r="V473"/>
  <c r="V472"/>
  <c r="V471"/>
  <c r="V470"/>
  <c r="V469"/>
  <c r="V468"/>
  <c r="V467"/>
  <c r="V466"/>
  <c r="B34" a="1"/>
  <c r="B34" s="1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B9" a="1"/>
  <c r="B9" s="1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B56" a="1"/>
  <c r="B56" s="1"/>
  <c r="V415"/>
  <c r="V414"/>
  <c r="V413"/>
  <c r="V412"/>
  <c r="V411"/>
  <c r="V410"/>
  <c r="B16"/>
  <c r="B16" a="1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B20" a="1"/>
  <c r="B20" s="1"/>
  <c r="V348"/>
  <c r="V347"/>
  <c r="V346"/>
  <c r="B29" a="1"/>
  <c r="B29" s="1"/>
  <c r="V345"/>
  <c r="V344"/>
  <c r="V343"/>
  <c r="V342"/>
  <c r="V341"/>
  <c r="B14" a="1"/>
  <c r="B14" s="1"/>
  <c r="V340"/>
  <c r="V339"/>
  <c r="V338"/>
  <c r="V337"/>
  <c r="V336"/>
  <c r="V335"/>
  <c r="B60" a="1"/>
  <c r="B60" s="1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B4" a="1"/>
  <c r="B4" s="1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B48" a="1"/>
  <c r="B48" s="1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B59" a="1"/>
  <c r="B59" s="1"/>
  <c r="V156"/>
  <c r="V155"/>
  <c r="V154"/>
  <c r="V153"/>
  <c r="V152"/>
  <c r="V151"/>
  <c r="V150"/>
  <c r="V149"/>
  <c r="B24" a="1"/>
  <c r="B24" s="1"/>
  <c r="V148"/>
  <c r="V147"/>
  <c r="V146"/>
  <c r="V145"/>
  <c r="V144"/>
  <c r="V143"/>
  <c r="V142"/>
  <c r="V141"/>
  <c r="V140"/>
  <c r="B12" a="1"/>
  <c r="B12" s="1"/>
  <c r="V139"/>
  <c r="V138"/>
  <c r="V137"/>
  <c r="V136"/>
  <c r="V135"/>
  <c r="B36" a="1"/>
  <c r="B36" s="1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B26" a="1"/>
  <c r="B26" s="1"/>
  <c r="V105"/>
  <c r="V104"/>
  <c r="V103"/>
  <c r="V102"/>
  <c r="V101"/>
  <c r="V100"/>
  <c r="V99"/>
  <c r="V98"/>
  <c r="V97"/>
  <c r="V96"/>
  <c r="V95"/>
  <c r="V94"/>
  <c r="B27" a="1"/>
  <c r="B27" s="1"/>
  <c r="V93"/>
  <c r="V92"/>
  <c r="V91"/>
  <c r="V90"/>
  <c r="B39" a="1"/>
  <c r="B39" s="1"/>
  <c r="V89"/>
  <c r="V88"/>
  <c r="V87"/>
  <c r="V86"/>
  <c r="V85"/>
  <c r="B11" a="1"/>
  <c r="B11" s="1"/>
  <c r="V84"/>
  <c r="V83"/>
  <c r="B6" a="1"/>
  <c r="B6" s="1"/>
  <c r="V82"/>
  <c r="V81"/>
  <c r="V80"/>
  <c r="V79"/>
  <c r="V78"/>
  <c r="V77"/>
  <c r="V76"/>
  <c r="V75"/>
  <c r="B15" a="1"/>
  <c r="B15" s="1"/>
  <c r="V74"/>
  <c r="V73"/>
  <c r="V72"/>
  <c r="V71"/>
  <c r="V70"/>
  <c r="B17" a="1"/>
  <c r="B17" s="1"/>
  <c r="V69"/>
  <c r="B21" a="1"/>
  <c r="B21" s="1"/>
  <c r="V68"/>
  <c r="V67"/>
  <c r="V66"/>
  <c r="V65"/>
  <c r="V64"/>
  <c r="B23" a="1"/>
  <c r="B23" s="1"/>
  <c r="V63"/>
  <c r="V62"/>
  <c r="V61"/>
  <c r="B28" a="1"/>
  <c r="B28" s="1"/>
  <c r="V60"/>
  <c r="B42" a="1"/>
  <c r="B42" s="1"/>
  <c r="V59"/>
  <c r="B41" a="1"/>
  <c r="B41" s="1"/>
  <c r="V58"/>
  <c r="B25" a="1"/>
  <c r="B25" s="1"/>
  <c r="V57"/>
  <c r="V56"/>
  <c r="V55"/>
  <c r="V54"/>
  <c r="V53"/>
  <c r="V52"/>
  <c r="B30" a="1"/>
  <c r="B30" s="1"/>
  <c r="V51"/>
  <c r="V50"/>
  <c r="V49"/>
  <c r="B50" a="1"/>
  <c r="B50" s="1"/>
  <c r="V48"/>
  <c r="V47"/>
  <c r="V46"/>
  <c r="V45"/>
  <c r="V44"/>
  <c r="V43"/>
  <c r="AH21" s="1"/>
  <c r="B55" a="1"/>
  <c r="B55" s="1"/>
  <c r="V42"/>
  <c r="V41"/>
  <c r="V40"/>
  <c r="V39"/>
  <c r="V38"/>
  <c r="V37"/>
  <c r="Z36"/>
  <c r="V36"/>
  <c r="AA35"/>
  <c r="V35"/>
  <c r="AA34"/>
  <c r="V34"/>
  <c r="AH13" s="1"/>
  <c r="Z33"/>
  <c r="V33"/>
  <c r="AE32"/>
  <c r="V32"/>
  <c r="B43" a="1"/>
  <c r="B43" s="1"/>
  <c r="AE31"/>
  <c r="AA31"/>
  <c r="V31"/>
  <c r="AA30"/>
  <c r="V30"/>
  <c r="AH29"/>
  <c r="V29"/>
  <c r="AD13" s="1"/>
  <c r="V28"/>
  <c r="AI27"/>
  <c r="AA27"/>
  <c r="V27"/>
  <c r="AI26"/>
  <c r="AI28" s="1"/>
  <c r="AA26"/>
  <c r="V26"/>
  <c r="AH25"/>
  <c r="Z25"/>
  <c r="V25"/>
  <c r="AE24"/>
  <c r="AA24"/>
  <c r="Z24"/>
  <c r="V24"/>
  <c r="AI23"/>
  <c r="AE23"/>
  <c r="AA23"/>
  <c r="V23"/>
  <c r="B49" a="1"/>
  <c r="B49" s="1"/>
  <c r="AI22"/>
  <c r="AA22"/>
  <c r="V22"/>
  <c r="V21"/>
  <c r="B35" a="1"/>
  <c r="B35" s="1"/>
  <c r="V20"/>
  <c r="B32" a="1"/>
  <c r="B32" s="1"/>
  <c r="AI19"/>
  <c r="AI31" s="1"/>
  <c r="AA19"/>
  <c r="V19"/>
  <c r="B3"/>
  <c r="B3" a="1"/>
  <c r="AI18"/>
  <c r="AA18"/>
  <c r="V18"/>
  <c r="B47" a="1"/>
  <c r="B47" s="1"/>
  <c r="V17"/>
  <c r="V16"/>
  <c r="AE15"/>
  <c r="AA15"/>
  <c r="V15"/>
  <c r="AE14"/>
  <c r="AE16" s="1"/>
  <c r="AF14" s="1"/>
  <c r="AA52" s="1"/>
  <c r="AA14"/>
  <c r="V14"/>
  <c r="V13"/>
  <c r="Z21" s="1"/>
  <c r="V12"/>
  <c r="AI11"/>
  <c r="AI12" s="1"/>
  <c r="AE11"/>
  <c r="AA11"/>
  <c r="V11"/>
  <c r="AI10"/>
  <c r="AE10"/>
  <c r="AE12" s="1"/>
  <c r="AA10"/>
  <c r="V10"/>
  <c r="V9"/>
  <c r="B22" a="1"/>
  <c r="B22" s="1"/>
  <c r="V8"/>
  <c r="B7" a="1"/>
  <c r="B7" s="1"/>
  <c r="AI7"/>
  <c r="AE7"/>
  <c r="AA7"/>
  <c r="V7"/>
  <c r="B19" a="1"/>
  <c r="B19" s="1"/>
  <c r="AI6"/>
  <c r="AE6"/>
  <c r="AA6"/>
  <c r="V6"/>
  <c r="AD5"/>
  <c r="V5"/>
  <c r="B18" a="1"/>
  <c r="B18" s="1"/>
  <c r="X4"/>
  <c r="V4"/>
  <c r="B65" a="1"/>
  <c r="B65" s="1"/>
  <c r="AI3"/>
  <c r="AE3"/>
  <c r="AA3"/>
  <c r="X3"/>
  <c r="V3"/>
  <c r="B51" a="1"/>
  <c r="B51" s="1"/>
  <c r="AI2"/>
  <c r="AE2"/>
  <c r="AE4" s="1"/>
  <c r="AF3" s="1"/>
  <c r="AA2"/>
  <c r="X2"/>
  <c r="V2"/>
  <c r="W2" s="1"/>
  <c r="W3" s="1"/>
  <c r="W4" s="1"/>
  <c r="S2"/>
  <c r="T2" s="1"/>
  <c r="R2"/>
  <c r="B63" a="1"/>
  <c r="B63" s="1"/>
  <c r="T2" i="5"/>
  <c r="X1683"/>
  <c r="X1684"/>
  <c r="X1678"/>
  <c r="X1679"/>
  <c r="X1680"/>
  <c r="X1681"/>
  <c r="X1682"/>
  <c r="X1668"/>
  <c r="X1669"/>
  <c r="X1670"/>
  <c r="X1671"/>
  <c r="X1672"/>
  <c r="X1673"/>
  <c r="X1674"/>
  <c r="X1675"/>
  <c r="X1676"/>
  <c r="X1677"/>
  <c r="AB25"/>
  <c r="AB24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  <c r="X1388"/>
  <c r="X1389"/>
  <c r="X1390"/>
  <c r="X1391"/>
  <c r="X1392"/>
  <c r="X1393"/>
  <c r="X1394"/>
  <c r="X1395"/>
  <c r="X1396"/>
  <c r="X1397"/>
  <c r="X1398"/>
  <c r="X1399"/>
  <c r="X1400"/>
  <c r="X1401"/>
  <c r="X1402"/>
  <c r="X1403"/>
  <c r="X1404"/>
  <c r="X1405"/>
  <c r="X1406"/>
  <c r="X1407"/>
  <c r="X1408"/>
  <c r="X1409"/>
  <c r="X1410"/>
  <c r="X1411"/>
  <c r="X1412"/>
  <c r="X1413"/>
  <c r="X1414"/>
  <c r="X1415"/>
  <c r="X1416"/>
  <c r="X1417"/>
  <c r="X1418"/>
  <c r="X1419"/>
  <c r="X1420"/>
  <c r="X1421"/>
  <c r="X1422"/>
  <c r="X1423"/>
  <c r="X1424"/>
  <c r="X1425"/>
  <c r="X1426"/>
  <c r="X1427"/>
  <c r="X1428"/>
  <c r="X1429"/>
  <c r="X1430"/>
  <c r="X1431"/>
  <c r="X1432"/>
  <c r="X1433"/>
  <c r="X1434"/>
  <c r="X1435"/>
  <c r="X1436"/>
  <c r="X1437"/>
  <c r="X1438"/>
  <c r="X1439"/>
  <c r="X1440"/>
  <c r="X1441"/>
  <c r="X1442"/>
  <c r="X1443"/>
  <c r="X1444"/>
  <c r="X1445"/>
  <c r="X1446"/>
  <c r="X1447"/>
  <c r="X1448"/>
  <c r="X1449"/>
  <c r="X1450"/>
  <c r="X1451"/>
  <c r="X1452"/>
  <c r="X1453"/>
  <c r="X1454"/>
  <c r="X1455"/>
  <c r="X1456"/>
  <c r="X1457"/>
  <c r="X1458"/>
  <c r="X1459"/>
  <c r="X1460"/>
  <c r="X1461"/>
  <c r="X1462"/>
  <c r="X1463"/>
  <c r="X1464"/>
  <c r="X1465"/>
  <c r="X1466"/>
  <c r="X1467"/>
  <c r="X1468"/>
  <c r="X1469"/>
  <c r="X1470"/>
  <c r="X1471"/>
  <c r="X1472"/>
  <c r="X1473"/>
  <c r="X1474"/>
  <c r="X1475"/>
  <c r="X1476"/>
  <c r="X1477"/>
  <c r="X1478"/>
  <c r="X1479"/>
  <c r="X1480"/>
  <c r="X1481"/>
  <c r="X1482"/>
  <c r="X1483"/>
  <c r="X1484"/>
  <c r="X1485"/>
  <c r="X1486"/>
  <c r="X1487"/>
  <c r="X1488"/>
  <c r="X1489"/>
  <c r="X1490"/>
  <c r="X1491"/>
  <c r="X1492"/>
  <c r="X1493"/>
  <c r="X1494"/>
  <c r="X1495"/>
  <c r="X1496"/>
  <c r="X1497"/>
  <c r="X1498"/>
  <c r="X1499"/>
  <c r="X1500"/>
  <c r="X1501"/>
  <c r="X1502"/>
  <c r="X1503"/>
  <c r="X1504"/>
  <c r="X1505"/>
  <c r="X1506"/>
  <c r="X1507"/>
  <c r="X1508"/>
  <c r="X1509"/>
  <c r="X1510"/>
  <c r="X1511"/>
  <c r="X1512"/>
  <c r="X1513"/>
  <c r="X1514"/>
  <c r="X1515"/>
  <c r="X1516"/>
  <c r="X1517"/>
  <c r="X1518"/>
  <c r="X1519"/>
  <c r="X1520"/>
  <c r="X1521"/>
  <c r="X1522"/>
  <c r="X1523"/>
  <c r="X1524"/>
  <c r="X1525"/>
  <c r="X1526"/>
  <c r="X1527"/>
  <c r="X1528"/>
  <c r="X1529"/>
  <c r="X1530"/>
  <c r="X1531"/>
  <c r="X1532"/>
  <c r="X1533"/>
  <c r="X1534"/>
  <c r="X1535"/>
  <c r="X1536"/>
  <c r="X1537"/>
  <c r="X1538"/>
  <c r="X1539"/>
  <c r="X1540"/>
  <c r="X1541"/>
  <c r="X1542"/>
  <c r="X1543"/>
  <c r="X1544"/>
  <c r="X1545"/>
  <c r="X1546"/>
  <c r="X1547"/>
  <c r="X1548"/>
  <c r="X1549"/>
  <c r="X1550"/>
  <c r="X1551"/>
  <c r="X1552"/>
  <c r="X1553"/>
  <c r="X1554"/>
  <c r="X1555"/>
  <c r="X1556"/>
  <c r="X1557"/>
  <c r="X1558"/>
  <c r="X1559"/>
  <c r="X1560"/>
  <c r="X1561"/>
  <c r="X1562"/>
  <c r="X1563"/>
  <c r="X1564"/>
  <c r="X1565"/>
  <c r="X1566"/>
  <c r="X1567"/>
  <c r="X1568"/>
  <c r="X1569"/>
  <c r="X1570"/>
  <c r="X1571"/>
  <c r="X1572"/>
  <c r="X1573"/>
  <c r="X1574"/>
  <c r="X1575"/>
  <c r="X1576"/>
  <c r="X1577"/>
  <c r="X1578"/>
  <c r="X1579"/>
  <c r="X1580"/>
  <c r="X1581"/>
  <c r="X1582"/>
  <c r="X1583"/>
  <c r="X1584"/>
  <c r="X1585"/>
  <c r="X1586"/>
  <c r="X1587"/>
  <c r="X1588"/>
  <c r="X1589"/>
  <c r="X1590"/>
  <c r="X1591"/>
  <c r="X1592"/>
  <c r="X1593"/>
  <c r="X1594"/>
  <c r="X1595"/>
  <c r="X1596"/>
  <c r="X1597"/>
  <c r="X1598"/>
  <c r="X1599"/>
  <c r="X1600"/>
  <c r="X1601"/>
  <c r="X1602"/>
  <c r="X1603"/>
  <c r="X1604"/>
  <c r="X1605"/>
  <c r="X1606"/>
  <c r="X1607"/>
  <c r="X1608"/>
  <c r="X1609"/>
  <c r="X1610"/>
  <c r="X1611"/>
  <c r="X1612"/>
  <c r="X1613"/>
  <c r="X1614"/>
  <c r="X1615"/>
  <c r="X1616"/>
  <c r="X1617"/>
  <c r="X1618"/>
  <c r="X1619"/>
  <c r="X1620"/>
  <c r="X1621"/>
  <c r="X1622"/>
  <c r="X1623"/>
  <c r="X1624"/>
  <c r="X1625"/>
  <c r="X1626"/>
  <c r="X1627"/>
  <c r="X1628"/>
  <c r="X1629"/>
  <c r="X1630"/>
  <c r="X1631"/>
  <c r="X1632"/>
  <c r="X1633"/>
  <c r="X1634"/>
  <c r="X1635"/>
  <c r="X1636"/>
  <c r="X1637"/>
  <c r="X1638"/>
  <c r="X1639"/>
  <c r="X1640"/>
  <c r="X1641"/>
  <c r="X1642"/>
  <c r="X1643"/>
  <c r="X1644"/>
  <c r="X1645"/>
  <c r="X1646"/>
  <c r="X1647"/>
  <c r="X1648"/>
  <c r="X1649"/>
  <c r="X1650"/>
  <c r="X1651"/>
  <c r="X1652"/>
  <c r="X1653"/>
  <c r="X1654"/>
  <c r="X1655"/>
  <c r="X1656"/>
  <c r="X1657"/>
  <c r="X1658"/>
  <c r="X1659"/>
  <c r="X1660"/>
  <c r="X1661"/>
  <c r="X1662"/>
  <c r="X1663"/>
  <c r="X1664"/>
  <c r="X1665"/>
  <c r="X1666"/>
  <c r="X1667"/>
  <c r="X2"/>
  <c r="Y2" s="1"/>
  <c r="V866" i="7"/>
  <c r="W866" s="1"/>
  <c r="V867"/>
  <c r="W867"/>
  <c r="S1095"/>
  <c r="T1095"/>
  <c r="V868"/>
  <c r="W868"/>
  <c r="S1096"/>
  <c r="T1096"/>
  <c r="V869"/>
  <c r="W869" s="1"/>
  <c r="S1097"/>
  <c r="T1097"/>
  <c r="V870"/>
  <c r="W870" s="1"/>
  <c r="S1129"/>
  <c r="T1129"/>
  <c r="V871"/>
  <c r="W871"/>
  <c r="S1112"/>
  <c r="T1112"/>
  <c r="V872"/>
  <c r="W872" s="1"/>
  <c r="S1098"/>
  <c r="T1098"/>
  <c r="V873"/>
  <c r="W873"/>
  <c r="S1099"/>
  <c r="T1099"/>
  <c r="V874"/>
  <c r="W874" s="1"/>
  <c r="S1100"/>
  <c r="T1100"/>
  <c r="V875"/>
  <c r="W875" s="1"/>
  <c r="S1101"/>
  <c r="T1101"/>
  <c r="S1102"/>
  <c r="T1102"/>
  <c r="S1103"/>
  <c r="T1103"/>
  <c r="S1122"/>
  <c r="T1122"/>
  <c r="S1104"/>
  <c r="T1104"/>
  <c r="S1113"/>
  <c r="T1113"/>
  <c r="S1132"/>
  <c r="T1132"/>
  <c r="S1114"/>
  <c r="T1114"/>
  <c r="S1115"/>
  <c r="T1115"/>
  <c r="S1116"/>
  <c r="T1116"/>
  <c r="S1117"/>
  <c r="T1117"/>
  <c r="V760"/>
  <c r="W760" s="1"/>
  <c r="V761"/>
  <c r="W761"/>
  <c r="V762"/>
  <c r="W762" s="1"/>
  <c r="V763"/>
  <c r="W763" s="1"/>
  <c r="V764"/>
  <c r="W764" s="1"/>
  <c r="V765"/>
  <c r="W765" s="1"/>
  <c r="V766"/>
  <c r="W766" s="1"/>
  <c r="V767"/>
  <c r="W767" s="1"/>
  <c r="V768"/>
  <c r="W768" s="1"/>
  <c r="V769"/>
  <c r="W769" s="1"/>
  <c r="V770"/>
  <c r="W770" s="1"/>
  <c r="V771"/>
  <c r="W771" s="1"/>
  <c r="V772"/>
  <c r="W772" s="1"/>
  <c r="V773"/>
  <c r="W773" s="1"/>
  <c r="V774"/>
  <c r="W774" s="1"/>
  <c r="V775"/>
  <c r="W775" s="1"/>
  <c r="V776"/>
  <c r="W776" s="1"/>
  <c r="V777"/>
  <c r="W777" s="1"/>
  <c r="V778"/>
  <c r="W778" s="1"/>
  <c r="V779"/>
  <c r="W779" s="1"/>
  <c r="V780"/>
  <c r="W780" s="1"/>
  <c r="V781"/>
  <c r="W781"/>
  <c r="V782"/>
  <c r="W782" s="1"/>
  <c r="V783"/>
  <c r="W783" s="1"/>
  <c r="V784"/>
  <c r="W784" s="1"/>
  <c r="V785"/>
  <c r="W785" s="1"/>
  <c r="V786"/>
  <c r="W786" s="1"/>
  <c r="V787"/>
  <c r="W787" s="1"/>
  <c r="V788"/>
  <c r="W788" s="1"/>
  <c r="V789"/>
  <c r="W789" s="1"/>
  <c r="V790"/>
  <c r="W790" s="1"/>
  <c r="V791"/>
  <c r="W791" s="1"/>
  <c r="V792"/>
  <c r="W792" s="1"/>
  <c r="V793"/>
  <c r="W793" s="1"/>
  <c r="V794"/>
  <c r="W794" s="1"/>
  <c r="V795"/>
  <c r="W795" s="1"/>
  <c r="V796"/>
  <c r="W796" s="1"/>
  <c r="V797"/>
  <c r="W797"/>
  <c r="V798"/>
  <c r="W798" s="1"/>
  <c r="V799"/>
  <c r="W799" s="1"/>
  <c r="V800"/>
  <c r="W800" s="1"/>
  <c r="V801"/>
  <c r="W801" s="1"/>
  <c r="V802"/>
  <c r="W802" s="1"/>
  <c r="V803"/>
  <c r="W803" s="1"/>
  <c r="V804"/>
  <c r="W804" s="1"/>
  <c r="V805"/>
  <c r="W805"/>
  <c r="V806"/>
  <c r="W806" s="1"/>
  <c r="V807"/>
  <c r="W807" s="1"/>
  <c r="V808"/>
  <c r="W808" s="1"/>
  <c r="V809"/>
  <c r="W809" s="1"/>
  <c r="V810"/>
  <c r="W810" s="1"/>
  <c r="V811"/>
  <c r="W811" s="1"/>
  <c r="V812"/>
  <c r="W812" s="1"/>
  <c r="V813"/>
  <c r="W813" s="1"/>
  <c r="V814"/>
  <c r="W814" s="1"/>
  <c r="V815"/>
  <c r="W815" s="1"/>
  <c r="V816"/>
  <c r="W816" s="1"/>
  <c r="V817"/>
  <c r="W817" s="1"/>
  <c r="V818"/>
  <c r="W818" s="1"/>
  <c r="V819"/>
  <c r="W819" s="1"/>
  <c r="V820"/>
  <c r="W820" s="1"/>
  <c r="V821"/>
  <c r="W821" s="1"/>
  <c r="V822"/>
  <c r="W822" s="1"/>
  <c r="V823"/>
  <c r="W823" s="1"/>
  <c r="V824"/>
  <c r="W824" s="1"/>
  <c r="V825"/>
  <c r="W825" s="1"/>
  <c r="V826"/>
  <c r="W826" s="1"/>
  <c r="V827"/>
  <c r="W827" s="1"/>
  <c r="V828"/>
  <c r="W828" s="1"/>
  <c r="V829"/>
  <c r="W829"/>
  <c r="V830"/>
  <c r="W830" s="1"/>
  <c r="V831"/>
  <c r="W831" s="1"/>
  <c r="V832"/>
  <c r="W832" s="1"/>
  <c r="V833"/>
  <c r="W833" s="1"/>
  <c r="V834"/>
  <c r="W834" s="1"/>
  <c r="V835"/>
  <c r="W835" s="1"/>
  <c r="V836"/>
  <c r="W836" s="1"/>
  <c r="V837"/>
  <c r="W837" s="1"/>
  <c r="V838"/>
  <c r="W838" s="1"/>
  <c r="V839"/>
  <c r="W839" s="1"/>
  <c r="V840"/>
  <c r="W840" s="1"/>
  <c r="V841"/>
  <c r="W841" s="1"/>
  <c r="V842"/>
  <c r="W842" s="1"/>
  <c r="V843"/>
  <c r="W843" s="1"/>
  <c r="V844"/>
  <c r="W844" s="1"/>
  <c r="V845"/>
  <c r="W845"/>
  <c r="V846"/>
  <c r="W846" s="1"/>
  <c r="V847"/>
  <c r="W847" s="1"/>
  <c r="V848"/>
  <c r="W848" s="1"/>
  <c r="V849"/>
  <c r="W849" s="1"/>
  <c r="V850"/>
  <c r="W850" s="1"/>
  <c r="V851"/>
  <c r="W851" s="1"/>
  <c r="V852"/>
  <c r="W852" s="1"/>
  <c r="V853"/>
  <c r="W853"/>
  <c r="V854"/>
  <c r="W854" s="1"/>
  <c r="V855"/>
  <c r="W855" s="1"/>
  <c r="V856"/>
  <c r="W856" s="1"/>
  <c r="V857"/>
  <c r="W857" s="1"/>
  <c r="V858"/>
  <c r="W858" s="1"/>
  <c r="V859"/>
  <c r="W859" s="1"/>
  <c r="V860"/>
  <c r="W860" s="1"/>
  <c r="V861"/>
  <c r="W861" s="1"/>
  <c r="V862"/>
  <c r="W862" s="1"/>
  <c r="V863"/>
  <c r="W863" s="1"/>
  <c r="V864"/>
  <c r="W864" s="1"/>
  <c r="V865"/>
  <c r="W865" s="1"/>
  <c r="T751"/>
  <c r="T547"/>
  <c r="T957"/>
  <c r="T746"/>
  <c r="T960"/>
  <c r="T635"/>
  <c r="T863"/>
  <c r="T545"/>
  <c r="T865"/>
  <c r="T750"/>
  <c r="T748"/>
  <c r="T864"/>
  <c r="T749"/>
  <c r="T860"/>
  <c r="T546"/>
  <c r="T958"/>
  <c r="T866"/>
  <c r="T1032"/>
  <c r="T959"/>
  <c r="T862"/>
  <c r="T747"/>
  <c r="T531"/>
  <c r="T544"/>
  <c r="T861"/>
  <c r="T869"/>
  <c r="T638"/>
  <c r="T877"/>
  <c r="T1094"/>
  <c r="T762"/>
  <c r="T876"/>
  <c r="T1034"/>
  <c r="T18"/>
  <c r="T637"/>
  <c r="T871"/>
  <c r="T644"/>
  <c r="T874"/>
  <c r="T759"/>
  <c r="T870"/>
  <c r="T557"/>
  <c r="T553"/>
  <c r="T642"/>
  <c r="T769"/>
  <c r="T551"/>
  <c r="T767"/>
  <c r="T963"/>
  <c r="T646"/>
  <c r="T645"/>
  <c r="T968"/>
  <c r="T964"/>
  <c r="T962"/>
  <c r="T7"/>
  <c r="T554"/>
  <c r="T1091"/>
  <c r="T873"/>
  <c r="T643"/>
  <c r="T639"/>
  <c r="T549"/>
  <c r="T8"/>
  <c r="T756"/>
  <c r="T9"/>
  <c r="T10"/>
  <c r="T1"/>
  <c r="T768"/>
  <c r="T641"/>
  <c r="T754"/>
  <c r="T552"/>
  <c r="T550"/>
  <c r="T961"/>
  <c r="T761"/>
  <c r="T765"/>
  <c r="T640"/>
  <c r="T1033"/>
  <c r="T556"/>
  <c r="T763"/>
  <c r="T878"/>
  <c r="T757"/>
  <c r="T967"/>
  <c r="T875"/>
  <c r="T752"/>
  <c r="T753"/>
  <c r="T764"/>
  <c r="T1081"/>
  <c r="T872"/>
  <c r="T636"/>
  <c r="T755"/>
  <c r="T548"/>
  <c r="T766"/>
  <c r="T868"/>
  <c r="T1092"/>
  <c r="T1035"/>
  <c r="T758"/>
  <c r="T760"/>
  <c r="T555"/>
  <c r="T965"/>
  <c r="T966"/>
  <c r="T532"/>
  <c r="T175"/>
  <c r="T81"/>
  <c r="T399"/>
  <c r="T75"/>
  <c r="T71"/>
  <c r="T291"/>
  <c r="T290"/>
  <c r="T23"/>
  <c r="T409"/>
  <c r="T176"/>
  <c r="T27"/>
  <c r="T86"/>
  <c r="T471"/>
  <c r="T401"/>
  <c r="T73"/>
  <c r="T297"/>
  <c r="T293"/>
  <c r="T178"/>
  <c r="T80"/>
  <c r="T473"/>
  <c r="T29"/>
  <c r="T400"/>
  <c r="T88"/>
  <c r="T303"/>
  <c r="T470"/>
  <c r="T191"/>
  <c r="T22"/>
  <c r="T403"/>
  <c r="T301"/>
  <c r="T180"/>
  <c r="T67"/>
  <c r="T395"/>
  <c r="T404"/>
  <c r="T523"/>
  <c r="T78"/>
  <c r="T308"/>
  <c r="T402"/>
  <c r="T84"/>
  <c r="T68"/>
  <c r="T174"/>
  <c r="T181"/>
  <c r="T87"/>
  <c r="T397"/>
  <c r="T296"/>
  <c r="T26"/>
  <c r="T289"/>
  <c r="T179"/>
  <c r="T183"/>
  <c r="T185"/>
  <c r="T312"/>
  <c r="T302"/>
  <c r="T311"/>
  <c r="T314"/>
  <c r="T294"/>
  <c r="T193"/>
  <c r="T189"/>
  <c r="T79"/>
  <c r="T313"/>
  <c r="T407"/>
  <c r="T529"/>
  <c r="T405"/>
  <c r="T3"/>
  <c r="T307"/>
  <c r="T299"/>
  <c r="T295"/>
  <c r="T406"/>
  <c r="T2"/>
  <c r="T66"/>
  <c r="T77"/>
  <c r="T305"/>
  <c r="T408"/>
  <c r="T186"/>
  <c r="T25"/>
  <c r="T173"/>
  <c r="T306"/>
  <c r="T76"/>
  <c r="T298"/>
  <c r="T82"/>
  <c r="T398"/>
  <c r="T187"/>
  <c r="T28"/>
  <c r="T309"/>
  <c r="T85"/>
  <c r="T310"/>
  <c r="T304"/>
  <c r="T288"/>
  <c r="T474"/>
  <c r="T472"/>
  <c r="T292"/>
  <c r="T72"/>
  <c r="T182"/>
  <c r="T190"/>
  <c r="T70"/>
  <c r="T184"/>
  <c r="T172"/>
  <c r="T300"/>
  <c r="T192"/>
  <c r="T69"/>
  <c r="T396"/>
  <c r="T177"/>
  <c r="T74"/>
  <c r="T24"/>
  <c r="T188"/>
  <c r="T65"/>
  <c r="T83"/>
  <c r="T90"/>
  <c r="T93"/>
  <c r="T316"/>
  <c r="T413"/>
  <c r="T199"/>
  <c r="T510"/>
  <c r="T95"/>
  <c r="T321"/>
  <c r="T418"/>
  <c r="T417"/>
  <c r="T416"/>
  <c r="T419"/>
  <c r="T319"/>
  <c r="T415"/>
  <c r="T478"/>
  <c r="T96"/>
  <c r="T194"/>
  <c r="T411"/>
  <c r="T91"/>
  <c r="T31"/>
  <c r="T410"/>
  <c r="T412"/>
  <c r="T477"/>
  <c r="T528"/>
  <c r="T195"/>
  <c r="T198"/>
  <c r="T94"/>
  <c r="T414"/>
  <c r="T320"/>
  <c r="T475"/>
  <c r="T315"/>
  <c r="T476"/>
  <c r="T200"/>
  <c r="T89"/>
  <c r="T318"/>
  <c r="T30"/>
  <c r="T317"/>
  <c r="T420"/>
  <c r="T201"/>
  <c r="T196"/>
  <c r="T92"/>
  <c r="T421"/>
  <c r="T197"/>
  <c r="T509"/>
  <c r="T97"/>
  <c r="T479"/>
  <c r="T98"/>
  <c r="T202"/>
  <c r="T322"/>
  <c r="T203"/>
  <c r="T204"/>
  <c r="T323"/>
  <c r="T99"/>
  <c r="T205"/>
  <c r="T511"/>
  <c r="T422"/>
  <c r="T206"/>
  <c r="T32"/>
  <c r="T100"/>
  <c r="T33"/>
  <c r="T101"/>
  <c r="T207"/>
  <c r="T423"/>
  <c r="T102"/>
  <c r="T324"/>
  <c r="T208"/>
  <c r="T424"/>
  <c r="T425"/>
  <c r="T209"/>
  <c r="T210"/>
  <c r="T103"/>
  <c r="T211"/>
  <c r="T212"/>
  <c r="T34"/>
  <c r="T426"/>
  <c r="T480"/>
  <c r="T35"/>
  <c r="T104"/>
  <c r="T427"/>
  <c r="T105"/>
  <c r="T106"/>
  <c r="T481"/>
  <c r="T107"/>
  <c r="T108"/>
  <c r="T109"/>
  <c r="T213"/>
  <c r="T214"/>
  <c r="T118"/>
  <c r="T331"/>
  <c r="T117"/>
  <c r="T123"/>
  <c r="T485"/>
  <c r="T221"/>
  <c r="T332"/>
  <c r="T486"/>
  <c r="T334"/>
  <c r="T484"/>
  <c r="T233"/>
  <c r="T225"/>
  <c r="T433"/>
  <c r="T112"/>
  <c r="T121"/>
  <c r="T325"/>
  <c r="T12"/>
  <c r="T483"/>
  <c r="T229"/>
  <c r="T436"/>
  <c r="T38"/>
  <c r="T235"/>
  <c r="T113"/>
  <c r="T11"/>
  <c r="T228"/>
  <c r="T335"/>
  <c r="T116"/>
  <c r="T513"/>
  <c r="T333"/>
  <c r="T236"/>
  <c r="T328"/>
  <c r="T226"/>
  <c r="T111"/>
  <c r="T434"/>
  <c r="T218"/>
  <c r="T428"/>
  <c r="T432"/>
  <c r="T36"/>
  <c r="T4"/>
  <c r="T227"/>
  <c r="T216"/>
  <c r="T512"/>
  <c r="T115"/>
  <c r="T220"/>
  <c r="T223"/>
  <c r="T230"/>
  <c r="T114"/>
  <c r="T222"/>
  <c r="T110"/>
  <c r="T431"/>
  <c r="T514"/>
  <c r="T37"/>
  <c r="T219"/>
  <c r="T430"/>
  <c r="T224"/>
  <c r="T234"/>
  <c r="T215"/>
  <c r="T429"/>
  <c r="T231"/>
  <c r="T487"/>
  <c r="T237"/>
  <c r="T435"/>
  <c r="T329"/>
  <c r="T330"/>
  <c r="T217"/>
  <c r="T120"/>
  <c r="T482"/>
  <c r="T232"/>
  <c r="T327"/>
  <c r="T119"/>
  <c r="T122"/>
  <c r="T326"/>
  <c r="T445"/>
  <c r="T517"/>
  <c r="T143"/>
  <c r="T124"/>
  <c r="T518"/>
  <c r="T491"/>
  <c r="T252"/>
  <c r="T144"/>
  <c r="T135"/>
  <c r="T243"/>
  <c r="T499"/>
  <c r="T21"/>
  <c r="T516"/>
  <c r="T253"/>
  <c r="T6"/>
  <c r="T46"/>
  <c r="T350"/>
  <c r="T340"/>
  <c r="T354"/>
  <c r="T351"/>
  <c r="T147"/>
  <c r="T492"/>
  <c r="T488"/>
  <c r="T128"/>
  <c r="T148"/>
  <c r="T16"/>
  <c r="T346"/>
  <c r="T449"/>
  <c r="T339"/>
  <c r="T132"/>
  <c r="T452"/>
  <c r="T440"/>
  <c r="T525"/>
  <c r="T42"/>
  <c r="T44"/>
  <c r="T363"/>
  <c r="T352"/>
  <c r="T360"/>
  <c r="T446"/>
  <c r="T142"/>
  <c r="T238"/>
  <c r="T358"/>
  <c r="T364"/>
  <c r="T133"/>
  <c r="T45"/>
  <c r="T356"/>
  <c r="T337"/>
  <c r="T145"/>
  <c r="T457"/>
  <c r="T136"/>
  <c r="T498"/>
  <c r="T242"/>
  <c r="T138"/>
  <c r="T451"/>
  <c r="T247"/>
  <c r="T369"/>
  <c r="T246"/>
  <c r="T43"/>
  <c r="T255"/>
  <c r="T245"/>
  <c r="T344"/>
  <c r="T455"/>
  <c r="T336"/>
  <c r="T361"/>
  <c r="T353"/>
  <c r="T251"/>
  <c r="T131"/>
  <c r="T254"/>
  <c r="T125"/>
  <c r="T490"/>
  <c r="T39"/>
  <c r="T248"/>
  <c r="T129"/>
  <c r="T497"/>
  <c r="T365"/>
  <c r="T338"/>
  <c r="T127"/>
  <c r="T519"/>
  <c r="T447"/>
  <c r="T348"/>
  <c r="T345"/>
  <c r="T367"/>
  <c r="T443"/>
  <c r="T362"/>
  <c r="T256"/>
  <c r="T20"/>
  <c r="T126"/>
  <c r="T141"/>
  <c r="T444"/>
  <c r="T515"/>
  <c r="T250"/>
  <c r="T453"/>
  <c r="T41"/>
  <c r="T524"/>
  <c r="T439"/>
  <c r="T15"/>
  <c r="T437"/>
  <c r="T341"/>
  <c r="T130"/>
  <c r="T456"/>
  <c r="T442"/>
  <c r="T494"/>
  <c r="T368"/>
  <c r="T359"/>
  <c r="T450"/>
  <c r="T13"/>
  <c r="T357"/>
  <c r="T349"/>
  <c r="T448"/>
  <c r="T342"/>
  <c r="T241"/>
  <c r="T496"/>
  <c r="T134"/>
  <c r="T140"/>
  <c r="T343"/>
  <c r="T137"/>
  <c r="T355"/>
  <c r="T244"/>
  <c r="T249"/>
  <c r="T40"/>
  <c r="T347"/>
  <c r="T493"/>
  <c r="T441"/>
  <c r="T489"/>
  <c r="T5"/>
  <c r="T438"/>
  <c r="T139"/>
  <c r="T366"/>
  <c r="T454"/>
  <c r="T495"/>
  <c r="T239"/>
  <c r="T14"/>
  <c r="T146"/>
  <c r="T19"/>
  <c r="T240"/>
  <c r="T259"/>
  <c r="T154"/>
  <c r="T458"/>
  <c r="T1082"/>
  <c r="T49"/>
  <c r="T885"/>
  <c r="T886"/>
  <c r="T652"/>
  <c r="T779"/>
  <c r="T264"/>
  <c r="T881"/>
  <c r="T372"/>
  <c r="T888"/>
  <c r="T651"/>
  <c r="T500"/>
  <c r="T262"/>
  <c r="T561"/>
  <c r="T882"/>
  <c r="T1038"/>
  <c r="T647"/>
  <c r="T1036"/>
  <c r="T153"/>
  <c r="T149"/>
  <c r="T778"/>
  <c r="T774"/>
  <c r="T970"/>
  <c r="T972"/>
  <c r="T772"/>
  <c r="T879"/>
  <c r="T375"/>
  <c r="T370"/>
  <c r="T776"/>
  <c r="T48"/>
  <c r="T969"/>
  <c r="T564"/>
  <c r="T151"/>
  <c r="T150"/>
  <c r="T257"/>
  <c r="T880"/>
  <c r="T1083"/>
  <c r="T501"/>
  <c r="T1037"/>
  <c r="T773"/>
  <c r="T376"/>
  <c r="T883"/>
  <c r="T534"/>
  <c r="T155"/>
  <c r="T887"/>
  <c r="T562"/>
  <c r="T374"/>
  <c r="T775"/>
  <c r="T535"/>
  <c r="T533"/>
  <c r="T650"/>
  <c r="T971"/>
  <c r="T777"/>
  <c r="T261"/>
  <c r="T560"/>
  <c r="T260"/>
  <c r="T460"/>
  <c r="T152"/>
  <c r="T263"/>
  <c r="T770"/>
  <c r="T771"/>
  <c r="T47"/>
  <c r="T371"/>
  <c r="T258"/>
  <c r="T884"/>
  <c r="T461"/>
  <c r="T565"/>
  <c r="T462"/>
  <c r="T648"/>
  <c r="T649"/>
  <c r="T459"/>
  <c r="T973"/>
  <c r="T373"/>
  <c r="T558"/>
  <c r="T563"/>
  <c r="T559"/>
  <c r="T653"/>
  <c r="T1084"/>
  <c r="T974"/>
  <c r="T654"/>
  <c r="T1093"/>
  <c r="T889"/>
  <c r="T890"/>
  <c r="T780"/>
  <c r="T891"/>
  <c r="T1039"/>
  <c r="T781"/>
  <c r="T782"/>
  <c r="T655"/>
  <c r="T566"/>
  <c r="T567"/>
  <c r="T783"/>
  <c r="T656"/>
  <c r="T784"/>
  <c r="T568"/>
  <c r="T569"/>
  <c r="T892"/>
  <c r="T570"/>
  <c r="T975"/>
  <c r="T657"/>
  <c r="T1040"/>
  <c r="T1041"/>
  <c r="T571"/>
  <c r="T976"/>
  <c r="T572"/>
  <c r="T658"/>
  <c r="T1042"/>
  <c r="T659"/>
  <c r="T977"/>
  <c r="T660"/>
  <c r="T785"/>
  <c r="T661"/>
  <c r="T1043"/>
  <c r="T1044"/>
  <c r="T893"/>
  <c r="T786"/>
  <c r="T787"/>
  <c r="T788"/>
  <c r="T662"/>
  <c r="T978"/>
  <c r="T979"/>
  <c r="T536"/>
  <c r="T537"/>
  <c r="T538"/>
  <c r="T539"/>
  <c r="T540"/>
  <c r="T789"/>
  <c r="T894"/>
  <c r="T573"/>
  <c r="T790"/>
  <c r="T980"/>
  <c r="T574"/>
  <c r="T895"/>
  <c r="T981"/>
  <c r="T982"/>
  <c r="T1045"/>
  <c r="T791"/>
  <c r="T792"/>
  <c r="T896"/>
  <c r="T897"/>
  <c r="T898"/>
  <c r="T899"/>
  <c r="T900"/>
  <c r="T901"/>
  <c r="T793"/>
  <c r="T575"/>
  <c r="T663"/>
  <c r="T576"/>
  <c r="T1085"/>
  <c r="T902"/>
  <c r="T794"/>
  <c r="T577"/>
  <c r="T795"/>
  <c r="T903"/>
  <c r="T664"/>
  <c r="T904"/>
  <c r="T578"/>
  <c r="T665"/>
  <c r="T983"/>
  <c r="T666"/>
  <c r="T667"/>
  <c r="T796"/>
  <c r="T905"/>
  <c r="T668"/>
  <c r="T669"/>
  <c r="T1046"/>
  <c r="T797"/>
  <c r="T906"/>
  <c r="T907"/>
  <c r="T670"/>
  <c r="T798"/>
  <c r="T579"/>
  <c r="T799"/>
  <c r="T1047"/>
  <c r="T580"/>
  <c r="T800"/>
  <c r="T1048"/>
  <c r="T908"/>
  <c r="T801"/>
  <c r="T909"/>
  <c r="T910"/>
  <c r="T581"/>
  <c r="T802"/>
  <c r="T1049"/>
  <c r="T1050"/>
  <c r="T984"/>
  <c r="T911"/>
  <c r="T671"/>
  <c r="T1086"/>
  <c r="T803"/>
  <c r="T804"/>
  <c r="T672"/>
  <c r="T582"/>
  <c r="T805"/>
  <c r="T985"/>
  <c r="T912"/>
  <c r="T806"/>
  <c r="T673"/>
  <c r="T674"/>
  <c r="T913"/>
  <c r="T675"/>
  <c r="T676"/>
  <c r="T583"/>
  <c r="T807"/>
  <c r="T808"/>
  <c r="T677"/>
  <c r="T914"/>
  <c r="T986"/>
  <c r="T987"/>
  <c r="T809"/>
  <c r="T584"/>
  <c r="T678"/>
  <c r="T810"/>
  <c r="T679"/>
  <c r="T811"/>
  <c r="T1051"/>
  <c r="T988"/>
  <c r="T585"/>
  <c r="T812"/>
  <c r="T989"/>
  <c r="T915"/>
  <c r="T1087"/>
  <c r="T586"/>
  <c r="T813"/>
  <c r="T680"/>
  <c r="T990"/>
  <c r="T916"/>
  <c r="T917"/>
  <c r="T918"/>
  <c r="T919"/>
  <c r="T920"/>
  <c r="T921"/>
  <c r="T991"/>
  <c r="T814"/>
  <c r="T815"/>
  <c r="T992"/>
  <c r="T681"/>
  <c r="T587"/>
  <c r="T682"/>
  <c r="T683"/>
  <c r="T1052"/>
  <c r="T993"/>
  <c r="T588"/>
  <c r="T1053"/>
  <c r="T994"/>
  <c r="T995"/>
  <c r="T996"/>
  <c r="T997"/>
  <c r="T1054"/>
  <c r="T589"/>
  <c r="T816"/>
  <c r="T922"/>
  <c r="T684"/>
  <c r="T685"/>
  <c r="T923"/>
  <c r="T817"/>
  <c r="T818"/>
  <c r="T1002"/>
  <c r="T1003"/>
  <c r="T693"/>
  <c r="T694"/>
  <c r="T998"/>
  <c r="T594"/>
  <c r="T1067"/>
  <c r="T695"/>
  <c r="T1063"/>
  <c r="T1068"/>
  <c r="T702"/>
  <c r="T826"/>
  <c r="T595"/>
  <c r="T703"/>
  <c r="T696"/>
  <c r="T999"/>
  <c r="T686"/>
  <c r="T1015"/>
  <c r="T697"/>
  <c r="T1004"/>
  <c r="T926"/>
  <c r="T687"/>
  <c r="T927"/>
  <c r="T688"/>
  <c r="T590"/>
  <c r="T1005"/>
  <c r="T1064"/>
  <c r="T1006"/>
  <c r="T1007"/>
  <c r="T827"/>
  <c r="T1008"/>
  <c r="T1055"/>
  <c r="T698"/>
  <c r="T828"/>
  <c r="T928"/>
  <c r="T929"/>
  <c r="T819"/>
  <c r="T591"/>
  <c r="T1056"/>
  <c r="T930"/>
  <c r="T592"/>
  <c r="T596"/>
  <c r="T1057"/>
  <c r="T1058"/>
  <c r="T1065"/>
  <c r="T931"/>
  <c r="T829"/>
  <c r="T1009"/>
  <c r="T830"/>
  <c r="T689"/>
  <c r="T820"/>
  <c r="T924"/>
  <c r="T1010"/>
  <c r="T699"/>
  <c r="T1011"/>
  <c r="T690"/>
  <c r="T925"/>
  <c r="T821"/>
  <c r="T691"/>
  <c r="T831"/>
  <c r="T932"/>
  <c r="T1012"/>
  <c r="T832"/>
  <c r="T933"/>
  <c r="T1013"/>
  <c r="T822"/>
  <c r="T700"/>
  <c r="T701"/>
  <c r="T1066"/>
  <c r="T1014"/>
  <c r="T692"/>
  <c r="T1059"/>
  <c r="T823"/>
  <c r="T824"/>
  <c r="T825"/>
  <c r="T1000"/>
  <c r="T1060"/>
  <c r="T1061"/>
  <c r="T1001"/>
  <c r="T593"/>
  <c r="T1062"/>
  <c r="T1123"/>
  <c r="T1118"/>
  <c r="T1124"/>
  <c r="T1119"/>
  <c r="T1120"/>
  <c r="T1125"/>
  <c r="T1105"/>
  <c r="T1106"/>
  <c r="T1107"/>
  <c r="T1108"/>
  <c r="T1109"/>
  <c r="T1110"/>
  <c r="T1121"/>
  <c r="T1111"/>
  <c r="T1126"/>
  <c r="T1130"/>
  <c r="T1127"/>
  <c r="T1128"/>
  <c r="T1131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8"/>
  <c r="T53"/>
  <c r="T1529"/>
  <c r="T1557"/>
  <c r="T1530"/>
  <c r="T1531"/>
  <c r="T1532"/>
  <c r="T384"/>
  <c r="T1533"/>
  <c r="T1534"/>
  <c r="T1535"/>
  <c r="T1558"/>
  <c r="T1536"/>
  <c r="T269"/>
  <c r="T1537"/>
  <c r="T54"/>
  <c r="T1538"/>
  <c r="T270"/>
  <c r="T55"/>
  <c r="T1520"/>
  <c r="T1539"/>
  <c r="T1540"/>
  <c r="T1521"/>
  <c r="T1541"/>
  <c r="T1522"/>
  <c r="T1542"/>
  <c r="T271"/>
  <c r="T1543"/>
  <c r="T1523"/>
  <c r="T62"/>
  <c r="T1544"/>
  <c r="T385"/>
  <c r="T467"/>
  <c r="T162"/>
  <c r="T1545"/>
  <c r="T503"/>
  <c r="T1546"/>
  <c r="T1547"/>
  <c r="T1548"/>
  <c r="T504"/>
  <c r="T1549"/>
  <c r="T281"/>
  <c r="T163"/>
  <c r="T1550"/>
  <c r="T170"/>
  <c r="T468"/>
  <c r="T1551"/>
  <c r="T1552"/>
  <c r="T1553"/>
  <c r="T63"/>
  <c r="T56"/>
  <c r="T1554"/>
  <c r="T1555"/>
  <c r="T377"/>
  <c r="T386"/>
  <c r="T272"/>
  <c r="T1559"/>
  <c r="T273"/>
  <c r="T1560"/>
  <c r="T64"/>
  <c r="T282"/>
  <c r="T50"/>
  <c r="T1524"/>
  <c r="T283"/>
  <c r="T387"/>
  <c r="T156"/>
  <c r="T1561"/>
  <c r="T157"/>
  <c r="T526"/>
  <c r="T51"/>
  <c r="T505"/>
  <c r="T388"/>
  <c r="T274"/>
  <c r="T275"/>
  <c r="T463"/>
  <c r="T265"/>
  <c r="T1525"/>
  <c r="T17"/>
  <c r="T58"/>
  <c r="T389"/>
  <c r="T276"/>
  <c r="T169"/>
  <c r="T280"/>
  <c r="T59"/>
  <c r="T158"/>
  <c r="T391"/>
  <c r="T1562"/>
  <c r="T267"/>
  <c r="T381"/>
  <c r="T378"/>
  <c r="T390"/>
  <c r="T160"/>
  <c r="T166"/>
  <c r="T161"/>
  <c r="T382"/>
  <c r="T393"/>
  <c r="T266"/>
  <c r="T392"/>
  <c r="T159"/>
  <c r="T465"/>
  <c r="T1527"/>
  <c r="T61"/>
  <c r="T284"/>
  <c r="T279"/>
  <c r="T380"/>
  <c r="T164"/>
  <c r="T52"/>
  <c r="T60"/>
  <c r="T168"/>
  <c r="T268"/>
  <c r="T57"/>
  <c r="T165"/>
  <c r="T1526"/>
  <c r="T464"/>
  <c r="T278"/>
  <c r="T506"/>
  <c r="T167"/>
  <c r="T379"/>
  <c r="T383"/>
  <c r="T1563"/>
  <c r="T466"/>
  <c r="T1556"/>
  <c r="T502"/>
  <c r="T277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507"/>
  <c r="T530"/>
  <c r="T520"/>
  <c r="T527"/>
  <c r="T285"/>
  <c r="T508"/>
  <c r="T171"/>
  <c r="T521"/>
  <c r="T522"/>
  <c r="T469"/>
  <c r="T286"/>
  <c r="T287"/>
  <c r="T394"/>
  <c r="T541"/>
  <c r="T542"/>
  <c r="T833"/>
  <c r="T834"/>
  <c r="T1016"/>
  <c r="T704"/>
  <c r="T597"/>
  <c r="T705"/>
  <c r="T598"/>
  <c r="T706"/>
  <c r="T599"/>
  <c r="T707"/>
  <c r="T1088"/>
  <c r="T600"/>
  <c r="T708"/>
  <c r="T835"/>
  <c r="T836"/>
  <c r="T837"/>
  <c r="T934"/>
  <c r="T935"/>
  <c r="T838"/>
  <c r="T709"/>
  <c r="T1017"/>
  <c r="T839"/>
  <c r="T601"/>
  <c r="T936"/>
  <c r="T937"/>
  <c r="T602"/>
  <c r="T938"/>
  <c r="T710"/>
  <c r="T711"/>
  <c r="T712"/>
  <c r="T939"/>
  <c r="T713"/>
  <c r="T714"/>
  <c r="T603"/>
  <c r="T715"/>
  <c r="T604"/>
  <c r="T840"/>
  <c r="T716"/>
  <c r="T605"/>
  <c r="T606"/>
  <c r="T940"/>
  <c r="T941"/>
  <c r="T942"/>
  <c r="T607"/>
  <c r="T867"/>
  <c r="S751"/>
  <c r="S547"/>
  <c r="S957"/>
  <c r="S746"/>
  <c r="S960"/>
  <c r="S635"/>
  <c r="S863"/>
  <c r="S545"/>
  <c r="S865"/>
  <c r="S750"/>
  <c r="S748"/>
  <c r="S864"/>
  <c r="S749"/>
  <c r="S860"/>
  <c r="S546"/>
  <c r="S958"/>
  <c r="S866"/>
  <c r="S1032"/>
  <c r="S959"/>
  <c r="S862"/>
  <c r="S747"/>
  <c r="S531"/>
  <c r="S544"/>
  <c r="S861"/>
  <c r="S869"/>
  <c r="S638"/>
  <c r="S877"/>
  <c r="S1094"/>
  <c r="S762"/>
  <c r="S876"/>
  <c r="S1034"/>
  <c r="S18"/>
  <c r="S637"/>
  <c r="S871"/>
  <c r="S644"/>
  <c r="S874"/>
  <c r="S759"/>
  <c r="S870"/>
  <c r="S557"/>
  <c r="S553"/>
  <c r="S642"/>
  <c r="S769"/>
  <c r="S551"/>
  <c r="S767"/>
  <c r="S963"/>
  <c r="S646"/>
  <c r="S645"/>
  <c r="S968"/>
  <c r="S964"/>
  <c r="S962"/>
  <c r="S7"/>
  <c r="S554"/>
  <c r="S1091"/>
  <c r="S873"/>
  <c r="S643"/>
  <c r="S639"/>
  <c r="S549"/>
  <c r="S8"/>
  <c r="S756"/>
  <c r="S9"/>
  <c r="S10"/>
  <c r="S1"/>
  <c r="S768"/>
  <c r="S641"/>
  <c r="S754"/>
  <c r="S552"/>
  <c r="S550"/>
  <c r="S961"/>
  <c r="S761"/>
  <c r="S765"/>
  <c r="S640"/>
  <c r="S1033"/>
  <c r="S556"/>
  <c r="S763"/>
  <c r="S878"/>
  <c r="S757"/>
  <c r="S967"/>
  <c r="S875"/>
  <c r="S752"/>
  <c r="S753"/>
  <c r="S764"/>
  <c r="S1081"/>
  <c r="S872"/>
  <c r="S636"/>
  <c r="S755"/>
  <c r="S548"/>
  <c r="S766"/>
  <c r="S868"/>
  <c r="S1092"/>
  <c r="S1035"/>
  <c r="S758"/>
  <c r="S760"/>
  <c r="S555"/>
  <c r="S965"/>
  <c r="S966"/>
  <c r="S532"/>
  <c r="S175"/>
  <c r="S81"/>
  <c r="S399"/>
  <c r="S75"/>
  <c r="S71"/>
  <c r="S291"/>
  <c r="S290"/>
  <c r="S23"/>
  <c r="S409"/>
  <c r="S176"/>
  <c r="S27"/>
  <c r="S86"/>
  <c r="S471"/>
  <c r="S401"/>
  <c r="S73"/>
  <c r="S297"/>
  <c r="S293"/>
  <c r="S178"/>
  <c r="S80"/>
  <c r="S473"/>
  <c r="S29"/>
  <c r="S400"/>
  <c r="S88"/>
  <c r="S303"/>
  <c r="S470"/>
  <c r="S191"/>
  <c r="S22"/>
  <c r="S403"/>
  <c r="S301"/>
  <c r="S180"/>
  <c r="S67"/>
  <c r="S395"/>
  <c r="S404"/>
  <c r="S523"/>
  <c r="S78"/>
  <c r="S308"/>
  <c r="S402"/>
  <c r="S84"/>
  <c r="S68"/>
  <c r="S174"/>
  <c r="S181"/>
  <c r="S87"/>
  <c r="S397"/>
  <c r="S296"/>
  <c r="S26"/>
  <c r="S289"/>
  <c r="S179"/>
  <c r="S183"/>
  <c r="S185"/>
  <c r="S312"/>
  <c r="S302"/>
  <c r="S311"/>
  <c r="S314"/>
  <c r="S294"/>
  <c r="S193"/>
  <c r="S189"/>
  <c r="S79"/>
  <c r="S313"/>
  <c r="S407"/>
  <c r="S529"/>
  <c r="S405"/>
  <c r="S3"/>
  <c r="S307"/>
  <c r="S299"/>
  <c r="S295"/>
  <c r="S406"/>
  <c r="S2"/>
  <c r="S66"/>
  <c r="S77"/>
  <c r="S305"/>
  <c r="S408"/>
  <c r="S186"/>
  <c r="S25"/>
  <c r="S173"/>
  <c r="S306"/>
  <c r="S76"/>
  <c r="S298"/>
  <c r="S82"/>
  <c r="S398"/>
  <c r="S187"/>
  <c r="S28"/>
  <c r="S309"/>
  <c r="S85"/>
  <c r="S310"/>
  <c r="S304"/>
  <c r="S288"/>
  <c r="S474"/>
  <c r="S472"/>
  <c r="S292"/>
  <c r="S72"/>
  <c r="S182"/>
  <c r="S190"/>
  <c r="S70"/>
  <c r="S184"/>
  <c r="S172"/>
  <c r="S300"/>
  <c r="S192"/>
  <c r="S69"/>
  <c r="S396"/>
  <c r="S177"/>
  <c r="S74"/>
  <c r="S24"/>
  <c r="S188"/>
  <c r="S65"/>
  <c r="S83"/>
  <c r="S90"/>
  <c r="S93"/>
  <c r="S316"/>
  <c r="S413"/>
  <c r="S199"/>
  <c r="S510"/>
  <c r="S95"/>
  <c r="S321"/>
  <c r="S418"/>
  <c r="S417"/>
  <c r="S416"/>
  <c r="S419"/>
  <c r="S319"/>
  <c r="S415"/>
  <c r="S478"/>
  <c r="S96"/>
  <c r="S194"/>
  <c r="S411"/>
  <c r="S91"/>
  <c r="S31"/>
  <c r="S410"/>
  <c r="S412"/>
  <c r="S477"/>
  <c r="S528"/>
  <c r="S195"/>
  <c r="S198"/>
  <c r="S94"/>
  <c r="S414"/>
  <c r="S320"/>
  <c r="S475"/>
  <c r="S315"/>
  <c r="S476"/>
  <c r="S200"/>
  <c r="S89"/>
  <c r="S318"/>
  <c r="S30"/>
  <c r="S317"/>
  <c r="S420"/>
  <c r="S201"/>
  <c r="S196"/>
  <c r="S92"/>
  <c r="S421"/>
  <c r="S197"/>
  <c r="S509"/>
  <c r="S97"/>
  <c r="S479"/>
  <c r="S98"/>
  <c r="S202"/>
  <c r="S322"/>
  <c r="S203"/>
  <c r="S204"/>
  <c r="S323"/>
  <c r="S99"/>
  <c r="S205"/>
  <c r="S511"/>
  <c r="S422"/>
  <c r="S206"/>
  <c r="S32"/>
  <c r="S100"/>
  <c r="S33"/>
  <c r="S101"/>
  <c r="S207"/>
  <c r="S423"/>
  <c r="S102"/>
  <c r="S324"/>
  <c r="S208"/>
  <c r="S424"/>
  <c r="S425"/>
  <c r="S209"/>
  <c r="S210"/>
  <c r="S103"/>
  <c r="S211"/>
  <c r="S212"/>
  <c r="S34"/>
  <c r="S426"/>
  <c r="S480"/>
  <c r="S35"/>
  <c r="S104"/>
  <c r="S427"/>
  <c r="S105"/>
  <c r="S106"/>
  <c r="U106" s="1"/>
  <c r="S481"/>
  <c r="S107"/>
  <c r="S108"/>
  <c r="S109"/>
  <c r="S213"/>
  <c r="S214"/>
  <c r="S118"/>
  <c r="S331"/>
  <c r="S117"/>
  <c r="S123"/>
  <c r="S485"/>
  <c r="S221"/>
  <c r="S332"/>
  <c r="S486"/>
  <c r="S334"/>
  <c r="S484"/>
  <c r="S233"/>
  <c r="S225"/>
  <c r="S433"/>
  <c r="S112"/>
  <c r="S121"/>
  <c r="S325"/>
  <c r="S12"/>
  <c r="S483"/>
  <c r="S229"/>
  <c r="S436"/>
  <c r="S38"/>
  <c r="S235"/>
  <c r="S113"/>
  <c r="S11"/>
  <c r="S228"/>
  <c r="S335"/>
  <c r="S116"/>
  <c r="S513"/>
  <c r="S333"/>
  <c r="S236"/>
  <c r="S328"/>
  <c r="S226"/>
  <c r="S111"/>
  <c r="S434"/>
  <c r="S218"/>
  <c r="S428"/>
  <c r="S432"/>
  <c r="S36"/>
  <c r="S4"/>
  <c r="S227"/>
  <c r="S216"/>
  <c r="S512"/>
  <c r="S115"/>
  <c r="S220"/>
  <c r="S223"/>
  <c r="S230"/>
  <c r="S114"/>
  <c r="S222"/>
  <c r="S110"/>
  <c r="S431"/>
  <c r="S514"/>
  <c r="S37"/>
  <c r="S219"/>
  <c r="S430"/>
  <c r="S224"/>
  <c r="S234"/>
  <c r="S215"/>
  <c r="S429"/>
  <c r="S231"/>
  <c r="S487"/>
  <c r="S237"/>
  <c r="S435"/>
  <c r="S329"/>
  <c r="S330"/>
  <c r="S217"/>
  <c r="S120"/>
  <c r="S482"/>
  <c r="S232"/>
  <c r="S327"/>
  <c r="S119"/>
  <c r="S122"/>
  <c r="S326"/>
  <c r="S445"/>
  <c r="S517"/>
  <c r="S143"/>
  <c r="S124"/>
  <c r="S518"/>
  <c r="S491"/>
  <c r="S252"/>
  <c r="S144"/>
  <c r="S135"/>
  <c r="S243"/>
  <c r="S499"/>
  <c r="S21"/>
  <c r="S516"/>
  <c r="S253"/>
  <c r="S6"/>
  <c r="S46"/>
  <c r="S350"/>
  <c r="S340"/>
  <c r="S354"/>
  <c r="S351"/>
  <c r="S147"/>
  <c r="S492"/>
  <c r="S488"/>
  <c r="S128"/>
  <c r="S148"/>
  <c r="S16"/>
  <c r="S346"/>
  <c r="S449"/>
  <c r="S339"/>
  <c r="S132"/>
  <c r="S452"/>
  <c r="S440"/>
  <c r="S525"/>
  <c r="S42"/>
  <c r="S44"/>
  <c r="S363"/>
  <c r="S352"/>
  <c r="S360"/>
  <c r="S446"/>
  <c r="S142"/>
  <c r="S238"/>
  <c r="S358"/>
  <c r="S364"/>
  <c r="S133"/>
  <c r="S45"/>
  <c r="S356"/>
  <c r="S337"/>
  <c r="S145"/>
  <c r="S457"/>
  <c r="S136"/>
  <c r="S498"/>
  <c r="S242"/>
  <c r="S138"/>
  <c r="S451"/>
  <c r="S247"/>
  <c r="S369"/>
  <c r="S246"/>
  <c r="S43"/>
  <c r="S255"/>
  <c r="S245"/>
  <c r="S344"/>
  <c r="S455"/>
  <c r="S336"/>
  <c r="S361"/>
  <c r="S353"/>
  <c r="S251"/>
  <c r="S131"/>
  <c r="S254"/>
  <c r="S125"/>
  <c r="S490"/>
  <c r="S39"/>
  <c r="S248"/>
  <c r="S129"/>
  <c r="S497"/>
  <c r="S365"/>
  <c r="S338"/>
  <c r="S127"/>
  <c r="S519"/>
  <c r="S447"/>
  <c r="S348"/>
  <c r="S345"/>
  <c r="S367"/>
  <c r="S443"/>
  <c r="S362"/>
  <c r="S256"/>
  <c r="S20"/>
  <c r="S126"/>
  <c r="S141"/>
  <c r="S444"/>
  <c r="S515"/>
  <c r="S250"/>
  <c r="S453"/>
  <c r="S41"/>
  <c r="S524"/>
  <c r="S439"/>
  <c r="S15"/>
  <c r="S437"/>
  <c r="S341"/>
  <c r="S130"/>
  <c r="S456"/>
  <c r="S442"/>
  <c r="S494"/>
  <c r="S368"/>
  <c r="S359"/>
  <c r="S450"/>
  <c r="S13"/>
  <c r="S357"/>
  <c r="S349"/>
  <c r="S448"/>
  <c r="S342"/>
  <c r="S241"/>
  <c r="S496"/>
  <c r="S134"/>
  <c r="S140"/>
  <c r="S343"/>
  <c r="S137"/>
  <c r="S355"/>
  <c r="S244"/>
  <c r="S249"/>
  <c r="S40"/>
  <c r="S347"/>
  <c r="S493"/>
  <c r="S441"/>
  <c r="S489"/>
  <c r="S5"/>
  <c r="S438"/>
  <c r="S139"/>
  <c r="S366"/>
  <c r="S454"/>
  <c r="S495"/>
  <c r="S239"/>
  <c r="S14"/>
  <c r="S146"/>
  <c r="S19"/>
  <c r="S240"/>
  <c r="S259"/>
  <c r="S154"/>
  <c r="S458"/>
  <c r="S1082"/>
  <c r="S49"/>
  <c r="S885"/>
  <c r="S886"/>
  <c r="S652"/>
  <c r="S779"/>
  <c r="S264"/>
  <c r="S881"/>
  <c r="S372"/>
  <c r="S888"/>
  <c r="S651"/>
  <c r="S500"/>
  <c r="S262"/>
  <c r="S561"/>
  <c r="S882"/>
  <c r="S1038"/>
  <c r="S647"/>
  <c r="S1036"/>
  <c r="S153"/>
  <c r="S149"/>
  <c r="S778"/>
  <c r="S774"/>
  <c r="S970"/>
  <c r="S972"/>
  <c r="S772"/>
  <c r="S879"/>
  <c r="S375"/>
  <c r="S370"/>
  <c r="S776"/>
  <c r="S48"/>
  <c r="S969"/>
  <c r="S564"/>
  <c r="S151"/>
  <c r="S150"/>
  <c r="S257"/>
  <c r="S880"/>
  <c r="S1083"/>
  <c r="S501"/>
  <c r="S1037"/>
  <c r="S773"/>
  <c r="S376"/>
  <c r="S883"/>
  <c r="S534"/>
  <c r="S155"/>
  <c r="S887"/>
  <c r="S562"/>
  <c r="S374"/>
  <c r="S775"/>
  <c r="S535"/>
  <c r="S533"/>
  <c r="S650"/>
  <c r="S971"/>
  <c r="S777"/>
  <c r="S261"/>
  <c r="S560"/>
  <c r="S260"/>
  <c r="S460"/>
  <c r="S152"/>
  <c r="S263"/>
  <c r="S770"/>
  <c r="S771"/>
  <c r="S47"/>
  <c r="S371"/>
  <c r="S258"/>
  <c r="S884"/>
  <c r="S461"/>
  <c r="S565"/>
  <c r="S462"/>
  <c r="S648"/>
  <c r="S649"/>
  <c r="S459"/>
  <c r="S973"/>
  <c r="S373"/>
  <c r="S558"/>
  <c r="S563"/>
  <c r="S559"/>
  <c r="S653"/>
  <c r="S1084"/>
  <c r="S974"/>
  <c r="S654"/>
  <c r="S1093"/>
  <c r="S889"/>
  <c r="S890"/>
  <c r="S780"/>
  <c r="S891"/>
  <c r="S1039"/>
  <c r="S781"/>
  <c r="S782"/>
  <c r="S655"/>
  <c r="S566"/>
  <c r="S567"/>
  <c r="S783"/>
  <c r="S656"/>
  <c r="S784"/>
  <c r="S568"/>
  <c r="S569"/>
  <c r="S892"/>
  <c r="S570"/>
  <c r="S975"/>
  <c r="S657"/>
  <c r="S1040"/>
  <c r="S1041"/>
  <c r="S571"/>
  <c r="S976"/>
  <c r="S572"/>
  <c r="S658"/>
  <c r="S1042"/>
  <c r="S659"/>
  <c r="S977"/>
  <c r="S660"/>
  <c r="S785"/>
  <c r="S661"/>
  <c r="S1043"/>
  <c r="S1044"/>
  <c r="S893"/>
  <c r="S786"/>
  <c r="S787"/>
  <c r="S788"/>
  <c r="S662"/>
  <c r="S978"/>
  <c r="S979"/>
  <c r="S536"/>
  <c r="S537"/>
  <c r="S538"/>
  <c r="S539"/>
  <c r="S540"/>
  <c r="S789"/>
  <c r="S894"/>
  <c r="S573"/>
  <c r="S790"/>
  <c r="S980"/>
  <c r="S574"/>
  <c r="S895"/>
  <c r="S981"/>
  <c r="S982"/>
  <c r="S1045"/>
  <c r="S791"/>
  <c r="S792"/>
  <c r="S896"/>
  <c r="S897"/>
  <c r="S898"/>
  <c r="S899"/>
  <c r="S900"/>
  <c r="S901"/>
  <c r="S793"/>
  <c r="S575"/>
  <c r="S663"/>
  <c r="S576"/>
  <c r="S1085"/>
  <c r="S902"/>
  <c r="S794"/>
  <c r="S577"/>
  <c r="S795"/>
  <c r="S903"/>
  <c r="S664"/>
  <c r="S904"/>
  <c r="S578"/>
  <c r="S665"/>
  <c r="S983"/>
  <c r="S666"/>
  <c r="S667"/>
  <c r="S796"/>
  <c r="S905"/>
  <c r="S668"/>
  <c r="S669"/>
  <c r="S1046"/>
  <c r="S797"/>
  <c r="S906"/>
  <c r="S907"/>
  <c r="S670"/>
  <c r="S798"/>
  <c r="S579"/>
  <c r="S799"/>
  <c r="S1047"/>
  <c r="S580"/>
  <c r="S800"/>
  <c r="S1048"/>
  <c r="S908"/>
  <c r="S801"/>
  <c r="S909"/>
  <c r="S910"/>
  <c r="S581"/>
  <c r="S802"/>
  <c r="S1049"/>
  <c r="S1050"/>
  <c r="S984"/>
  <c r="S911"/>
  <c r="S671"/>
  <c r="S1086"/>
  <c r="S803"/>
  <c r="S804"/>
  <c r="S672"/>
  <c r="S582"/>
  <c r="S805"/>
  <c r="S985"/>
  <c r="S912"/>
  <c r="S806"/>
  <c r="S673"/>
  <c r="S674"/>
  <c r="S913"/>
  <c r="S675"/>
  <c r="S676"/>
  <c r="S583"/>
  <c r="S807"/>
  <c r="S808"/>
  <c r="S677"/>
  <c r="S914"/>
  <c r="S986"/>
  <c r="S987"/>
  <c r="S809"/>
  <c r="S584"/>
  <c r="S678"/>
  <c r="S810"/>
  <c r="S679"/>
  <c r="S811"/>
  <c r="S1051"/>
  <c r="S988"/>
  <c r="S585"/>
  <c r="S812"/>
  <c r="S989"/>
  <c r="S915"/>
  <c r="S1087"/>
  <c r="S586"/>
  <c r="S813"/>
  <c r="S680"/>
  <c r="S990"/>
  <c r="S916"/>
  <c r="S917"/>
  <c r="S918"/>
  <c r="S919"/>
  <c r="S920"/>
  <c r="S921"/>
  <c r="S991"/>
  <c r="S814"/>
  <c r="S815"/>
  <c r="S992"/>
  <c r="S681"/>
  <c r="S587"/>
  <c r="S682"/>
  <c r="S683"/>
  <c r="S1052"/>
  <c r="S993"/>
  <c r="S588"/>
  <c r="S1053"/>
  <c r="S994"/>
  <c r="S995"/>
  <c r="S996"/>
  <c r="S997"/>
  <c r="S1054"/>
  <c r="S589"/>
  <c r="S816"/>
  <c r="S922"/>
  <c r="S684"/>
  <c r="S685"/>
  <c r="S923"/>
  <c r="S817"/>
  <c r="S818"/>
  <c r="S1002"/>
  <c r="S1003"/>
  <c r="S693"/>
  <c r="S694"/>
  <c r="S998"/>
  <c r="S594"/>
  <c r="S1067"/>
  <c r="S695"/>
  <c r="S1063"/>
  <c r="S1068"/>
  <c r="S702"/>
  <c r="S826"/>
  <c r="S595"/>
  <c r="S703"/>
  <c r="S696"/>
  <c r="S999"/>
  <c r="S686"/>
  <c r="S1015"/>
  <c r="S697"/>
  <c r="S1004"/>
  <c r="S926"/>
  <c r="S687"/>
  <c r="S927"/>
  <c r="S688"/>
  <c r="S590"/>
  <c r="S1005"/>
  <c r="S1064"/>
  <c r="S1006"/>
  <c r="S1007"/>
  <c r="S827"/>
  <c r="S1008"/>
  <c r="S1055"/>
  <c r="S698"/>
  <c r="S828"/>
  <c r="S928"/>
  <c r="S929"/>
  <c r="S819"/>
  <c r="S591"/>
  <c r="S1056"/>
  <c r="S930"/>
  <c r="S592"/>
  <c r="S596"/>
  <c r="S1057"/>
  <c r="S1058"/>
  <c r="S1065"/>
  <c r="S931"/>
  <c r="S829"/>
  <c r="S1009"/>
  <c r="S830"/>
  <c r="S689"/>
  <c r="S820"/>
  <c r="S924"/>
  <c r="S1010"/>
  <c r="S699"/>
  <c r="S1011"/>
  <c r="S690"/>
  <c r="S925"/>
  <c r="S821"/>
  <c r="S691"/>
  <c r="S831"/>
  <c r="S932"/>
  <c r="S1012"/>
  <c r="S832"/>
  <c r="S933"/>
  <c r="S1013"/>
  <c r="S822"/>
  <c r="S700"/>
  <c r="S701"/>
  <c r="S1066"/>
  <c r="S1014"/>
  <c r="S692"/>
  <c r="S1059"/>
  <c r="S823"/>
  <c r="S824"/>
  <c r="S825"/>
  <c r="S1000"/>
  <c r="S1060"/>
  <c r="S1061"/>
  <c r="S1001"/>
  <c r="S593"/>
  <c r="S1062"/>
  <c r="S1123"/>
  <c r="S1118"/>
  <c r="S1124"/>
  <c r="S1119"/>
  <c r="S1120"/>
  <c r="S1125"/>
  <c r="S1105"/>
  <c r="S1106"/>
  <c r="S1107"/>
  <c r="S1108"/>
  <c r="S1109"/>
  <c r="S1110"/>
  <c r="S1121"/>
  <c r="S1111"/>
  <c r="S1126"/>
  <c r="S1130"/>
  <c r="S1127"/>
  <c r="S1128"/>
  <c r="S1131"/>
  <c r="S1133"/>
  <c r="S1134"/>
  <c r="S1135"/>
  <c r="S1136"/>
  <c r="U1136" s="1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U1297" s="1"/>
  <c r="S1298"/>
  <c r="U1298" s="1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U1333" s="1"/>
  <c r="S1334"/>
  <c r="U1334" s="1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U1369" s="1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U1429" s="1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U1453" s="1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U1477" s="1"/>
  <c r="S1478"/>
  <c r="U1478" s="1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U1501" s="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8"/>
  <c r="S53"/>
  <c r="S1529"/>
  <c r="S1557"/>
  <c r="S1530"/>
  <c r="S1531"/>
  <c r="S1532"/>
  <c r="S384"/>
  <c r="S1533"/>
  <c r="S1534"/>
  <c r="S1535"/>
  <c r="S1558"/>
  <c r="S1536"/>
  <c r="S269"/>
  <c r="S1537"/>
  <c r="S54"/>
  <c r="S1538"/>
  <c r="S270"/>
  <c r="S55"/>
  <c r="S1520"/>
  <c r="S1539"/>
  <c r="S1540"/>
  <c r="S1521"/>
  <c r="S1541"/>
  <c r="S1522"/>
  <c r="S1542"/>
  <c r="S271"/>
  <c r="S1543"/>
  <c r="S1523"/>
  <c r="S62"/>
  <c r="S1544"/>
  <c r="U1544" s="1"/>
  <c r="S385"/>
  <c r="S467"/>
  <c r="S162"/>
  <c r="S1545"/>
  <c r="S503"/>
  <c r="S1546"/>
  <c r="S1547"/>
  <c r="S1548"/>
  <c r="S504"/>
  <c r="S1549"/>
  <c r="S281"/>
  <c r="S163"/>
  <c r="S1550"/>
  <c r="S170"/>
  <c r="S468"/>
  <c r="S1551"/>
  <c r="S1552"/>
  <c r="S1553"/>
  <c r="S63"/>
  <c r="S56"/>
  <c r="S1554"/>
  <c r="S1555"/>
  <c r="S377"/>
  <c r="S386"/>
  <c r="S272"/>
  <c r="S1559"/>
  <c r="S273"/>
  <c r="S1560"/>
  <c r="S64"/>
  <c r="S282"/>
  <c r="S50"/>
  <c r="S1524"/>
  <c r="S283"/>
  <c r="S387"/>
  <c r="S156"/>
  <c r="S1561"/>
  <c r="S157"/>
  <c r="S526"/>
  <c r="S51"/>
  <c r="S505"/>
  <c r="S388"/>
  <c r="S274"/>
  <c r="S275"/>
  <c r="S463"/>
  <c r="S265"/>
  <c r="S1525"/>
  <c r="S17"/>
  <c r="S58"/>
  <c r="S389"/>
  <c r="S276"/>
  <c r="S169"/>
  <c r="S280"/>
  <c r="S59"/>
  <c r="S158"/>
  <c r="S391"/>
  <c r="S1562"/>
  <c r="S267"/>
  <c r="S381"/>
  <c r="S378"/>
  <c r="S390"/>
  <c r="S160"/>
  <c r="S166"/>
  <c r="S161"/>
  <c r="S382"/>
  <c r="S393"/>
  <c r="S266"/>
  <c r="S392"/>
  <c r="S159"/>
  <c r="S465"/>
  <c r="S1527"/>
  <c r="S61"/>
  <c r="S284"/>
  <c r="S279"/>
  <c r="S380"/>
  <c r="S164"/>
  <c r="S52"/>
  <c r="S60"/>
  <c r="S168"/>
  <c r="S268"/>
  <c r="S57"/>
  <c r="S165"/>
  <c r="S1526"/>
  <c r="S464"/>
  <c r="S278"/>
  <c r="S506"/>
  <c r="S167"/>
  <c r="S379"/>
  <c r="S383"/>
  <c r="S1563"/>
  <c r="S466"/>
  <c r="S1556"/>
  <c r="S502"/>
  <c r="S277"/>
  <c r="S1564"/>
  <c r="S1565"/>
  <c r="S1566"/>
  <c r="S1567"/>
  <c r="S1568"/>
  <c r="S1569"/>
  <c r="S1570"/>
  <c r="S1571"/>
  <c r="S1572"/>
  <c r="S1573"/>
  <c r="S1574"/>
  <c r="S1575"/>
  <c r="S1576"/>
  <c r="S1577"/>
  <c r="U1577" s="1"/>
  <c r="S1578"/>
  <c r="S1579"/>
  <c r="S1580"/>
  <c r="S1581"/>
  <c r="S1582"/>
  <c r="S1583"/>
  <c r="S1584"/>
  <c r="S1585"/>
  <c r="S1586"/>
  <c r="S1587"/>
  <c r="S1588"/>
  <c r="S1589"/>
  <c r="U1589" s="1"/>
  <c r="S1590"/>
  <c r="U1590" s="1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U1619" s="1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U1649" s="1"/>
  <c r="S1650"/>
  <c r="S1651"/>
  <c r="S1652"/>
  <c r="S1653"/>
  <c r="S1654"/>
  <c r="S1655"/>
  <c r="S1656"/>
  <c r="S1657"/>
  <c r="S1658"/>
  <c r="S1659"/>
  <c r="S1660"/>
  <c r="S1661"/>
  <c r="U1661" s="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507"/>
  <c r="S530"/>
  <c r="S520"/>
  <c r="S527"/>
  <c r="S285"/>
  <c r="S508"/>
  <c r="S171"/>
  <c r="S521"/>
  <c r="S522"/>
  <c r="S469"/>
  <c r="S286"/>
  <c r="S287"/>
  <c r="S394"/>
  <c r="S541"/>
  <c r="S542"/>
  <c r="S833"/>
  <c r="S834"/>
  <c r="S1016"/>
  <c r="S704"/>
  <c r="S597"/>
  <c r="S705"/>
  <c r="S598"/>
  <c r="S706"/>
  <c r="S599"/>
  <c r="S707"/>
  <c r="S1088"/>
  <c r="S600"/>
  <c r="S708"/>
  <c r="S835"/>
  <c r="S836"/>
  <c r="S837"/>
  <c r="S934"/>
  <c r="S935"/>
  <c r="S838"/>
  <c r="S709"/>
  <c r="S1017"/>
  <c r="S839"/>
  <c r="S601"/>
  <c r="S936"/>
  <c r="S937"/>
  <c r="S602"/>
  <c r="S938"/>
  <c r="S710"/>
  <c r="S711"/>
  <c r="S712"/>
  <c r="S939"/>
  <c r="S713"/>
  <c r="S714"/>
  <c r="S603"/>
  <c r="S715"/>
  <c r="S604"/>
  <c r="S840"/>
  <c r="S716"/>
  <c r="S605"/>
  <c r="S606"/>
  <c r="S940"/>
  <c r="S941"/>
  <c r="S942"/>
  <c r="S607"/>
  <c r="S867"/>
  <c r="AC34" i="5"/>
  <c r="AC35"/>
  <c r="AC15"/>
  <c r="AC14"/>
  <c r="AC7"/>
  <c r="AC6"/>
  <c r="AG3"/>
  <c r="AG2"/>
  <c r="AM22" i="7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I18"/>
  <c r="AI12"/>
  <c r="AI17"/>
  <c r="AI15"/>
  <c r="AI10"/>
  <c r="AI5"/>
  <c r="AI14"/>
  <c r="AI22"/>
  <c r="AI20"/>
  <c r="AI21"/>
  <c r="AI7"/>
  <c r="AI8"/>
  <c r="AI13"/>
  <c r="AI6"/>
  <c r="AI11"/>
  <c r="AI19"/>
  <c r="AI3"/>
  <c r="AI4"/>
  <c r="AI9"/>
  <c r="AI16"/>
  <c r="AG14" i="5"/>
  <c r="AG32"/>
  <c r="AG31"/>
  <c r="AC31"/>
  <c r="AC30"/>
  <c r="AK27"/>
  <c r="AC27"/>
  <c r="AK26"/>
  <c r="AC26"/>
  <c r="AG24"/>
  <c r="AK23"/>
  <c r="AG23"/>
  <c r="AC23"/>
  <c r="AK22"/>
  <c r="AC22"/>
  <c r="AK19"/>
  <c r="AC19"/>
  <c r="AK18"/>
  <c r="AC18"/>
  <c r="AG15"/>
  <c r="AK11"/>
  <c r="AG11"/>
  <c r="AC11"/>
  <c r="AK10"/>
  <c r="AG10"/>
  <c r="AC10"/>
  <c r="AK7"/>
  <c r="AG7"/>
  <c r="AK6"/>
  <c r="AG6"/>
  <c r="AK3"/>
  <c r="AC3"/>
  <c r="Z3"/>
  <c r="AK2"/>
  <c r="AC2"/>
  <c r="Z2"/>
  <c r="V601" i="7"/>
  <c r="W601" s="1"/>
  <c r="V602"/>
  <c r="W602" s="1"/>
  <c r="V603"/>
  <c r="W603" s="1"/>
  <c r="V604"/>
  <c r="W604" s="1"/>
  <c r="V605"/>
  <c r="W605" s="1"/>
  <c r="V606"/>
  <c r="W606" s="1"/>
  <c r="V607"/>
  <c r="W607" s="1"/>
  <c r="V608"/>
  <c r="W608" s="1"/>
  <c r="V609"/>
  <c r="W609" s="1"/>
  <c r="V610"/>
  <c r="W610" s="1"/>
  <c r="V611"/>
  <c r="W611" s="1"/>
  <c r="V612"/>
  <c r="W612" s="1"/>
  <c r="V613"/>
  <c r="W613" s="1"/>
  <c r="V614"/>
  <c r="W614" s="1"/>
  <c r="V615"/>
  <c r="W615" s="1"/>
  <c r="V616"/>
  <c r="W616" s="1"/>
  <c r="V617"/>
  <c r="W617" s="1"/>
  <c r="V618"/>
  <c r="W618" s="1"/>
  <c r="V619"/>
  <c r="W619" s="1"/>
  <c r="V620"/>
  <c r="W620" s="1"/>
  <c r="V621"/>
  <c r="W621" s="1"/>
  <c r="V622"/>
  <c r="W622" s="1"/>
  <c r="V623"/>
  <c r="W623" s="1"/>
  <c r="V624"/>
  <c r="W624" s="1"/>
  <c r="V625"/>
  <c r="W625" s="1"/>
  <c r="V626"/>
  <c r="W626" s="1"/>
  <c r="V627"/>
  <c r="W627" s="1"/>
  <c r="V628"/>
  <c r="W628" s="1"/>
  <c r="V629"/>
  <c r="W629" s="1"/>
  <c r="V630"/>
  <c r="W630" s="1"/>
  <c r="V631"/>
  <c r="W631" s="1"/>
  <c r="V632"/>
  <c r="W632" s="1"/>
  <c r="V633"/>
  <c r="W633" s="1"/>
  <c r="V634"/>
  <c r="W634" s="1"/>
  <c r="V635"/>
  <c r="W635" s="1"/>
  <c r="V636"/>
  <c r="W636" s="1"/>
  <c r="V637"/>
  <c r="W637" s="1"/>
  <c r="V638"/>
  <c r="W638" s="1"/>
  <c r="V639"/>
  <c r="W639" s="1"/>
  <c r="V640"/>
  <c r="W640" s="1"/>
  <c r="V641"/>
  <c r="W641" s="1"/>
  <c r="V642"/>
  <c r="W642" s="1"/>
  <c r="V643"/>
  <c r="W643" s="1"/>
  <c r="V644"/>
  <c r="W644" s="1"/>
  <c r="V645"/>
  <c r="W645" s="1"/>
  <c r="V646"/>
  <c r="W646" s="1"/>
  <c r="V647"/>
  <c r="W647" s="1"/>
  <c r="V648"/>
  <c r="W648" s="1"/>
  <c r="V649"/>
  <c r="W649" s="1"/>
  <c r="V650"/>
  <c r="W650" s="1"/>
  <c r="V651"/>
  <c r="W651" s="1"/>
  <c r="V652"/>
  <c r="W652" s="1"/>
  <c r="V653"/>
  <c r="W653" s="1"/>
  <c r="V654"/>
  <c r="W654" s="1"/>
  <c r="V655"/>
  <c r="W655" s="1"/>
  <c r="V656"/>
  <c r="W656" s="1"/>
  <c r="V657"/>
  <c r="W657" s="1"/>
  <c r="V658"/>
  <c r="W658" s="1"/>
  <c r="V659"/>
  <c r="W659" s="1"/>
  <c r="V660"/>
  <c r="W660" s="1"/>
  <c r="V661"/>
  <c r="W661" s="1"/>
  <c r="V662"/>
  <c r="W662" s="1"/>
  <c r="V663"/>
  <c r="W663" s="1"/>
  <c r="V664"/>
  <c r="W664" s="1"/>
  <c r="V665"/>
  <c r="W665" s="1"/>
  <c r="V666"/>
  <c r="W666" s="1"/>
  <c r="V667"/>
  <c r="W667" s="1"/>
  <c r="V668"/>
  <c r="W668" s="1"/>
  <c r="V669"/>
  <c r="W669" s="1"/>
  <c r="V670"/>
  <c r="W670" s="1"/>
  <c r="V671"/>
  <c r="W671" s="1"/>
  <c r="V672"/>
  <c r="W672" s="1"/>
  <c r="V673"/>
  <c r="W673" s="1"/>
  <c r="V674"/>
  <c r="W674" s="1"/>
  <c r="V675"/>
  <c r="W675" s="1"/>
  <c r="V676"/>
  <c r="W676" s="1"/>
  <c r="V677"/>
  <c r="W677" s="1"/>
  <c r="V678"/>
  <c r="W678" s="1"/>
  <c r="V679"/>
  <c r="W679" s="1"/>
  <c r="V680"/>
  <c r="W680" s="1"/>
  <c r="V681"/>
  <c r="W681" s="1"/>
  <c r="V682"/>
  <c r="W682" s="1"/>
  <c r="V683"/>
  <c r="W683" s="1"/>
  <c r="V684"/>
  <c r="W684" s="1"/>
  <c r="V685"/>
  <c r="W685" s="1"/>
  <c r="V686"/>
  <c r="W686" s="1"/>
  <c r="V687"/>
  <c r="W687" s="1"/>
  <c r="V688"/>
  <c r="W688" s="1"/>
  <c r="V689"/>
  <c r="W689" s="1"/>
  <c r="V690"/>
  <c r="W690" s="1"/>
  <c r="V691"/>
  <c r="W691" s="1"/>
  <c r="V692"/>
  <c r="W692" s="1"/>
  <c r="V693"/>
  <c r="W693" s="1"/>
  <c r="V694"/>
  <c r="W694" s="1"/>
  <c r="V695"/>
  <c r="W695" s="1"/>
  <c r="V696"/>
  <c r="W696" s="1"/>
  <c r="V697"/>
  <c r="W697" s="1"/>
  <c r="V698"/>
  <c r="W698" s="1"/>
  <c r="V699"/>
  <c r="W699" s="1"/>
  <c r="V700"/>
  <c r="W700" s="1"/>
  <c r="V701"/>
  <c r="W701" s="1"/>
  <c r="V702"/>
  <c r="W702" s="1"/>
  <c r="V703"/>
  <c r="W703" s="1"/>
  <c r="V704"/>
  <c r="W704" s="1"/>
  <c r="V705"/>
  <c r="W705" s="1"/>
  <c r="V706"/>
  <c r="W706" s="1"/>
  <c r="V707"/>
  <c r="W707" s="1"/>
  <c r="V708"/>
  <c r="W708" s="1"/>
  <c r="V709"/>
  <c r="W709" s="1"/>
  <c r="V710"/>
  <c r="W710" s="1"/>
  <c r="V711"/>
  <c r="W711" s="1"/>
  <c r="V712"/>
  <c r="W712" s="1"/>
  <c r="V713"/>
  <c r="W713" s="1"/>
  <c r="V714"/>
  <c r="W714" s="1"/>
  <c r="V715"/>
  <c r="W715" s="1"/>
  <c r="V716"/>
  <c r="W716" s="1"/>
  <c r="V717"/>
  <c r="W717" s="1"/>
  <c r="V718"/>
  <c r="W718" s="1"/>
  <c r="V719"/>
  <c r="W719" s="1"/>
  <c r="V720"/>
  <c r="W720" s="1"/>
  <c r="V721"/>
  <c r="W721" s="1"/>
  <c r="V722"/>
  <c r="W722" s="1"/>
  <c r="V723"/>
  <c r="W723" s="1"/>
  <c r="V724"/>
  <c r="W724" s="1"/>
  <c r="V725"/>
  <c r="W725" s="1"/>
  <c r="V726"/>
  <c r="W726" s="1"/>
  <c r="V727"/>
  <c r="W727" s="1"/>
  <c r="V728"/>
  <c r="W728" s="1"/>
  <c r="V729"/>
  <c r="W729" s="1"/>
  <c r="V730"/>
  <c r="W730" s="1"/>
  <c r="V731"/>
  <c r="W731" s="1"/>
  <c r="V732"/>
  <c r="W732" s="1"/>
  <c r="V733"/>
  <c r="W733" s="1"/>
  <c r="V734"/>
  <c r="W734" s="1"/>
  <c r="V735"/>
  <c r="W735" s="1"/>
  <c r="V736"/>
  <c r="W736" s="1"/>
  <c r="V737"/>
  <c r="W737" s="1"/>
  <c r="V738"/>
  <c r="W738" s="1"/>
  <c r="V739"/>
  <c r="W739" s="1"/>
  <c r="V740"/>
  <c r="W740" s="1"/>
  <c r="V741"/>
  <c r="W741" s="1"/>
  <c r="V742"/>
  <c r="W742" s="1"/>
  <c r="V743"/>
  <c r="W743" s="1"/>
  <c r="V744"/>
  <c r="W744" s="1"/>
  <c r="V745"/>
  <c r="W745" s="1"/>
  <c r="V746"/>
  <c r="W746" s="1"/>
  <c r="V747"/>
  <c r="W747" s="1"/>
  <c r="V748"/>
  <c r="W748" s="1"/>
  <c r="V749"/>
  <c r="W749" s="1"/>
  <c r="V750"/>
  <c r="W750" s="1"/>
  <c r="V751"/>
  <c r="W751" s="1"/>
  <c r="V752"/>
  <c r="W752" s="1"/>
  <c r="V753"/>
  <c r="W753" s="1"/>
  <c r="V754"/>
  <c r="W754" s="1"/>
  <c r="V755"/>
  <c r="W755" s="1"/>
  <c r="V756"/>
  <c r="W756" s="1"/>
  <c r="V757"/>
  <c r="W757" s="1"/>
  <c r="V758"/>
  <c r="W758" s="1"/>
  <c r="V759"/>
  <c r="W759" s="1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W42" s="1"/>
  <c r="V43"/>
  <c r="W43" s="1"/>
  <c r="V44"/>
  <c r="W44" s="1"/>
  <c r="V45"/>
  <c r="W45" s="1"/>
  <c r="V46"/>
  <c r="W46" s="1"/>
  <c r="V47"/>
  <c r="W47" s="1"/>
  <c r="V48"/>
  <c r="W48" s="1"/>
  <c r="V49"/>
  <c r="W49" s="1"/>
  <c r="V50"/>
  <c r="W50" s="1"/>
  <c r="V51"/>
  <c r="W51" s="1"/>
  <c r="V52"/>
  <c r="W52" s="1"/>
  <c r="V53"/>
  <c r="W53" s="1"/>
  <c r="V54"/>
  <c r="W54" s="1"/>
  <c r="V55"/>
  <c r="W55" s="1"/>
  <c r="V56"/>
  <c r="W56" s="1"/>
  <c r="V57"/>
  <c r="W57" s="1"/>
  <c r="V58"/>
  <c r="W58" s="1"/>
  <c r="V59"/>
  <c r="W59" s="1"/>
  <c r="V60"/>
  <c r="W60" s="1"/>
  <c r="V61"/>
  <c r="W61" s="1"/>
  <c r="V62"/>
  <c r="W62" s="1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2"/>
  <c r="W2" s="1"/>
  <c r="A1364" i="5" a="1"/>
  <c r="A1752" a="1"/>
  <c r="A1369" a="1"/>
  <c r="A1752" l="1"/>
  <c r="A1364"/>
  <c r="A1369"/>
  <c r="AJ37"/>
  <c r="U739" i="7"/>
  <c r="U1021"/>
  <c r="U944"/>
  <c r="U939"/>
  <c r="U595"/>
  <c r="U955"/>
  <c r="U634"/>
  <c r="U738"/>
  <c r="U633"/>
  <c r="U1090"/>
  <c r="U953"/>
  <c r="U624"/>
  <c r="U621"/>
  <c r="U1020"/>
  <c r="U618"/>
  <c r="U616"/>
  <c r="U949"/>
  <c r="U943"/>
  <c r="U1027"/>
  <c r="U1089"/>
  <c r="U611"/>
  <c r="U610"/>
  <c r="U1069"/>
  <c r="U1076"/>
  <c r="U736"/>
  <c r="U1077"/>
  <c r="U1025"/>
  <c r="U1071"/>
  <c r="U825"/>
  <c r="U857"/>
  <c r="U1022"/>
  <c r="U849"/>
  <c r="U848"/>
  <c r="U1019"/>
  <c r="U846"/>
  <c r="U844"/>
  <c r="U1116"/>
  <c r="U1691"/>
  <c r="U1688"/>
  <c r="U1031"/>
  <c r="U745"/>
  <c r="U851"/>
  <c r="U850"/>
  <c r="U951"/>
  <c r="U732"/>
  <c r="U843"/>
  <c r="U612"/>
  <c r="U1072"/>
  <c r="U543"/>
  <c r="U841"/>
  <c r="U608"/>
  <c r="U1721"/>
  <c r="U1718"/>
  <c r="U1713"/>
  <c r="U1080"/>
  <c r="U956"/>
  <c r="U1029"/>
  <c r="U856"/>
  <c r="U740"/>
  <c r="U854"/>
  <c r="U632"/>
  <c r="U628"/>
  <c r="U626"/>
  <c r="U623"/>
  <c r="U950"/>
  <c r="U622"/>
  <c r="U1074"/>
  <c r="U617"/>
  <c r="U726"/>
  <c r="U947"/>
  <c r="U720"/>
  <c r="U946"/>
  <c r="U609"/>
  <c r="U1695"/>
  <c r="U734"/>
  <c r="U1073"/>
  <c r="U1711"/>
  <c r="U1708"/>
  <c r="U1700"/>
  <c r="U1697"/>
  <c r="U1694"/>
  <c r="U1689"/>
  <c r="U1030"/>
  <c r="U744"/>
  <c r="U737"/>
  <c r="U853"/>
  <c r="U735"/>
  <c r="U631"/>
  <c r="U630"/>
  <c r="U1023"/>
  <c r="U733"/>
  <c r="U625"/>
  <c r="U619"/>
  <c r="U727"/>
  <c r="U725"/>
  <c r="U614"/>
  <c r="U724"/>
  <c r="U722"/>
  <c r="U719"/>
  <c r="U718"/>
  <c r="U1722"/>
  <c r="U1719"/>
  <c r="U1698"/>
  <c r="U1690"/>
  <c r="U742"/>
  <c r="U855"/>
  <c r="U852"/>
  <c r="U629"/>
  <c r="U729"/>
  <c r="U620"/>
  <c r="U845"/>
  <c r="U613"/>
  <c r="U945"/>
  <c r="U1014"/>
  <c r="U1710"/>
  <c r="U1707"/>
  <c r="U859"/>
  <c r="U743"/>
  <c r="U1079"/>
  <c r="U1026"/>
  <c r="U1078"/>
  <c r="U627"/>
  <c r="U731"/>
  <c r="U728"/>
  <c r="U847"/>
  <c r="U721"/>
  <c r="U1070"/>
  <c r="U1018"/>
  <c r="AK36" i="5"/>
  <c r="AL34" s="1"/>
  <c r="AC66" s="1"/>
  <c r="AJ41"/>
  <c r="AG18"/>
  <c r="AB41"/>
  <c r="AG19"/>
  <c r="AK48" s="1"/>
  <c r="AF41"/>
  <c r="U1102" i="7"/>
  <c r="U1113"/>
  <c r="U1129"/>
  <c r="U1096"/>
  <c r="U1724"/>
  <c r="U1712"/>
  <c r="U1714"/>
  <c r="U1702"/>
  <c r="U1716"/>
  <c r="U1704"/>
  <c r="U1112"/>
  <c r="U1097"/>
  <c r="U1122"/>
  <c r="U97"/>
  <c r="U1132"/>
  <c r="U1104"/>
  <c r="U1117"/>
  <c r="U1101"/>
  <c r="U1635"/>
  <c r="U1277"/>
  <c r="U1163"/>
  <c r="U679"/>
  <c r="U899"/>
  <c r="U658"/>
  <c r="U242"/>
  <c r="U429"/>
  <c r="U227"/>
  <c r="U235"/>
  <c r="U123"/>
  <c r="U427"/>
  <c r="U965"/>
  <c r="U868"/>
  <c r="U1081"/>
  <c r="U757"/>
  <c r="U765"/>
  <c r="U641"/>
  <c r="U8"/>
  <c r="U554"/>
  <c r="U646"/>
  <c r="U553"/>
  <c r="U871"/>
  <c r="U1094"/>
  <c r="U1115"/>
  <c r="U1099"/>
  <c r="U1100"/>
  <c r="U1633"/>
  <c r="U1103"/>
  <c r="U936"/>
  <c r="U935"/>
  <c r="U600"/>
  <c r="U1684"/>
  <c r="U1678"/>
  <c r="U1654"/>
  <c r="U1648"/>
  <c r="U1642"/>
  <c r="U1612"/>
  <c r="U1582"/>
  <c r="U1416"/>
  <c r="U1404"/>
  <c r="U1278"/>
  <c r="U1134"/>
  <c r="U940"/>
  <c r="U1088"/>
  <c r="U597"/>
  <c r="U1683"/>
  <c r="U1677"/>
  <c r="U1671"/>
  <c r="U1641"/>
  <c r="U1611"/>
  <c r="U1605"/>
  <c r="U1599"/>
  <c r="U1569"/>
  <c r="U165"/>
  <c r="U1133"/>
  <c r="U908"/>
  <c r="U1114"/>
  <c r="U1098"/>
  <c r="U1095"/>
  <c r="AL35" i="5"/>
  <c r="Z7"/>
  <c r="Z6"/>
  <c r="AG40"/>
  <c r="AH39" s="1"/>
  <c r="AC40"/>
  <c r="AD38" s="1"/>
  <c r="AC63" s="1"/>
  <c r="AK40"/>
  <c r="AL38" s="1"/>
  <c r="AC65" s="1"/>
  <c r="Y3"/>
  <c r="Y4" s="1"/>
  <c r="Y5" s="1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4" s="1"/>
  <c r="Y65" s="1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Y125" s="1"/>
  <c r="Y126" s="1"/>
  <c r="Y127" s="1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Y156" s="1"/>
  <c r="Y157" s="1"/>
  <c r="Y158" s="1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Y174" s="1"/>
  <c r="Y175" s="1"/>
  <c r="Y176" s="1"/>
  <c r="Y177" s="1"/>
  <c r="Y178" s="1"/>
  <c r="Y179" s="1"/>
  <c r="Y180" s="1"/>
  <c r="Y181" s="1"/>
  <c r="Y182" s="1"/>
  <c r="Y183" s="1"/>
  <c r="Y184" s="1"/>
  <c r="Y185" s="1"/>
  <c r="Y186" s="1"/>
  <c r="Y187" s="1"/>
  <c r="Y188" s="1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Y204" s="1"/>
  <c r="Y205" s="1"/>
  <c r="Y206" s="1"/>
  <c r="Y207" s="1"/>
  <c r="Y208" s="1"/>
  <c r="Y209" s="1"/>
  <c r="Y210" s="1"/>
  <c r="Y211" s="1"/>
  <c r="Y212" s="1"/>
  <c r="Y213" s="1"/>
  <c r="Y214" s="1"/>
  <c r="Y215" s="1"/>
  <c r="Y216" s="1"/>
  <c r="Y217" s="1"/>
  <c r="Y218" s="1"/>
  <c r="Y219" s="1"/>
  <c r="Y220" s="1"/>
  <c r="Y221" s="1"/>
  <c r="Y222" s="1"/>
  <c r="Y223" s="1"/>
  <c r="Y224" s="1"/>
  <c r="Y225" s="1"/>
  <c r="Y226" s="1"/>
  <c r="Y227" s="1"/>
  <c r="Y228" s="1"/>
  <c r="Y229" s="1"/>
  <c r="Y230" s="1"/>
  <c r="Y231" s="1"/>
  <c r="Y232" s="1"/>
  <c r="Y233" s="1"/>
  <c r="Y234" s="1"/>
  <c r="Y235" s="1"/>
  <c r="Y236" s="1"/>
  <c r="Y237" s="1"/>
  <c r="Y238" s="1"/>
  <c r="Y239" s="1"/>
  <c r="Y240" s="1"/>
  <c r="Y241" s="1"/>
  <c r="Y242" s="1"/>
  <c r="Y243" s="1"/>
  <c r="Y244" s="1"/>
  <c r="Y245" s="1"/>
  <c r="Y246" s="1"/>
  <c r="Y247" s="1"/>
  <c r="Y248" s="1"/>
  <c r="Y249" s="1"/>
  <c r="Y250" s="1"/>
  <c r="Y251" s="1"/>
  <c r="Y252" s="1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Y278" s="1"/>
  <c r="Y279" s="1"/>
  <c r="Y280" s="1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Y309" s="1"/>
  <c r="Y310" s="1"/>
  <c r="Y311" s="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Y339" s="1"/>
  <c r="Y340" s="1"/>
  <c r="Y341" s="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Y370" s="1"/>
  <c r="Y371" s="1"/>
  <c r="Y372" s="1"/>
  <c r="Y373" s="1"/>
  <c r="Y374" s="1"/>
  <c r="Y375" s="1"/>
  <c r="Y376" s="1"/>
  <c r="Y377" s="1"/>
  <c r="Y378" s="1"/>
  <c r="Y379" s="1"/>
  <c r="Y380" s="1"/>
  <c r="Y381" s="1"/>
  <c r="Y382" s="1"/>
  <c r="Y383" s="1"/>
  <c r="Y384" s="1"/>
  <c r="Y385" s="1"/>
  <c r="Y386" s="1"/>
  <c r="Y387" s="1"/>
  <c r="Y388" s="1"/>
  <c r="Y389" s="1"/>
  <c r="Y390" s="1"/>
  <c r="Y391" s="1"/>
  <c r="Y392" s="1"/>
  <c r="Y393" s="1"/>
  <c r="Y394" s="1"/>
  <c r="Y395" s="1"/>
  <c r="Y396" s="1"/>
  <c r="Y397" s="1"/>
  <c r="Y398" s="1"/>
  <c r="Y399" s="1"/>
  <c r="Y400" s="1"/>
  <c r="Y401" s="1"/>
  <c r="Y402" s="1"/>
  <c r="Y403" s="1"/>
  <c r="Y404" s="1"/>
  <c r="Y405" s="1"/>
  <c r="Y406" s="1"/>
  <c r="Y407" s="1"/>
  <c r="Y408" s="1"/>
  <c r="Y409" s="1"/>
  <c r="Y410" s="1"/>
  <c r="Y411" s="1"/>
  <c r="Y412" s="1"/>
  <c r="Y413" s="1"/>
  <c r="Y414" s="1"/>
  <c r="Y415" s="1"/>
  <c r="Y416" s="1"/>
  <c r="Y417" s="1"/>
  <c r="Y418" s="1"/>
  <c r="Y419" s="1"/>
  <c r="Y420" s="1"/>
  <c r="Y421" s="1"/>
  <c r="Y422" s="1"/>
  <c r="Y423" s="1"/>
  <c r="Y424" s="1"/>
  <c r="Y425" s="1"/>
  <c r="Y426" s="1"/>
  <c r="Y427" s="1"/>
  <c r="Y428" s="1"/>
  <c r="Y429" s="1"/>
  <c r="Y430" s="1"/>
  <c r="Y431" s="1"/>
  <c r="Y432" s="1"/>
  <c r="Y433" s="1"/>
  <c r="Y434" s="1"/>
  <c r="Y435" s="1"/>
  <c r="Y436" s="1"/>
  <c r="Y437" s="1"/>
  <c r="Y438" s="1"/>
  <c r="Y439" s="1"/>
  <c r="Y440" s="1"/>
  <c r="Y441" s="1"/>
  <c r="Y442" s="1"/>
  <c r="Y443" s="1"/>
  <c r="Y444" s="1"/>
  <c r="Y445" s="1"/>
  <c r="Y446" s="1"/>
  <c r="Y447" s="1"/>
  <c r="Y448" s="1"/>
  <c r="Y449" s="1"/>
  <c r="Y450" s="1"/>
  <c r="Y451" s="1"/>
  <c r="Y452" s="1"/>
  <c r="Y453" s="1"/>
  <c r="Y454" s="1"/>
  <c r="Y455" s="1"/>
  <c r="Y456" s="1"/>
  <c r="Y457" s="1"/>
  <c r="Y458" s="1"/>
  <c r="Y459" s="1"/>
  <c r="Y460" s="1"/>
  <c r="Y461" s="1"/>
  <c r="Y462" s="1"/>
  <c r="Y463" s="1"/>
  <c r="Y464" s="1"/>
  <c r="Y465" s="1"/>
  <c r="Y466" s="1"/>
  <c r="Y467" s="1"/>
  <c r="Y468" s="1"/>
  <c r="Y469" s="1"/>
  <c r="Y470" s="1"/>
  <c r="Y471" s="1"/>
  <c r="Y472" s="1"/>
  <c r="Y473" s="1"/>
  <c r="Y474" s="1"/>
  <c r="Y475" s="1"/>
  <c r="Y476" s="1"/>
  <c r="Y477" s="1"/>
  <c r="Y478" s="1"/>
  <c r="Y479" s="1"/>
  <c r="Y480" s="1"/>
  <c r="Y481" s="1"/>
  <c r="Y482" s="1"/>
  <c r="Y483" s="1"/>
  <c r="Y484" s="1"/>
  <c r="Y485" s="1"/>
  <c r="Y486" s="1"/>
  <c r="Y487" s="1"/>
  <c r="Y488" s="1"/>
  <c r="Y489" s="1"/>
  <c r="Y490" s="1"/>
  <c r="Y491" s="1"/>
  <c r="Y492" s="1"/>
  <c r="Y493" s="1"/>
  <c r="Y494" s="1"/>
  <c r="Y495" s="1"/>
  <c r="Y496" s="1"/>
  <c r="Y497" s="1"/>
  <c r="Y498" s="1"/>
  <c r="Y499" s="1"/>
  <c r="Y500" s="1"/>
  <c r="Y501" s="1"/>
  <c r="Y502" s="1"/>
  <c r="Y503" s="1"/>
  <c r="Y504" s="1"/>
  <c r="Y505" s="1"/>
  <c r="Y506" s="1"/>
  <c r="Y507" s="1"/>
  <c r="Y508" s="1"/>
  <c r="Y509" s="1"/>
  <c r="Y510" s="1"/>
  <c r="Y511" s="1"/>
  <c r="Y512" s="1"/>
  <c r="Y513" s="1"/>
  <c r="Y514" s="1"/>
  <c r="Y515" s="1"/>
  <c r="Y516" s="1"/>
  <c r="Y517" s="1"/>
  <c r="Y518" s="1"/>
  <c r="Y519" s="1"/>
  <c r="Y520" s="1"/>
  <c r="Y521" s="1"/>
  <c r="Y522" s="1"/>
  <c r="Y523" s="1"/>
  <c r="Y524" s="1"/>
  <c r="Y525" s="1"/>
  <c r="Y526" s="1"/>
  <c r="Y527" s="1"/>
  <c r="Y528" s="1"/>
  <c r="Y529" s="1"/>
  <c r="Y530" s="1"/>
  <c r="Y531" s="1"/>
  <c r="Y532" s="1"/>
  <c r="Y533" s="1"/>
  <c r="Y534" s="1"/>
  <c r="Y535" s="1"/>
  <c r="Y536" s="1"/>
  <c r="Y537" s="1"/>
  <c r="Y538" s="1"/>
  <c r="Y539" s="1"/>
  <c r="Y540" s="1"/>
  <c r="Y541" s="1"/>
  <c r="Y542" s="1"/>
  <c r="Y543" s="1"/>
  <c r="Y544" s="1"/>
  <c r="Y545" s="1"/>
  <c r="Y546" s="1"/>
  <c r="Y547" s="1"/>
  <c r="Y548" s="1"/>
  <c r="Y549" s="1"/>
  <c r="Y550" s="1"/>
  <c r="Y551" s="1"/>
  <c r="Y552" s="1"/>
  <c r="Y553" s="1"/>
  <c r="Y554" s="1"/>
  <c r="Y555" s="1"/>
  <c r="Y556" s="1"/>
  <c r="Y557" s="1"/>
  <c r="Y558" s="1"/>
  <c r="Y559" s="1"/>
  <c r="Y560" s="1"/>
  <c r="Y561" s="1"/>
  <c r="Y562" s="1"/>
  <c r="Y563" s="1"/>
  <c r="Y564" s="1"/>
  <c r="Y565" s="1"/>
  <c r="Y566" s="1"/>
  <c r="Y567" s="1"/>
  <c r="Y568" s="1"/>
  <c r="Y569" s="1"/>
  <c r="Y570" s="1"/>
  <c r="Y571" s="1"/>
  <c r="Y572" s="1"/>
  <c r="Y573" s="1"/>
  <c r="Y574" s="1"/>
  <c r="Y575" s="1"/>
  <c r="Y576" s="1"/>
  <c r="Y577" s="1"/>
  <c r="Y578" s="1"/>
  <c r="Y579" s="1"/>
  <c r="Y580" s="1"/>
  <c r="Y581" s="1"/>
  <c r="Y582" s="1"/>
  <c r="Y583" s="1"/>
  <c r="Y584" s="1"/>
  <c r="Y585" s="1"/>
  <c r="Y586" s="1"/>
  <c r="Y587" s="1"/>
  <c r="Y588" s="1"/>
  <c r="Y589" s="1"/>
  <c r="Y590" s="1"/>
  <c r="Y591" s="1"/>
  <c r="Y592" s="1"/>
  <c r="Y593" s="1"/>
  <c r="Y594" s="1"/>
  <c r="Y595" s="1"/>
  <c r="Y596" s="1"/>
  <c r="Y597" s="1"/>
  <c r="Y598" s="1"/>
  <c r="Y599" s="1"/>
  <c r="Y600" s="1"/>
  <c r="Y601" s="1"/>
  <c r="Y602" s="1"/>
  <c r="Y603" s="1"/>
  <c r="Y604" s="1"/>
  <c r="Y605" s="1"/>
  <c r="Y606" s="1"/>
  <c r="Y607" s="1"/>
  <c r="Y608" s="1"/>
  <c r="Y609" s="1"/>
  <c r="Y610" s="1"/>
  <c r="Y611" s="1"/>
  <c r="Y612" s="1"/>
  <c r="Y613" s="1"/>
  <c r="Y614" s="1"/>
  <c r="Y615" s="1"/>
  <c r="Y616" s="1"/>
  <c r="Y617" s="1"/>
  <c r="Y618" s="1"/>
  <c r="Y619" s="1"/>
  <c r="Y620" s="1"/>
  <c r="Y621" s="1"/>
  <c r="Y622" s="1"/>
  <c r="Y623" s="1"/>
  <c r="Y624" s="1"/>
  <c r="Y625" s="1"/>
  <c r="Y626" s="1"/>
  <c r="Y627" s="1"/>
  <c r="Y628" s="1"/>
  <c r="Y629" s="1"/>
  <c r="Y630" s="1"/>
  <c r="Y631" s="1"/>
  <c r="Y632" s="1"/>
  <c r="Y633" s="1"/>
  <c r="Y634" s="1"/>
  <c r="Y635" s="1"/>
  <c r="Y636" s="1"/>
  <c r="Y637" s="1"/>
  <c r="Y638" s="1"/>
  <c r="Y639" s="1"/>
  <c r="Y640" s="1"/>
  <c r="Y641" s="1"/>
  <c r="Y642" s="1"/>
  <c r="Y643" s="1"/>
  <c r="Y644" s="1"/>
  <c r="Y645" s="1"/>
  <c r="Y646" s="1"/>
  <c r="Y647" s="1"/>
  <c r="Y648" s="1"/>
  <c r="Y649" s="1"/>
  <c r="Y650" s="1"/>
  <c r="Y651" s="1"/>
  <c r="Y652" s="1"/>
  <c r="Y653" s="1"/>
  <c r="Y654" s="1"/>
  <c r="Y655" s="1"/>
  <c r="Y656" s="1"/>
  <c r="Y657" s="1"/>
  <c r="Y658" s="1"/>
  <c r="Y659" s="1"/>
  <c r="Y660" s="1"/>
  <c r="Y661" s="1"/>
  <c r="Y662" s="1"/>
  <c r="Y663" s="1"/>
  <c r="Y664" s="1"/>
  <c r="Y665" s="1"/>
  <c r="Y666" s="1"/>
  <c r="Y667" s="1"/>
  <c r="Y668" s="1"/>
  <c r="Y669" s="1"/>
  <c r="Y670" s="1"/>
  <c r="Y671" s="1"/>
  <c r="Y672" s="1"/>
  <c r="Y673" s="1"/>
  <c r="Y674" s="1"/>
  <c r="Y675" s="1"/>
  <c r="Y676" s="1"/>
  <c r="Y677" s="1"/>
  <c r="Y678" s="1"/>
  <c r="Y679" s="1"/>
  <c r="Y680" s="1"/>
  <c r="Y681" s="1"/>
  <c r="Y682" s="1"/>
  <c r="Y683" s="1"/>
  <c r="Y684" s="1"/>
  <c r="Y685" s="1"/>
  <c r="Y686" s="1"/>
  <c r="Y687" s="1"/>
  <c r="Y688" s="1"/>
  <c r="Y689" s="1"/>
  <c r="Y690" s="1"/>
  <c r="Y691" s="1"/>
  <c r="Y692" s="1"/>
  <c r="Y693" s="1"/>
  <c r="Y694" s="1"/>
  <c r="Y695" s="1"/>
  <c r="Y696" s="1"/>
  <c r="Y697" s="1"/>
  <c r="Y698" s="1"/>
  <c r="Y699" s="1"/>
  <c r="Y700" s="1"/>
  <c r="Y701" s="1"/>
  <c r="Y702" s="1"/>
  <c r="Y703" s="1"/>
  <c r="Y704" s="1"/>
  <c r="Y705" s="1"/>
  <c r="Y706" s="1"/>
  <c r="Y707" s="1"/>
  <c r="Y708" s="1"/>
  <c r="Y709" s="1"/>
  <c r="Y710" s="1"/>
  <c r="Y711" s="1"/>
  <c r="Y712" s="1"/>
  <c r="Y713" s="1"/>
  <c r="Y714" s="1"/>
  <c r="Y715" s="1"/>
  <c r="Y716" s="1"/>
  <c r="Y717" s="1"/>
  <c r="Y718" s="1"/>
  <c r="Y719" s="1"/>
  <c r="Y720" s="1"/>
  <c r="Y721" s="1"/>
  <c r="Y722" s="1"/>
  <c r="Y723" s="1"/>
  <c r="Y724" s="1"/>
  <c r="Y725" s="1"/>
  <c r="Y726" s="1"/>
  <c r="Y727" s="1"/>
  <c r="Y728" s="1"/>
  <c r="Y729" s="1"/>
  <c r="Y730" s="1"/>
  <c r="Y731" s="1"/>
  <c r="Y732" s="1"/>
  <c r="Y733" s="1"/>
  <c r="Y734" s="1"/>
  <c r="Y735" s="1"/>
  <c r="Y736" s="1"/>
  <c r="Y737" s="1"/>
  <c r="Y738" s="1"/>
  <c r="Y739" s="1"/>
  <c r="Y740" s="1"/>
  <c r="Y741" s="1"/>
  <c r="Y742" s="1"/>
  <c r="Y743" s="1"/>
  <c r="Y744" s="1"/>
  <c r="Y745" s="1"/>
  <c r="Y746" s="1"/>
  <c r="Y747" s="1"/>
  <c r="Y748" s="1"/>
  <c r="Y749" s="1"/>
  <c r="Y750" s="1"/>
  <c r="Y751" s="1"/>
  <c r="Y752" s="1"/>
  <c r="Y753" s="1"/>
  <c r="Y754" s="1"/>
  <c r="Y755" s="1"/>
  <c r="Y756" s="1"/>
  <c r="Y757" s="1"/>
  <c r="Y758" s="1"/>
  <c r="Y759" s="1"/>
  <c r="Y760" s="1"/>
  <c r="Y761" s="1"/>
  <c r="Y762" s="1"/>
  <c r="Y763" s="1"/>
  <c r="Y764" s="1"/>
  <c r="Y765" s="1"/>
  <c r="Y766" s="1"/>
  <c r="Y767" s="1"/>
  <c r="Y768" s="1"/>
  <c r="Y769" s="1"/>
  <c r="Y770" s="1"/>
  <c r="Y771" s="1"/>
  <c r="Y772" s="1"/>
  <c r="Y773" s="1"/>
  <c r="Y774" s="1"/>
  <c r="Y775" s="1"/>
  <c r="Y776" s="1"/>
  <c r="Y777" s="1"/>
  <c r="Y778" s="1"/>
  <c r="Y779" s="1"/>
  <c r="Y780" s="1"/>
  <c r="Y781" s="1"/>
  <c r="Y782" s="1"/>
  <c r="Y783" s="1"/>
  <c r="Y784" s="1"/>
  <c r="Y785" s="1"/>
  <c r="Y786" s="1"/>
  <c r="Y787" s="1"/>
  <c r="Y788" s="1"/>
  <c r="Y789" s="1"/>
  <c r="Y790" s="1"/>
  <c r="Y791" s="1"/>
  <c r="Y792" s="1"/>
  <c r="Y793" s="1"/>
  <c r="Y794" s="1"/>
  <c r="Y795" s="1"/>
  <c r="Y796" s="1"/>
  <c r="Y797" s="1"/>
  <c r="Y798" s="1"/>
  <c r="Y799" s="1"/>
  <c r="Y800" s="1"/>
  <c r="Y801" s="1"/>
  <c r="Y802" s="1"/>
  <c r="Y803" s="1"/>
  <c r="Y804" s="1"/>
  <c r="Y805" s="1"/>
  <c r="Y806" s="1"/>
  <c r="Y807" s="1"/>
  <c r="Y808" s="1"/>
  <c r="Y809" s="1"/>
  <c r="Y810" s="1"/>
  <c r="Y811" s="1"/>
  <c r="Y812" s="1"/>
  <c r="Y813" s="1"/>
  <c r="Y814" s="1"/>
  <c r="Y815" s="1"/>
  <c r="Y816" s="1"/>
  <c r="Y817" s="1"/>
  <c r="Y818" s="1"/>
  <c r="Y819" s="1"/>
  <c r="Y820" s="1"/>
  <c r="Y821" s="1"/>
  <c r="Y822" s="1"/>
  <c r="Y823" s="1"/>
  <c r="Y824" s="1"/>
  <c r="Y825" s="1"/>
  <c r="Y826" s="1"/>
  <c r="Y827" s="1"/>
  <c r="Y828" s="1"/>
  <c r="Y829" s="1"/>
  <c r="Y830" s="1"/>
  <c r="Y831" s="1"/>
  <c r="Y832" s="1"/>
  <c r="Y833" s="1"/>
  <c r="Y834" s="1"/>
  <c r="Y835" s="1"/>
  <c r="Y836" s="1"/>
  <c r="Y837" s="1"/>
  <c r="Y838" s="1"/>
  <c r="AB5"/>
  <c r="AB21"/>
  <c r="AJ5"/>
  <c r="AJ9"/>
  <c r="AF5"/>
  <c r="AJ21"/>
  <c r="AF17"/>
  <c r="AF26"/>
  <c r="AF9"/>
  <c r="AB37"/>
  <c r="AF13"/>
  <c r="AB33"/>
  <c r="AJ13"/>
  <c r="AJ25"/>
  <c r="AB17"/>
  <c r="AB9"/>
  <c r="AJ29"/>
  <c r="AB13"/>
  <c r="AF34"/>
  <c r="AB29"/>
  <c r="AD26" i="22"/>
  <c r="Z29"/>
  <c r="Z9"/>
  <c r="W5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s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154" s="1"/>
  <c r="W155" s="1"/>
  <c r="W156" s="1"/>
  <c r="W157" s="1"/>
  <c r="W158" s="1"/>
  <c r="W159" s="1"/>
  <c r="W160" s="1"/>
  <c r="W161" s="1"/>
  <c r="W162" s="1"/>
  <c r="W163" s="1"/>
  <c r="W164" s="1"/>
  <c r="W165" s="1"/>
  <c r="W166" s="1"/>
  <c r="W167" s="1"/>
  <c r="W168" s="1"/>
  <c r="W169" s="1"/>
  <c r="W170" s="1"/>
  <c r="W171" s="1"/>
  <c r="W172" s="1"/>
  <c r="W173" s="1"/>
  <c r="W174" s="1"/>
  <c r="W175" s="1"/>
  <c r="W176" s="1"/>
  <c r="W177" s="1"/>
  <c r="W178" s="1"/>
  <c r="W179" s="1"/>
  <c r="W180" s="1"/>
  <c r="W181" s="1"/>
  <c r="W182" s="1"/>
  <c r="W183" s="1"/>
  <c r="W184" s="1"/>
  <c r="W185" s="1"/>
  <c r="W186" s="1"/>
  <c r="W187" s="1"/>
  <c r="W188" s="1"/>
  <c r="W189" s="1"/>
  <c r="W190" s="1"/>
  <c r="W191" s="1"/>
  <c r="W192" s="1"/>
  <c r="W193" s="1"/>
  <c r="W194" s="1"/>
  <c r="W195" s="1"/>
  <c r="W196" s="1"/>
  <c r="W197" s="1"/>
  <c r="W198" s="1"/>
  <c r="W199" s="1"/>
  <c r="W200" s="1"/>
  <c r="W201" s="1"/>
  <c r="W202" s="1"/>
  <c r="W203" s="1"/>
  <c r="W204" s="1"/>
  <c r="W205" s="1"/>
  <c r="W206" s="1"/>
  <c r="W207" s="1"/>
  <c r="W208" s="1"/>
  <c r="W209" s="1"/>
  <c r="W210" s="1"/>
  <c r="W211" s="1"/>
  <c r="W212" s="1"/>
  <c r="W213" s="1"/>
  <c r="W214" s="1"/>
  <c r="W215" s="1"/>
  <c r="W216" s="1"/>
  <c r="W217" s="1"/>
  <c r="W218" s="1"/>
  <c r="W219" s="1"/>
  <c r="W220" s="1"/>
  <c r="W221" s="1"/>
  <c r="W222" s="1"/>
  <c r="W223" s="1"/>
  <c r="W224" s="1"/>
  <c r="W225" s="1"/>
  <c r="W226" s="1"/>
  <c r="W227" s="1"/>
  <c r="W228" s="1"/>
  <c r="W229" s="1"/>
  <c r="W230" s="1"/>
  <c r="W231" s="1"/>
  <c r="W232" s="1"/>
  <c r="W233" s="1"/>
  <c r="W234" s="1"/>
  <c r="W235" s="1"/>
  <c r="W236" s="1"/>
  <c r="W237" s="1"/>
  <c r="W238" s="1"/>
  <c r="W239" s="1"/>
  <c r="W240" s="1"/>
  <c r="W241" s="1"/>
  <c r="W242" s="1"/>
  <c r="W243" s="1"/>
  <c r="W244" s="1"/>
  <c r="W245" s="1"/>
  <c r="W246" s="1"/>
  <c r="W247" s="1"/>
  <c r="W248" s="1"/>
  <c r="W249" s="1"/>
  <c r="W250" s="1"/>
  <c r="W251" s="1"/>
  <c r="W252" s="1"/>
  <c r="W253" s="1"/>
  <c r="W254" s="1"/>
  <c r="W255" s="1"/>
  <c r="W256" s="1"/>
  <c r="W257" s="1"/>
  <c r="W258" s="1"/>
  <c r="W259" s="1"/>
  <c r="W260" s="1"/>
  <c r="W261" s="1"/>
  <c r="W262" s="1"/>
  <c r="W263" s="1"/>
  <c r="W264" s="1"/>
  <c r="W265" s="1"/>
  <c r="W266" s="1"/>
  <c r="W267" s="1"/>
  <c r="W268" s="1"/>
  <c r="W269" s="1"/>
  <c r="W270" s="1"/>
  <c r="W271" s="1"/>
  <c r="W272" s="1"/>
  <c r="W273" s="1"/>
  <c r="W274" s="1"/>
  <c r="W275" s="1"/>
  <c r="W276" s="1"/>
  <c r="W277" s="1"/>
  <c r="W278" s="1"/>
  <c r="W279" s="1"/>
  <c r="W280" s="1"/>
  <c r="W281" s="1"/>
  <c r="W282" s="1"/>
  <c r="W283" s="1"/>
  <c r="W284" s="1"/>
  <c r="W285" s="1"/>
  <c r="W286" s="1"/>
  <c r="W287" s="1"/>
  <c r="W288" s="1"/>
  <c r="W289" s="1"/>
  <c r="W290" s="1"/>
  <c r="W291" s="1"/>
  <c r="W292" s="1"/>
  <c r="W293" s="1"/>
  <c r="W294" s="1"/>
  <c r="W295" s="1"/>
  <c r="W296" s="1"/>
  <c r="W297" s="1"/>
  <c r="W298" s="1"/>
  <c r="W299" s="1"/>
  <c r="W300" s="1"/>
  <c r="W301" s="1"/>
  <c r="W302" s="1"/>
  <c r="W303" s="1"/>
  <c r="W304" s="1"/>
  <c r="W305" s="1"/>
  <c r="W306" s="1"/>
  <c r="W307" s="1"/>
  <c r="W308" s="1"/>
  <c r="W309" s="1"/>
  <c r="W310" s="1"/>
  <c r="W311" s="1"/>
  <c r="W312" s="1"/>
  <c r="W313" s="1"/>
  <c r="W314" s="1"/>
  <c r="W315" s="1"/>
  <c r="W316" s="1"/>
  <c r="W317" s="1"/>
  <c r="W318" s="1"/>
  <c r="W319" s="1"/>
  <c r="W320" s="1"/>
  <c r="W321" s="1"/>
  <c r="W322" s="1"/>
  <c r="W323" s="1"/>
  <c r="W324" s="1"/>
  <c r="W325" s="1"/>
  <c r="W326" s="1"/>
  <c r="W327" s="1"/>
  <c r="W328" s="1"/>
  <c r="W329" s="1"/>
  <c r="W330" s="1"/>
  <c r="W331" s="1"/>
  <c r="W332" s="1"/>
  <c r="W333" s="1"/>
  <c r="W334" s="1"/>
  <c r="W335" s="1"/>
  <c r="W336" s="1"/>
  <c r="W337" s="1"/>
  <c r="W338" s="1"/>
  <c r="W339" s="1"/>
  <c r="W340" s="1"/>
  <c r="W341" s="1"/>
  <c r="W342" s="1"/>
  <c r="W343" s="1"/>
  <c r="W344" s="1"/>
  <c r="W345" s="1"/>
  <c r="W346" s="1"/>
  <c r="W347" s="1"/>
  <c r="W348" s="1"/>
  <c r="W349" s="1"/>
  <c r="W350" s="1"/>
  <c r="W351" s="1"/>
  <c r="W352" s="1"/>
  <c r="W353" s="1"/>
  <c r="W354" s="1"/>
  <c r="W355" s="1"/>
  <c r="W356" s="1"/>
  <c r="W357" s="1"/>
  <c r="W358" s="1"/>
  <c r="W359" s="1"/>
  <c r="W360" s="1"/>
  <c r="W361" s="1"/>
  <c r="W362" s="1"/>
  <c r="W363" s="1"/>
  <c r="W364" s="1"/>
  <c r="W365" s="1"/>
  <c r="W366" s="1"/>
  <c r="W367" s="1"/>
  <c r="W368" s="1"/>
  <c r="W369" s="1"/>
  <c r="W370" s="1"/>
  <c r="W371" s="1"/>
  <c r="W372" s="1"/>
  <c r="W373" s="1"/>
  <c r="W374" s="1"/>
  <c r="W375" s="1"/>
  <c r="W376" s="1"/>
  <c r="W377" s="1"/>
  <c r="W378" s="1"/>
  <c r="W379" s="1"/>
  <c r="W380" s="1"/>
  <c r="W381" s="1"/>
  <c r="W382" s="1"/>
  <c r="W383" s="1"/>
  <c r="W384" s="1"/>
  <c r="W385" s="1"/>
  <c r="W386" s="1"/>
  <c r="W387" s="1"/>
  <c r="W388" s="1"/>
  <c r="W389" s="1"/>
  <c r="W390" s="1"/>
  <c r="W391" s="1"/>
  <c r="W392" s="1"/>
  <c r="W393" s="1"/>
  <c r="W394" s="1"/>
  <c r="W395" s="1"/>
  <c r="W396" s="1"/>
  <c r="W397" s="1"/>
  <c r="W398" s="1"/>
  <c r="W399" s="1"/>
  <c r="W400" s="1"/>
  <c r="W401" s="1"/>
  <c r="W402" s="1"/>
  <c r="W403" s="1"/>
  <c r="W404" s="1"/>
  <c r="W405" s="1"/>
  <c r="W406" s="1"/>
  <c r="W407" s="1"/>
  <c r="W408" s="1"/>
  <c r="W409" s="1"/>
  <c r="W410" s="1"/>
  <c r="W411" s="1"/>
  <c r="W412" s="1"/>
  <c r="W413" s="1"/>
  <c r="W414" s="1"/>
  <c r="W415" s="1"/>
  <c r="W416" s="1"/>
  <c r="W417" s="1"/>
  <c r="W418" s="1"/>
  <c r="W419" s="1"/>
  <c r="W420" s="1"/>
  <c r="W421" s="1"/>
  <c r="W422" s="1"/>
  <c r="W423" s="1"/>
  <c r="W424" s="1"/>
  <c r="W425" s="1"/>
  <c r="W426" s="1"/>
  <c r="W427" s="1"/>
  <c r="W428" s="1"/>
  <c r="W429" s="1"/>
  <c r="W430" s="1"/>
  <c r="W431" s="1"/>
  <c r="W432" s="1"/>
  <c r="W433" s="1"/>
  <c r="W434" s="1"/>
  <c r="W435" s="1"/>
  <c r="W436" s="1"/>
  <c r="W437" s="1"/>
  <c r="W438" s="1"/>
  <c r="W439" s="1"/>
  <c r="W440" s="1"/>
  <c r="W441" s="1"/>
  <c r="W442" s="1"/>
  <c r="W443" s="1"/>
  <c r="W444" s="1"/>
  <c r="W445" s="1"/>
  <c r="W446" s="1"/>
  <c r="W447" s="1"/>
  <c r="W448" s="1"/>
  <c r="W449" s="1"/>
  <c r="W450" s="1"/>
  <c r="W451" s="1"/>
  <c r="W452" s="1"/>
  <c r="W453" s="1"/>
  <c r="W454" s="1"/>
  <c r="W455" s="1"/>
  <c r="W456" s="1"/>
  <c r="W457" s="1"/>
  <c r="W458" s="1"/>
  <c r="W459" s="1"/>
  <c r="W460" s="1"/>
  <c r="W461" s="1"/>
  <c r="W462" s="1"/>
  <c r="W463" s="1"/>
  <c r="W464" s="1"/>
  <c r="W465" s="1"/>
  <c r="W466" s="1"/>
  <c r="W467" s="1"/>
  <c r="W468" s="1"/>
  <c r="W469" s="1"/>
  <c r="W470" s="1"/>
  <c r="W471" s="1"/>
  <c r="W472" s="1"/>
  <c r="W473" s="1"/>
  <c r="W474" s="1"/>
  <c r="W475" s="1"/>
  <c r="W476" s="1"/>
  <c r="W477" s="1"/>
  <c r="W478" s="1"/>
  <c r="W479" s="1"/>
  <c r="W480" s="1"/>
  <c r="W481" s="1"/>
  <c r="W482" s="1"/>
  <c r="W483" s="1"/>
  <c r="W484" s="1"/>
  <c r="W485" s="1"/>
  <c r="W486" s="1"/>
  <c r="W487" s="1"/>
  <c r="W488" s="1"/>
  <c r="W489" s="1"/>
  <c r="W490" s="1"/>
  <c r="W491" s="1"/>
  <c r="W492" s="1"/>
  <c r="W493" s="1"/>
  <c r="W494" s="1"/>
  <c r="W495" s="1"/>
  <c r="W496" s="1"/>
  <c r="W497" s="1"/>
  <c r="W498" s="1"/>
  <c r="W499" s="1"/>
  <c r="W500" s="1"/>
  <c r="W501" s="1"/>
  <c r="W502" s="1"/>
  <c r="W503" s="1"/>
  <c r="W504" s="1"/>
  <c r="W505" s="1"/>
  <c r="W506" s="1"/>
  <c r="W507" s="1"/>
  <c r="W508" s="1"/>
  <c r="W509" s="1"/>
  <c r="W510" s="1"/>
  <c r="W511" s="1"/>
  <c r="W512" s="1"/>
  <c r="W513" s="1"/>
  <c r="W514" s="1"/>
  <c r="W515" s="1"/>
  <c r="W516" s="1"/>
  <c r="W517" s="1"/>
  <c r="W518" s="1"/>
  <c r="W519" s="1"/>
  <c r="W520" s="1"/>
  <c r="W521" s="1"/>
  <c r="W522" s="1"/>
  <c r="W523" s="1"/>
  <c r="W524" s="1"/>
  <c r="W525" s="1"/>
  <c r="W526" s="1"/>
  <c r="W527" s="1"/>
  <c r="W528" s="1"/>
  <c r="W529" s="1"/>
  <c r="W530" s="1"/>
  <c r="W531" s="1"/>
  <c r="W532" s="1"/>
  <c r="W533" s="1"/>
  <c r="W534" s="1"/>
  <c r="W535" s="1"/>
  <c r="W536" s="1"/>
  <c r="W537" s="1"/>
  <c r="W538" s="1"/>
  <c r="W539" s="1"/>
  <c r="W540" s="1"/>
  <c r="W541" s="1"/>
  <c r="W542" s="1"/>
  <c r="W543" s="1"/>
  <c r="W544" s="1"/>
  <c r="W545" s="1"/>
  <c r="W546" s="1"/>
  <c r="W547" s="1"/>
  <c r="W548" s="1"/>
  <c r="W549" s="1"/>
  <c r="W550" s="1"/>
  <c r="W551" s="1"/>
  <c r="W552" s="1"/>
  <c r="W553" s="1"/>
  <c r="W554" s="1"/>
  <c r="W555" s="1"/>
  <c r="W556" s="1"/>
  <c r="W557" s="1"/>
  <c r="W558" s="1"/>
  <c r="W559" s="1"/>
  <c r="W560" s="1"/>
  <c r="W561" s="1"/>
  <c r="W562" s="1"/>
  <c r="W563" s="1"/>
  <c r="W564" s="1"/>
  <c r="W565" s="1"/>
  <c r="W566" s="1"/>
  <c r="W567" s="1"/>
  <c r="W568" s="1"/>
  <c r="W569" s="1"/>
  <c r="W570" s="1"/>
  <c r="W571" s="1"/>
  <c r="W572" s="1"/>
  <c r="W573" s="1"/>
  <c r="W574" s="1"/>
  <c r="W575" s="1"/>
  <c r="W576" s="1"/>
  <c r="W577" s="1"/>
  <c r="W578" s="1"/>
  <c r="W579" s="1"/>
  <c r="W580" s="1"/>
  <c r="W581" s="1"/>
  <c r="W582" s="1"/>
  <c r="W583" s="1"/>
  <c r="W584" s="1"/>
  <c r="W585" s="1"/>
  <c r="W586" s="1"/>
  <c r="W587" s="1"/>
  <c r="W588" s="1"/>
  <c r="W589" s="1"/>
  <c r="W590" s="1"/>
  <c r="W591" s="1"/>
  <c r="W592" s="1"/>
  <c r="W593" s="1"/>
  <c r="W594" s="1"/>
  <c r="W595" s="1"/>
  <c r="W596" s="1"/>
  <c r="W597" s="1"/>
  <c r="W598" s="1"/>
  <c r="W599" s="1"/>
  <c r="W600" s="1"/>
  <c r="W601" s="1"/>
  <c r="W602" s="1"/>
  <c r="W603" s="1"/>
  <c r="W604" s="1"/>
  <c r="W605" s="1"/>
  <c r="W606" s="1"/>
  <c r="W607" s="1"/>
  <c r="W608" s="1"/>
  <c r="W609" s="1"/>
  <c r="W610" s="1"/>
  <c r="W611" s="1"/>
  <c r="W612" s="1"/>
  <c r="W613" s="1"/>
  <c r="W614" s="1"/>
  <c r="W615" s="1"/>
  <c r="W616" s="1"/>
  <c r="W617" s="1"/>
  <c r="W618" s="1"/>
  <c r="W619" s="1"/>
  <c r="W620" s="1"/>
  <c r="W621" s="1"/>
  <c r="W622" s="1"/>
  <c r="W623" s="1"/>
  <c r="W624" s="1"/>
  <c r="W625" s="1"/>
  <c r="W626" s="1"/>
  <c r="W627" s="1"/>
  <c r="W628" s="1"/>
  <c r="W629" s="1"/>
  <c r="W630" s="1"/>
  <c r="W631" s="1"/>
  <c r="W632" s="1"/>
  <c r="W633" s="1"/>
  <c r="W634" s="1"/>
  <c r="W635" s="1"/>
  <c r="W636" s="1"/>
  <c r="W637" s="1"/>
  <c r="W638" s="1"/>
  <c r="W639" s="1"/>
  <c r="W640" s="1"/>
  <c r="W641" s="1"/>
  <c r="W642" s="1"/>
  <c r="W643" s="1"/>
  <c r="W644" s="1"/>
  <c r="W645" s="1"/>
  <c r="W646" s="1"/>
  <c r="W647" s="1"/>
  <c r="W648" s="1"/>
  <c r="W649" s="1"/>
  <c r="W650" s="1"/>
  <c r="W651" s="1"/>
  <c r="W652" s="1"/>
  <c r="W653" s="1"/>
  <c r="W654" s="1"/>
  <c r="W655" s="1"/>
  <c r="W656" s="1"/>
  <c r="W657" s="1"/>
  <c r="W658" s="1"/>
  <c r="W659" s="1"/>
  <c r="W660" s="1"/>
  <c r="W661" s="1"/>
  <c r="W662" s="1"/>
  <c r="W663" s="1"/>
  <c r="W664" s="1"/>
  <c r="W665" s="1"/>
  <c r="W666" s="1"/>
  <c r="W667" s="1"/>
  <c r="W668" s="1"/>
  <c r="W669" s="1"/>
  <c r="W670" s="1"/>
  <c r="W671" s="1"/>
  <c r="W672" s="1"/>
  <c r="W673" s="1"/>
  <c r="W674" s="1"/>
  <c r="W675" s="1"/>
  <c r="W676" s="1"/>
  <c r="W677" s="1"/>
  <c r="W678" s="1"/>
  <c r="W679" s="1"/>
  <c r="W680" s="1"/>
  <c r="W681" s="1"/>
  <c r="W682" s="1"/>
  <c r="W683" s="1"/>
  <c r="W684" s="1"/>
  <c r="W685" s="1"/>
  <c r="W686" s="1"/>
  <c r="W687" s="1"/>
  <c r="W688" s="1"/>
  <c r="W689" s="1"/>
  <c r="W690" s="1"/>
  <c r="W691" s="1"/>
  <c r="W692" s="1"/>
  <c r="W693" s="1"/>
  <c r="W694" s="1"/>
  <c r="W695" s="1"/>
  <c r="W696" s="1"/>
  <c r="W697" s="1"/>
  <c r="W698" s="1"/>
  <c r="W699" s="1"/>
  <c r="W700" s="1"/>
  <c r="W701" s="1"/>
  <c r="W702" s="1"/>
  <c r="W703" s="1"/>
  <c r="W704" s="1"/>
  <c r="W705" s="1"/>
  <c r="W706" s="1"/>
  <c r="W707" s="1"/>
  <c r="W708" s="1"/>
  <c r="W709" s="1"/>
  <c r="W710" s="1"/>
  <c r="W711" s="1"/>
  <c r="W712" s="1"/>
  <c r="W713" s="1"/>
  <c r="W714" s="1"/>
  <c r="W715" s="1"/>
  <c r="W716" s="1"/>
  <c r="W717" s="1"/>
  <c r="W718" s="1"/>
  <c r="W719" s="1"/>
  <c r="W720" s="1"/>
  <c r="W721" s="1"/>
  <c r="W722" s="1"/>
  <c r="W723" s="1"/>
  <c r="W724" s="1"/>
  <c r="W725" s="1"/>
  <c r="W726" s="1"/>
  <c r="W727" s="1"/>
  <c r="W728" s="1"/>
  <c r="W729" s="1"/>
  <c r="W730" s="1"/>
  <c r="W731" s="1"/>
  <c r="W732" s="1"/>
  <c r="W733" s="1"/>
  <c r="W734" s="1"/>
  <c r="W735" s="1"/>
  <c r="W736" s="1"/>
  <c r="W737" s="1"/>
  <c r="W738" s="1"/>
  <c r="W739" s="1"/>
  <c r="W740" s="1"/>
  <c r="W741" s="1"/>
  <c r="W742" s="1"/>
  <c r="W743" s="1"/>
  <c r="W744" s="1"/>
  <c r="W745" s="1"/>
  <c r="W746" s="1"/>
  <c r="W747" s="1"/>
  <c r="W748" s="1"/>
  <c r="W749" s="1"/>
  <c r="W750" s="1"/>
  <c r="W751" s="1"/>
  <c r="W752" s="1"/>
  <c r="W753" s="1"/>
  <c r="W754" s="1"/>
  <c r="W755" s="1"/>
  <c r="W756" s="1"/>
  <c r="W757" s="1"/>
  <c r="W758" s="1"/>
  <c r="W759" s="1"/>
  <c r="W760" s="1"/>
  <c r="W761" s="1"/>
  <c r="W762" s="1"/>
  <c r="W763" s="1"/>
  <c r="W764" s="1"/>
  <c r="W765" s="1"/>
  <c r="W766" s="1"/>
  <c r="W767" s="1"/>
  <c r="W768" s="1"/>
  <c r="W769" s="1"/>
  <c r="W770" s="1"/>
  <c r="W771" s="1"/>
  <c r="W772" s="1"/>
  <c r="W773" s="1"/>
  <c r="W774" s="1"/>
  <c r="W775" s="1"/>
  <c r="W776" s="1"/>
  <c r="W777" s="1"/>
  <c r="W778" s="1"/>
  <c r="W779" s="1"/>
  <c r="W780" s="1"/>
  <c r="W781" s="1"/>
  <c r="W782" s="1"/>
  <c r="W783" s="1"/>
  <c r="W784" s="1"/>
  <c r="W785" s="1"/>
  <c r="W786" s="1"/>
  <c r="W787" s="1"/>
  <c r="W788" s="1"/>
  <c r="W789" s="1"/>
  <c r="W790" s="1"/>
  <c r="W791" s="1"/>
  <c r="W792" s="1"/>
  <c r="W793" s="1"/>
  <c r="W794" s="1"/>
  <c r="W795" s="1"/>
  <c r="W796" s="1"/>
  <c r="W797" s="1"/>
  <c r="W798" s="1"/>
  <c r="W799" s="1"/>
  <c r="W800" s="1"/>
  <c r="W801" s="1"/>
  <c r="W802" s="1"/>
  <c r="W803" s="1"/>
  <c r="W804" s="1"/>
  <c r="W805" s="1"/>
  <c r="W806" s="1"/>
  <c r="W807" s="1"/>
  <c r="W808" s="1"/>
  <c r="W809" s="1"/>
  <c r="W810" s="1"/>
  <c r="W811" s="1"/>
  <c r="W812" s="1"/>
  <c r="W813" s="1"/>
  <c r="W814" s="1"/>
  <c r="W815" s="1"/>
  <c r="W816" s="1"/>
  <c r="W817" s="1"/>
  <c r="W818" s="1"/>
  <c r="W819" s="1"/>
  <c r="W820" s="1"/>
  <c r="W821" s="1"/>
  <c r="W822" s="1"/>
  <c r="W823" s="1"/>
  <c r="W824" s="1"/>
  <c r="W825" s="1"/>
  <c r="W826" s="1"/>
  <c r="W827" s="1"/>
  <c r="W828" s="1"/>
  <c r="W829" s="1"/>
  <c r="W830" s="1"/>
  <c r="W831" s="1"/>
  <c r="W832" s="1"/>
  <c r="W833" s="1"/>
  <c r="W834" s="1"/>
  <c r="W835" s="1"/>
  <c r="W836" s="1"/>
  <c r="W837" s="1"/>
  <c r="W838" s="1"/>
  <c r="W839" s="1"/>
  <c r="W840" s="1"/>
  <c r="W841" s="1"/>
  <c r="W842" s="1"/>
  <c r="W843" s="1"/>
  <c r="W844" s="1"/>
  <c r="W845" s="1"/>
  <c r="W846" s="1"/>
  <c r="W847" s="1"/>
  <c r="W848" s="1"/>
  <c r="W849" s="1"/>
  <c r="W850" s="1"/>
  <c r="W851" s="1"/>
  <c r="W852" s="1"/>
  <c r="W853" s="1"/>
  <c r="W854" s="1"/>
  <c r="W855" s="1"/>
  <c r="W856" s="1"/>
  <c r="W857" s="1"/>
  <c r="W858" s="1"/>
  <c r="W859" s="1"/>
  <c r="W860" s="1"/>
  <c r="W861" s="1"/>
  <c r="W862" s="1"/>
  <c r="W863" s="1"/>
  <c r="W864" s="1"/>
  <c r="W865" s="1"/>
  <c r="W866" s="1"/>
  <c r="W867" s="1"/>
  <c r="W868" s="1"/>
  <c r="W869" s="1"/>
  <c r="W870" s="1"/>
  <c r="W871" s="1"/>
  <c r="W872" s="1"/>
  <c r="W873" s="1"/>
  <c r="W874" s="1"/>
  <c r="W875" s="1"/>
  <c r="W876" s="1"/>
  <c r="W877" s="1"/>
  <c r="W878" s="1"/>
  <c r="W879" s="1"/>
  <c r="W880" s="1"/>
  <c r="W881" s="1"/>
  <c r="W882" s="1"/>
  <c r="W883" s="1"/>
  <c r="W884" s="1"/>
  <c r="W885" s="1"/>
  <c r="W886" s="1"/>
  <c r="W887" s="1"/>
  <c r="W888" s="1"/>
  <c r="W889" s="1"/>
  <c r="W890" s="1"/>
  <c r="W891" s="1"/>
  <c r="W892" s="1"/>
  <c r="W893" s="1"/>
  <c r="W894" s="1"/>
  <c r="W895" s="1"/>
  <c r="W896" s="1"/>
  <c r="W897" s="1"/>
  <c r="W898" s="1"/>
  <c r="W899" s="1"/>
  <c r="W900" s="1"/>
  <c r="W901" s="1"/>
  <c r="W902" s="1"/>
  <c r="W903" s="1"/>
  <c r="W904" s="1"/>
  <c r="W905" s="1"/>
  <c r="W906" s="1"/>
  <c r="W907" s="1"/>
  <c r="W908" s="1"/>
  <c r="W909" s="1"/>
  <c r="W910" s="1"/>
  <c r="W911" s="1"/>
  <c r="W912" s="1"/>
  <c r="W913" s="1"/>
  <c r="W914" s="1"/>
  <c r="W915" s="1"/>
  <c r="W916" s="1"/>
  <c r="W917" s="1"/>
  <c r="W918" s="1"/>
  <c r="W919" s="1"/>
  <c r="W920" s="1"/>
  <c r="W921" s="1"/>
  <c r="W922" s="1"/>
  <c r="W923" s="1"/>
  <c r="W924" s="1"/>
  <c r="W925" s="1"/>
  <c r="W926" s="1"/>
  <c r="W927" s="1"/>
  <c r="W928" s="1"/>
  <c r="W929" s="1"/>
  <c r="W930" s="1"/>
  <c r="W931" s="1"/>
  <c r="W932" s="1"/>
  <c r="W933" s="1"/>
  <c r="W934" s="1"/>
  <c r="W935" s="1"/>
  <c r="W936" s="1"/>
  <c r="W937" s="1"/>
  <c r="W938" s="1"/>
  <c r="W939" s="1"/>
  <c r="W940" s="1"/>
  <c r="W941" s="1"/>
  <c r="W942" s="1"/>
  <c r="W943" s="1"/>
  <c r="W944" s="1"/>
  <c r="W945" s="1"/>
  <c r="W946" s="1"/>
  <c r="W947" s="1"/>
  <c r="W948" s="1"/>
  <c r="W949" s="1"/>
  <c r="W950" s="1"/>
  <c r="W951" s="1"/>
  <c r="W952" s="1"/>
  <c r="W953" s="1"/>
  <c r="W954" s="1"/>
  <c r="W955" s="1"/>
  <c r="W956" s="1"/>
  <c r="W957" s="1"/>
  <c r="W958" s="1"/>
  <c r="W959" s="1"/>
  <c r="W960" s="1"/>
  <c r="W961" s="1"/>
  <c r="W962" s="1"/>
  <c r="W963" s="1"/>
  <c r="W964" s="1"/>
  <c r="W965" s="1"/>
  <c r="W966" s="1"/>
  <c r="W967" s="1"/>
  <c r="W968" s="1"/>
  <c r="W969" s="1"/>
  <c r="W970" s="1"/>
  <c r="W971" s="1"/>
  <c r="W972" s="1"/>
  <c r="W973" s="1"/>
  <c r="W974" s="1"/>
  <c r="W975" s="1"/>
  <c r="W976" s="1"/>
  <c r="W977" s="1"/>
  <c r="W978" s="1"/>
  <c r="W979" s="1"/>
  <c r="W980" s="1"/>
  <c r="W981" s="1"/>
  <c r="W982" s="1"/>
  <c r="W983" s="1"/>
  <c r="W984" s="1"/>
  <c r="W985" s="1"/>
  <c r="W986" s="1"/>
  <c r="W987" s="1"/>
  <c r="W988" s="1"/>
  <c r="W989" s="1"/>
  <c r="W990" s="1"/>
  <c r="W991" s="1"/>
  <c r="W992" s="1"/>
  <c r="W993" s="1"/>
  <c r="W994" s="1"/>
  <c r="W995" s="1"/>
  <c r="W996" s="1"/>
  <c r="W997" s="1"/>
  <c r="W998" s="1"/>
  <c r="W999" s="1"/>
  <c r="W1000" s="1"/>
  <c r="W1001" s="1"/>
  <c r="W1002" s="1"/>
  <c r="W1003" s="1"/>
  <c r="W1004" s="1"/>
  <c r="W1005" s="1"/>
  <c r="W1006" s="1"/>
  <c r="W1007" s="1"/>
  <c r="W1008" s="1"/>
  <c r="W1009" s="1"/>
  <c r="W1010" s="1"/>
  <c r="W1011" s="1"/>
  <c r="W1012" s="1"/>
  <c r="W1013" s="1"/>
  <c r="W1014" s="1"/>
  <c r="W1015" s="1"/>
  <c r="W1016" s="1"/>
  <c r="W1017" s="1"/>
  <c r="W1018" s="1"/>
  <c r="W1019" s="1"/>
  <c r="W1020" s="1"/>
  <c r="W1021" s="1"/>
  <c r="W1022" s="1"/>
  <c r="W1023" s="1"/>
  <c r="W1024" s="1"/>
  <c r="W1025" s="1"/>
  <c r="W1026" s="1"/>
  <c r="W1027" s="1"/>
  <c r="W1028" s="1"/>
  <c r="W1029" s="1"/>
  <c r="W1030" s="1"/>
  <c r="W1031" s="1"/>
  <c r="W1032" s="1"/>
  <c r="W1033" s="1"/>
  <c r="W1034" s="1"/>
  <c r="W1035" s="1"/>
  <c r="W1036" s="1"/>
  <c r="W1037" s="1"/>
  <c r="W1038" s="1"/>
  <c r="W1039" s="1"/>
  <c r="W1040" s="1"/>
  <c r="W1041" s="1"/>
  <c r="W1042" s="1"/>
  <c r="W1043" s="1"/>
  <c r="W1044" s="1"/>
  <c r="W1045" s="1"/>
  <c r="W1046" s="1"/>
  <c r="W1047" s="1"/>
  <c r="W1048" s="1"/>
  <c r="W1049" s="1"/>
  <c r="W1050" s="1"/>
  <c r="W1051" s="1"/>
  <c r="W1052" s="1"/>
  <c r="W1053" s="1"/>
  <c r="W1054" s="1"/>
  <c r="W1055" s="1"/>
  <c r="W1056" s="1"/>
  <c r="W1057" s="1"/>
  <c r="W1058" s="1"/>
  <c r="W1059" s="1"/>
  <c r="W1060" s="1"/>
  <c r="W1061" s="1"/>
  <c r="W1062" s="1"/>
  <c r="W1063" s="1"/>
  <c r="W1064" s="1"/>
  <c r="W1065" s="1"/>
  <c r="W1066" s="1"/>
  <c r="W1067" s="1"/>
  <c r="W1068" s="1"/>
  <c r="W1069" s="1"/>
  <c r="W1070" s="1"/>
  <c r="W1071" s="1"/>
  <c r="W1072" s="1"/>
  <c r="W1073" s="1"/>
  <c r="W1074" s="1"/>
  <c r="W1075" s="1"/>
  <c r="W1076" s="1"/>
  <c r="W1077" s="1"/>
  <c r="W1078" s="1"/>
  <c r="W1079" s="1"/>
  <c r="W1080" s="1"/>
  <c r="W1081" s="1"/>
  <c r="W1082" s="1"/>
  <c r="W1083" s="1"/>
  <c r="W1084" s="1"/>
  <c r="W1085" s="1"/>
  <c r="W1086" s="1"/>
  <c r="W1087" s="1"/>
  <c r="W1088" s="1"/>
  <c r="W1089" s="1"/>
  <c r="W1090" s="1"/>
  <c r="W1091" s="1"/>
  <c r="W1092" s="1"/>
  <c r="W1093" s="1"/>
  <c r="W1094" s="1"/>
  <c r="W1095" s="1"/>
  <c r="W1096" s="1"/>
  <c r="W1097" s="1"/>
  <c r="W1098" s="1"/>
  <c r="W1099" s="1"/>
  <c r="W1100" s="1"/>
  <c r="W1101" s="1"/>
  <c r="W1102" s="1"/>
  <c r="W1103" s="1"/>
  <c r="W1104" s="1"/>
  <c r="W1105" s="1"/>
  <c r="W1106" s="1"/>
  <c r="W1107" s="1"/>
  <c r="W1108" s="1"/>
  <c r="W1109" s="1"/>
  <c r="W1110" s="1"/>
  <c r="W1111" s="1"/>
  <c r="W1112" s="1"/>
  <c r="W1113" s="1"/>
  <c r="W1114" s="1"/>
  <c r="W1115" s="1"/>
  <c r="W1116" s="1"/>
  <c r="W1117" s="1"/>
  <c r="W1118" s="1"/>
  <c r="W1119" s="1"/>
  <c r="W1120" s="1"/>
  <c r="W1121" s="1"/>
  <c r="W1122" s="1"/>
  <c r="W1123" s="1"/>
  <c r="W1124" s="1"/>
  <c r="W1125" s="1"/>
  <c r="W1126" s="1"/>
  <c r="W1127" s="1"/>
  <c r="W1128" s="1"/>
  <c r="W1129" s="1"/>
  <c r="W1130" s="1"/>
  <c r="W1131" s="1"/>
  <c r="W1132" s="1"/>
  <c r="W1133" s="1"/>
  <c r="W1134" s="1"/>
  <c r="W1135" s="1"/>
  <c r="W1136" s="1"/>
  <c r="W1137" s="1"/>
  <c r="W1138" s="1"/>
  <c r="W1139" s="1"/>
  <c r="W1140" s="1"/>
  <c r="W1141" s="1"/>
  <c r="W1142" s="1"/>
  <c r="W1143" s="1"/>
  <c r="W1144" s="1"/>
  <c r="W1145" s="1"/>
  <c r="W1146" s="1"/>
  <c r="W1147" s="1"/>
  <c r="W1148" s="1"/>
  <c r="W1149" s="1"/>
  <c r="W1150" s="1"/>
  <c r="W1151" s="1"/>
  <c r="W1152" s="1"/>
  <c r="W1153" s="1"/>
  <c r="W1154" s="1"/>
  <c r="W1155" s="1"/>
  <c r="W1156" s="1"/>
  <c r="W1157" s="1"/>
  <c r="W1158" s="1"/>
  <c r="W1159" s="1"/>
  <c r="W1160" s="1"/>
  <c r="W1161" s="1"/>
  <c r="W1162" s="1"/>
  <c r="W1163" s="1"/>
  <c r="W1164" s="1"/>
  <c r="W1165" s="1"/>
  <c r="W1166" s="1"/>
  <c r="W1167" s="1"/>
  <c r="W1168" s="1"/>
  <c r="W1169" s="1"/>
  <c r="W1170" s="1"/>
  <c r="W1171" s="1"/>
  <c r="W1172" s="1"/>
  <c r="W1173" s="1"/>
  <c r="W1174" s="1"/>
  <c r="W1175" s="1"/>
  <c r="W1176" s="1"/>
  <c r="W1177" s="1"/>
  <c r="W1178" s="1"/>
  <c r="W1179" s="1"/>
  <c r="W1180" s="1"/>
  <c r="W1181" s="1"/>
  <c r="W1182" s="1"/>
  <c r="W1183" s="1"/>
  <c r="W1184" s="1"/>
  <c r="W1185" s="1"/>
  <c r="W1186" s="1"/>
  <c r="W1187" s="1"/>
  <c r="W1188" s="1"/>
  <c r="W1189" s="1"/>
  <c r="W1190" s="1"/>
  <c r="W1191" s="1"/>
  <c r="W1192" s="1"/>
  <c r="W1193" s="1"/>
  <c r="W1194" s="1"/>
  <c r="W1195" s="1"/>
  <c r="W1196" s="1"/>
  <c r="W1197" s="1"/>
  <c r="W1198" s="1"/>
  <c r="W1199" s="1"/>
  <c r="W1200" s="1"/>
  <c r="W1201" s="1"/>
  <c r="W1202" s="1"/>
  <c r="W1203" s="1"/>
  <c r="W1204" s="1"/>
  <c r="W1205" s="1"/>
  <c r="W1206" s="1"/>
  <c r="W1207" s="1"/>
  <c r="W1208" s="1"/>
  <c r="W1209" s="1"/>
  <c r="W1210" s="1"/>
  <c r="W1211" s="1"/>
  <c r="W1212" s="1"/>
  <c r="W1213" s="1"/>
  <c r="W1214" s="1"/>
  <c r="W1215" s="1"/>
  <c r="W1216" s="1"/>
  <c r="W1217" s="1"/>
  <c r="W1218" s="1"/>
  <c r="W1219" s="1"/>
  <c r="W1220" s="1"/>
  <c r="W1221" s="1"/>
  <c r="W1222" s="1"/>
  <c r="W1223" s="1"/>
  <c r="W1224" s="1"/>
  <c r="W1225" s="1"/>
  <c r="W1226" s="1"/>
  <c r="W1227" s="1"/>
  <c r="W1228" s="1"/>
  <c r="W1229" s="1"/>
  <c r="W1230" s="1"/>
  <c r="W1231" s="1"/>
  <c r="W1232" s="1"/>
  <c r="W1233" s="1"/>
  <c r="W1234" s="1"/>
  <c r="W1235" s="1"/>
  <c r="W1236" s="1"/>
  <c r="W1237" s="1"/>
  <c r="W1238" s="1"/>
  <c r="W1239" s="1"/>
  <c r="W1240" s="1"/>
  <c r="W1241" s="1"/>
  <c r="W1242" s="1"/>
  <c r="W1243" s="1"/>
  <c r="W1244" s="1"/>
  <c r="W1245" s="1"/>
  <c r="W1246" s="1"/>
  <c r="W1247" s="1"/>
  <c r="W1248" s="1"/>
  <c r="W1249" s="1"/>
  <c r="W1250" s="1"/>
  <c r="W1251" s="1"/>
  <c r="W1252" s="1"/>
  <c r="W1253" s="1"/>
  <c r="W1254" s="1"/>
  <c r="W1255" s="1"/>
  <c r="W1256" s="1"/>
  <c r="W1257" s="1"/>
  <c r="W1258" s="1"/>
  <c r="W1259" s="1"/>
  <c r="W1260" s="1"/>
  <c r="W1261" s="1"/>
  <c r="W1262" s="1"/>
  <c r="W1263" s="1"/>
  <c r="W1264" s="1"/>
  <c r="W1265" s="1"/>
  <c r="W1266" s="1"/>
  <c r="W1267" s="1"/>
  <c r="W1268" s="1"/>
  <c r="W1269" s="1"/>
  <c r="W1270" s="1"/>
  <c r="W1271" s="1"/>
  <c r="W1272" s="1"/>
  <c r="W1273" s="1"/>
  <c r="W1274" s="1"/>
  <c r="W1275" s="1"/>
  <c r="W1276" s="1"/>
  <c r="W1277" s="1"/>
  <c r="W1278" s="1"/>
  <c r="W1279" s="1"/>
  <c r="W1280" s="1"/>
  <c r="W1281" s="1"/>
  <c r="W1282" s="1"/>
  <c r="W1283" s="1"/>
  <c r="W1284" s="1"/>
  <c r="W1285" s="1"/>
  <c r="W1286" s="1"/>
  <c r="W1287" s="1"/>
  <c r="W1288" s="1"/>
  <c r="W1289" s="1"/>
  <c r="W1290" s="1"/>
  <c r="W1291" s="1"/>
  <c r="W1292" s="1"/>
  <c r="W1293" s="1"/>
  <c r="W1294" s="1"/>
  <c r="W1295" s="1"/>
  <c r="W1296" s="1"/>
  <c r="W1297" s="1"/>
  <c r="W1298" s="1"/>
  <c r="W1299" s="1"/>
  <c r="W1300" s="1"/>
  <c r="W1301" s="1"/>
  <c r="W1302" s="1"/>
  <c r="W1303" s="1"/>
  <c r="W1304" s="1"/>
  <c r="W1305" s="1"/>
  <c r="W1306" s="1"/>
  <c r="W1307" s="1"/>
  <c r="W1308" s="1"/>
  <c r="W1309" s="1"/>
  <c r="W1310" s="1"/>
  <c r="W1311" s="1"/>
  <c r="W1312" s="1"/>
  <c r="W1313" s="1"/>
  <c r="W1314" s="1"/>
  <c r="W1315" s="1"/>
  <c r="W1316" s="1"/>
  <c r="W1317" s="1"/>
  <c r="W1318" s="1"/>
  <c r="W1319" s="1"/>
  <c r="W1320" s="1"/>
  <c r="W1321" s="1"/>
  <c r="W1322" s="1"/>
  <c r="W1323" s="1"/>
  <c r="W1324" s="1"/>
  <c r="W1325" s="1"/>
  <c r="W1326" s="1"/>
  <c r="W1327" s="1"/>
  <c r="W1328" s="1"/>
  <c r="W1329" s="1"/>
  <c r="W1330" s="1"/>
  <c r="W1331" s="1"/>
  <c r="W1332" s="1"/>
  <c r="W1333" s="1"/>
  <c r="W1334" s="1"/>
  <c r="W1335" s="1"/>
  <c r="W1336" s="1"/>
  <c r="W1337" s="1"/>
  <c r="W1338" s="1"/>
  <c r="W1339" s="1"/>
  <c r="W1340" s="1"/>
  <c r="W1341" s="1"/>
  <c r="W1342" s="1"/>
  <c r="W1343" s="1"/>
  <c r="W1344" s="1"/>
  <c r="W1345" s="1"/>
  <c r="W1346" s="1"/>
  <c r="W1347" s="1"/>
  <c r="W1348" s="1"/>
  <c r="W1349" s="1"/>
  <c r="W1350" s="1"/>
  <c r="W1351" s="1"/>
  <c r="W1352" s="1"/>
  <c r="W1353" s="1"/>
  <c r="W1354" s="1"/>
  <c r="W1355" s="1"/>
  <c r="W1356" s="1"/>
  <c r="W1357" s="1"/>
  <c r="W1358" s="1"/>
  <c r="W1359" s="1"/>
  <c r="W1360" s="1"/>
  <c r="W1361" s="1"/>
  <c r="W1362" s="1"/>
  <c r="W1363" s="1"/>
  <c r="W1364" s="1"/>
  <c r="W1365" s="1"/>
  <c r="W1366" s="1"/>
  <c r="W1367" s="1"/>
  <c r="W1368" s="1"/>
  <c r="W1369" s="1"/>
  <c r="W1370" s="1"/>
  <c r="W1371" s="1"/>
  <c r="W1372" s="1"/>
  <c r="W1373" s="1"/>
  <c r="W1374" s="1"/>
  <c r="W1375" s="1"/>
  <c r="W1376" s="1"/>
  <c r="W1377" s="1"/>
  <c r="W1378" s="1"/>
  <c r="W1379" s="1"/>
  <c r="W1380" s="1"/>
  <c r="W1381" s="1"/>
  <c r="W1382" s="1"/>
  <c r="W1383" s="1"/>
  <c r="W1384" s="1"/>
  <c r="W1385" s="1"/>
  <c r="W1386" s="1"/>
  <c r="W1387" s="1"/>
  <c r="W1388" s="1"/>
  <c r="W1389" s="1"/>
  <c r="W1390" s="1"/>
  <c r="W1391" s="1"/>
  <c r="W1392" s="1"/>
  <c r="W1393" s="1"/>
  <c r="W1394" s="1"/>
  <c r="W1395" s="1"/>
  <c r="W1396" s="1"/>
  <c r="W1397" s="1"/>
  <c r="W1398" s="1"/>
  <c r="W1399" s="1"/>
  <c r="W1400" s="1"/>
  <c r="W1401" s="1"/>
  <c r="W1402" s="1"/>
  <c r="W1403" s="1"/>
  <c r="W1404" s="1"/>
  <c r="W1405" s="1"/>
  <c r="W1406" s="1"/>
  <c r="W1407" s="1"/>
  <c r="W1408" s="1"/>
  <c r="W1409" s="1"/>
  <c r="W1410" s="1"/>
  <c r="W1411" s="1"/>
  <c r="W1412" s="1"/>
  <c r="W1413" s="1"/>
  <c r="W1414" s="1"/>
  <c r="W1415" s="1"/>
  <c r="W1416" s="1"/>
  <c r="W1417" s="1"/>
  <c r="W1418" s="1"/>
  <c r="W1419" s="1"/>
  <c r="W1420" s="1"/>
  <c r="W1421" s="1"/>
  <c r="W1422" s="1"/>
  <c r="W1423" s="1"/>
  <c r="W1424" s="1"/>
  <c r="W1425" s="1"/>
  <c r="W1426" s="1"/>
  <c r="W1427" s="1"/>
  <c r="W1428" s="1"/>
  <c r="W1429" s="1"/>
  <c r="W1430" s="1"/>
  <c r="W1431" s="1"/>
  <c r="W1432" s="1"/>
  <c r="W1433" s="1"/>
  <c r="W1434" s="1"/>
  <c r="W1435" s="1"/>
  <c r="W1436" s="1"/>
  <c r="W1437" s="1"/>
  <c r="W1438" s="1"/>
  <c r="W1439" s="1"/>
  <c r="W1440" s="1"/>
  <c r="W1441" s="1"/>
  <c r="W1442" s="1"/>
  <c r="W1443" s="1"/>
  <c r="W1444" s="1"/>
  <c r="W1445" s="1"/>
  <c r="W1446" s="1"/>
  <c r="W1447" s="1"/>
  <c r="W1448" s="1"/>
  <c r="W1449" s="1"/>
  <c r="W1450" s="1"/>
  <c r="W1451" s="1"/>
  <c r="W1452" s="1"/>
  <c r="W1453" s="1"/>
  <c r="W1454" s="1"/>
  <c r="W1455" s="1"/>
  <c r="W1456" s="1"/>
  <c r="W1457" s="1"/>
  <c r="W1458" s="1"/>
  <c r="W1459" s="1"/>
  <c r="W1460" s="1"/>
  <c r="W1461" s="1"/>
  <c r="W1462" s="1"/>
  <c r="W1463" s="1"/>
  <c r="W1464" s="1"/>
  <c r="W1465" s="1"/>
  <c r="W1466" s="1"/>
  <c r="W1467" s="1"/>
  <c r="W1468" s="1"/>
  <c r="W1469" s="1"/>
  <c r="W1470" s="1"/>
  <c r="W1471" s="1"/>
  <c r="W1472" s="1"/>
  <c r="W1473" s="1"/>
  <c r="W1474" s="1"/>
  <c r="W1475" s="1"/>
  <c r="W1476" s="1"/>
  <c r="W1477" s="1"/>
  <c r="W1478" s="1"/>
  <c r="W1479" s="1"/>
  <c r="W1480" s="1"/>
  <c r="W1481" s="1"/>
  <c r="W1482" s="1"/>
  <c r="W1483" s="1"/>
  <c r="W1484" s="1"/>
  <c r="W1485" s="1"/>
  <c r="W1486" s="1"/>
  <c r="W1487" s="1"/>
  <c r="W1488" s="1"/>
  <c r="W1489" s="1"/>
  <c r="W1490" s="1"/>
  <c r="W1491" s="1"/>
  <c r="W1492" s="1"/>
  <c r="W1493" s="1"/>
  <c r="W1494" s="1"/>
  <c r="W1495" s="1"/>
  <c r="W1496" s="1"/>
  <c r="W1497" s="1"/>
  <c r="W1498" s="1"/>
  <c r="W1499" s="1"/>
  <c r="W1500" s="1"/>
  <c r="W1501" s="1"/>
  <c r="W1502" s="1"/>
  <c r="W1503" s="1"/>
  <c r="W1504" s="1"/>
  <c r="W1505" s="1"/>
  <c r="W1506" s="1"/>
  <c r="W1507" s="1"/>
  <c r="W1508" s="1"/>
  <c r="W1509" s="1"/>
  <c r="W1510" s="1"/>
  <c r="W1511" s="1"/>
  <c r="W1512" s="1"/>
  <c r="W1513" s="1"/>
  <c r="W1514" s="1"/>
  <c r="W1515" s="1"/>
  <c r="W1516" s="1"/>
  <c r="W1517" s="1"/>
  <c r="W1518" s="1"/>
  <c r="W1519" s="1"/>
  <c r="W1520" s="1"/>
  <c r="W1521" s="1"/>
  <c r="W1522" s="1"/>
  <c r="W1523" s="1"/>
  <c r="W1524" s="1"/>
  <c r="W1525" s="1"/>
  <c r="W1526" s="1"/>
  <c r="W1527" s="1"/>
  <c r="W1528" s="1"/>
  <c r="W1529" s="1"/>
  <c r="W1530" s="1"/>
  <c r="W1531" s="1"/>
  <c r="W1532" s="1"/>
  <c r="W1533" s="1"/>
  <c r="W1534" s="1"/>
  <c r="W1535" s="1"/>
  <c r="W1536" s="1"/>
  <c r="W1537" s="1"/>
  <c r="W1538" s="1"/>
  <c r="W1539" s="1"/>
  <c r="W1540" s="1"/>
  <c r="W1541" s="1"/>
  <c r="W1542" s="1"/>
  <c r="W1543" s="1"/>
  <c r="W1544" s="1"/>
  <c r="W1545" s="1"/>
  <c r="W1546" s="1"/>
  <c r="W1547" s="1"/>
  <c r="W1548" s="1"/>
  <c r="W1549" s="1"/>
  <c r="W1550" s="1"/>
  <c r="W1551" s="1"/>
  <c r="W1552" s="1"/>
  <c r="W1553" s="1"/>
  <c r="W1554" s="1"/>
  <c r="W1555" s="1"/>
  <c r="W1556" s="1"/>
  <c r="W1557" s="1"/>
  <c r="W1558" s="1"/>
  <c r="W1559" s="1"/>
  <c r="W1560" s="1"/>
  <c r="W1561" s="1"/>
  <c r="W1562" s="1"/>
  <c r="W1563" s="1"/>
  <c r="W1564" s="1"/>
  <c r="W1565" s="1"/>
  <c r="W1566" s="1"/>
  <c r="W1567" s="1"/>
  <c r="W1568" s="1"/>
  <c r="W1569" s="1"/>
  <c r="W1570" s="1"/>
  <c r="W1571" s="1"/>
  <c r="W1572" s="1"/>
  <c r="W1573" s="1"/>
  <c r="W1574" s="1"/>
  <c r="W1575" s="1"/>
  <c r="W1576" s="1"/>
  <c r="W1577" s="1"/>
  <c r="W1578" s="1"/>
  <c r="W1579" s="1"/>
  <c r="W1580" s="1"/>
  <c r="W1581" s="1"/>
  <c r="W1582" s="1"/>
  <c r="W1583" s="1"/>
  <c r="W1584" s="1"/>
  <c r="W1585" s="1"/>
  <c r="W1586" s="1"/>
  <c r="W1587" s="1"/>
  <c r="W1588" s="1"/>
  <c r="W1589" s="1"/>
  <c r="W1590" s="1"/>
  <c r="W1591" s="1"/>
  <c r="W1592" s="1"/>
  <c r="W1593" s="1"/>
  <c r="W1594" s="1"/>
  <c r="W1595" s="1"/>
  <c r="W1596" s="1"/>
  <c r="W1597" s="1"/>
  <c r="W1598" s="1"/>
  <c r="W1599" s="1"/>
  <c r="W1600" s="1"/>
  <c r="W1601" s="1"/>
  <c r="W1602" s="1"/>
  <c r="W1603" s="1"/>
  <c r="W1604" s="1"/>
  <c r="W1605" s="1"/>
  <c r="W1606" s="1"/>
  <c r="W1607" s="1"/>
  <c r="W1608" s="1"/>
  <c r="W1609" s="1"/>
  <c r="W1610" s="1"/>
  <c r="W1611" s="1"/>
  <c r="W1612" s="1"/>
  <c r="W1613" s="1"/>
  <c r="W1614" s="1"/>
  <c r="W1615" s="1"/>
  <c r="W1616" s="1"/>
  <c r="W1617" s="1"/>
  <c r="W1618" s="1"/>
  <c r="W1619" s="1"/>
  <c r="W1620" s="1"/>
  <c r="W1621" s="1"/>
  <c r="W1622" s="1"/>
  <c r="W1623" s="1"/>
  <c r="W1624" s="1"/>
  <c r="W1625" s="1"/>
  <c r="W1626" s="1"/>
  <c r="W1627" s="1"/>
  <c r="W1628" s="1"/>
  <c r="W1629" s="1"/>
  <c r="W1630" s="1"/>
  <c r="W1631" s="1"/>
  <c r="W1632" s="1"/>
  <c r="W1633" s="1"/>
  <c r="W1634" s="1"/>
  <c r="W1635" s="1"/>
  <c r="W1636" s="1"/>
  <c r="W1637" s="1"/>
  <c r="W1638" s="1"/>
  <c r="W1639" s="1"/>
  <c r="W1640" s="1"/>
  <c r="W1641" s="1"/>
  <c r="W1642" s="1"/>
  <c r="W1643" s="1"/>
  <c r="W1644" s="1"/>
  <c r="W1645" s="1"/>
  <c r="W1646" s="1"/>
  <c r="W1647" s="1"/>
  <c r="W1648" s="1"/>
  <c r="W1649" s="1"/>
  <c r="W1650" s="1"/>
  <c r="W1651" s="1"/>
  <c r="W1652" s="1"/>
  <c r="W1653" s="1"/>
  <c r="W1654" s="1"/>
  <c r="W1655" s="1"/>
  <c r="W1656" s="1"/>
  <c r="W1657" s="1"/>
  <c r="W1658" s="1"/>
  <c r="W1659" s="1"/>
  <c r="W1660" s="1"/>
  <c r="W1661" s="1"/>
  <c r="W1662" s="1"/>
  <c r="W1663" s="1"/>
  <c r="W1664" s="1"/>
  <c r="W1665" s="1"/>
  <c r="W1666" s="1"/>
  <c r="W1667" s="1"/>
  <c r="W1668" s="1"/>
  <c r="W1669" s="1"/>
  <c r="W1670" s="1"/>
  <c r="W1671" s="1"/>
  <c r="W1672" s="1"/>
  <c r="W1673" s="1"/>
  <c r="W1674" s="1"/>
  <c r="W1675" s="1"/>
  <c r="W1676" s="1"/>
  <c r="W1677" s="1"/>
  <c r="W1678" s="1"/>
  <c r="W1679" s="1"/>
  <c r="W1680" s="1"/>
  <c r="W1681" s="1"/>
  <c r="W1682" s="1"/>
  <c r="W1683" s="1"/>
  <c r="W1684" s="1"/>
  <c r="W1685" s="1"/>
  <c r="W1686" s="1"/>
  <c r="W1687" s="1"/>
  <c r="W1688" s="1"/>
  <c r="W1689" s="1"/>
  <c r="W1690" s="1"/>
  <c r="W1691" s="1"/>
  <c r="W1692" s="1"/>
  <c r="W1693" s="1"/>
  <c r="W1694" s="1"/>
  <c r="W1695" s="1"/>
  <c r="W1696" s="1"/>
  <c r="W1697" s="1"/>
  <c r="W1698" s="1"/>
  <c r="W1699" s="1"/>
  <c r="W1700" s="1"/>
  <c r="W1701" s="1"/>
  <c r="W1702" s="1"/>
  <c r="W1703" s="1"/>
  <c r="W1704" s="1"/>
  <c r="W1705" s="1"/>
  <c r="W1706" s="1"/>
  <c r="W1707" s="1"/>
  <c r="W1708" s="1"/>
  <c r="W1709" s="1"/>
  <c r="W1710" s="1"/>
  <c r="W1711" s="1"/>
  <c r="W1712" s="1"/>
  <c r="W1713" s="1"/>
  <c r="W1714" s="1"/>
  <c r="W1715" s="1"/>
  <c r="W1716" s="1"/>
  <c r="W1717" s="1"/>
  <c r="W1718" s="1"/>
  <c r="W1719" s="1"/>
  <c r="W1720" s="1"/>
  <c r="W1721" s="1"/>
  <c r="W1722" s="1"/>
  <c r="W1723" s="1"/>
  <c r="W1724" s="1"/>
  <c r="W1725" s="1"/>
  <c r="W1726" s="1"/>
  <c r="W1727" s="1"/>
  <c r="W1728" s="1"/>
  <c r="W1729" s="1"/>
  <c r="W1730" s="1"/>
  <c r="W1731" s="1"/>
  <c r="W1732" s="1"/>
  <c r="W1733" s="1"/>
  <c r="W1734" s="1"/>
  <c r="W1735" s="1"/>
  <c r="W1736" s="1"/>
  <c r="W1737" s="1"/>
  <c r="W1738" s="1"/>
  <c r="W1739" s="1"/>
  <c r="W1740" s="1"/>
  <c r="W1741" s="1"/>
  <c r="W1742" s="1"/>
  <c r="W1743" s="1"/>
  <c r="W1744" s="1"/>
  <c r="W1745" s="1"/>
  <c r="W1746" s="1"/>
  <c r="W1747" s="1"/>
  <c r="W1748" s="1"/>
  <c r="W1749" s="1"/>
  <c r="W1750" s="1"/>
  <c r="W1751" s="1"/>
  <c r="W1752" s="1"/>
  <c r="W1753" s="1"/>
  <c r="W1754" s="1"/>
  <c r="W1755" s="1"/>
  <c r="W1756" s="1"/>
  <c r="W1757" s="1"/>
  <c r="W1758" s="1"/>
  <c r="W1759" s="1"/>
  <c r="W1760" s="1"/>
  <c r="W1761" s="1"/>
  <c r="W1762" s="1"/>
  <c r="W1763" s="1"/>
  <c r="W1764" s="1"/>
  <c r="W1765" s="1"/>
  <c r="W1766" s="1"/>
  <c r="W1767" s="1"/>
  <c r="W1768" s="1"/>
  <c r="W1769" s="1"/>
  <c r="W1770" s="1"/>
  <c r="W1771" s="1"/>
  <c r="W1772" s="1"/>
  <c r="W1773" s="1"/>
  <c r="W1774" s="1"/>
  <c r="W1775" s="1"/>
  <c r="W1776" s="1"/>
  <c r="W1777" s="1"/>
  <c r="W1778" s="1"/>
  <c r="W1779" s="1"/>
  <c r="W1780" s="1"/>
  <c r="W1781" s="1"/>
  <c r="W1782" s="1"/>
  <c r="AD17"/>
  <c r="Z5"/>
  <c r="AD30" s="1"/>
  <c r="AA8"/>
  <c r="AD9"/>
  <c r="AD21" s="1"/>
  <c r="Z13"/>
  <c r="AI24"/>
  <c r="AJ23" s="1"/>
  <c r="AH5"/>
  <c r="AF11"/>
  <c r="Y2"/>
  <c r="Y3"/>
  <c r="AE28"/>
  <c r="AJ10"/>
  <c r="AA56" s="1"/>
  <c r="A34" s="1" a="1"/>
  <c r="A34" s="1"/>
  <c r="AF15"/>
  <c r="AA20"/>
  <c r="AB19" s="1"/>
  <c r="AE25"/>
  <c r="X7"/>
  <c r="AF23"/>
  <c r="AA53" s="1"/>
  <c r="A12" s="1" a="1"/>
  <c r="A12" s="1"/>
  <c r="AA16"/>
  <c r="AB14" s="1"/>
  <c r="AA45" s="1"/>
  <c r="Z17"/>
  <c r="AF10"/>
  <c r="AA51" s="1"/>
  <c r="AI14"/>
  <c r="AH33"/>
  <c r="AA36"/>
  <c r="AB35" s="1"/>
  <c r="AH9"/>
  <c r="AH17" s="1"/>
  <c r="AJ11"/>
  <c r="X6"/>
  <c r="X8" s="1"/>
  <c r="AB24"/>
  <c r="AA32"/>
  <c r="AB30" s="1"/>
  <c r="AA48" s="1"/>
  <c r="A46" a="1"/>
  <c r="A46" s="1"/>
  <c r="A29" a="1"/>
  <c r="A29" s="1"/>
  <c r="R3"/>
  <c r="S3" s="1"/>
  <c r="T3" s="1"/>
  <c r="A2" a="1"/>
  <c r="A2" s="1"/>
  <c r="A37" a="1"/>
  <c r="A37" s="1"/>
  <c r="A38" a="1"/>
  <c r="A38" s="1"/>
  <c r="A33" a="1"/>
  <c r="A33" s="1"/>
  <c r="A53" a="1"/>
  <c r="A53" s="1"/>
  <c r="A20" a="1"/>
  <c r="A20" s="1"/>
  <c r="AB27"/>
  <c r="AJ27"/>
  <c r="AE19"/>
  <c r="AA12"/>
  <c r="AB11" s="1"/>
  <c r="AF24"/>
  <c r="AB7"/>
  <c r="AA4"/>
  <c r="AB3" s="1"/>
  <c r="AI4"/>
  <c r="AJ3" s="1"/>
  <c r="AE8"/>
  <c r="AF6" s="1"/>
  <c r="AA50" s="1"/>
  <c r="AI15"/>
  <c r="AI20"/>
  <c r="AJ18" s="1"/>
  <c r="AA57" s="1"/>
  <c r="AJ26"/>
  <c r="AA59" s="1"/>
  <c r="AE27"/>
  <c r="AB6"/>
  <c r="AA43" s="1"/>
  <c r="AE18"/>
  <c r="AJ22"/>
  <c r="AA58" s="1"/>
  <c r="AB31"/>
  <c r="AE33"/>
  <c r="AF31" s="1"/>
  <c r="AD34"/>
  <c r="AF2"/>
  <c r="AA49" s="1"/>
  <c r="AA28"/>
  <c r="AB26" s="1"/>
  <c r="AA47" s="1"/>
  <c r="AI8"/>
  <c r="AJ7" s="1"/>
  <c r="AI30"/>
  <c r="U61" i="7"/>
  <c r="U377"/>
  <c r="U62"/>
  <c r="U1531"/>
  <c r="U17"/>
  <c r="U1402"/>
  <c r="U1270"/>
  <c r="U605"/>
  <c r="U714"/>
  <c r="U938"/>
  <c r="U1017"/>
  <c r="U836"/>
  <c r="U599"/>
  <c r="U1016"/>
  <c r="U287"/>
  <c r="U508"/>
  <c r="U1687"/>
  <c r="U1681"/>
  <c r="U1675"/>
  <c r="U1669"/>
  <c r="U1663"/>
  <c r="U1657"/>
  <c r="U1651"/>
  <c r="U1645"/>
  <c r="U1639"/>
  <c r="U1627"/>
  <c r="U1621"/>
  <c r="U1615"/>
  <c r="U1609"/>
  <c r="U1603"/>
  <c r="U1597"/>
  <c r="U1591"/>
  <c r="U1585"/>
  <c r="U1579"/>
  <c r="U1573"/>
  <c r="U1567"/>
  <c r="U1556"/>
  <c r="U506"/>
  <c r="U268"/>
  <c r="U279"/>
  <c r="U392"/>
  <c r="U160"/>
  <c r="U391"/>
  <c r="U389"/>
  <c r="U275"/>
  <c r="U157"/>
  <c r="U50"/>
  <c r="U272"/>
  <c r="U63"/>
  <c r="U1550"/>
  <c r="U1547"/>
  <c r="U385"/>
  <c r="U1542"/>
  <c r="U1520"/>
  <c r="U269"/>
  <c r="U384"/>
  <c r="U53"/>
  <c r="U1515"/>
  <c r="U1509"/>
  <c r="U1503"/>
  <c r="U1497"/>
  <c r="U1491"/>
  <c r="U1485"/>
  <c r="U1479"/>
  <c r="U1473"/>
  <c r="U1467"/>
  <c r="U1461"/>
  <c r="U1455"/>
  <c r="U1449"/>
  <c r="U1443"/>
  <c r="U1437"/>
  <c r="U1431"/>
  <c r="U1425"/>
  <c r="U1419"/>
  <c r="U1413"/>
  <c r="U1407"/>
  <c r="U1401"/>
  <c r="U1395"/>
  <c r="U1389"/>
  <c r="U1383"/>
  <c r="U1377"/>
  <c r="U1371"/>
  <c r="U1365"/>
  <c r="U1359"/>
  <c r="U1353"/>
  <c r="U1347"/>
  <c r="U1341"/>
  <c r="U1335"/>
  <c r="U1329"/>
  <c r="U1323"/>
  <c r="U1317"/>
  <c r="U1311"/>
  <c r="U1305"/>
  <c r="U1299"/>
  <c r="U1293"/>
  <c r="U1287"/>
  <c r="U1281"/>
  <c r="U1275"/>
  <c r="U1269"/>
  <c r="U1263"/>
  <c r="U1257"/>
  <c r="U1251"/>
  <c r="U1245"/>
  <c r="U1239"/>
  <c r="U1233"/>
  <c r="U1227"/>
  <c r="U1221"/>
  <c r="U1215"/>
  <c r="U1209"/>
  <c r="U1203"/>
  <c r="U1197"/>
  <c r="U1191"/>
  <c r="U1185"/>
  <c r="U1179"/>
  <c r="U1173"/>
  <c r="U1167"/>
  <c r="U1161"/>
  <c r="U1155"/>
  <c r="U520"/>
  <c r="U1618"/>
  <c r="U1606"/>
  <c r="U1576"/>
  <c r="U1248"/>
  <c r="U1164"/>
  <c r="U105"/>
  <c r="U713"/>
  <c r="U285"/>
  <c r="U1662"/>
  <c r="U1620"/>
  <c r="U466"/>
  <c r="U284"/>
  <c r="U58"/>
  <c r="U386"/>
  <c r="U1532"/>
  <c r="U1502"/>
  <c r="U1454"/>
  <c r="U1430"/>
  <c r="U1370"/>
  <c r="U934"/>
  <c r="U1647"/>
  <c r="U1575"/>
  <c r="U379"/>
  <c r="U465"/>
  <c r="U838"/>
  <c r="U527"/>
  <c r="U1563"/>
  <c r="U1193"/>
  <c r="U589"/>
  <c r="U1264"/>
  <c r="U1258"/>
  <c r="U1252"/>
  <c r="U1246"/>
  <c r="U1240"/>
  <c r="U1234"/>
  <c r="U1228"/>
  <c r="U1222"/>
  <c r="U1216"/>
  <c r="U1210"/>
  <c r="U1204"/>
  <c r="U1198"/>
  <c r="U1192"/>
  <c r="U1186"/>
  <c r="U1180"/>
  <c r="U1174"/>
  <c r="U1168"/>
  <c r="U1162"/>
  <c r="U1156"/>
  <c r="U1150"/>
  <c r="U1144"/>
  <c r="U1138"/>
  <c r="U1126"/>
  <c r="U1107"/>
  <c r="U1124"/>
  <c r="U923"/>
  <c r="U1054"/>
  <c r="U588"/>
  <c r="U681"/>
  <c r="U920"/>
  <c r="U680"/>
  <c r="U812"/>
  <c r="U810"/>
  <c r="U914"/>
  <c r="U675"/>
  <c r="U985"/>
  <c r="U1086"/>
  <c r="U802"/>
  <c r="U1048"/>
  <c r="U798"/>
  <c r="U669"/>
  <c r="U983"/>
  <c r="U795"/>
  <c r="U663"/>
  <c r="U898"/>
  <c r="U982"/>
  <c r="U573"/>
  <c r="U537"/>
  <c r="U787"/>
  <c r="U785"/>
  <c r="U572"/>
  <c r="U975"/>
  <c r="U656"/>
  <c r="U781"/>
  <c r="U1093"/>
  <c r="U108"/>
  <c r="U104"/>
  <c r="U211"/>
  <c r="U208"/>
  <c r="U33"/>
  <c r="U205"/>
  <c r="U202"/>
  <c r="U1149"/>
  <c r="U1143"/>
  <c r="U1137"/>
  <c r="U1111"/>
  <c r="U1106"/>
  <c r="U1118"/>
  <c r="U685"/>
  <c r="U997"/>
  <c r="U993"/>
  <c r="U992"/>
  <c r="U919"/>
  <c r="U813"/>
  <c r="U585"/>
  <c r="U678"/>
  <c r="U677"/>
  <c r="U913"/>
  <c r="U805"/>
  <c r="U671"/>
  <c r="U581"/>
  <c r="U800"/>
  <c r="U670"/>
  <c r="U668"/>
  <c r="U665"/>
  <c r="U577"/>
  <c r="U575"/>
  <c r="U897"/>
  <c r="U981"/>
  <c r="U894"/>
  <c r="U536"/>
  <c r="U786"/>
  <c r="U660"/>
  <c r="U976"/>
  <c r="U570"/>
  <c r="U783"/>
  <c r="U1039"/>
  <c r="U654"/>
  <c r="U107"/>
  <c r="U35"/>
  <c r="U103"/>
  <c r="U324"/>
  <c r="U100"/>
  <c r="U99"/>
  <c r="U98"/>
  <c r="U1250"/>
  <c r="U831"/>
  <c r="U1011"/>
  <c r="U1005"/>
  <c r="U1061"/>
  <c r="U1059"/>
  <c r="U933"/>
  <c r="U691"/>
  <c r="U699"/>
  <c r="U931"/>
  <c r="U591"/>
  <c r="U827"/>
  <c r="U590"/>
  <c r="U999"/>
  <c r="U1068"/>
  <c r="U694"/>
  <c r="U1060"/>
  <c r="U692"/>
  <c r="U821"/>
  <c r="U1010"/>
  <c r="U1065"/>
  <c r="U592"/>
  <c r="U698"/>
  <c r="U1007"/>
  <c r="U688"/>
  <c r="U926"/>
  <c r="U696"/>
  <c r="U1063"/>
  <c r="U1057"/>
  <c r="U927"/>
  <c r="U1015"/>
  <c r="U606"/>
  <c r="U603"/>
  <c r="U710"/>
  <c r="U839"/>
  <c r="U837"/>
  <c r="U707"/>
  <c r="U704"/>
  <c r="U394"/>
  <c r="U171"/>
  <c r="U507"/>
  <c r="U1682"/>
  <c r="U1676"/>
  <c r="U1670"/>
  <c r="U1664"/>
  <c r="U1658"/>
  <c r="U1652"/>
  <c r="U1646"/>
  <c r="U1640"/>
  <c r="U1634"/>
  <c r="U1628"/>
  <c r="U1622"/>
  <c r="U1616"/>
  <c r="U1610"/>
  <c r="U1604"/>
  <c r="U1598"/>
  <c r="U1592"/>
  <c r="U1586"/>
  <c r="U1580"/>
  <c r="U1574"/>
  <c r="U1568"/>
  <c r="U502"/>
  <c r="U167"/>
  <c r="U57"/>
  <c r="U380"/>
  <c r="U159"/>
  <c r="U166"/>
  <c r="U1562"/>
  <c r="U276"/>
  <c r="U463"/>
  <c r="U526"/>
  <c r="U1524"/>
  <c r="U1559"/>
  <c r="U56"/>
  <c r="U170"/>
  <c r="U1548"/>
  <c r="U467"/>
  <c r="U271"/>
  <c r="U1539"/>
  <c r="U1537"/>
  <c r="U1533"/>
  <c r="U1529"/>
  <c r="U1516"/>
  <c r="U1510"/>
  <c r="U1504"/>
  <c r="U1498"/>
  <c r="U1492"/>
  <c r="U1486"/>
  <c r="U1480"/>
  <c r="U1474"/>
  <c r="U1468"/>
  <c r="U1462"/>
  <c r="U1456"/>
  <c r="U1450"/>
  <c r="U1444"/>
  <c r="U1438"/>
  <c r="U1432"/>
  <c r="U1426"/>
  <c r="U1420"/>
  <c r="U1414"/>
  <c r="U1408"/>
  <c r="U1396"/>
  <c r="U1390"/>
  <c r="U1384"/>
  <c r="U1378"/>
  <c r="U1372"/>
  <c r="U1366"/>
  <c r="U1360"/>
  <c r="U1354"/>
  <c r="U1348"/>
  <c r="U1342"/>
  <c r="U1336"/>
  <c r="U1330"/>
  <c r="U1324"/>
  <c r="U1318"/>
  <c r="U1312"/>
  <c r="U1306"/>
  <c r="U1300"/>
  <c r="U1294"/>
  <c r="U1288"/>
  <c r="U1282"/>
  <c r="U1276"/>
  <c r="U607"/>
  <c r="U716"/>
  <c r="U602"/>
  <c r="U709"/>
  <c r="U835"/>
  <c r="U706"/>
  <c r="U834"/>
  <c r="U286"/>
  <c r="U1686"/>
  <c r="U1680"/>
  <c r="U1674"/>
  <c r="U1668"/>
  <c r="U1656"/>
  <c r="U1650"/>
  <c r="U1644"/>
  <c r="U1638"/>
  <c r="U1632"/>
  <c r="U1626"/>
  <c r="U1614"/>
  <c r="U1608"/>
  <c r="U1602"/>
  <c r="U1596"/>
  <c r="U1584"/>
  <c r="U1578"/>
  <c r="U1572"/>
  <c r="U1566"/>
  <c r="U278"/>
  <c r="U168"/>
  <c r="U266"/>
  <c r="U390"/>
  <c r="U158"/>
  <c r="U274"/>
  <c r="U1561"/>
  <c r="U282"/>
  <c r="U1553"/>
  <c r="U163"/>
  <c r="U1546"/>
  <c r="U1522"/>
  <c r="U55"/>
  <c r="U1536"/>
  <c r="U1528"/>
  <c r="U1514"/>
  <c r="U1508"/>
  <c r="U1496"/>
  <c r="U1490"/>
  <c r="U1484"/>
  <c r="U1472"/>
  <c r="U1466"/>
  <c r="U1460"/>
  <c r="U1448"/>
  <c r="U1442"/>
  <c r="U1436"/>
  <c r="U1424"/>
  <c r="U1418"/>
  <c r="U1412"/>
  <c r="U1406"/>
  <c r="U1400"/>
  <c r="U1394"/>
  <c r="U1388"/>
  <c r="U1382"/>
  <c r="U1376"/>
  <c r="U1364"/>
  <c r="U1358"/>
  <c r="U1352"/>
  <c r="U1346"/>
  <c r="U1340"/>
  <c r="U1328"/>
  <c r="U1322"/>
  <c r="U1316"/>
  <c r="U1310"/>
  <c r="U1304"/>
  <c r="U1292"/>
  <c r="U1286"/>
  <c r="U1280"/>
  <c r="U1274"/>
  <c r="U1268"/>
  <c r="U1262"/>
  <c r="U1256"/>
  <c r="U1244"/>
  <c r="U1238"/>
  <c r="U1232"/>
  <c r="U1226"/>
  <c r="U1220"/>
  <c r="U1214"/>
  <c r="U1208"/>
  <c r="U1202"/>
  <c r="U1196"/>
  <c r="U1190"/>
  <c r="U1184"/>
  <c r="U1178"/>
  <c r="U1172"/>
  <c r="U1166"/>
  <c r="U1160"/>
  <c r="U1154"/>
  <c r="U1148"/>
  <c r="U1142"/>
  <c r="U1131"/>
  <c r="U1121"/>
  <c r="U1105"/>
  <c r="U925"/>
  <c r="U937"/>
  <c r="U469"/>
  <c r="U1685"/>
  <c r="U1655"/>
  <c r="U1625"/>
  <c r="U1613"/>
  <c r="U1583"/>
  <c r="U378"/>
  <c r="U156"/>
  <c r="U281"/>
  <c r="U270"/>
  <c r="U1513"/>
  <c r="U1489"/>
  <c r="U1465"/>
  <c r="U1441"/>
  <c r="U1417"/>
  <c r="U1387"/>
  <c r="U1351"/>
  <c r="U1315"/>
  <c r="U1123"/>
  <c r="U1000"/>
  <c r="U701"/>
  <c r="U1012"/>
  <c r="U830"/>
  <c r="U1058"/>
  <c r="U930"/>
  <c r="U819"/>
  <c r="U1055"/>
  <c r="U1006"/>
  <c r="U1004"/>
  <c r="U703"/>
  <c r="U695"/>
  <c r="U1003"/>
  <c r="U684"/>
  <c r="U996"/>
  <c r="U1052"/>
  <c r="U815"/>
  <c r="U918"/>
  <c r="U586"/>
  <c r="U988"/>
  <c r="U584"/>
  <c r="U808"/>
  <c r="U674"/>
  <c r="U582"/>
  <c r="U911"/>
  <c r="U910"/>
  <c r="U580"/>
  <c r="U907"/>
  <c r="U905"/>
  <c r="U578"/>
  <c r="U794"/>
  <c r="U793"/>
  <c r="U896"/>
  <c r="U895"/>
  <c r="U789"/>
  <c r="U979"/>
  <c r="U893"/>
  <c r="U977"/>
  <c r="U571"/>
  <c r="U892"/>
  <c r="U567"/>
  <c r="U891"/>
  <c r="U974"/>
  <c r="U481"/>
  <c r="U480"/>
  <c r="U210"/>
  <c r="U102"/>
  <c r="U32"/>
  <c r="U323"/>
  <c r="U479"/>
  <c r="U942"/>
  <c r="U840"/>
  <c r="U708"/>
  <c r="U598"/>
  <c r="U833"/>
  <c r="U1679"/>
  <c r="U1673"/>
  <c r="U1667"/>
  <c r="U1643"/>
  <c r="U1637"/>
  <c r="U1631"/>
  <c r="U1607"/>
  <c r="U1601"/>
  <c r="U1595"/>
  <c r="U1571"/>
  <c r="U1565"/>
  <c r="U464"/>
  <c r="U60"/>
  <c r="U393"/>
  <c r="U59"/>
  <c r="U388"/>
  <c r="U64"/>
  <c r="U1552"/>
  <c r="U503"/>
  <c r="U1541"/>
  <c r="U1558"/>
  <c r="U1519"/>
  <c r="U1507"/>
  <c r="U1495"/>
  <c r="U1483"/>
  <c r="U1471"/>
  <c r="U1459"/>
  <c r="U1447"/>
  <c r="U1435"/>
  <c r="U1423"/>
  <c r="U1411"/>
  <c r="U1405"/>
  <c r="U1399"/>
  <c r="U1393"/>
  <c r="U1381"/>
  <c r="U1375"/>
  <c r="U1363"/>
  <c r="U1357"/>
  <c r="U1345"/>
  <c r="U1339"/>
  <c r="U1327"/>
  <c r="U1321"/>
  <c r="U1309"/>
  <c r="U1303"/>
  <c r="U1291"/>
  <c r="U1285"/>
  <c r="U1279"/>
  <c r="U1273"/>
  <c r="U1267"/>
  <c r="U1261"/>
  <c r="U1255"/>
  <c r="U1249"/>
  <c r="U1243"/>
  <c r="U1237"/>
  <c r="U1231"/>
  <c r="U1225"/>
  <c r="U1219"/>
  <c r="U1213"/>
  <c r="U1207"/>
  <c r="U1201"/>
  <c r="U1195"/>
  <c r="U1189"/>
  <c r="U1183"/>
  <c r="U1177"/>
  <c r="U1171"/>
  <c r="U1165"/>
  <c r="U1159"/>
  <c r="U1153"/>
  <c r="U1147"/>
  <c r="U1141"/>
  <c r="U1135"/>
  <c r="U423"/>
  <c r="U828"/>
  <c r="U941"/>
  <c r="U604"/>
  <c r="U712"/>
  <c r="U705"/>
  <c r="U542"/>
  <c r="U522"/>
  <c r="U1672"/>
  <c r="U1666"/>
  <c r="U1660"/>
  <c r="U1636"/>
  <c r="U1630"/>
  <c r="U1624"/>
  <c r="U1600"/>
  <c r="U1594"/>
  <c r="U1588"/>
  <c r="U1570"/>
  <c r="U1564"/>
  <c r="U383"/>
  <c r="U1526"/>
  <c r="U52"/>
  <c r="U1527"/>
  <c r="U382"/>
  <c r="U381"/>
  <c r="U280"/>
  <c r="U1525"/>
  <c r="U505"/>
  <c r="U387"/>
  <c r="U1560"/>
  <c r="U1555"/>
  <c r="U1551"/>
  <c r="U1549"/>
  <c r="U1545"/>
  <c r="U1523"/>
  <c r="U1521"/>
  <c r="U1538"/>
  <c r="U1535"/>
  <c r="U1530"/>
  <c r="U1518"/>
  <c r="U1512"/>
  <c r="U1506"/>
  <c r="U1500"/>
  <c r="U1494"/>
  <c r="U1488"/>
  <c r="U1482"/>
  <c r="U1476"/>
  <c r="U1470"/>
  <c r="U1464"/>
  <c r="U1458"/>
  <c r="U1452"/>
  <c r="U1446"/>
  <c r="U1440"/>
  <c r="U1434"/>
  <c r="U1428"/>
  <c r="U1422"/>
  <c r="U1410"/>
  <c r="U1398"/>
  <c r="U1392"/>
  <c r="U1386"/>
  <c r="U1380"/>
  <c r="U1374"/>
  <c r="U1368"/>
  <c r="U1362"/>
  <c r="U1356"/>
  <c r="U1350"/>
  <c r="U1344"/>
  <c r="U1338"/>
  <c r="U1332"/>
  <c r="U1326"/>
  <c r="U1320"/>
  <c r="U1314"/>
  <c r="U1308"/>
  <c r="U1302"/>
  <c r="U1296"/>
  <c r="U1290"/>
  <c r="U1284"/>
  <c r="U1272"/>
  <c r="U1266"/>
  <c r="U1260"/>
  <c r="U1254"/>
  <c r="U1236"/>
  <c r="U1206"/>
  <c r="U1176"/>
  <c r="U1064"/>
  <c r="U207"/>
  <c r="U832"/>
  <c r="U693"/>
  <c r="U715"/>
  <c r="U711"/>
  <c r="U601"/>
  <c r="U541"/>
  <c r="U521"/>
  <c r="U530"/>
  <c r="U1665"/>
  <c r="U1659"/>
  <c r="U1653"/>
  <c r="U1629"/>
  <c r="U1623"/>
  <c r="U1617"/>
  <c r="U1593"/>
  <c r="U1587"/>
  <c r="U1581"/>
  <c r="U277"/>
  <c r="U164"/>
  <c r="U161"/>
  <c r="U267"/>
  <c r="U169"/>
  <c r="U265"/>
  <c r="U51"/>
  <c r="U283"/>
  <c r="U273"/>
  <c r="U1554"/>
  <c r="U468"/>
  <c r="U504"/>
  <c r="U162"/>
  <c r="U1543"/>
  <c r="U1540"/>
  <c r="U54"/>
  <c r="U1534"/>
  <c r="U1557"/>
  <c r="U1517"/>
  <c r="U1511"/>
  <c r="U1505"/>
  <c r="U1499"/>
  <c r="U1493"/>
  <c r="U1487"/>
  <c r="U1481"/>
  <c r="U1475"/>
  <c r="U1469"/>
  <c r="U1463"/>
  <c r="U1457"/>
  <c r="U1451"/>
  <c r="U1445"/>
  <c r="U1439"/>
  <c r="U1433"/>
  <c r="U1427"/>
  <c r="U1421"/>
  <c r="U1415"/>
  <c r="U1409"/>
  <c r="U1403"/>
  <c r="U1397"/>
  <c r="U1391"/>
  <c r="U1385"/>
  <c r="U1379"/>
  <c r="U1373"/>
  <c r="U1367"/>
  <c r="U1361"/>
  <c r="U1355"/>
  <c r="U1349"/>
  <c r="U1343"/>
  <c r="U1265"/>
  <c r="U1235"/>
  <c r="U1205"/>
  <c r="U1108"/>
  <c r="U921"/>
  <c r="U912"/>
  <c r="U666"/>
  <c r="U538"/>
  <c r="U782"/>
  <c r="U101"/>
  <c r="U1128"/>
  <c r="U1110"/>
  <c r="U1125"/>
  <c r="U1062"/>
  <c r="U700"/>
  <c r="U932"/>
  <c r="U690"/>
  <c r="U924"/>
  <c r="U1009"/>
  <c r="U929"/>
  <c r="U1008"/>
  <c r="U697"/>
  <c r="U1067"/>
  <c r="U1002"/>
  <c r="U922"/>
  <c r="U995"/>
  <c r="U683"/>
  <c r="U814"/>
  <c r="U917"/>
  <c r="U1087"/>
  <c r="U1051"/>
  <c r="U809"/>
  <c r="U807"/>
  <c r="U673"/>
  <c r="U672"/>
  <c r="U984"/>
  <c r="U909"/>
  <c r="U1047"/>
  <c r="U906"/>
  <c r="U796"/>
  <c r="U904"/>
  <c r="U902"/>
  <c r="U901"/>
  <c r="U792"/>
  <c r="U574"/>
  <c r="U540"/>
  <c r="U978"/>
  <c r="U1044"/>
  <c r="U659"/>
  <c r="U1041"/>
  <c r="U569"/>
  <c r="U566"/>
  <c r="U780"/>
  <c r="U1084"/>
  <c r="U214"/>
  <c r="U426"/>
  <c r="U209"/>
  <c r="U206"/>
  <c r="U204"/>
  <c r="U1242"/>
  <c r="U1230"/>
  <c r="U1224"/>
  <c r="U1218"/>
  <c r="U1212"/>
  <c r="U1200"/>
  <c r="U1194"/>
  <c r="U1188"/>
  <c r="U1182"/>
  <c r="U1170"/>
  <c r="U1158"/>
  <c r="U1152"/>
  <c r="U1146"/>
  <c r="U1140"/>
  <c r="U1127"/>
  <c r="U1109"/>
  <c r="U1120"/>
  <c r="U593"/>
  <c r="U824"/>
  <c r="U1066"/>
  <c r="U822"/>
  <c r="U820"/>
  <c r="U826"/>
  <c r="U594"/>
  <c r="U818"/>
  <c r="U816"/>
  <c r="U994"/>
  <c r="U682"/>
  <c r="U991"/>
  <c r="U916"/>
  <c r="U915"/>
  <c r="U811"/>
  <c r="U987"/>
  <c r="U583"/>
  <c r="U806"/>
  <c r="U804"/>
  <c r="U1050"/>
  <c r="U801"/>
  <c r="U799"/>
  <c r="U797"/>
  <c r="U667"/>
  <c r="U664"/>
  <c r="U1085"/>
  <c r="U900"/>
  <c r="U791"/>
  <c r="U980"/>
  <c r="U539"/>
  <c r="U662"/>
  <c r="U1043"/>
  <c r="U1042"/>
  <c r="U1040"/>
  <c r="U568"/>
  <c r="U655"/>
  <c r="U890"/>
  <c r="U653"/>
  <c r="U213"/>
  <c r="U34"/>
  <c r="U425"/>
  <c r="U422"/>
  <c r="U203"/>
  <c r="U509"/>
  <c r="U420"/>
  <c r="U476"/>
  <c r="U198"/>
  <c r="U31"/>
  <c r="U415"/>
  <c r="U321"/>
  <c r="U93"/>
  <c r="U74"/>
  <c r="U172"/>
  <c r="U292"/>
  <c r="U85"/>
  <c r="U298"/>
  <c r="U408"/>
  <c r="U295"/>
  <c r="U407"/>
  <c r="U314"/>
  <c r="U179"/>
  <c r="U181"/>
  <c r="U78"/>
  <c r="U301"/>
  <c r="U88"/>
  <c r="U293"/>
  <c r="U27"/>
  <c r="U71"/>
  <c r="U1337"/>
  <c r="U1331"/>
  <c r="U1325"/>
  <c r="U1319"/>
  <c r="U1313"/>
  <c r="U1307"/>
  <c r="U1301"/>
  <c r="U1295"/>
  <c r="U1289"/>
  <c r="U1283"/>
  <c r="U1271"/>
  <c r="U1259"/>
  <c r="U1253"/>
  <c r="U1247"/>
  <c r="U1241"/>
  <c r="U1229"/>
  <c r="U1223"/>
  <c r="U1217"/>
  <c r="U1211"/>
  <c r="U1199"/>
  <c r="U1187"/>
  <c r="U1181"/>
  <c r="U1175"/>
  <c r="U1169"/>
  <c r="U1157"/>
  <c r="U1151"/>
  <c r="U1145"/>
  <c r="U1139"/>
  <c r="U1130"/>
  <c r="U1119"/>
  <c r="U1001"/>
  <c r="U823"/>
  <c r="U1013"/>
  <c r="U689"/>
  <c r="U829"/>
  <c r="U596"/>
  <c r="U1056"/>
  <c r="U928"/>
  <c r="U687"/>
  <c r="U686"/>
  <c r="U702"/>
  <c r="U998"/>
  <c r="U817"/>
  <c r="U1053"/>
  <c r="U587"/>
  <c r="U990"/>
  <c r="U989"/>
  <c r="U986"/>
  <c r="U676"/>
  <c r="U803"/>
  <c r="U1049"/>
  <c r="U579"/>
  <c r="U1046"/>
  <c r="U903"/>
  <c r="U576"/>
  <c r="U1045"/>
  <c r="U790"/>
  <c r="U788"/>
  <c r="U661"/>
  <c r="U657"/>
  <c r="U784"/>
  <c r="U889"/>
  <c r="U109"/>
  <c r="U212"/>
  <c r="U424"/>
  <c r="U511"/>
  <c r="U322"/>
  <c r="U533"/>
  <c r="U501"/>
  <c r="U558"/>
  <c r="U462"/>
  <c r="U47"/>
  <c r="U260"/>
  <c r="U155"/>
  <c r="U564"/>
  <c r="U879"/>
  <c r="U149"/>
  <c r="U561"/>
  <c r="U881"/>
  <c r="U49"/>
  <c r="U563"/>
  <c r="U648"/>
  <c r="U371"/>
  <c r="U460"/>
  <c r="U650"/>
  <c r="U887"/>
  <c r="U1037"/>
  <c r="U151"/>
  <c r="U375"/>
  <c r="U778"/>
  <c r="U882"/>
  <c r="U372"/>
  <c r="U885"/>
  <c r="U373"/>
  <c r="U565"/>
  <c r="U771"/>
  <c r="U560"/>
  <c r="U535"/>
  <c r="U534"/>
  <c r="U1083"/>
  <c r="U969"/>
  <c r="U772"/>
  <c r="U153"/>
  <c r="U262"/>
  <c r="U264"/>
  <c r="U1082"/>
  <c r="U973"/>
  <c r="U461"/>
  <c r="U770"/>
  <c r="U261"/>
  <c r="U775"/>
  <c r="U883"/>
  <c r="U880"/>
  <c r="U48"/>
  <c r="U972"/>
  <c r="U1036"/>
  <c r="U500"/>
  <c r="U779"/>
  <c r="U458"/>
  <c r="U459"/>
  <c r="U884"/>
  <c r="U263"/>
  <c r="U777"/>
  <c r="U374"/>
  <c r="U376"/>
  <c r="U257"/>
  <c r="U776"/>
  <c r="U970"/>
  <c r="U647"/>
  <c r="U651"/>
  <c r="U652"/>
  <c r="U154"/>
  <c r="U559"/>
  <c r="U649"/>
  <c r="U258"/>
  <c r="U152"/>
  <c r="U971"/>
  <c r="U562"/>
  <c r="U773"/>
  <c r="U150"/>
  <c r="U370"/>
  <c r="U774"/>
  <c r="U1038"/>
  <c r="U888"/>
  <c r="U886"/>
  <c r="U259"/>
  <c r="U240"/>
  <c r="U454"/>
  <c r="U441"/>
  <c r="U355"/>
  <c r="U241"/>
  <c r="U450"/>
  <c r="U130"/>
  <c r="U41"/>
  <c r="U126"/>
  <c r="U345"/>
  <c r="U365"/>
  <c r="U125"/>
  <c r="U336"/>
  <c r="U246"/>
  <c r="U498"/>
  <c r="U45"/>
  <c r="U446"/>
  <c r="U525"/>
  <c r="U346"/>
  <c r="U147"/>
  <c r="U6"/>
  <c r="U135"/>
  <c r="U143"/>
  <c r="U146"/>
  <c r="U139"/>
  <c r="U347"/>
  <c r="U343"/>
  <c r="U448"/>
  <c r="U368"/>
  <c r="U437"/>
  <c r="U250"/>
  <c r="U256"/>
  <c r="U447"/>
  <c r="U129"/>
  <c r="U489"/>
  <c r="U13"/>
  <c r="U141"/>
  <c r="U490"/>
  <c r="U42"/>
  <c r="U46"/>
  <c r="U19"/>
  <c r="U366"/>
  <c r="U493"/>
  <c r="U137"/>
  <c r="U342"/>
  <c r="U359"/>
  <c r="U341"/>
  <c r="U453"/>
  <c r="U20"/>
  <c r="U348"/>
  <c r="U497"/>
  <c r="U254"/>
  <c r="U455"/>
  <c r="U369"/>
  <c r="U136"/>
  <c r="U133"/>
  <c r="U360"/>
  <c r="U440"/>
  <c r="U16"/>
  <c r="U351"/>
  <c r="U253"/>
  <c r="U144"/>
  <c r="U517"/>
  <c r="U14"/>
  <c r="U438"/>
  <c r="U40"/>
  <c r="U140"/>
  <c r="U349"/>
  <c r="U494"/>
  <c r="U15"/>
  <c r="U515"/>
  <c r="U362"/>
  <c r="U519"/>
  <c r="U248"/>
  <c r="U251"/>
  <c r="U245"/>
  <c r="U451"/>
  <c r="U145"/>
  <c r="U358"/>
  <c r="U363"/>
  <c r="U132"/>
  <c r="U128"/>
  <c r="U340"/>
  <c r="U21"/>
  <c r="U491"/>
  <c r="U495"/>
  <c r="U244"/>
  <c r="U496"/>
  <c r="U456"/>
  <c r="U524"/>
  <c r="U367"/>
  <c r="U338"/>
  <c r="U361"/>
  <c r="U43"/>
  <c r="U356"/>
  <c r="U142"/>
  <c r="U449"/>
  <c r="U492"/>
  <c r="U243"/>
  <c r="U124"/>
  <c r="U131"/>
  <c r="U344"/>
  <c r="U247"/>
  <c r="U457"/>
  <c r="U364"/>
  <c r="U352"/>
  <c r="U452"/>
  <c r="U148"/>
  <c r="U354"/>
  <c r="U516"/>
  <c r="U252"/>
  <c r="U445"/>
  <c r="U239"/>
  <c r="U5"/>
  <c r="U249"/>
  <c r="U134"/>
  <c r="U357"/>
  <c r="U442"/>
  <c r="U439"/>
  <c r="U444"/>
  <c r="U443"/>
  <c r="U127"/>
  <c r="U39"/>
  <c r="U353"/>
  <c r="U255"/>
  <c r="U138"/>
  <c r="U337"/>
  <c r="U238"/>
  <c r="U44"/>
  <c r="U339"/>
  <c r="U488"/>
  <c r="U350"/>
  <c r="U499"/>
  <c r="U518"/>
  <c r="U119"/>
  <c r="U330"/>
  <c r="U37"/>
  <c r="U230"/>
  <c r="U434"/>
  <c r="U513"/>
  <c r="U325"/>
  <c r="U484"/>
  <c r="U122"/>
  <c r="U217"/>
  <c r="U231"/>
  <c r="U219"/>
  <c r="U114"/>
  <c r="U216"/>
  <c r="U218"/>
  <c r="U333"/>
  <c r="U113"/>
  <c r="U12"/>
  <c r="U233"/>
  <c r="U485"/>
  <c r="U327"/>
  <c r="U329"/>
  <c r="U215"/>
  <c r="U514"/>
  <c r="U223"/>
  <c r="U4"/>
  <c r="U111"/>
  <c r="U116"/>
  <c r="U38"/>
  <c r="U121"/>
  <c r="U334"/>
  <c r="U117"/>
  <c r="U326"/>
  <c r="U120"/>
  <c r="U487"/>
  <c r="U430"/>
  <c r="U222"/>
  <c r="U512"/>
  <c r="U428"/>
  <c r="U236"/>
  <c r="U11"/>
  <c r="U483"/>
  <c r="U225"/>
  <c r="U221"/>
  <c r="U482"/>
  <c r="U237"/>
  <c r="U224"/>
  <c r="U110"/>
  <c r="U115"/>
  <c r="U432"/>
  <c r="U328"/>
  <c r="U228"/>
  <c r="U229"/>
  <c r="U433"/>
  <c r="U332"/>
  <c r="U118"/>
  <c r="U232"/>
  <c r="U435"/>
  <c r="U234"/>
  <c r="U431"/>
  <c r="U220"/>
  <c r="U36"/>
  <c r="U226"/>
  <c r="U335"/>
  <c r="U436"/>
  <c r="U112"/>
  <c r="U486"/>
  <c r="U331"/>
  <c r="U197"/>
  <c r="U317"/>
  <c r="U315"/>
  <c r="U195"/>
  <c r="U91"/>
  <c r="U319"/>
  <c r="U95"/>
  <c r="U90"/>
  <c r="U177"/>
  <c r="U184"/>
  <c r="U472"/>
  <c r="U309"/>
  <c r="U76"/>
  <c r="U305"/>
  <c r="U299"/>
  <c r="U313"/>
  <c r="U311"/>
  <c r="U289"/>
  <c r="U174"/>
  <c r="U523"/>
  <c r="U403"/>
  <c r="U400"/>
  <c r="U297"/>
  <c r="U176"/>
  <c r="U75"/>
  <c r="U421"/>
  <c r="U30"/>
  <c r="U475"/>
  <c r="U528"/>
  <c r="U411"/>
  <c r="U419"/>
  <c r="U510"/>
  <c r="U83"/>
  <c r="U396"/>
  <c r="U70"/>
  <c r="U474"/>
  <c r="U28"/>
  <c r="U306"/>
  <c r="U77"/>
  <c r="U307"/>
  <c r="U79"/>
  <c r="U302"/>
  <c r="U26"/>
  <c r="U68"/>
  <c r="U404"/>
  <c r="U22"/>
  <c r="U29"/>
  <c r="U73"/>
  <c r="U409"/>
  <c r="U399"/>
  <c r="U92"/>
  <c r="U318"/>
  <c r="U320"/>
  <c r="U477"/>
  <c r="U194"/>
  <c r="U416"/>
  <c r="U199"/>
  <c r="U65"/>
  <c r="U69"/>
  <c r="U190"/>
  <c r="U288"/>
  <c r="U187"/>
  <c r="U173"/>
  <c r="U66"/>
  <c r="U3"/>
  <c r="U189"/>
  <c r="U312"/>
  <c r="U296"/>
  <c r="U84"/>
  <c r="U395"/>
  <c r="U191"/>
  <c r="U473"/>
  <c r="U401"/>
  <c r="U23"/>
  <c r="U81"/>
  <c r="U196"/>
  <c r="U89"/>
  <c r="U414"/>
  <c r="U412"/>
  <c r="U96"/>
  <c r="U417"/>
  <c r="U413"/>
  <c r="U188"/>
  <c r="U192"/>
  <c r="U182"/>
  <c r="U304"/>
  <c r="U398"/>
  <c r="U25"/>
  <c r="U2"/>
  <c r="U405"/>
  <c r="U193"/>
  <c r="U185"/>
  <c r="U397"/>
  <c r="U402"/>
  <c r="U67"/>
  <c r="U470"/>
  <c r="U80"/>
  <c r="U471"/>
  <c r="U290"/>
  <c r="U175"/>
  <c r="U201"/>
  <c r="U200"/>
  <c r="U94"/>
  <c r="U410"/>
  <c r="U478"/>
  <c r="U418"/>
  <c r="U316"/>
  <c r="U24"/>
  <c r="U300"/>
  <c r="U72"/>
  <c r="U310"/>
  <c r="U82"/>
  <c r="U186"/>
  <c r="U406"/>
  <c r="U529"/>
  <c r="U294"/>
  <c r="U183"/>
  <c r="U87"/>
  <c r="U308"/>
  <c r="U180"/>
  <c r="U303"/>
  <c r="U178"/>
  <c r="U86"/>
  <c r="U291"/>
  <c r="U758"/>
  <c r="U755"/>
  <c r="U752"/>
  <c r="U556"/>
  <c r="U550"/>
  <c r="U10"/>
  <c r="U643"/>
  <c r="U964"/>
  <c r="U551"/>
  <c r="U759"/>
  <c r="U1034"/>
  <c r="U869"/>
  <c r="U532"/>
  <c r="U1035"/>
  <c r="U636"/>
  <c r="U875"/>
  <c r="U1033"/>
  <c r="U552"/>
  <c r="U9"/>
  <c r="U873"/>
  <c r="U968"/>
  <c r="U769"/>
  <c r="U874"/>
  <c r="U876"/>
  <c r="U760"/>
  <c r="U548"/>
  <c r="U753"/>
  <c r="U763"/>
  <c r="U961"/>
  <c r="U1"/>
  <c r="U639"/>
  <c r="U962"/>
  <c r="U767"/>
  <c r="U870"/>
  <c r="U18"/>
  <c r="U638"/>
  <c r="U966"/>
  <c r="U1092"/>
  <c r="U872"/>
  <c r="U967"/>
  <c r="U640"/>
  <c r="U754"/>
  <c r="U756"/>
  <c r="U1091"/>
  <c r="U645"/>
  <c r="U642"/>
  <c r="U644"/>
  <c r="U762"/>
  <c r="U555"/>
  <c r="U766"/>
  <c r="U764"/>
  <c r="U878"/>
  <c r="U761"/>
  <c r="U768"/>
  <c r="U549"/>
  <c r="U7"/>
  <c r="U963"/>
  <c r="U557"/>
  <c r="U637"/>
  <c r="U877"/>
  <c r="U861"/>
  <c r="U1032"/>
  <c r="U635"/>
  <c r="U531"/>
  <c r="U746"/>
  <c r="U747"/>
  <c r="U546"/>
  <c r="U865"/>
  <c r="U957"/>
  <c r="U867"/>
  <c r="U544"/>
  <c r="U866"/>
  <c r="U748"/>
  <c r="U960"/>
  <c r="U958"/>
  <c r="U750"/>
  <c r="U959"/>
  <c r="U749"/>
  <c r="U863"/>
  <c r="U751"/>
  <c r="U864"/>
  <c r="U862"/>
  <c r="U860"/>
  <c r="U545"/>
  <c r="U547"/>
  <c r="AN8"/>
  <c r="AN16"/>
  <c r="AN22"/>
  <c r="AN21"/>
  <c r="AN15"/>
  <c r="AN14"/>
  <c r="AN20"/>
  <c r="AL20"/>
  <c r="AQ20" s="1"/>
  <c r="AL14"/>
  <c r="AQ14" s="1"/>
  <c r="AL11"/>
  <c r="AQ11" s="1"/>
  <c r="AN7"/>
  <c r="AN13"/>
  <c r="AN19"/>
  <c r="AN11"/>
  <c r="AN17"/>
  <c r="AN5"/>
  <c r="AN6"/>
  <c r="AN12"/>
  <c r="AN18"/>
  <c r="AC10"/>
  <c r="Z10" s="1"/>
  <c r="AN3"/>
  <c r="AN9"/>
  <c r="AC16"/>
  <c r="Z16" s="1"/>
  <c r="AL22"/>
  <c r="AQ22" s="1"/>
  <c r="AC17"/>
  <c r="Z17" s="1"/>
  <c r="AI25"/>
  <c r="AM25"/>
  <c r="AN10"/>
  <c r="AN4"/>
  <c r="AC19"/>
  <c r="Z19" s="1"/>
  <c r="AJ8"/>
  <c r="AO8" s="1"/>
  <c r="AL16"/>
  <c r="AQ16" s="1"/>
  <c r="AL10"/>
  <c r="AQ10" s="1"/>
  <c r="AJ5"/>
  <c r="AO5" s="1"/>
  <c r="AL13"/>
  <c r="AQ13" s="1"/>
  <c r="AL6"/>
  <c r="AQ6" s="1"/>
  <c r="AJ9"/>
  <c r="AO9" s="1"/>
  <c r="AJ15"/>
  <c r="AO15" s="1"/>
  <c r="AC15"/>
  <c r="Z15" s="1"/>
  <c r="AJ10"/>
  <c r="AO10" s="1"/>
  <c r="AL18"/>
  <c r="AQ18" s="1"/>
  <c r="AL12"/>
  <c r="AQ12" s="1"/>
  <c r="AC14"/>
  <c r="Z14" s="1"/>
  <c r="AL7"/>
  <c r="AQ7" s="1"/>
  <c r="AJ4"/>
  <c r="AO4" s="1"/>
  <c r="AC18"/>
  <c r="Z18" s="1"/>
  <c r="AC21"/>
  <c r="Z21" s="1"/>
  <c r="AC20"/>
  <c r="Z20" s="1"/>
  <c r="AC7"/>
  <c r="Z7" s="1"/>
  <c r="AC13"/>
  <c r="Z13" s="1"/>
  <c r="AC11"/>
  <c r="Z11" s="1"/>
  <c r="AJ19"/>
  <c r="AO19" s="1"/>
  <c r="AC4"/>
  <c r="Z4" s="1"/>
  <c r="AL4"/>
  <c r="AQ4" s="1"/>
  <c r="AL17"/>
  <c r="AQ17" s="1"/>
  <c r="AJ7"/>
  <c r="AO7" s="1"/>
  <c r="AL9"/>
  <c r="AQ9" s="1"/>
  <c r="AL8"/>
  <c r="AQ8" s="1"/>
  <c r="AL5"/>
  <c r="AQ5" s="1"/>
  <c r="AJ21"/>
  <c r="AO21" s="1"/>
  <c r="AJ11"/>
  <c r="AO11" s="1"/>
  <c r="AJ20"/>
  <c r="AO20" s="1"/>
  <c r="AJ17"/>
  <c r="AO17" s="1"/>
  <c r="AL19"/>
  <c r="AQ19" s="1"/>
  <c r="AL21"/>
  <c r="AQ21" s="1"/>
  <c r="AL15"/>
  <c r="AQ15" s="1"/>
  <c r="AJ6"/>
  <c r="AO6" s="1"/>
  <c r="AJ22"/>
  <c r="AO22" s="1"/>
  <c r="AJ12"/>
  <c r="AO12" s="1"/>
  <c r="AC9"/>
  <c r="Z9" s="1"/>
  <c r="AC6"/>
  <c r="Z6" s="1"/>
  <c r="AC8"/>
  <c r="Z8" s="1"/>
  <c r="AC22"/>
  <c r="Z22" s="1"/>
  <c r="AC5"/>
  <c r="Z5" s="1"/>
  <c r="AC12"/>
  <c r="Z12" s="1"/>
  <c r="AJ16"/>
  <c r="AO16" s="1"/>
  <c r="AJ13"/>
  <c r="AO13" s="1"/>
  <c r="AJ14"/>
  <c r="AO14" s="1"/>
  <c r="AJ18"/>
  <c r="AO18" s="1"/>
  <c r="AJ3"/>
  <c r="AL3"/>
  <c r="AC3"/>
  <c r="Z3" s="1"/>
  <c r="AC8" i="5"/>
  <c r="AG8"/>
  <c r="AG33"/>
  <c r="AC32"/>
  <c r="AG16"/>
  <c r="AK30"/>
  <c r="Z4"/>
  <c r="AA2" s="1"/>
  <c r="AC20"/>
  <c r="AG25"/>
  <c r="AC4"/>
  <c r="AK8"/>
  <c r="AC12"/>
  <c r="AG4"/>
  <c r="AG12"/>
  <c r="AC28"/>
  <c r="AC24"/>
  <c r="AD24" s="1"/>
  <c r="AK28"/>
  <c r="AK31"/>
  <c r="AK24"/>
  <c r="AK14"/>
  <c r="AK52" s="1"/>
  <c r="AK20"/>
  <c r="AK4"/>
  <c r="AK12"/>
  <c r="AK15"/>
  <c r="AK53" s="1"/>
  <c r="AC16"/>
  <c r="AC36"/>
  <c r="AG27"/>
  <c r="AK42" s="1"/>
  <c r="AG28"/>
  <c r="AK43" s="1"/>
  <c r="X2" i="7"/>
  <c r="Y839" i="5" l="1"/>
  <c r="Y840" s="1"/>
  <c r="Y841" s="1"/>
  <c r="Y842" s="1"/>
  <c r="Y843" s="1"/>
  <c r="Y844" s="1"/>
  <c r="Y845" s="1"/>
  <c r="Y846" s="1"/>
  <c r="Y847" s="1"/>
  <c r="Y848" s="1"/>
  <c r="Y849" s="1"/>
  <c r="Y850" s="1"/>
  <c r="Y851" s="1"/>
  <c r="Y852" s="1"/>
  <c r="Y853" s="1"/>
  <c r="Y854" s="1"/>
  <c r="Y855" s="1"/>
  <c r="Y856" s="1"/>
  <c r="Y857" s="1"/>
  <c r="Y858" s="1"/>
  <c r="Y859" s="1"/>
  <c r="Y860" s="1"/>
  <c r="Y861" s="1"/>
  <c r="Y862" s="1"/>
  <c r="Y863" s="1"/>
  <c r="Y864" s="1"/>
  <c r="Y865" s="1"/>
  <c r="Y866" s="1"/>
  <c r="Y867" s="1"/>
  <c r="Y868" s="1"/>
  <c r="Y869" s="1"/>
  <c r="Y870" s="1"/>
  <c r="Y871" s="1"/>
  <c r="Y872" s="1"/>
  <c r="Y873" s="1"/>
  <c r="Y874" s="1"/>
  <c r="Y875" s="1"/>
  <c r="Y876" s="1"/>
  <c r="Y877" s="1"/>
  <c r="Y878" s="1"/>
  <c r="Y879" s="1"/>
  <c r="Y880" s="1"/>
  <c r="Y881" s="1"/>
  <c r="Y882" s="1"/>
  <c r="Y883" s="1"/>
  <c r="Y884" s="1"/>
  <c r="Y885" s="1"/>
  <c r="Y886" s="1"/>
  <c r="Y887" s="1"/>
  <c r="Y888" s="1"/>
  <c r="Y889" s="1"/>
  <c r="Y890" s="1"/>
  <c r="Y891" s="1"/>
  <c r="Y892" s="1"/>
  <c r="Y893" s="1"/>
  <c r="Y894" s="1"/>
  <c r="Y895" s="1"/>
  <c r="Y896" s="1"/>
  <c r="Y897" s="1"/>
  <c r="Y898" s="1"/>
  <c r="Y899" s="1"/>
  <c r="Y900" s="1"/>
  <c r="Y901" s="1"/>
  <c r="Y902" s="1"/>
  <c r="Y903" s="1"/>
  <c r="Y904" s="1"/>
  <c r="Y905" s="1"/>
  <c r="Y906" s="1"/>
  <c r="Y907" s="1"/>
  <c r="Y908" s="1"/>
  <c r="Y909" s="1"/>
  <c r="Y910" s="1"/>
  <c r="Y911" s="1"/>
  <c r="Y912" s="1"/>
  <c r="Y913" s="1"/>
  <c r="Y914" s="1"/>
  <c r="Y915" s="1"/>
  <c r="Y916" s="1"/>
  <c r="Y917" s="1"/>
  <c r="Y918" s="1"/>
  <c r="Y919" s="1"/>
  <c r="Y920" s="1"/>
  <c r="Y921" s="1"/>
  <c r="Y922" s="1"/>
  <c r="Y923" s="1"/>
  <c r="Y924" s="1"/>
  <c r="Y925" s="1"/>
  <c r="Y926" s="1"/>
  <c r="Y927" s="1"/>
  <c r="Y928" s="1"/>
  <c r="Y929" s="1"/>
  <c r="Y930" s="1"/>
  <c r="Y931" s="1"/>
  <c r="Y932" s="1"/>
  <c r="Y933" s="1"/>
  <c r="Y934" s="1"/>
  <c r="Y935" s="1"/>
  <c r="Y936" s="1"/>
  <c r="Y937" s="1"/>
  <c r="Y938" s="1"/>
  <c r="Y939" s="1"/>
  <c r="Y940" s="1"/>
  <c r="Y941" s="1"/>
  <c r="Y942" s="1"/>
  <c r="Y943" s="1"/>
  <c r="Y944" s="1"/>
  <c r="Y945" s="1"/>
  <c r="Y946" s="1"/>
  <c r="Y947" s="1"/>
  <c r="Y948" s="1"/>
  <c r="Y949" s="1"/>
  <c r="Y950" s="1"/>
  <c r="Y951" s="1"/>
  <c r="Y952" s="1"/>
  <c r="Y953" s="1"/>
  <c r="Y954" s="1"/>
  <c r="Y955" s="1"/>
  <c r="Y956" s="1"/>
  <c r="Y957" s="1"/>
  <c r="Y958" s="1"/>
  <c r="Y959" s="1"/>
  <c r="Y960" s="1"/>
  <c r="Y961" s="1"/>
  <c r="Y962" s="1"/>
  <c r="Y963" s="1"/>
  <c r="Y964" s="1"/>
  <c r="Y965" s="1"/>
  <c r="Y966" s="1"/>
  <c r="Y967" s="1"/>
  <c r="Y968" s="1"/>
  <c r="Y969" s="1"/>
  <c r="Y970" s="1"/>
  <c r="Y971" s="1"/>
  <c r="Y972" s="1"/>
  <c r="Y973" s="1"/>
  <c r="Y974" s="1"/>
  <c r="Y975" s="1"/>
  <c r="Y976" s="1"/>
  <c r="Y977" s="1"/>
  <c r="Y978" s="1"/>
  <c r="Y979" s="1"/>
  <c r="Y980" s="1"/>
  <c r="Y981" s="1"/>
  <c r="Y982" s="1"/>
  <c r="Y983" s="1"/>
  <c r="Y984" s="1"/>
  <c r="Y985" s="1"/>
  <c r="Y986" s="1"/>
  <c r="Y987" s="1"/>
  <c r="Y988" s="1"/>
  <c r="Y989" s="1"/>
  <c r="Y990" s="1"/>
  <c r="Y991" s="1"/>
  <c r="Y992" s="1"/>
  <c r="Y993" s="1"/>
  <c r="Y994" s="1"/>
  <c r="Y995" s="1"/>
  <c r="Y996" s="1"/>
  <c r="Y997" s="1"/>
  <c r="Y998" s="1"/>
  <c r="Y999" s="1"/>
  <c r="Y1000" s="1"/>
  <c r="Y1001" s="1"/>
  <c r="Y1002" s="1"/>
  <c r="Y1003" s="1"/>
  <c r="Y1004" s="1"/>
  <c r="Y1005" s="1"/>
  <c r="Y1006" s="1"/>
  <c r="Y1007" s="1"/>
  <c r="Y1008" s="1"/>
  <c r="Y1009" s="1"/>
  <c r="Y1010" s="1"/>
  <c r="Y1011" s="1"/>
  <c r="Y1012" s="1"/>
  <c r="Y1013" s="1"/>
  <c r="Y1014" s="1"/>
  <c r="Y1015" s="1"/>
  <c r="Y1016" s="1"/>
  <c r="Y1017" s="1"/>
  <c r="Y1018" s="1"/>
  <c r="Y1019" s="1"/>
  <c r="Y1020" s="1"/>
  <c r="Y1021" s="1"/>
  <c r="Y1022" s="1"/>
  <c r="Y1023" s="1"/>
  <c r="Y1024" s="1"/>
  <c r="Y1025" s="1"/>
  <c r="Y1026" s="1"/>
  <c r="Y1027" s="1"/>
  <c r="Y1028" s="1"/>
  <c r="Y1029" s="1"/>
  <c r="Y1030" s="1"/>
  <c r="Y1031" s="1"/>
  <c r="Y1032" s="1"/>
  <c r="Y1033" s="1"/>
  <c r="Y1034" s="1"/>
  <c r="Y1035" s="1"/>
  <c r="Y1036" s="1"/>
  <c r="Y1037" s="1"/>
  <c r="Y1038" s="1"/>
  <c r="Y1039" s="1"/>
  <c r="Y1040" s="1"/>
  <c r="Y1041" s="1"/>
  <c r="Y1042" s="1"/>
  <c r="Y1043" s="1"/>
  <c r="Y1044" s="1"/>
  <c r="Y1045" s="1"/>
  <c r="Y1046" s="1"/>
  <c r="Y1047" s="1"/>
  <c r="Y1048" s="1"/>
  <c r="Y1049" s="1"/>
  <c r="Y1050" s="1"/>
  <c r="Y1051" s="1"/>
  <c r="Y1052" s="1"/>
  <c r="Y1053" s="1"/>
  <c r="Y1054" s="1"/>
  <c r="Y1055" s="1"/>
  <c r="Y1056" s="1"/>
  <c r="Y1057" s="1"/>
  <c r="Y1058" s="1"/>
  <c r="Y1059" s="1"/>
  <c r="Y1060" s="1"/>
  <c r="Y1061" s="1"/>
  <c r="Y1062" s="1"/>
  <c r="Y1063" s="1"/>
  <c r="Y1064" s="1"/>
  <c r="Y1065" s="1"/>
  <c r="Y1066" s="1"/>
  <c r="Y1067" s="1"/>
  <c r="Y1068" s="1"/>
  <c r="Y1069" s="1"/>
  <c r="Y1070" s="1"/>
  <c r="Y1071" s="1"/>
  <c r="Y1072" s="1"/>
  <c r="Y1073" s="1"/>
  <c r="Y1074" s="1"/>
  <c r="Y1075" s="1"/>
  <c r="Y1076" s="1"/>
  <c r="Y1077" s="1"/>
  <c r="Y1078" s="1"/>
  <c r="Y1079" s="1"/>
  <c r="Y1080" s="1"/>
  <c r="Y1081" s="1"/>
  <c r="Y1082" s="1"/>
  <c r="Y1083" s="1"/>
  <c r="Y1084" s="1"/>
  <c r="Y1085" s="1"/>
  <c r="Y1086" s="1"/>
  <c r="Y1087" s="1"/>
  <c r="Y1088" s="1"/>
  <c r="Y1089" s="1"/>
  <c r="Y1090" s="1"/>
  <c r="Y1091" s="1"/>
  <c r="Y1092" s="1"/>
  <c r="Y1093" s="1"/>
  <c r="Y1094" s="1"/>
  <c r="Y1095" s="1"/>
  <c r="Y1096" s="1"/>
  <c r="Y1097" s="1"/>
  <c r="Y1098" s="1"/>
  <c r="Y1099" s="1"/>
  <c r="Y1100" s="1"/>
  <c r="Y1101" s="1"/>
  <c r="Y1102" s="1"/>
  <c r="Y1103" s="1"/>
  <c r="Y1104" s="1"/>
  <c r="Y1105" s="1"/>
  <c r="Y1106" s="1"/>
  <c r="Y1107" s="1"/>
  <c r="Y1108" s="1"/>
  <c r="Y1109" s="1"/>
  <c r="Y1110" s="1"/>
  <c r="Y1111" s="1"/>
  <c r="Y1112" s="1"/>
  <c r="Y1113" s="1"/>
  <c r="Y1114" s="1"/>
  <c r="Y1115" s="1"/>
  <c r="Y1116" s="1"/>
  <c r="Y1117" s="1"/>
  <c r="Y1118" s="1"/>
  <c r="Y1119" s="1"/>
  <c r="Y1120" s="1"/>
  <c r="Y1121" s="1"/>
  <c r="Y1122" s="1"/>
  <c r="Y1123" s="1"/>
  <c r="Y1124" s="1"/>
  <c r="Y1125" s="1"/>
  <c r="Y1126" s="1"/>
  <c r="Y1127" s="1"/>
  <c r="Y1128" s="1"/>
  <c r="Y1129" s="1"/>
  <c r="Y1130" s="1"/>
  <c r="Y1131" s="1"/>
  <c r="Y1132" s="1"/>
  <c r="Y1133" s="1"/>
  <c r="Y1134" s="1"/>
  <c r="Y1135" s="1"/>
  <c r="Y1136" s="1"/>
  <c r="Y1137" s="1"/>
  <c r="Y1138" s="1"/>
  <c r="Y1139" s="1"/>
  <c r="Y1140" s="1"/>
  <c r="Y1141" s="1"/>
  <c r="Y1142" s="1"/>
  <c r="Y1143" s="1"/>
  <c r="Y1144" s="1"/>
  <c r="Y1145" s="1"/>
  <c r="Y1146" s="1"/>
  <c r="Y1147" s="1"/>
  <c r="Y1148" s="1"/>
  <c r="Y1149" s="1"/>
  <c r="Y1150" s="1"/>
  <c r="Y1151" s="1"/>
  <c r="Y1152" s="1"/>
  <c r="Y1153" s="1"/>
  <c r="Y1154" s="1"/>
  <c r="Y1155" s="1"/>
  <c r="Y1156" s="1"/>
  <c r="Y1157" s="1"/>
  <c r="Y1158" s="1"/>
  <c r="Y1159" s="1"/>
  <c r="Y1160" s="1"/>
  <c r="Y1161" s="1"/>
  <c r="Y1162" s="1"/>
  <c r="Y1163" s="1"/>
  <c r="Y1164" s="1"/>
  <c r="Y1165" s="1"/>
  <c r="Y1166" s="1"/>
  <c r="Y1167" s="1"/>
  <c r="Y1168" s="1"/>
  <c r="Y1169" s="1"/>
  <c r="Y1170" s="1"/>
  <c r="Y1171" s="1"/>
  <c r="Y1172" s="1"/>
  <c r="Y1173" s="1"/>
  <c r="Y1174" s="1"/>
  <c r="Y1175" s="1"/>
  <c r="Y1176" s="1"/>
  <c r="Y1177" s="1"/>
  <c r="Y1178" s="1"/>
  <c r="Y1179" s="1"/>
  <c r="Y1180" s="1"/>
  <c r="Y1181" s="1"/>
  <c r="Y1182" s="1"/>
  <c r="Y1183" s="1"/>
  <c r="Y1184" s="1"/>
  <c r="Y1185" s="1"/>
  <c r="Y1186" s="1"/>
  <c r="Y1187" s="1"/>
  <c r="Y1188" s="1"/>
  <c r="Y1189" s="1"/>
  <c r="Y1190" s="1"/>
  <c r="Y1191" s="1"/>
  <c r="Y1192" s="1"/>
  <c r="Y1193" s="1"/>
  <c r="Y1194" s="1"/>
  <c r="Y1195" s="1"/>
  <c r="Y1196" s="1"/>
  <c r="Y1197" s="1"/>
  <c r="Y1198" s="1"/>
  <c r="Y1199" s="1"/>
  <c r="Y1200" s="1"/>
  <c r="Y1201" s="1"/>
  <c r="Y1202" s="1"/>
  <c r="Y1203" s="1"/>
  <c r="Y1204" s="1"/>
  <c r="Y1205" s="1"/>
  <c r="Y1206" s="1"/>
  <c r="Y1207" s="1"/>
  <c r="Y1208" s="1"/>
  <c r="Y1209" s="1"/>
  <c r="Y1210" s="1"/>
  <c r="Y1211" s="1"/>
  <c r="Y1212" s="1"/>
  <c r="Y1213" s="1"/>
  <c r="Y1214" s="1"/>
  <c r="Y1215" s="1"/>
  <c r="Y1216" s="1"/>
  <c r="Y1217" s="1"/>
  <c r="Y1218" s="1"/>
  <c r="Y1219" s="1"/>
  <c r="Y1220" s="1"/>
  <c r="Y1221" s="1"/>
  <c r="Y1222" s="1"/>
  <c r="Y1223" s="1"/>
  <c r="Y1224" s="1"/>
  <c r="Y1225" s="1"/>
  <c r="Y1226" s="1"/>
  <c r="Y1227" s="1"/>
  <c r="Y1228" s="1"/>
  <c r="Y1229" s="1"/>
  <c r="Y1230" s="1"/>
  <c r="Y1231" s="1"/>
  <c r="Y1232" s="1"/>
  <c r="Y1233" s="1"/>
  <c r="Y1234" s="1"/>
  <c r="Y1235" s="1"/>
  <c r="Y1236" s="1"/>
  <c r="Y1237" s="1"/>
  <c r="Y1238" s="1"/>
  <c r="Y1239" s="1"/>
  <c r="Y1240" s="1"/>
  <c r="Y1241" s="1"/>
  <c r="Y1242" s="1"/>
  <c r="Y1243" s="1"/>
  <c r="Y1244" s="1"/>
  <c r="Y1245" s="1"/>
  <c r="Y1246" s="1"/>
  <c r="Y1247" s="1"/>
  <c r="Y1248" s="1"/>
  <c r="Y1249" s="1"/>
  <c r="Y1250" s="1"/>
  <c r="Y1251" s="1"/>
  <c r="Y1252" s="1"/>
  <c r="Y1253" s="1"/>
  <c r="Y1254" s="1"/>
  <c r="Y1255" s="1"/>
  <c r="Y1256" s="1"/>
  <c r="Y1257" s="1"/>
  <c r="Y1258" s="1"/>
  <c r="Y1259" s="1"/>
  <c r="Y1260" s="1"/>
  <c r="Y1261" s="1"/>
  <c r="Y1262" s="1"/>
  <c r="Y1263" s="1"/>
  <c r="Y1264" s="1"/>
  <c r="Y1265" s="1"/>
  <c r="Y1266" s="1"/>
  <c r="Y1267" s="1"/>
  <c r="Y1268" s="1"/>
  <c r="Y1269" s="1"/>
  <c r="Y1270" s="1"/>
  <c r="Y1271" s="1"/>
  <c r="Y1272" s="1"/>
  <c r="Y1273" s="1"/>
  <c r="Y1274" s="1"/>
  <c r="Y1275" s="1"/>
  <c r="Y1276" s="1"/>
  <c r="Y1277" s="1"/>
  <c r="Y1278" s="1"/>
  <c r="Y1279" s="1"/>
  <c r="Y1280" s="1"/>
  <c r="Y1281" s="1"/>
  <c r="Y1282" s="1"/>
  <c r="Y1283" s="1"/>
  <c r="Y1284" s="1"/>
  <c r="Y1285" s="1"/>
  <c r="Y1286" s="1"/>
  <c r="Y1287" s="1"/>
  <c r="Y1288" s="1"/>
  <c r="Y1289" s="1"/>
  <c r="Y1290" s="1"/>
  <c r="Y1291" s="1"/>
  <c r="Y1292" s="1"/>
  <c r="Y1293" s="1"/>
  <c r="Y1294" s="1"/>
  <c r="Y1295" s="1"/>
  <c r="Y1296" s="1"/>
  <c r="Y1297" s="1"/>
  <c r="Y1298" s="1"/>
  <c r="Y1299" s="1"/>
  <c r="Y1300" s="1"/>
  <c r="Y1301" s="1"/>
  <c r="Y1302" s="1"/>
  <c r="Y1303" s="1"/>
  <c r="Y1304" s="1"/>
  <c r="Y1305" s="1"/>
  <c r="Y1306" s="1"/>
  <c r="Y1307" s="1"/>
  <c r="Y1308" s="1"/>
  <c r="Y1309" s="1"/>
  <c r="Y1310" s="1"/>
  <c r="Y1311" s="1"/>
  <c r="Y1312" s="1"/>
  <c r="Y1313" s="1"/>
  <c r="Y1314" s="1"/>
  <c r="Y1315" s="1"/>
  <c r="Y1316" s="1"/>
  <c r="Y1317" s="1"/>
  <c r="Y1318" s="1"/>
  <c r="Y1319" s="1"/>
  <c r="Y1320" s="1"/>
  <c r="Y1321" s="1"/>
  <c r="Y1322" s="1"/>
  <c r="Y1323" s="1"/>
  <c r="Y1324" s="1"/>
  <c r="Y1325" s="1"/>
  <c r="Y1326" s="1"/>
  <c r="Y1327" s="1"/>
  <c r="Y1328" s="1"/>
  <c r="Y1329" s="1"/>
  <c r="Y1330" s="1"/>
  <c r="Y1331" s="1"/>
  <c r="Y1332" s="1"/>
  <c r="Y1333" s="1"/>
  <c r="Y1334" s="1"/>
  <c r="Y1335" s="1"/>
  <c r="Y1336" s="1"/>
  <c r="Y1337" s="1"/>
  <c r="Y1338" s="1"/>
  <c r="Y1339" s="1"/>
  <c r="Y1340" s="1"/>
  <c r="Y1341" s="1"/>
  <c r="Y1342" s="1"/>
  <c r="Y1343" s="1"/>
  <c r="Y1344" s="1"/>
  <c r="Y1345" s="1"/>
  <c r="Y1346" s="1"/>
  <c r="Y1347" s="1"/>
  <c r="Y1348" s="1"/>
  <c r="Y1349" s="1"/>
  <c r="Y1350" s="1"/>
  <c r="Y1351" s="1"/>
  <c r="Y1352" s="1"/>
  <c r="Y1353" s="1"/>
  <c r="Y1354" s="1"/>
  <c r="Y1355" s="1"/>
  <c r="Y1356" s="1"/>
  <c r="Y1357" s="1"/>
  <c r="Y1358" s="1"/>
  <c r="Y1359" s="1"/>
  <c r="Y1360" s="1"/>
  <c r="Y1361" s="1"/>
  <c r="Y1362" s="1"/>
  <c r="Y1363" s="1"/>
  <c r="Y1364" s="1"/>
  <c r="Y1365" s="1"/>
  <c r="Y1366" s="1"/>
  <c r="Y1367" s="1"/>
  <c r="Y1368" s="1"/>
  <c r="Y1369" s="1"/>
  <c r="Y1370" s="1"/>
  <c r="Y1371" s="1"/>
  <c r="Y1372" s="1"/>
  <c r="Y1373" s="1"/>
  <c r="Y1374" s="1"/>
  <c r="Y1375" s="1"/>
  <c r="Y1376" s="1"/>
  <c r="Y1377" s="1"/>
  <c r="Y1378" s="1"/>
  <c r="Y1379" s="1"/>
  <c r="Y1380" s="1"/>
  <c r="Y1381" s="1"/>
  <c r="Y1382" s="1"/>
  <c r="Y1383" s="1"/>
  <c r="Y1384" s="1"/>
  <c r="Y1385" s="1"/>
  <c r="Y1386" s="1"/>
  <c r="Y1387" s="1"/>
  <c r="Y1388" s="1"/>
  <c r="Y1389" s="1"/>
  <c r="Y1390" s="1"/>
  <c r="Y1391" s="1"/>
  <c r="Y1392" s="1"/>
  <c r="Y1393" s="1"/>
  <c r="Y1394" s="1"/>
  <c r="Y1395" s="1"/>
  <c r="Y1396" s="1"/>
  <c r="Y1397" s="1"/>
  <c r="Y1398" s="1"/>
  <c r="Y1399" s="1"/>
  <c r="Y1400" s="1"/>
  <c r="Y1401" s="1"/>
  <c r="Y1402" s="1"/>
  <c r="Y1403" s="1"/>
  <c r="Y1404" s="1"/>
  <c r="Y1405" s="1"/>
  <c r="Y1406" s="1"/>
  <c r="Y1407" s="1"/>
  <c r="Y1408" s="1"/>
  <c r="Y1409" s="1"/>
  <c r="Y1410" s="1"/>
  <c r="Y1411" s="1"/>
  <c r="Y1412" s="1"/>
  <c r="Y1413" s="1"/>
  <c r="Y1414" s="1"/>
  <c r="Y1415" s="1"/>
  <c r="Y1416" s="1"/>
  <c r="Y1417" s="1"/>
  <c r="Y1418" s="1"/>
  <c r="Y1419" s="1"/>
  <c r="Y1420" s="1"/>
  <c r="Y1421" s="1"/>
  <c r="Y1422" s="1"/>
  <c r="Y1423" s="1"/>
  <c r="Y1424" s="1"/>
  <c r="Y1425" s="1"/>
  <c r="Y1426" s="1"/>
  <c r="Y1427" s="1"/>
  <c r="Y1428" s="1"/>
  <c r="Y1429" s="1"/>
  <c r="Y1430" s="1"/>
  <c r="Y1431" s="1"/>
  <c r="Y1432" s="1"/>
  <c r="Y1433" s="1"/>
  <c r="Y1434" s="1"/>
  <c r="Y1435" s="1"/>
  <c r="Y1436" s="1"/>
  <c r="Y1437" s="1"/>
  <c r="Y1438" s="1"/>
  <c r="Y1439" s="1"/>
  <c r="Y1440" s="1"/>
  <c r="Y1441" s="1"/>
  <c r="Y1442" s="1"/>
  <c r="Y1443" s="1"/>
  <c r="Y1444" s="1"/>
  <c r="Y1445" s="1"/>
  <c r="Y1446" s="1"/>
  <c r="Y1447" s="1"/>
  <c r="Y1448" s="1"/>
  <c r="Y1449" s="1"/>
  <c r="Y1450" s="1"/>
  <c r="Y1451" s="1"/>
  <c r="Y1452" s="1"/>
  <c r="Y1453" s="1"/>
  <c r="Y1454" s="1"/>
  <c r="Y1455" s="1"/>
  <c r="Y1456" s="1"/>
  <c r="Y1457" s="1"/>
  <c r="Y1458" s="1"/>
  <c r="Y1459" s="1"/>
  <c r="Y1460" s="1"/>
  <c r="Y1461" s="1"/>
  <c r="Y1462" s="1"/>
  <c r="Y1463" s="1"/>
  <c r="Y1464" s="1"/>
  <c r="Y1465" s="1"/>
  <c r="Y1466" s="1"/>
  <c r="Y1467" s="1"/>
  <c r="Y1468" s="1"/>
  <c r="Y1469" s="1"/>
  <c r="Y1470" s="1"/>
  <c r="Y1471" s="1"/>
  <c r="Y1472" s="1"/>
  <c r="Y1473" s="1"/>
  <c r="Y1474" s="1"/>
  <c r="Y1475" s="1"/>
  <c r="Y1476" s="1"/>
  <c r="Y1477" s="1"/>
  <c r="Y1478" s="1"/>
  <c r="Y1479" s="1"/>
  <c r="Y1480" s="1"/>
  <c r="Y1481" s="1"/>
  <c r="Y1482" s="1"/>
  <c r="Y1483" s="1"/>
  <c r="Y1484" s="1"/>
  <c r="Y1485" s="1"/>
  <c r="Y1486" s="1"/>
  <c r="Y1487" s="1"/>
  <c r="Y1488" s="1"/>
  <c r="Y1489" s="1"/>
  <c r="Y1490" s="1"/>
  <c r="Y1491" s="1"/>
  <c r="Y1492" s="1"/>
  <c r="Y1493" s="1"/>
  <c r="Y1494" s="1"/>
  <c r="Y1495" s="1"/>
  <c r="Y1496" s="1"/>
  <c r="Y1497" s="1"/>
  <c r="Y1498" s="1"/>
  <c r="Y1499" s="1"/>
  <c r="Y1500" s="1"/>
  <c r="Y1501" s="1"/>
  <c r="Y1502" s="1"/>
  <c r="Y1503" s="1"/>
  <c r="Y1504" s="1"/>
  <c r="Y1505" s="1"/>
  <c r="Y1506" s="1"/>
  <c r="Y1507" s="1"/>
  <c r="Y1508" s="1"/>
  <c r="Y1509" s="1"/>
  <c r="Y1510" s="1"/>
  <c r="Y1511" s="1"/>
  <c r="Y1512" s="1"/>
  <c r="Y1513" s="1"/>
  <c r="Y1514" s="1"/>
  <c r="Y1515" s="1"/>
  <c r="Y1516" s="1"/>
  <c r="Y1517" s="1"/>
  <c r="Y1518" s="1"/>
  <c r="Y1519" s="1"/>
  <c r="Y1520" s="1"/>
  <c r="Y1521" s="1"/>
  <c r="Y1522" s="1"/>
  <c r="Y1523" s="1"/>
  <c r="Y1524" s="1"/>
  <c r="Y1525" s="1"/>
  <c r="Y1526" s="1"/>
  <c r="Y1527" s="1"/>
  <c r="Y1528" s="1"/>
  <c r="Y1529" s="1"/>
  <c r="Y1530" s="1"/>
  <c r="Y1531" s="1"/>
  <c r="Y1532" s="1"/>
  <c r="Y1533" s="1"/>
  <c r="Y1534" s="1"/>
  <c r="Y1535" s="1"/>
  <c r="Y1536" s="1"/>
  <c r="Y1537" s="1"/>
  <c r="Y1538" s="1"/>
  <c r="Y1539" s="1"/>
  <c r="Y1540" s="1"/>
  <c r="Y1541" s="1"/>
  <c r="Y1542" s="1"/>
  <c r="Y1543" s="1"/>
  <c r="Y1544" s="1"/>
  <c r="Y1545" s="1"/>
  <c r="Y1546" s="1"/>
  <c r="Y1547" s="1"/>
  <c r="Y1548" s="1"/>
  <c r="Y1549" s="1"/>
  <c r="Y1550" s="1"/>
  <c r="Y1551" s="1"/>
  <c r="Y1552" s="1"/>
  <c r="Y1553" s="1"/>
  <c r="Y1554" s="1"/>
  <c r="Y1555" s="1"/>
  <c r="Y1556" s="1"/>
  <c r="Y1557" s="1"/>
  <c r="Y1558" s="1"/>
  <c r="Y1559" s="1"/>
  <c r="Y1560" s="1"/>
  <c r="Y1561" s="1"/>
  <c r="Y1562" s="1"/>
  <c r="Y1563" s="1"/>
  <c r="Y1564" s="1"/>
  <c r="Y1565" s="1"/>
  <c r="Y1566" s="1"/>
  <c r="Y1567" s="1"/>
  <c r="Y1568" s="1"/>
  <c r="Y1569" s="1"/>
  <c r="Y1570" s="1"/>
  <c r="Y1571" s="1"/>
  <c r="Y1572" s="1"/>
  <c r="Y1573" s="1"/>
  <c r="Y1574" s="1"/>
  <c r="Y1575" s="1"/>
  <c r="Y1576" s="1"/>
  <c r="Y1577" s="1"/>
  <c r="Y1578" s="1"/>
  <c r="Y1579" s="1"/>
  <c r="Y1580" s="1"/>
  <c r="Y1581" s="1"/>
  <c r="Y1582" s="1"/>
  <c r="Y1583" s="1"/>
  <c r="Y1584" s="1"/>
  <c r="Y1585" s="1"/>
  <c r="Y1586" s="1"/>
  <c r="Y1587" s="1"/>
  <c r="Y1588" s="1"/>
  <c r="Y1589" s="1"/>
  <c r="Y1590" s="1"/>
  <c r="Y1591" s="1"/>
  <c r="Y1592" s="1"/>
  <c r="Y1593" s="1"/>
  <c r="Y1594" s="1"/>
  <c r="Y1595" s="1"/>
  <c r="Y1596" s="1"/>
  <c r="Y1597" s="1"/>
  <c r="Y1598" s="1"/>
  <c r="Y1599" s="1"/>
  <c r="Y1600" s="1"/>
  <c r="Y1601" s="1"/>
  <c r="Y1602" s="1"/>
  <c r="Y1603" s="1"/>
  <c r="Y1604" s="1"/>
  <c r="Y1605" s="1"/>
  <c r="Y1606" s="1"/>
  <c r="Y1607" s="1"/>
  <c r="Y1608" s="1"/>
  <c r="Y1609" s="1"/>
  <c r="Y1610" s="1"/>
  <c r="Y1611" s="1"/>
  <c r="Y1612" s="1"/>
  <c r="Y1613" s="1"/>
  <c r="Y1614" s="1"/>
  <c r="Y1615" s="1"/>
  <c r="Y1616" s="1"/>
  <c r="Y1617" s="1"/>
  <c r="Y1618" s="1"/>
  <c r="Y1619" s="1"/>
  <c r="Y1620" s="1"/>
  <c r="Y1621" s="1"/>
  <c r="Y1622" s="1"/>
  <c r="Y1623" s="1"/>
  <c r="Y1624" s="1"/>
  <c r="Y1625" s="1"/>
  <c r="Y1626" s="1"/>
  <c r="Y1627" s="1"/>
  <c r="Y1628" s="1"/>
  <c r="Y1629" s="1"/>
  <c r="Y1630" s="1"/>
  <c r="Y1631" s="1"/>
  <c r="Y1632" s="1"/>
  <c r="Y1633" s="1"/>
  <c r="Y1634" s="1"/>
  <c r="Y1635" s="1"/>
  <c r="Y1636" s="1"/>
  <c r="Y1637" s="1"/>
  <c r="Y1638" s="1"/>
  <c r="Y1639" s="1"/>
  <c r="Y1640" s="1"/>
  <c r="Y1641" s="1"/>
  <c r="Y1642" s="1"/>
  <c r="Y1643" s="1"/>
  <c r="Y1644" s="1"/>
  <c r="Y1645" s="1"/>
  <c r="Y1646" s="1"/>
  <c r="Y1647" s="1"/>
  <c r="Y1648" s="1"/>
  <c r="Y1649" s="1"/>
  <c r="Y1650" s="1"/>
  <c r="Y1651" s="1"/>
  <c r="Y1652" s="1"/>
  <c r="Y1653" s="1"/>
  <c r="Y1654" s="1"/>
  <c r="Y1655" s="1"/>
  <c r="Y1656" s="1"/>
  <c r="Y1657" s="1"/>
  <c r="Y1658" s="1"/>
  <c r="Y1659" s="1"/>
  <c r="Y1660" s="1"/>
  <c r="Y1661" s="1"/>
  <c r="Y1662" s="1"/>
  <c r="Y1663" s="1"/>
  <c r="Y1664" s="1"/>
  <c r="Y1665" s="1"/>
  <c r="Y1666" s="1"/>
  <c r="Y1667" s="1"/>
  <c r="Y1668" s="1"/>
  <c r="Y1669" s="1"/>
  <c r="Y1670" s="1"/>
  <c r="Y1671" s="1"/>
  <c r="Y1672" s="1"/>
  <c r="Y1673" s="1"/>
  <c r="Y1674" s="1"/>
  <c r="Y1675" s="1"/>
  <c r="Y1676" s="1"/>
  <c r="Y1677" s="1"/>
  <c r="Y1678" s="1"/>
  <c r="Y1679" s="1"/>
  <c r="Y1680" s="1"/>
  <c r="Y1681" s="1"/>
  <c r="Y1682" s="1"/>
  <c r="Y1683" s="1"/>
  <c r="Y1684" s="1"/>
  <c r="Y1685" s="1"/>
  <c r="Y1686" s="1"/>
  <c r="Y1687" s="1"/>
  <c r="Y1688" s="1"/>
  <c r="Y1690" s="1"/>
  <c r="Y1691" s="1"/>
  <c r="Y1692" s="1"/>
  <c r="Y1693" s="1"/>
  <c r="Y1694" s="1"/>
  <c r="Y1695" s="1"/>
  <c r="Y1696" s="1"/>
  <c r="Y1697" s="1"/>
  <c r="Y1698" s="1"/>
  <c r="Y1699" s="1"/>
  <c r="Y1700" s="1"/>
  <c r="Y1701" s="1"/>
  <c r="Y1702" s="1"/>
  <c r="Y1703" s="1"/>
  <c r="Y1704" s="1"/>
  <c r="Y1705" s="1"/>
  <c r="Y1706" s="1"/>
  <c r="Y1707" s="1"/>
  <c r="Y1708" s="1"/>
  <c r="Y1709" s="1"/>
  <c r="Y1710" s="1"/>
  <c r="Y1711" s="1"/>
  <c r="Y1712" s="1"/>
  <c r="Y1713" s="1"/>
  <c r="Y1714" s="1"/>
  <c r="Y1715" s="1"/>
  <c r="Y1716" s="1"/>
  <c r="Y1717" s="1"/>
  <c r="Y1718" s="1"/>
  <c r="Y1719" s="1"/>
  <c r="Y1720" s="1"/>
  <c r="Y1721" s="1"/>
  <c r="Y1722" s="1"/>
  <c r="Y1723" s="1"/>
  <c r="Y1724" s="1"/>
  <c r="Y1725" s="1"/>
  <c r="Y1726" s="1"/>
  <c r="Y1727" s="1"/>
  <c r="Y1728" s="1"/>
  <c r="Y1729" s="1"/>
  <c r="Y1730" s="1"/>
  <c r="Y1731" s="1"/>
  <c r="Y1732" s="1"/>
  <c r="Y1733" s="1"/>
  <c r="Y1734" s="1"/>
  <c r="Y1735" s="1"/>
  <c r="Y1736" s="1"/>
  <c r="Y1737" s="1"/>
  <c r="Y1738" s="1"/>
  <c r="Y1739" s="1"/>
  <c r="Y1740" s="1"/>
  <c r="Y1741" s="1"/>
  <c r="Y1742" s="1"/>
  <c r="Y1743" s="1"/>
  <c r="Y1744" s="1"/>
  <c r="Y1745" s="1"/>
  <c r="Y1746" s="1"/>
  <c r="Y1747" s="1"/>
  <c r="Y1748" s="1"/>
  <c r="Y1749" s="1"/>
  <c r="Y1750" s="1"/>
  <c r="Y1751" s="1"/>
  <c r="AK47"/>
  <c r="AK57" s="1"/>
  <c r="Z12"/>
  <c r="AH38"/>
  <c r="AC64" s="1"/>
  <c r="AD39"/>
  <c r="AL39"/>
  <c r="AK54"/>
  <c r="AK58"/>
  <c r="AK44"/>
  <c r="AJ17"/>
  <c r="AJ55" s="1"/>
  <c r="AJ33"/>
  <c r="AF21"/>
  <c r="AJ50" s="1"/>
  <c r="AF30"/>
  <c r="AJ45" s="1"/>
  <c r="AB18" i="22"/>
  <c r="AF7"/>
  <c r="AJ2"/>
  <c r="AA54" s="1"/>
  <c r="A55" a="1"/>
  <c r="A55" s="1"/>
  <c r="AJ6"/>
  <c r="AA55" s="1"/>
  <c r="A8" s="1" a="1"/>
  <c r="A8" s="1"/>
  <c r="AJ19"/>
  <c r="AB36"/>
  <c r="AB15"/>
  <c r="AB34"/>
  <c r="AA62" s="1"/>
  <c r="AA60"/>
  <c r="AA61"/>
  <c r="A64" a="1"/>
  <c r="A64" s="1"/>
  <c r="A25" a="1"/>
  <c r="A25" s="1"/>
  <c r="A48" a="1"/>
  <c r="A48" s="1"/>
  <c r="A36" a="1"/>
  <c r="A36" s="1"/>
  <c r="A21" a="1"/>
  <c r="A21" s="1"/>
  <c r="A32" a="1"/>
  <c r="A32" s="1"/>
  <c r="A23" a="1"/>
  <c r="A23" s="1"/>
  <c r="A3" a="1"/>
  <c r="A3" s="1"/>
  <c r="A61" a="1"/>
  <c r="A61" s="1"/>
  <c r="A5" a="1"/>
  <c r="A5" s="1"/>
  <c r="A45" a="1"/>
  <c r="A45" s="1"/>
  <c r="AI32"/>
  <c r="AJ31" s="1"/>
  <c r="A56" a="1"/>
  <c r="A56" s="1"/>
  <c r="A15" a="1"/>
  <c r="A15" s="1"/>
  <c r="AF32"/>
  <c r="X10"/>
  <c r="AE29"/>
  <c r="AF28" s="1"/>
  <c r="R4"/>
  <c r="S4" s="1"/>
  <c r="T4" s="1"/>
  <c r="A57" a="1"/>
  <c r="A57" s="1"/>
  <c r="A58" a="1"/>
  <c r="A58" s="1"/>
  <c r="AE20"/>
  <c r="AF18" s="1"/>
  <c r="A9" a="1"/>
  <c r="A9" s="1"/>
  <c r="AB10"/>
  <c r="AA44" s="1"/>
  <c r="AI16"/>
  <c r="AJ14" s="1"/>
  <c r="A4" a="1"/>
  <c r="A4" s="1"/>
  <c r="A59" a="1"/>
  <c r="A59" s="1"/>
  <c r="A60" a="1"/>
  <c r="A60" s="1"/>
  <c r="A49" a="1"/>
  <c r="A49" s="1"/>
  <c r="A19" a="1"/>
  <c r="A19" s="1"/>
  <c r="AB2"/>
  <c r="AA42" s="1"/>
  <c r="AL11" i="5"/>
  <c r="AL22"/>
  <c r="AC58" s="1"/>
  <c r="AH3"/>
  <c r="AD10"/>
  <c r="AC44" s="1"/>
  <c r="AH7"/>
  <c r="AL27"/>
  <c r="AL6"/>
  <c r="AC55" s="1"/>
  <c r="AH15"/>
  <c r="AD6"/>
  <c r="AC43" s="1"/>
  <c r="AD35"/>
  <c r="AL2"/>
  <c r="AC54" s="1"/>
  <c r="AD3"/>
  <c r="AD31"/>
  <c r="AD15"/>
  <c r="AL18"/>
  <c r="AC57" s="1"/>
  <c r="AD27"/>
  <c r="AH32"/>
  <c r="AH10"/>
  <c r="AC51" s="1"/>
  <c r="AD18"/>
  <c r="AH24"/>
  <c r="AM24" i="7"/>
  <c r="AO3"/>
  <c r="AO25" s="1"/>
  <c r="AJ25"/>
  <c r="AJ24" s="1"/>
  <c r="AQ3"/>
  <c r="AL25"/>
  <c r="AL24" s="1"/>
  <c r="AD6"/>
  <c r="AK6"/>
  <c r="AP6" s="1"/>
  <c r="AD8"/>
  <c r="AA8" s="1"/>
  <c r="AK8"/>
  <c r="AP8" s="1"/>
  <c r="AK14"/>
  <c r="AP14" s="1"/>
  <c r="AD14"/>
  <c r="AA14" s="1"/>
  <c r="AK18"/>
  <c r="AP18" s="1"/>
  <c r="AD18"/>
  <c r="AA18" s="1"/>
  <c r="AK17"/>
  <c r="AP17" s="1"/>
  <c r="AD17"/>
  <c r="AA17" s="1"/>
  <c r="AK10"/>
  <c r="AP10" s="1"/>
  <c r="AD10"/>
  <c r="AK7"/>
  <c r="AP7" s="1"/>
  <c r="AD7"/>
  <c r="AD19"/>
  <c r="AA19" s="1"/>
  <c r="AK19"/>
  <c r="AP19" s="1"/>
  <c r="AD21"/>
  <c r="AK21"/>
  <c r="AP21" s="1"/>
  <c r="AD22"/>
  <c r="AA22" s="1"/>
  <c r="AK22"/>
  <c r="AP22" s="1"/>
  <c r="AD5"/>
  <c r="AA5" s="1"/>
  <c r="AK5"/>
  <c r="AP5" s="1"/>
  <c r="AD12"/>
  <c r="AA12" s="1"/>
  <c r="AK12"/>
  <c r="AP12" s="1"/>
  <c r="AK13"/>
  <c r="AP13" s="1"/>
  <c r="AD13"/>
  <c r="AA13" s="1"/>
  <c r="AD9"/>
  <c r="AK9"/>
  <c r="AP9" s="1"/>
  <c r="AK4"/>
  <c r="AP4" s="1"/>
  <c r="AD4"/>
  <c r="AK16"/>
  <c r="AP16" s="1"/>
  <c r="AD16"/>
  <c r="AA16" s="1"/>
  <c r="AK11"/>
  <c r="AP11" s="1"/>
  <c r="AD11"/>
  <c r="AA11" s="1"/>
  <c r="AK20"/>
  <c r="AP20" s="1"/>
  <c r="AD20"/>
  <c r="AA20" s="1"/>
  <c r="AD15"/>
  <c r="AK15"/>
  <c r="AP15" s="1"/>
  <c r="AD3"/>
  <c r="AK3"/>
  <c r="AC25"/>
  <c r="AH6" i="5"/>
  <c r="AC50" s="1"/>
  <c r="AD30"/>
  <c r="AC48" s="1"/>
  <c r="AD7"/>
  <c r="AH31"/>
  <c r="AH14"/>
  <c r="AC52" s="1"/>
  <c r="AK32"/>
  <c r="AL23"/>
  <c r="AA3"/>
  <c r="AL19"/>
  <c r="AL26"/>
  <c r="AC59" s="1"/>
  <c r="AD14"/>
  <c r="AC45" s="1"/>
  <c r="AH11"/>
  <c r="AH23"/>
  <c r="AC53" s="1"/>
  <c r="AD19"/>
  <c r="AD2"/>
  <c r="AC42" s="1"/>
  <c r="AD34"/>
  <c r="AC62" s="1"/>
  <c r="AD11"/>
  <c r="AL7"/>
  <c r="AK16"/>
  <c r="AD26"/>
  <c r="AC47" s="1"/>
  <c r="AH2"/>
  <c r="AC49" s="1"/>
  <c r="AL3"/>
  <c r="Z8"/>
  <c r="AL10"/>
  <c r="AC56" s="1"/>
  <c r="AG20"/>
  <c r="AG29"/>
  <c r="W3" i="7"/>
  <c r="A1367" i="5" a="1"/>
  <c r="A1338" a="1"/>
  <c r="A1513" a="1"/>
  <c r="A1745" a="1"/>
  <c r="A1336" a="1"/>
  <c r="A1514" a="1"/>
  <c r="A1512" a="1"/>
  <c r="A1745" l="1"/>
  <c r="A1336"/>
  <c r="A1514"/>
  <c r="A1338"/>
  <c r="A1367"/>
  <c r="A1512"/>
  <c r="A1513"/>
  <c r="AL43"/>
  <c r="AE48"/>
  <c r="AE42"/>
  <c r="AE63"/>
  <c r="AE45"/>
  <c r="AE65"/>
  <c r="AE47"/>
  <c r="AE64"/>
  <c r="AE46"/>
  <c r="AE62"/>
  <c r="AE44"/>
  <c r="AE43"/>
  <c r="AL52"/>
  <c r="AE60"/>
  <c r="AE55"/>
  <c r="AE54"/>
  <c r="AE59"/>
  <c r="AE56"/>
  <c r="AE61"/>
  <c r="AK49"/>
  <c r="AK59" s="1"/>
  <c r="AL57" s="1"/>
  <c r="AL53"/>
  <c r="AJ58"/>
  <c r="AL42"/>
  <c r="Z10"/>
  <c r="A16" i="22" a="1"/>
  <c r="A16" s="1"/>
  <c r="A44" a="1"/>
  <c r="A44" s="1"/>
  <c r="AF19"/>
  <c r="AJ15"/>
  <c r="R5"/>
  <c r="S5" s="1"/>
  <c r="T5" s="1"/>
  <c r="AF27"/>
  <c r="AJ30"/>
  <c r="A40" a="1"/>
  <c r="A40" s="1"/>
  <c r="A14" a="1"/>
  <c r="A14" s="1"/>
  <c r="A28" a="1"/>
  <c r="A28" s="1"/>
  <c r="A30" a="1"/>
  <c r="A30" s="1"/>
  <c r="A26" a="1"/>
  <c r="A26" s="1"/>
  <c r="A24" a="1"/>
  <c r="A24" s="1"/>
  <c r="A41" a="1"/>
  <c r="A41" s="1"/>
  <c r="A63" a="1"/>
  <c r="A63" s="1"/>
  <c r="A47" a="1"/>
  <c r="A47" s="1"/>
  <c r="A51" a="1"/>
  <c r="A51" s="1"/>
  <c r="A22" a="1"/>
  <c r="A22" s="1"/>
  <c r="A35" a="1"/>
  <c r="A35" s="1"/>
  <c r="A7" a="1"/>
  <c r="A7" s="1"/>
  <c r="A42" a="1"/>
  <c r="A42" s="1"/>
  <c r="A6" a="1"/>
  <c r="A6" s="1"/>
  <c r="A39" a="1"/>
  <c r="A39" s="1"/>
  <c r="A18" a="1"/>
  <c r="A18" s="1"/>
  <c r="A65" a="1"/>
  <c r="A65" s="1"/>
  <c r="A11" a="1"/>
  <c r="A11" s="1"/>
  <c r="A43" a="1"/>
  <c r="A43" s="1"/>
  <c r="A50" a="1"/>
  <c r="A50" s="1"/>
  <c r="A27" a="1"/>
  <c r="A27" s="1"/>
  <c r="A17" a="1"/>
  <c r="A17" s="1"/>
  <c r="AL15" i="5"/>
  <c r="AL31"/>
  <c r="AH28"/>
  <c r="AH19"/>
  <c r="AC61"/>
  <c r="AC60"/>
  <c r="AE14" i="7"/>
  <c r="AF14" s="1"/>
  <c r="AE19"/>
  <c r="AG19" s="1"/>
  <c r="AE13"/>
  <c r="AG13" s="1"/>
  <c r="AE22"/>
  <c r="AG22" s="1"/>
  <c r="AE8"/>
  <c r="AB8" s="1"/>
  <c r="AE4"/>
  <c r="AB4" s="1"/>
  <c r="AA4"/>
  <c r="AE10"/>
  <c r="AA10"/>
  <c r="AE6"/>
  <c r="AA6"/>
  <c r="AE21"/>
  <c r="AF21" s="1"/>
  <c r="AA21"/>
  <c r="AE9"/>
  <c r="AA9"/>
  <c r="AE15"/>
  <c r="AA15"/>
  <c r="AE3"/>
  <c r="AG3" s="1"/>
  <c r="AA3"/>
  <c r="AE7"/>
  <c r="AF7" s="1"/>
  <c r="AA7"/>
  <c r="AP3"/>
  <c r="AP25" s="1"/>
  <c r="AK25"/>
  <c r="AK24" s="1"/>
  <c r="AE18"/>
  <c r="AE20"/>
  <c r="AE12"/>
  <c r="AE16"/>
  <c r="AB16" s="1"/>
  <c r="AD25"/>
  <c r="AE5"/>
  <c r="AE17"/>
  <c r="AE11"/>
  <c r="AL30" i="5"/>
  <c r="AH27"/>
  <c r="AL14"/>
  <c r="AH18"/>
  <c r="X3" i="7"/>
  <c r="A1740" i="5" a="1"/>
  <c r="A266" a="1"/>
  <c r="A693" a="1"/>
  <c r="A818" a="1"/>
  <c r="A1315" a="1"/>
  <c r="A578" a="1"/>
  <c r="A1391" a="1"/>
  <c r="A1444" a="1"/>
  <c r="A1466" a="1"/>
  <c r="A344" a="1"/>
  <c r="A1581" a="1"/>
  <c r="A394" a="1"/>
  <c r="A426" a="1"/>
  <c r="A194" a="1"/>
  <c r="A239" a="1"/>
  <c r="A291" a="1"/>
  <c r="A264" a="1"/>
  <c r="A730" a="1"/>
  <c r="A629" a="1"/>
  <c r="A1309" a="1"/>
  <c r="A542" a="1"/>
  <c r="A1415" a="1"/>
  <c r="A1640" a="1"/>
  <c r="A1484" a="1"/>
  <c r="A334" a="1"/>
  <c r="A1528" a="1"/>
  <c r="A417" a="1"/>
  <c r="A399" a="1"/>
  <c r="A258" a="1"/>
  <c r="A247" a="1"/>
  <c r="A296" a="1"/>
  <c r="A260" a="1"/>
  <c r="A715" a="1"/>
  <c r="A835" a="1"/>
  <c r="A1320" a="1"/>
  <c r="A602" a="1"/>
  <c r="A1403" a="1"/>
  <c r="A1634" a="1"/>
  <c r="A1478" a="1"/>
  <c r="A322" a="1"/>
  <c r="A1567" a="1"/>
  <c r="A411" a="1"/>
  <c r="A510" a="1"/>
  <c r="A209" a="1"/>
  <c r="A192" a="1"/>
  <c r="A284" a="1"/>
  <c r="A1333" a="1"/>
  <c r="A656" a="1"/>
  <c r="A790" a="1"/>
  <c r="A1313" a="1"/>
  <c r="A610" a="1"/>
  <c r="A45" a="1"/>
  <c r="A1425" a="1"/>
  <c r="A1477" a="1"/>
  <c r="A364" a="1"/>
  <c r="A1563" a="1"/>
  <c r="A498" a="1"/>
  <c r="A496" a="1"/>
  <c r="A181" a="1"/>
  <c r="A256" a="1"/>
  <c r="A290" a="1"/>
  <c r="A1360" a="1"/>
  <c r="A651" a="1"/>
  <c r="A763" a="1"/>
  <c r="A1308" a="1"/>
  <c r="A598" a="1"/>
  <c r="A65" a="1"/>
  <c r="A1407" a="1"/>
  <c r="A1471" a="1"/>
  <c r="A352" a="1"/>
  <c r="A1557" a="1"/>
  <c r="A488" a="1"/>
  <c r="A479" a="1"/>
  <c r="A173" a="1"/>
  <c r="A248" a="1"/>
  <c r="A301" a="1"/>
  <c r="A1351" a="1"/>
  <c r="A679" a="1"/>
  <c r="A809" a="1"/>
  <c r="A1314" a="1"/>
  <c r="A564" a="1"/>
  <c r="A1385" a="1"/>
  <c r="A1426" a="1"/>
  <c r="A1460" a="1"/>
  <c r="A332" a="1"/>
  <c r="A1575" a="1"/>
  <c r="A516" a="1"/>
  <c r="A523" a="1"/>
  <c r="A190" a="1"/>
  <c r="A231" a="1"/>
  <c r="A280" a="1"/>
  <c r="A1362" a="1"/>
  <c r="A661" a="1"/>
  <c r="A799" a="1"/>
  <c r="A1318" a="1"/>
  <c r="A620" a="1"/>
  <c r="A77" a="1"/>
  <c r="A1395" a="1"/>
  <c r="A1483" a="1"/>
  <c r="A308" a="1"/>
  <c r="A1569" a="1"/>
  <c r="A512" a="1"/>
  <c r="A509" a="1"/>
  <c r="A186" a="1"/>
  <c r="A221" a="1"/>
  <c r="A270" a="1"/>
  <c r="A1374" a="1"/>
  <c r="A758" a="1"/>
  <c r="A708" a="1"/>
  <c r="A1311" a="1"/>
  <c r="A537" a="1"/>
  <c r="A30" a="1"/>
  <c r="A1456" a="1"/>
  <c r="A1505" a="1"/>
  <c r="A351" a="1"/>
  <c r="A1539" a="1"/>
  <c r="A470" a="1"/>
  <c r="A474" a="1"/>
  <c r="A147" a="1"/>
  <c r="A184" a="1"/>
  <c r="A300" a="1"/>
  <c r="A1340" a="1"/>
  <c r="A655" a="1"/>
  <c r="A786" a="1"/>
  <c r="A704" a="1"/>
  <c r="A538" a="1"/>
  <c r="A29" a="1"/>
  <c r="A1430" a="1"/>
  <c r="A1679" a="1"/>
  <c r="A336" a="1"/>
  <c r="A1698" a="1"/>
  <c r="A407" a="1"/>
  <c r="A457" a="1"/>
  <c r="A870" a="1"/>
  <c r="A127" a="1"/>
  <c r="A1602" a="1"/>
  <c r="A1375" a="1"/>
  <c r="A670" a="1"/>
  <c r="A810" a="1"/>
  <c r="A787" a="1"/>
  <c r="A556" a="1"/>
  <c r="A48" a="1"/>
  <c r="A1448" a="1"/>
  <c r="A1638" a="1"/>
  <c r="A307" a="1"/>
  <c r="A1716" a="1"/>
  <c r="A391" a="1"/>
  <c r="A481" a="1"/>
  <c r="A142" a="1"/>
  <c r="A180" a="1"/>
  <c r="A1626" a="1"/>
  <c r="A1349" a="1"/>
  <c r="A665" a="1"/>
  <c r="A805" a="1"/>
  <c r="A718" a="1"/>
  <c r="A551" a="1"/>
  <c r="A43" a="1"/>
  <c r="A1442" a="1"/>
  <c r="A1657" a="1"/>
  <c r="A366" a="1"/>
  <c r="A1710" a="1"/>
  <c r="A385" a="1"/>
  <c r="A475" a="1"/>
  <c r="A128" a="1"/>
  <c r="A154" a="1"/>
  <c r="A1614" a="1"/>
  <c r="A1352" a="1"/>
  <c r="A627" a="1"/>
  <c r="A772" a="1"/>
  <c r="A785" a="1"/>
  <c r="A613" a="1"/>
  <c r="A80" a="1"/>
  <c r="A1412" a="1"/>
  <c r="A1649" a="1"/>
  <c r="A377" a="1"/>
  <c r="A1705" a="1"/>
  <c r="A1578" a="1"/>
  <c r="A421" a="1"/>
  <c r="A850" a="1"/>
  <c r="A207" a="1"/>
  <c r="A1621" a="1"/>
  <c r="A1345" a="1"/>
  <c r="A654" a="1"/>
  <c r="A636" a="1"/>
  <c r="A757" a="1"/>
  <c r="A567" a="1"/>
  <c r="A1518" a="1"/>
  <c r="A1440" a="1"/>
  <c r="A1677" a="1"/>
  <c r="A1476" a="1"/>
  <c r="A1719" a="1"/>
  <c r="A1553" a="1"/>
  <c r="A460" a="1"/>
  <c r="A865" a="1"/>
  <c r="A94" a="1"/>
  <c r="A1591" a="1"/>
  <c r="A1335" a="1"/>
  <c r="A691" a="1"/>
  <c r="A663" a="1"/>
  <c r="A793" a="1"/>
  <c r="A588" a="1"/>
  <c r="A62" a="1"/>
  <c r="A1387" a="1"/>
  <c r="A1669" a="1"/>
  <c r="A1504" a="1"/>
  <c r="A1690" a="1"/>
  <c r="A1571" a="1"/>
  <c r="A478" a="1"/>
  <c r="A873" a="1"/>
  <c r="A117" a="1"/>
  <c r="A1594" a="1"/>
  <c r="A1371" a="1"/>
  <c r="A687" a="1"/>
  <c r="A658" a="1"/>
  <c r="A783" a="1"/>
  <c r="A576" a="1"/>
  <c r="A32" a="1"/>
  <c r="A1381" a="1"/>
  <c r="A1633" a="1"/>
  <c r="A1497" a="1"/>
  <c r="A1711" a="1"/>
  <c r="A1565" a="1"/>
  <c r="A472" a="1"/>
  <c r="A866" a="1"/>
  <c r="A103" a="1"/>
  <c r="A1588" a="1"/>
  <c r="A1730" a="1"/>
  <c r="A638" a="1"/>
  <c r="A827" a="1"/>
  <c r="A700" a="1"/>
  <c r="A553" a="1"/>
  <c r="A1519" a="1"/>
  <c r="A1422" a="1"/>
  <c r="A1659" a="1"/>
  <c r="A1510" a="1"/>
  <c r="A1701" a="1"/>
  <c r="A1535" a="1"/>
  <c r="A242" a="1"/>
  <c r="A1354" a="1"/>
  <c r="A706" a="1"/>
  <c r="A720" a="1"/>
  <c r="A1300" a="1"/>
  <c r="A559" a="1"/>
  <c r="A50" a="1"/>
  <c r="A1450" a="1"/>
  <c r="A1674" a="1"/>
  <c r="A349" a="1"/>
  <c r="A1544" a="1"/>
  <c r="A416" a="1"/>
  <c r="A507" a="1"/>
  <c r="A208" a="1"/>
  <c r="A220" a="1"/>
  <c r="A4" a="1"/>
  <c r="A1330" a="1"/>
  <c r="A722" a="1"/>
  <c r="A789" a="1"/>
  <c r="A1307" a="1"/>
  <c r="A596" a="1"/>
  <c r="A71" a="1"/>
  <c r="A1401" a="1"/>
  <c r="A1469" a="1"/>
  <c r="A314" a="1"/>
  <c r="A1568" a="1"/>
  <c r="A434" a="1"/>
  <c r="A520" a="1"/>
  <c r="A244" a="1"/>
  <c r="A246" a="1"/>
  <c r="A276" a="1"/>
  <c r="A1329" a="1"/>
  <c r="A719" a="1"/>
  <c r="A762" a="1"/>
  <c r="A1301" a="1"/>
  <c r="A584" a="1"/>
  <c r="A25" a="1"/>
  <c r="A1383" a="1"/>
  <c r="A1686" a="1"/>
  <c r="A367" a="1"/>
  <c r="A1562" a="1"/>
  <c r="A428" a="1"/>
  <c r="A515" a="1"/>
  <c r="A223" a="1"/>
  <c r="A238" a="1"/>
  <c r="A271" a="1"/>
  <c r="A1347" a="1"/>
  <c r="A683" a="1"/>
  <c r="A837" a="1"/>
  <c r="A806" a="1"/>
  <c r="A569" a="1"/>
  <c r="A70" a="1"/>
  <c r="A1396" a="1"/>
  <c r="A1656" a="1"/>
  <c r="A331" a="1"/>
  <c r="A1526" a="1"/>
  <c r="A393" a="1"/>
  <c r="A493" a="1"/>
  <c r="A176" a="1"/>
  <c r="A227" a="1"/>
  <c r="A13" a="1"/>
  <c r="A1328" a="1"/>
  <c r="A674" a="1"/>
  <c r="A819" a="1"/>
  <c r="A750" a="1"/>
  <c r="A565" a="1"/>
  <c r="A64" a="1"/>
  <c r="A1454" a="1"/>
  <c r="A1644" a="1"/>
  <c r="A325" a="1"/>
  <c r="A1722" a="1"/>
  <c r="A397" a="1"/>
  <c r="A487" a="1"/>
  <c r="A159" a="1"/>
  <c r="A189" a="1"/>
  <c r="A1726" a="1"/>
  <c r="A1373" a="1"/>
  <c r="A701" a="1"/>
  <c r="A680" a="1"/>
  <c r="A1305" a="1"/>
  <c r="A545" a="1"/>
  <c r="A90" a="1"/>
  <c r="A1432" a="1"/>
  <c r="A1668" a="1"/>
  <c r="A343" a="1"/>
  <c r="A1538" a="1"/>
  <c r="A410" a="1"/>
  <c r="A502" a="1"/>
  <c r="A193" a="1"/>
  <c r="A210" a="1"/>
  <c r="A7" a="1"/>
  <c r="A1361" a="1"/>
  <c r="A688" a="1"/>
  <c r="A652" a="1"/>
  <c r="A1734" a="1"/>
  <c r="A532" a="1"/>
  <c r="A75" a="1"/>
  <c r="A1414" a="1"/>
  <c r="A1662" a="1"/>
  <c r="A337" a="1"/>
  <c r="A1532" a="1"/>
  <c r="A402" a="1"/>
  <c r="A497" a="1"/>
  <c r="A185" a="1"/>
  <c r="A165" a="1"/>
  <c r="A10" a="1"/>
  <c r="A1343" a="1"/>
  <c r="A660" a="1"/>
  <c r="A791" a="1"/>
  <c r="A825" a="1"/>
  <c r="A547" a="1"/>
  <c r="A39" a="1"/>
  <c r="A1436" a="1"/>
  <c r="A1685" a="1"/>
  <c r="A342" a="1"/>
  <c r="A1704" a="1"/>
  <c r="A378" a="1"/>
  <c r="A469" a="1"/>
  <c r="A119" a="1"/>
  <c r="A141" a="1"/>
  <c r="A1608" a="1"/>
  <c r="A1370" a="1"/>
  <c r="A705" a="1"/>
  <c r="A667" a="1"/>
  <c r="A802" a="1"/>
  <c r="A594" a="1"/>
  <c r="A87" a="1"/>
  <c r="A1399" a="1"/>
  <c r="A1630" a="1"/>
  <c r="A1511" a="1"/>
  <c r="A1696" a="1"/>
  <c r="A1577" a="1"/>
  <c r="A484" a="1"/>
  <c r="A840" a="1"/>
  <c r="A139" a="1"/>
  <c r="A1600" a="1"/>
  <c r="A1337" a="1"/>
  <c r="A729" a="1"/>
  <c r="A703" a="1"/>
  <c r="A831" a="1"/>
  <c r="A536" a="1"/>
  <c r="A42" a="1"/>
  <c r="A1417" a="1"/>
  <c r="A1648" a="1"/>
  <c r="A1462" a="1"/>
  <c r="A1714" a="1"/>
  <c r="A1555" a="1"/>
  <c r="A388" a="1"/>
  <c r="A861" a="1"/>
  <c r="A110" a="1"/>
  <c r="A1624" a="1"/>
  <c r="A1325" a="1"/>
  <c r="A725" a="1"/>
  <c r="A699" a="1"/>
  <c r="A821" a="1"/>
  <c r="A606" a="1"/>
  <c r="A23" a="1"/>
  <c r="A1411" a="1"/>
  <c r="A1642" a="1"/>
  <c r="A1507" a="1"/>
  <c r="A1708" a="1"/>
  <c r="A1531" a="1"/>
  <c r="A500" a="1"/>
  <c r="A855" a="1"/>
  <c r="A96" a="1"/>
  <c r="A1612" a="1"/>
  <c r="A1363" a="1"/>
  <c r="A669" a="1"/>
  <c r="A647" a="1"/>
  <c r="A766" a="1"/>
  <c r="A571" a="1"/>
  <c r="A27" a="1"/>
  <c r="A1446" a="1"/>
  <c r="A1683" a="1"/>
  <c r="A1488" a="1"/>
  <c r="A1693" a="1"/>
  <c r="A1559" a="1"/>
  <c r="A466" a="1"/>
  <c r="A854" a="1"/>
  <c r="A99" a="1"/>
  <c r="A1615" a="1"/>
  <c r="A1747" a="1"/>
  <c r="A625" a="1"/>
  <c r="A737" a="1"/>
  <c r="A662" a="1"/>
  <c r="A530" a="1"/>
  <c r="A580" a="1"/>
  <c r="A1421" a="1"/>
  <c r="A1646" a="1"/>
  <c r="A1496" a="1"/>
  <c r="A346" a="1"/>
  <c r="A1534" a="1"/>
  <c r="A441" a="1"/>
  <c r="A438" a="1"/>
  <c r="A98" a="1"/>
  <c r="A157" a="1"/>
  <c r="A298" a="1"/>
  <c r="A624" a="1"/>
  <c r="A759" a="1"/>
  <c r="A712" a="1"/>
  <c r="A570" a="1"/>
  <c r="A614" a="1"/>
  <c r="A1439" a="1"/>
  <c r="A1682" a="1"/>
  <c r="A1501" a="1"/>
  <c r="A321" a="1"/>
  <c r="A1552" a="1"/>
  <c r="A471" a="1"/>
  <c r="A485" a="1"/>
  <c r="A116" a="1"/>
  <c r="A1592" a="1"/>
  <c r="A1751" a="1"/>
  <c r="A645" a="1"/>
  <c r="A755" a="1"/>
  <c r="A698" a="1"/>
  <c r="A566" a="1"/>
  <c r="A615" a="1"/>
  <c r="A1433" a="1"/>
  <c r="A1664" a="1"/>
  <c r="A1492" a="1"/>
  <c r="A333" a="1"/>
  <c r="A1546" a="1"/>
  <c r="A453" a="1"/>
  <c r="A467" a="1"/>
  <c r="A112" a="1"/>
  <c r="A255" a="1"/>
  <c r="A297" a="1"/>
  <c r="A263" a="1"/>
  <c r="A697" a="1"/>
  <c r="A828" a="1"/>
  <c r="A1319" a="1"/>
  <c r="A590" a="1"/>
  <c r="A1397" a="1"/>
  <c r="A1628" a="1"/>
  <c r="A1472" a="1"/>
  <c r="A368" a="1"/>
  <c r="A1543" a="1"/>
  <c r="A404" a="1"/>
  <c r="A462" a="1"/>
  <c r="A199" a="1"/>
  <c r="A132" a="1"/>
  <c r="A436" a="1"/>
  <c r="A1341" a="1"/>
  <c r="A782" a="1"/>
  <c r="A742" a="1"/>
  <c r="A716" a="1"/>
  <c r="A577" a="1"/>
  <c r="A19" a="1"/>
  <c r="A1382" a="1"/>
  <c r="A1684" a="1"/>
  <c r="A317" a="1"/>
  <c r="A1697" a="1"/>
  <c r="A1548" a="1"/>
  <c r="A437" a="1"/>
  <c r="A842" a="1"/>
  <c r="A216" a="1"/>
  <c r="A1607" a="1"/>
  <c r="A1368" a="1"/>
  <c r="A807" a="1"/>
  <c r="A760" a="1"/>
  <c r="A767" a="1"/>
  <c r="A595" a="1"/>
  <c r="A58" a="1"/>
  <c r="A1400" a="1"/>
  <c r="A1631" a="1"/>
  <c r="A347" a="1"/>
  <c r="A1715" a="1"/>
  <c r="A1566" a="1"/>
  <c r="A455" a="1"/>
  <c r="A875" a="1"/>
  <c r="A162" a="1"/>
  <c r="A1625" a="1"/>
  <c r="A1324" a="1"/>
  <c r="A801" a="1"/>
  <c r="A753" a="1"/>
  <c r="A738" a="1"/>
  <c r="A589" a="1"/>
  <c r="A53" a="1"/>
  <c r="A1394" a="1"/>
  <c r="A1675" a="1"/>
  <c r="A335" a="1"/>
  <c r="A1709" a="1"/>
  <c r="A1560" a="1"/>
  <c r="A449" a="1"/>
  <c r="A869" a="1"/>
  <c r="A140" a="1"/>
  <c r="A1619" a="1"/>
  <c r="A1353" a="1"/>
  <c r="A747" a="1"/>
  <c r="A724" a="1"/>
  <c r="A641" a="1"/>
  <c r="A554" a="1"/>
  <c r="A57" a="1"/>
  <c r="A1441" a="1"/>
  <c r="A1666" a="1"/>
  <c r="A1498" a="1"/>
  <c r="A1699" a="1"/>
  <c r="A1530" a="1"/>
  <c r="A419" a="1"/>
  <c r="A849" a="1"/>
  <c r="A150" a="1"/>
  <c r="A1627" a="1"/>
  <c r="A1358" a="1"/>
  <c r="A736" a="1"/>
  <c r="A717" a="1"/>
  <c r="A838" a="1"/>
  <c r="A540" a="1"/>
  <c r="A46" a="1"/>
  <c r="A1429" a="1"/>
  <c r="A1654" a="1"/>
  <c r="A1479" a="1"/>
  <c r="A1720" a="1"/>
  <c r="A1573" a="1"/>
  <c r="A406" a="1"/>
  <c r="A841" a="1"/>
  <c r="A123" a="1"/>
  <c r="A1603" a="1"/>
  <c r="A1379" a="1"/>
  <c r="A778" a="1"/>
  <c r="A735" a="1"/>
  <c r="A702" a="1"/>
  <c r="A572" a="1"/>
  <c r="A74" a="1"/>
  <c r="A1459" a="1"/>
  <c r="A1678" a="1"/>
  <c r="A305" a="1"/>
  <c r="A1691" a="1"/>
  <c r="A1542" a="1"/>
  <c r="A431" a="1"/>
  <c r="A874" a="1"/>
  <c r="A187" a="1"/>
  <c r="A1601" a="1"/>
  <c r="A1356" a="1"/>
  <c r="A761" a="1"/>
  <c r="A731" a="1"/>
  <c r="A689" a="1"/>
  <c r="A558" a="1"/>
  <c r="A68" a="1"/>
  <c r="A1447" a="1"/>
  <c r="A1672" a="1"/>
  <c r="A1506" a="1"/>
  <c r="A1723" a="1"/>
  <c r="A1536" a="1"/>
  <c r="A425" a="1"/>
  <c r="A868" a="1"/>
  <c r="A170" a="1"/>
  <c r="A1589" a="1"/>
  <c r="A1376" a="1"/>
  <c r="A709" a="1"/>
  <c r="A681" a="1"/>
  <c r="A812" a="1"/>
  <c r="A600" a="1"/>
  <c r="A92" a="1"/>
  <c r="A1405" a="1"/>
  <c r="A1636" a="1"/>
  <c r="A1467" a="1"/>
  <c r="A1702" a="1"/>
  <c r="A1583" a="1"/>
  <c r="A490" a="1"/>
  <c r="A847" a="1"/>
  <c r="A153" a="1"/>
  <c r="A1606" a="1"/>
  <c r="A1742" a="1"/>
  <c r="A637" a="1"/>
  <c r="A771" a="1"/>
  <c r="A734" a="1"/>
  <c r="A581" a="1"/>
  <c r="A555" a="1"/>
  <c r="A1445" a="1"/>
  <c r="A1688" a="1"/>
  <c r="A1480" a="1"/>
  <c r="A1694" a="1"/>
  <c r="A1558" a="1"/>
  <c r="A483" a="1"/>
  <c r="A501" a="1"/>
  <c r="A129" a="1"/>
  <c r="A1598" a="1"/>
  <c r="A1750" a="1"/>
  <c r="A664" a="1"/>
  <c r="A784" a="1"/>
  <c r="A773" a="1"/>
  <c r="A599" a="1"/>
  <c r="A1733" a="1"/>
  <c r="A1380" a="1"/>
  <c r="A1687" a="1"/>
  <c r="A1509" a="1"/>
  <c r="A1712" a="1"/>
  <c r="A1576" a="1"/>
  <c r="A499" a="1"/>
  <c r="A843" a="1"/>
  <c r="A148" a="1"/>
  <c r="A1616" a="1"/>
  <c r="A1738" a="1"/>
  <c r="A659" a="1"/>
  <c r="A779" a="1"/>
  <c r="A756" a="1"/>
  <c r="A593" a="1"/>
  <c r="A603" a="1"/>
  <c r="A1457" a="1"/>
  <c r="A1663" a="1"/>
  <c r="A1485" a="1"/>
  <c r="A1706" a="1"/>
  <c r="A1570" a="1"/>
  <c r="A495" a="1"/>
  <c r="A390" a="1"/>
  <c r="A144" a="1"/>
  <c r="A1610" a="1"/>
  <c r="A1749" a="1"/>
  <c r="A631" a="1"/>
  <c r="A741" a="1"/>
  <c r="A684" a="1"/>
  <c r="A552" a="1"/>
  <c r="A604" a="1"/>
  <c r="A1427" a="1"/>
  <c r="A1652" a="1"/>
  <c r="A1482" a="1"/>
  <c r="A357" a="1"/>
  <c r="A1540" a="1"/>
  <c r="A447" a="1"/>
  <c r="A486" a="1"/>
  <c r="A108" a="1"/>
  <c r="A201" a="1"/>
  <c r="A285" a="1"/>
  <c r="A1339" a="1"/>
  <c r="A726" a="1"/>
  <c r="A817" a="1"/>
  <c r="A1302" a="1"/>
  <c r="A608" a="1"/>
  <c r="A85" a="1"/>
  <c r="A1419" a="1"/>
  <c r="A1475" a="1"/>
  <c r="A350" a="1"/>
  <c r="A1574" a="1"/>
  <c r="A440" a="1"/>
  <c r="A525" a="1"/>
  <c r="A249" a="1"/>
  <c r="A109" a="1"/>
  <c r="A282" a="1"/>
  <c r="A1331" a="1"/>
  <c r="A744" a="1"/>
  <c r="A657" a="1"/>
  <c r="A1316" a="1"/>
  <c r="A609" a="1"/>
  <c r="A86" a="1"/>
  <c r="A1420" a="1"/>
  <c r="A1493" a="1"/>
  <c r="A327" a="1"/>
  <c r="A1585" a="1"/>
  <c r="A458" a="1"/>
  <c r="A505" a="1"/>
  <c r="A111" a="1"/>
  <c r="A158" a="1"/>
  <c r="A277" a="1"/>
  <c r="A1326" a="1"/>
  <c r="A740" a="1"/>
  <c r="A622" a="1"/>
  <c r="A1304" a="1"/>
  <c r="A597" a="1"/>
  <c r="A41" a="1"/>
  <c r="A1402" a="1"/>
  <c r="A1487" a="1"/>
  <c r="A315" a="1"/>
  <c r="A1537" a="1"/>
  <c r="A452" a="1"/>
  <c r="A491" a="1"/>
  <c r="A107" a="1"/>
  <c r="A136" a="1"/>
  <c r="A272" a="1"/>
  <c r="A1334" a="1"/>
  <c r="A710" a="1"/>
  <c r="A752" a="1"/>
  <c r="A1306" a="1"/>
  <c r="A573" a="1"/>
  <c r="A66" a="1"/>
  <c r="A1413" a="1"/>
  <c r="A1680" a="1"/>
  <c r="A361" a="1"/>
  <c r="A1550" a="1"/>
  <c r="A422" a="1"/>
  <c r="A511" a="1"/>
  <c r="A218" a="1"/>
  <c r="A230" a="1"/>
  <c r="A5" a="1"/>
  <c r="A1611" a="1"/>
  <c r="A1729" a="1"/>
  <c r="A633" a="1"/>
  <c r="A813" a="1"/>
  <c r="A686" a="1"/>
  <c r="A549" a="1"/>
  <c r="A1725" a="1"/>
  <c r="A1416" a="1"/>
  <c r="A1653" a="1"/>
  <c r="A1503" a="1"/>
  <c r="A1695" a="1"/>
  <c r="A1529" a="1"/>
  <c r="A396" a="1"/>
  <c r="A872" a="1"/>
  <c r="A225" a="1"/>
  <c r="A1605" a="1"/>
  <c r="A1736" a="1"/>
  <c r="A648" a="1"/>
  <c r="A630" a="1"/>
  <c r="A746" a="1"/>
  <c r="A562" a="1"/>
  <c r="A1517" a="1"/>
  <c r="A1434" a="1"/>
  <c r="A1671" a="1"/>
  <c r="A1461" a="1"/>
  <c r="A1713" a="1"/>
  <c r="A1547" a="1"/>
  <c r="A454" a="1"/>
  <c r="A859" a="1"/>
  <c r="A254" a="1"/>
  <c r="A1623" a="1"/>
  <c r="A1348" a="1"/>
  <c r="A643" a="1"/>
  <c r="A623" a="1"/>
  <c r="A713" a="1"/>
  <c r="A557" a="1"/>
  <c r="A1516" a="1"/>
  <c r="A1428" a="1"/>
  <c r="A1665" a="1"/>
  <c r="A1500" a="1"/>
  <c r="A1707" a="1"/>
  <c r="A1541" a="1"/>
  <c r="A448" a="1"/>
  <c r="A852" a="1"/>
  <c r="A250" a="1"/>
  <c r="A1617" a="1"/>
  <c r="A1728" a="1"/>
  <c r="A672" a="1"/>
  <c r="A798" a="1"/>
  <c r="A836" a="1"/>
  <c r="A617" a="1"/>
  <c r="A1732" a="1"/>
  <c r="A1398" a="1"/>
  <c r="A1635" a="1"/>
  <c r="A1474" a="1"/>
  <c r="A1724" a="1"/>
  <c r="A1525" a="1"/>
  <c r="A513" a="1"/>
  <c r="A857" a="1"/>
  <c r="A191" a="1"/>
  <c r="A1609" a="1"/>
  <c r="A1332" a="1"/>
  <c r="A668" a="1"/>
  <c r="A794" a="1"/>
  <c r="A800" a="1"/>
  <c r="A605" a="1"/>
  <c r="A1737" a="1"/>
  <c r="A1392" a="1"/>
  <c r="A1629" a="1"/>
  <c r="A1491" a="1"/>
  <c r="A1718" a="1"/>
  <c r="A1582" a="1"/>
  <c r="A503" a="1"/>
  <c r="A853" a="1"/>
  <c r="A156" a="1"/>
  <c r="A1622" a="1"/>
  <c r="A1524" a="1"/>
  <c r="A626" a="1"/>
  <c r="A808" a="1"/>
  <c r="A666" a="1"/>
  <c r="A544" a="1"/>
  <c r="A1515" a="1"/>
  <c r="A1410" a="1"/>
  <c r="A1647" a="1"/>
  <c r="A1495" a="1"/>
  <c r="A1689" a="1"/>
  <c r="A1579" a="1"/>
  <c r="A526" a="1"/>
  <c r="A867" a="1"/>
  <c r="A215" a="1"/>
  <c r="A1599" a="1"/>
  <c r="A1735" a="1"/>
  <c r="A677" a="1"/>
  <c r="A803" a="1"/>
  <c r="A635" a="1"/>
  <c r="A535" a="1"/>
  <c r="A1731" a="1"/>
  <c r="A1404" a="1"/>
  <c r="A1641" a="1"/>
  <c r="A1486" a="1"/>
  <c r="A1717" a="1"/>
  <c r="A1549" a="1"/>
  <c r="A521" a="1"/>
  <c r="A862" a="1"/>
  <c r="A205" a="1"/>
  <c r="A1587" a="1"/>
  <c r="A1748" a="1"/>
  <c r="A642" a="1"/>
  <c r="A775" a="1"/>
  <c r="A745" a="1"/>
  <c r="A587" a="1"/>
  <c r="A579" a="1"/>
  <c r="A1451" a="1"/>
  <c r="A1639" a="1"/>
  <c r="A1473" a="1"/>
  <c r="A1700" a="1"/>
  <c r="A1564" a="1"/>
  <c r="A489" a="1"/>
  <c r="A514" a="1"/>
  <c r="A135" a="1"/>
  <c r="A1604" a="1"/>
  <c r="A292" a="1"/>
  <c r="A1350" a="1"/>
  <c r="A751" a="1"/>
  <c r="A682" a="1"/>
  <c r="A1321" a="1"/>
  <c r="A618" a="1"/>
  <c r="A16" a="1"/>
  <c r="A1438" a="1"/>
  <c r="A1499" a="1"/>
  <c r="A339" a="1"/>
  <c r="A1533" a="1"/>
  <c r="A464" a="1"/>
  <c r="A450" a="1"/>
  <c r="A143" a="1"/>
  <c r="A167" a="1"/>
  <c r="A294" a="1"/>
  <c r="A1344" a="1"/>
  <c r="A640" a="1"/>
  <c r="A732" a="1"/>
  <c r="A1312" a="1"/>
  <c r="A586" a="1"/>
  <c r="A49" a="1"/>
  <c r="A1389" a="1"/>
  <c r="A1470" a="1"/>
  <c r="A316" a="1"/>
  <c r="A1551" a="1"/>
  <c r="A482" a="1"/>
  <c r="A506" a="1"/>
  <c r="A168" a="1"/>
  <c r="A240" a="1"/>
  <c r="A278" a="1"/>
  <c r="A1365" a="1"/>
  <c r="A628" a="1"/>
  <c r="A721" a="1"/>
  <c r="A1317" a="1"/>
  <c r="A563" a="1"/>
  <c r="A44" a="1"/>
  <c r="A1431" a="1"/>
  <c r="A1464" a="1"/>
  <c r="A304" a="1"/>
  <c r="A1545" a="1"/>
  <c r="A476" a="1"/>
  <c r="A492" a="1"/>
  <c r="A151" a="1"/>
  <c r="A212" a="1"/>
  <c r="A268" a="1"/>
  <c r="A1377" a="1"/>
  <c r="A733" a="1"/>
  <c r="A834" a="1"/>
  <c r="A1303" a="1"/>
  <c r="A546" a="1"/>
  <c r="A26" a="1"/>
  <c r="A1384" a="1"/>
  <c r="A1481" a="1"/>
  <c r="A374" a="1"/>
  <c r="A1586" a="1"/>
  <c r="A446" a="1"/>
  <c r="A473" a="1"/>
  <c r="A97" a="1"/>
  <c r="A122" a="1"/>
  <c r="A287" a="1"/>
  <c r="A1378" a="1"/>
  <c r="A830" a="1"/>
  <c r="A768" a="1"/>
  <c r="A776" a="1"/>
  <c r="A601" a="1"/>
  <c r="A69" a="1"/>
  <c r="A1406" a="1"/>
  <c r="A1637" a="1"/>
  <c r="A365" a="1"/>
  <c r="A1721" a="1"/>
  <c r="A1572" a="1"/>
  <c r="A400" a="1"/>
  <c r="A844" a="1"/>
  <c r="A171" a="1"/>
  <c r="A1597" a="1"/>
  <c r="A1366" a="1"/>
  <c r="A644" a="1"/>
  <c r="A781" a="1"/>
  <c r="A823" a="1"/>
  <c r="A533" a="1"/>
  <c r="A20" a="1"/>
  <c r="A1424" a="1"/>
  <c r="A1667" a="1"/>
  <c r="A324" a="1"/>
  <c r="A1692" a="1"/>
  <c r="A401" a="1"/>
  <c r="A439" a="1"/>
  <c r="A864" a="1"/>
  <c r="A114" a="1"/>
  <c r="A1596" a="1"/>
  <c r="A1355" a="1"/>
  <c r="A634" a="1"/>
  <c r="A777" a="1"/>
  <c r="A804" a="1"/>
  <c r="A619" a="1"/>
  <c r="A89" a="1"/>
  <c r="A1418" a="1"/>
  <c r="A1661" a="1"/>
  <c r="A312" a="1"/>
  <c r="A1727" a="1"/>
  <c r="A1584" a="1"/>
  <c r="A427" a="1"/>
  <c r="A858" a="1"/>
  <c r="A226" a="1"/>
  <c r="A1590" a="1"/>
  <c r="A1346" a="1"/>
  <c r="A788" a="1"/>
  <c r="A749" a="1"/>
  <c r="A727" a="1"/>
  <c r="A583" a="1"/>
  <c r="A28" a="1"/>
  <c r="A1388" a="1"/>
  <c r="A1651" a="1"/>
  <c r="A323" a="1"/>
  <c r="A1703" a="1"/>
  <c r="A1554" a="1"/>
  <c r="A443" a="1"/>
  <c r="A863" a="1"/>
  <c r="A234" a="1"/>
  <c r="A1613" a="1"/>
  <c r="A876" a="1"/>
  <c r="A285" l="1"/>
  <c r="A292"/>
  <c r="A290"/>
  <c r="A300"/>
  <c r="A287"/>
  <c r="A5"/>
  <c r="A13"/>
  <c r="A1608"/>
  <c r="A1621"/>
  <c r="A1613"/>
  <c r="A1627"/>
  <c r="A1606"/>
  <c r="A1615"/>
  <c r="A1611"/>
  <c r="A1609"/>
  <c r="A1604"/>
  <c r="A201"/>
  <c r="A132"/>
  <c r="A256"/>
  <c r="A184"/>
  <c r="A122"/>
  <c r="A230"/>
  <c r="A227"/>
  <c r="A141"/>
  <c r="A207"/>
  <c r="A234"/>
  <c r="A150"/>
  <c r="A153"/>
  <c r="A99"/>
  <c r="A242"/>
  <c r="A191"/>
  <c r="A135"/>
  <c r="A108"/>
  <c r="A199"/>
  <c r="A181"/>
  <c r="A147"/>
  <c r="A97"/>
  <c r="A218"/>
  <c r="A176"/>
  <c r="A119"/>
  <c r="A850"/>
  <c r="A863"/>
  <c r="A849"/>
  <c r="A847"/>
  <c r="A854"/>
  <c r="A876"/>
  <c r="A857"/>
  <c r="A514"/>
  <c r="A486"/>
  <c r="A462"/>
  <c r="A496"/>
  <c r="A474"/>
  <c r="A473"/>
  <c r="A511"/>
  <c r="A493"/>
  <c r="A469"/>
  <c r="A421"/>
  <c r="A443"/>
  <c r="A419"/>
  <c r="A490"/>
  <c r="A466"/>
  <c r="A436"/>
  <c r="A513"/>
  <c r="A489"/>
  <c r="A447"/>
  <c r="A404"/>
  <c r="A498"/>
  <c r="A470"/>
  <c r="A446"/>
  <c r="A422"/>
  <c r="A393"/>
  <c r="A378"/>
  <c r="A1578"/>
  <c r="A1554"/>
  <c r="A1530"/>
  <c r="A1583"/>
  <c r="A1559"/>
  <c r="A1535"/>
  <c r="A1525"/>
  <c r="A1564"/>
  <c r="A1540"/>
  <c r="A1543"/>
  <c r="A1563"/>
  <c r="A1539"/>
  <c r="A1586"/>
  <c r="A1550"/>
  <c r="A1526"/>
  <c r="A1704"/>
  <c r="A1705"/>
  <c r="A1703"/>
  <c r="A1699"/>
  <c r="A1702"/>
  <c r="A1693"/>
  <c r="A1701"/>
  <c r="A1724"/>
  <c r="A1700"/>
  <c r="A357"/>
  <c r="A368"/>
  <c r="A364"/>
  <c r="A351"/>
  <c r="A374"/>
  <c r="A361"/>
  <c r="A331"/>
  <c r="A342"/>
  <c r="A377"/>
  <c r="A323"/>
  <c r="A1498"/>
  <c r="A1467"/>
  <c r="A1488"/>
  <c r="A1510"/>
  <c r="A1474"/>
  <c r="A1473"/>
  <c r="A1482"/>
  <c r="A1472"/>
  <c r="A1477"/>
  <c r="A1505"/>
  <c r="A1481"/>
  <c r="A1680"/>
  <c r="A1656"/>
  <c r="A1685"/>
  <c r="A1649"/>
  <c r="A1651"/>
  <c r="A1666"/>
  <c r="A1636"/>
  <c r="A1683"/>
  <c r="A1659"/>
  <c r="A1635"/>
  <c r="A1639"/>
  <c r="A1652"/>
  <c r="A1628"/>
  <c r="A1425"/>
  <c r="A1456"/>
  <c r="A1384"/>
  <c r="A1413"/>
  <c r="A1396"/>
  <c r="A1436"/>
  <c r="A1412"/>
  <c r="A1388"/>
  <c r="A1441"/>
  <c r="A1405"/>
  <c r="A1446"/>
  <c r="A1422"/>
  <c r="A1398"/>
  <c r="A1451"/>
  <c r="A1427"/>
  <c r="A1397"/>
  <c r="A45"/>
  <c r="A30"/>
  <c r="A26"/>
  <c r="A66"/>
  <c r="A70"/>
  <c r="A39"/>
  <c r="A80"/>
  <c r="A28"/>
  <c r="A57"/>
  <c r="A92"/>
  <c r="A27"/>
  <c r="A1519"/>
  <c r="A1732"/>
  <c r="A579"/>
  <c r="A604"/>
  <c r="A590"/>
  <c r="A610"/>
  <c r="A537"/>
  <c r="A546"/>
  <c r="A573"/>
  <c r="A569"/>
  <c r="A547"/>
  <c r="A613"/>
  <c r="A583"/>
  <c r="A554"/>
  <c r="A600"/>
  <c r="A571"/>
  <c r="A553"/>
  <c r="A617"/>
  <c r="A587"/>
  <c r="A552"/>
  <c r="A1319"/>
  <c r="A1313"/>
  <c r="A1311"/>
  <c r="A1303"/>
  <c r="A1306"/>
  <c r="A806"/>
  <c r="A825"/>
  <c r="A785"/>
  <c r="A727"/>
  <c r="A641"/>
  <c r="A812"/>
  <c r="A766"/>
  <c r="A700"/>
  <c r="A836"/>
  <c r="A745"/>
  <c r="A684"/>
  <c r="A828"/>
  <c r="A790"/>
  <c r="A708"/>
  <c r="A834"/>
  <c r="A752"/>
  <c r="A837"/>
  <c r="A791"/>
  <c r="A772"/>
  <c r="A749"/>
  <c r="A724"/>
  <c r="A681"/>
  <c r="A647"/>
  <c r="A827"/>
  <c r="A798"/>
  <c r="A775"/>
  <c r="A741"/>
  <c r="A697"/>
  <c r="A656"/>
  <c r="A758"/>
  <c r="A733"/>
  <c r="A710"/>
  <c r="A683"/>
  <c r="A660"/>
  <c r="A627"/>
  <c r="A788"/>
  <c r="A747"/>
  <c r="A709"/>
  <c r="A669"/>
  <c r="A638"/>
  <c r="A672"/>
  <c r="A642"/>
  <c r="A631"/>
  <c r="A263"/>
  <c r="A1333"/>
  <c r="A1374"/>
  <c r="A1377"/>
  <c r="A1334"/>
  <c r="A1347"/>
  <c r="A1343"/>
  <c r="A1352"/>
  <c r="A1346"/>
  <c r="A1353"/>
  <c r="A1376"/>
  <c r="A1363"/>
  <c r="A1730"/>
  <c r="A1728"/>
  <c r="A1748"/>
  <c r="A1749"/>
  <c r="A297"/>
  <c r="A284"/>
  <c r="A270"/>
  <c r="A268"/>
  <c r="A272"/>
  <c r="A271"/>
  <c r="A10"/>
  <c r="A1614"/>
  <c r="A1590"/>
  <c r="A1619"/>
  <c r="A1589"/>
  <c r="A1612"/>
  <c r="A1588"/>
  <c r="A1617"/>
  <c r="A1587"/>
  <c r="A1610"/>
  <c r="A255"/>
  <c r="A192"/>
  <c r="A221"/>
  <c r="A212"/>
  <c r="A136"/>
  <c r="A238"/>
  <c r="A165"/>
  <c r="A154"/>
  <c r="A226"/>
  <c r="A140"/>
  <c r="A170"/>
  <c r="A96"/>
  <c r="A103"/>
  <c r="A250"/>
  <c r="A205"/>
  <c r="A144"/>
  <c r="A112"/>
  <c r="A209"/>
  <c r="A186"/>
  <c r="A151"/>
  <c r="A107"/>
  <c r="A223"/>
  <c r="A185"/>
  <c r="A128"/>
  <c r="A858"/>
  <c r="A869"/>
  <c r="A868"/>
  <c r="A855"/>
  <c r="A866"/>
  <c r="A852"/>
  <c r="A862"/>
  <c r="A390"/>
  <c r="A467"/>
  <c r="A510"/>
  <c r="A509"/>
  <c r="A492"/>
  <c r="A491"/>
  <c r="A515"/>
  <c r="A497"/>
  <c r="A475"/>
  <c r="A427"/>
  <c r="A449"/>
  <c r="A425"/>
  <c r="A500"/>
  <c r="A472"/>
  <c r="A448"/>
  <c r="A521"/>
  <c r="A495"/>
  <c r="A453"/>
  <c r="A411"/>
  <c r="A512"/>
  <c r="A476"/>
  <c r="A452"/>
  <c r="A428"/>
  <c r="A402"/>
  <c r="A385"/>
  <c r="A1584"/>
  <c r="A1560"/>
  <c r="A1536"/>
  <c r="A1531"/>
  <c r="A1565"/>
  <c r="A1541"/>
  <c r="A1549"/>
  <c r="A1570"/>
  <c r="A1546"/>
  <c r="A1567"/>
  <c r="A1569"/>
  <c r="A1545"/>
  <c r="A1537"/>
  <c r="A1562"/>
  <c r="A1532"/>
  <c r="A1710"/>
  <c r="A1727"/>
  <c r="A1709"/>
  <c r="A1723"/>
  <c r="A1708"/>
  <c r="A1711"/>
  <c r="A1707"/>
  <c r="A1717"/>
  <c r="A1706"/>
  <c r="A333"/>
  <c r="A322"/>
  <c r="A308"/>
  <c r="A304"/>
  <c r="A315"/>
  <c r="A367"/>
  <c r="A337"/>
  <c r="A366"/>
  <c r="A312"/>
  <c r="A335"/>
  <c r="A1506"/>
  <c r="A1507"/>
  <c r="A1497"/>
  <c r="A1500"/>
  <c r="A1486"/>
  <c r="A1485"/>
  <c r="A1492"/>
  <c r="A1478"/>
  <c r="A1483"/>
  <c r="A1464"/>
  <c r="A1487"/>
  <c r="A1686"/>
  <c r="A1662"/>
  <c r="A1657"/>
  <c r="A1661"/>
  <c r="A1675"/>
  <c r="A1672"/>
  <c r="A1642"/>
  <c r="A1633"/>
  <c r="A1665"/>
  <c r="A1641"/>
  <c r="A1663"/>
  <c r="A1664"/>
  <c r="A1634"/>
  <c r="A1395"/>
  <c r="A1431"/>
  <c r="A1402"/>
  <c r="A1383"/>
  <c r="A1414"/>
  <c r="A1442"/>
  <c r="A1418"/>
  <c r="A1394"/>
  <c r="A1447"/>
  <c r="A1411"/>
  <c r="A1381"/>
  <c r="A1428"/>
  <c r="A1404"/>
  <c r="A1457"/>
  <c r="A1433"/>
  <c r="A1403"/>
  <c r="A77"/>
  <c r="A44"/>
  <c r="A41"/>
  <c r="A25"/>
  <c r="A75"/>
  <c r="A43"/>
  <c r="A89"/>
  <c r="A53"/>
  <c r="A68"/>
  <c r="A23"/>
  <c r="A32"/>
  <c r="A1516"/>
  <c r="A1731"/>
  <c r="A603"/>
  <c r="A615"/>
  <c r="A602"/>
  <c r="A620"/>
  <c r="A563"/>
  <c r="A597"/>
  <c r="A584"/>
  <c r="A532"/>
  <c r="A551"/>
  <c r="A619"/>
  <c r="A589"/>
  <c r="A558"/>
  <c r="A606"/>
  <c r="A576"/>
  <c r="A557"/>
  <c r="A535"/>
  <c r="A593"/>
  <c r="A566"/>
  <c r="A1320"/>
  <c r="A1318"/>
  <c r="A1317"/>
  <c r="A1304"/>
  <c r="A1301"/>
  <c r="A1734"/>
  <c r="A718"/>
  <c r="A804"/>
  <c r="A738"/>
  <c r="A689"/>
  <c r="A821"/>
  <c r="A783"/>
  <c r="A713"/>
  <c r="A635"/>
  <c r="A756"/>
  <c r="A698"/>
  <c r="A835"/>
  <c r="A799"/>
  <c r="A721"/>
  <c r="A622"/>
  <c r="A762"/>
  <c r="A652"/>
  <c r="A805"/>
  <c r="A777"/>
  <c r="A753"/>
  <c r="A731"/>
  <c r="A699"/>
  <c r="A658"/>
  <c r="A623"/>
  <c r="A803"/>
  <c r="A779"/>
  <c r="A755"/>
  <c r="A715"/>
  <c r="A661"/>
  <c r="A628"/>
  <c r="A740"/>
  <c r="A719"/>
  <c r="A688"/>
  <c r="A665"/>
  <c r="A634"/>
  <c r="A801"/>
  <c r="A761"/>
  <c r="A725"/>
  <c r="A687"/>
  <c r="A643"/>
  <c r="A677"/>
  <c r="A659"/>
  <c r="A645"/>
  <c r="A260"/>
  <c r="A1362"/>
  <c r="A1365"/>
  <c r="A1326"/>
  <c r="A1329"/>
  <c r="A1361"/>
  <c r="A1349"/>
  <c r="A1355"/>
  <c r="A1324"/>
  <c r="A1356"/>
  <c r="A1325"/>
  <c r="A1371"/>
  <c r="A1348"/>
  <c r="A1735"/>
  <c r="A1738"/>
  <c r="A1751"/>
  <c r="A296"/>
  <c r="A280"/>
  <c r="A278"/>
  <c r="A277"/>
  <c r="A276"/>
  <c r="A7"/>
  <c r="A1626"/>
  <c r="A1596"/>
  <c r="A1625"/>
  <c r="A1601"/>
  <c r="A1624"/>
  <c r="A1594"/>
  <c r="A1623"/>
  <c r="A1599"/>
  <c r="A1616"/>
  <c r="A1592"/>
  <c r="A247"/>
  <c r="A231"/>
  <c r="A240"/>
  <c r="A158"/>
  <c r="A246"/>
  <c r="A210"/>
  <c r="A180"/>
  <c r="A114"/>
  <c r="A162"/>
  <c r="A187"/>
  <c r="A110"/>
  <c r="A117"/>
  <c r="A254"/>
  <c r="A215"/>
  <c r="A148"/>
  <c r="A116"/>
  <c r="A258"/>
  <c r="A190"/>
  <c r="A168"/>
  <c r="A111"/>
  <c r="A244"/>
  <c r="A193"/>
  <c r="A142"/>
  <c r="A864"/>
  <c r="A875"/>
  <c r="A874"/>
  <c r="A861"/>
  <c r="A873"/>
  <c r="A859"/>
  <c r="A867"/>
  <c r="A843"/>
  <c r="A485"/>
  <c r="A399"/>
  <c r="A523"/>
  <c r="A506"/>
  <c r="A505"/>
  <c r="A520"/>
  <c r="A502"/>
  <c r="A481"/>
  <c r="A439"/>
  <c r="A455"/>
  <c r="A431"/>
  <c r="A388"/>
  <c r="A478"/>
  <c r="A454"/>
  <c r="A526"/>
  <c r="A499"/>
  <c r="A471"/>
  <c r="A417"/>
  <c r="A516"/>
  <c r="A482"/>
  <c r="A458"/>
  <c r="A434"/>
  <c r="A410"/>
  <c r="A391"/>
  <c r="A401"/>
  <c r="A1566"/>
  <c r="A1542"/>
  <c r="A1555"/>
  <c r="A1571"/>
  <c r="A1547"/>
  <c r="A1579"/>
  <c r="A1576"/>
  <c r="A1552"/>
  <c r="A1528"/>
  <c r="A1575"/>
  <c r="A1551"/>
  <c r="A1585"/>
  <c r="A1568"/>
  <c r="A1538"/>
  <c r="A1716"/>
  <c r="A1692"/>
  <c r="A1715"/>
  <c r="A1691"/>
  <c r="A1714"/>
  <c r="A1690"/>
  <c r="A1713"/>
  <c r="A1689"/>
  <c r="A1712"/>
  <c r="A321"/>
  <c r="A334"/>
  <c r="A332"/>
  <c r="A316"/>
  <c r="A327"/>
  <c r="A314"/>
  <c r="A343"/>
  <c r="A307"/>
  <c r="A324"/>
  <c r="A347"/>
  <c r="A305"/>
  <c r="A1462"/>
  <c r="A1504"/>
  <c r="A1461"/>
  <c r="A1495"/>
  <c r="A1509"/>
  <c r="A1501"/>
  <c r="A1484"/>
  <c r="A1460"/>
  <c r="A1470"/>
  <c r="A1493"/>
  <c r="A1469"/>
  <c r="A1668"/>
  <c r="A1638"/>
  <c r="A1667"/>
  <c r="A1631"/>
  <c r="A1678"/>
  <c r="A1648"/>
  <c r="A1669"/>
  <c r="A1671"/>
  <c r="A1647"/>
  <c r="A1687"/>
  <c r="A1682"/>
  <c r="A1640"/>
  <c r="A1426"/>
  <c r="A1389"/>
  <c r="A1420"/>
  <c r="A1401"/>
  <c r="A1432"/>
  <c r="A1448"/>
  <c r="A1424"/>
  <c r="A1400"/>
  <c r="A1459"/>
  <c r="A1417"/>
  <c r="A1387"/>
  <c r="A1434"/>
  <c r="A1410"/>
  <c r="A1380"/>
  <c r="A1439"/>
  <c r="A1415"/>
  <c r="A1385"/>
  <c r="A49"/>
  <c r="A86"/>
  <c r="A71"/>
  <c r="A90"/>
  <c r="A48"/>
  <c r="A20"/>
  <c r="A58"/>
  <c r="A74"/>
  <c r="A42"/>
  <c r="A62"/>
  <c r="A1517"/>
  <c r="A1515"/>
  <c r="A1733"/>
  <c r="A614"/>
  <c r="A542"/>
  <c r="A564"/>
  <c r="A586"/>
  <c r="A609"/>
  <c r="A596"/>
  <c r="A545"/>
  <c r="A556"/>
  <c r="A533"/>
  <c r="A595"/>
  <c r="A572"/>
  <c r="A536"/>
  <c r="A588"/>
  <c r="A562"/>
  <c r="A544"/>
  <c r="A599"/>
  <c r="A570"/>
  <c r="A1309"/>
  <c r="A1314"/>
  <c r="A1312"/>
  <c r="A1316"/>
  <c r="A1307"/>
  <c r="A1305"/>
  <c r="A787"/>
  <c r="A823"/>
  <c r="A767"/>
  <c r="A702"/>
  <c r="A831"/>
  <c r="A793"/>
  <c r="A746"/>
  <c r="A666"/>
  <c r="A773"/>
  <c r="A712"/>
  <c r="A629"/>
  <c r="A809"/>
  <c r="A732"/>
  <c r="A657"/>
  <c r="A789"/>
  <c r="A680"/>
  <c r="A810"/>
  <c r="A781"/>
  <c r="A760"/>
  <c r="A735"/>
  <c r="A703"/>
  <c r="A663"/>
  <c r="A630"/>
  <c r="A808"/>
  <c r="A784"/>
  <c r="A759"/>
  <c r="A730"/>
  <c r="A679"/>
  <c r="A640"/>
  <c r="A744"/>
  <c r="A722"/>
  <c r="A701"/>
  <c r="A670"/>
  <c r="A644"/>
  <c r="A807"/>
  <c r="A778"/>
  <c r="A729"/>
  <c r="A691"/>
  <c r="A648"/>
  <c r="A626"/>
  <c r="A664"/>
  <c r="A624"/>
  <c r="A264"/>
  <c r="A1351"/>
  <c r="A1344"/>
  <c r="A1331"/>
  <c r="A1330"/>
  <c r="A1373"/>
  <c r="A1375"/>
  <c r="A1366"/>
  <c r="A1368"/>
  <c r="A1379"/>
  <c r="A1337"/>
  <c r="A1335"/>
  <c r="A1736"/>
  <c r="A1524"/>
  <c r="A1750"/>
  <c r="A298"/>
  <c r="A291"/>
  <c r="A301"/>
  <c r="A294"/>
  <c r="A282"/>
  <c r="A4"/>
  <c r="A1726"/>
  <c r="A1602"/>
  <c r="A1597"/>
  <c r="A1607"/>
  <c r="A1603"/>
  <c r="A1600"/>
  <c r="A1591"/>
  <c r="A1605"/>
  <c r="A1622"/>
  <c r="A1598"/>
  <c r="A157"/>
  <c r="A239"/>
  <c r="A248"/>
  <c r="A167"/>
  <c r="A109"/>
  <c r="A220"/>
  <c r="A189"/>
  <c r="A127"/>
  <c r="A171"/>
  <c r="A216"/>
  <c r="A123"/>
  <c r="A139"/>
  <c r="A94"/>
  <c r="A225"/>
  <c r="A156"/>
  <c r="A129"/>
  <c r="A98"/>
  <c r="A194"/>
  <c r="A173"/>
  <c r="A143"/>
  <c r="A249"/>
  <c r="A208"/>
  <c r="A159"/>
  <c r="A870"/>
  <c r="A844"/>
  <c r="A842"/>
  <c r="A841"/>
  <c r="A840"/>
  <c r="A865"/>
  <c r="A872"/>
  <c r="A853"/>
  <c r="A501"/>
  <c r="A438"/>
  <c r="A426"/>
  <c r="A479"/>
  <c r="A450"/>
  <c r="A525"/>
  <c r="A507"/>
  <c r="A487"/>
  <c r="A457"/>
  <c r="A400"/>
  <c r="A437"/>
  <c r="A406"/>
  <c r="A484"/>
  <c r="A460"/>
  <c r="A396"/>
  <c r="A503"/>
  <c r="A483"/>
  <c r="A441"/>
  <c r="A394"/>
  <c r="A488"/>
  <c r="A464"/>
  <c r="A440"/>
  <c r="A416"/>
  <c r="A397"/>
  <c r="A407"/>
  <c r="A1572"/>
  <c r="A1548"/>
  <c r="A1573"/>
  <c r="A1577"/>
  <c r="A1553"/>
  <c r="A1529"/>
  <c r="A1582"/>
  <c r="A1558"/>
  <c r="A1534"/>
  <c r="A1581"/>
  <c r="A1557"/>
  <c r="A1533"/>
  <c r="A1574"/>
  <c r="A1544"/>
  <c r="A1722"/>
  <c r="A1698"/>
  <c r="A1721"/>
  <c r="A1697"/>
  <c r="A1720"/>
  <c r="A1696"/>
  <c r="A1719"/>
  <c r="A1695"/>
  <c r="A1718"/>
  <c r="A1694"/>
  <c r="A346"/>
  <c r="A344"/>
  <c r="A352"/>
  <c r="A339"/>
  <c r="A350"/>
  <c r="A349"/>
  <c r="A325"/>
  <c r="A336"/>
  <c r="A365"/>
  <c r="A317"/>
  <c r="A1479"/>
  <c r="A1511"/>
  <c r="A1476"/>
  <c r="A1503"/>
  <c r="A1491"/>
  <c r="A1480"/>
  <c r="A1496"/>
  <c r="A1466"/>
  <c r="A1471"/>
  <c r="A1499"/>
  <c r="A1475"/>
  <c r="A1674"/>
  <c r="A1644"/>
  <c r="A1679"/>
  <c r="A1637"/>
  <c r="A1684"/>
  <c r="A1654"/>
  <c r="A1630"/>
  <c r="A1677"/>
  <c r="A1653"/>
  <c r="A1629"/>
  <c r="A1688"/>
  <c r="A1646"/>
  <c r="A1444"/>
  <c r="A1407"/>
  <c r="A1438"/>
  <c r="A1419"/>
  <c r="A1450"/>
  <c r="A1454"/>
  <c r="A1430"/>
  <c r="A1406"/>
  <c r="A1382"/>
  <c r="A1429"/>
  <c r="A1399"/>
  <c r="A1440"/>
  <c r="A1416"/>
  <c r="A1392"/>
  <c r="A1445"/>
  <c r="A1421"/>
  <c r="A1391"/>
  <c r="A65"/>
  <c r="A16"/>
  <c r="A85"/>
  <c r="A50"/>
  <c r="A64"/>
  <c r="A29"/>
  <c r="A69"/>
  <c r="A19"/>
  <c r="A46"/>
  <c r="A87"/>
  <c r="A1518"/>
  <c r="A1725"/>
  <c r="A1737"/>
  <c r="A555"/>
  <c r="A580"/>
  <c r="A578"/>
  <c r="A598"/>
  <c r="A618"/>
  <c r="A608"/>
  <c r="A559"/>
  <c r="A565"/>
  <c r="A538"/>
  <c r="A601"/>
  <c r="A577"/>
  <c r="A540"/>
  <c r="A594"/>
  <c r="A567"/>
  <c r="A549"/>
  <c r="A605"/>
  <c r="A581"/>
  <c r="A530"/>
  <c r="A1315"/>
  <c r="A1308"/>
  <c r="A1321"/>
  <c r="A1302"/>
  <c r="A1300"/>
  <c r="A750"/>
  <c r="A704"/>
  <c r="A776"/>
  <c r="A716"/>
  <c r="A838"/>
  <c r="A802"/>
  <c r="A757"/>
  <c r="A686"/>
  <c r="A800"/>
  <c r="A734"/>
  <c r="A662"/>
  <c r="A818"/>
  <c r="A763"/>
  <c r="A682"/>
  <c r="A817"/>
  <c r="A720"/>
  <c r="A819"/>
  <c r="A786"/>
  <c r="A768"/>
  <c r="A742"/>
  <c r="A717"/>
  <c r="A667"/>
  <c r="A636"/>
  <c r="A813"/>
  <c r="A794"/>
  <c r="A771"/>
  <c r="A737"/>
  <c r="A693"/>
  <c r="A651"/>
  <c r="A751"/>
  <c r="A726"/>
  <c r="A706"/>
  <c r="A674"/>
  <c r="A655"/>
  <c r="A830"/>
  <c r="A782"/>
  <c r="A736"/>
  <c r="A705"/>
  <c r="A654"/>
  <c r="A633"/>
  <c r="A668"/>
  <c r="A637"/>
  <c r="A625"/>
  <c r="A266"/>
  <c r="A1360"/>
  <c r="A1350"/>
  <c r="A1339"/>
  <c r="A1354"/>
  <c r="A1328"/>
  <c r="A1340"/>
  <c r="A1378"/>
  <c r="A1341"/>
  <c r="A1358"/>
  <c r="A1370"/>
  <c r="A1345"/>
  <c r="A1729"/>
  <c r="A1332"/>
  <c r="A1742"/>
  <c r="A1747"/>
  <c r="A1740"/>
  <c r="AL48"/>
  <c r="AE66"/>
  <c r="AE57"/>
  <c r="AE51"/>
  <c r="AE58"/>
  <c r="AE53"/>
  <c r="AE52"/>
  <c r="AE50"/>
  <c r="AE49"/>
  <c r="AL47"/>
  <c r="AL58"/>
  <c r="R6" i="22"/>
  <c r="S6" s="1"/>
  <c r="AB14" i="7"/>
  <c r="AG14"/>
  <c r="AB19"/>
  <c r="AF19"/>
  <c r="AF22"/>
  <c r="AB22"/>
  <c r="AG8"/>
  <c r="AF8"/>
  <c r="AF4"/>
  <c r="AF13"/>
  <c r="AB13"/>
  <c r="AG4"/>
  <c r="AF15"/>
  <c r="AB15"/>
  <c r="AF6"/>
  <c r="AB6"/>
  <c r="AF17"/>
  <c r="AB17"/>
  <c r="AF12"/>
  <c r="AB12"/>
  <c r="AG6"/>
  <c r="AG7"/>
  <c r="AB7"/>
  <c r="AG9"/>
  <c r="AB9"/>
  <c r="AF10"/>
  <c r="AB10"/>
  <c r="AF20"/>
  <c r="AB20"/>
  <c r="AF5"/>
  <c r="AB5"/>
  <c r="AF11"/>
  <c r="AB11"/>
  <c r="AF18"/>
  <c r="AB18"/>
  <c r="AF3"/>
  <c r="AB3"/>
  <c r="AG21"/>
  <c r="AB21"/>
  <c r="AG10"/>
  <c r="AG15"/>
  <c r="AG5"/>
  <c r="AG12"/>
  <c r="AG18"/>
  <c r="AG20"/>
  <c r="AF16"/>
  <c r="AE25"/>
  <c r="AF25" s="1"/>
  <c r="AG16"/>
  <c r="AG11"/>
  <c r="AG17"/>
  <c r="W4"/>
  <c r="X4" s="1"/>
  <c r="A283" i="5" a="1"/>
  <c r="A288" a="1"/>
  <c r="A845" a="1"/>
  <c r="A1468" a="1"/>
  <c r="A591" a="1"/>
  <c r="A1676" a="1"/>
  <c r="A938" a="1"/>
  <c r="A920" a="1"/>
  <c r="A1267" a="1"/>
  <c r="A1054" a="1"/>
  <c r="A1163" a="1"/>
  <c r="A956" a="1"/>
  <c r="A279" a="1"/>
  <c r="A78" a="1"/>
  <c r="A650" a="1"/>
  <c r="A517" a="1"/>
  <c r="A329" a="1"/>
  <c r="A355" a="1"/>
  <c r="A891" a="1"/>
  <c r="A1088" a="1"/>
  <c r="A1213" a="1"/>
  <c r="A1295" a="1"/>
  <c r="A1104" a="1"/>
  <c r="A1266" a="1"/>
  <c r="A1292" a="1"/>
  <c r="A163" a="1"/>
  <c r="A1453" a="1"/>
  <c r="A113" a="1"/>
  <c r="A106" a="1"/>
  <c r="A444" a="1"/>
  <c r="A1015" a="1"/>
  <c r="A1005" a="1"/>
  <c r="A1136" a="1"/>
  <c r="A1220" a="1"/>
  <c r="A971" a="1"/>
  <c r="A945" a="1"/>
  <c r="A1069" a="1"/>
  <c r="A739" a="1"/>
  <c r="A424" a="1"/>
  <c r="A166" a="1"/>
  <c r="A200" a="1"/>
  <c r="A228" a="1"/>
  <c r="A988" a="1"/>
  <c r="A975" a="1"/>
  <c r="A1101" a="1"/>
  <c r="A1190" a="1"/>
  <c r="A1296" a="1"/>
  <c r="A1247" a="1"/>
  <c r="A1171" a="1"/>
  <c r="A694" a="1"/>
  <c r="A1556" a="1"/>
  <c r="A1645" a="1"/>
  <c r="A534" a="1"/>
  <c r="A711" a="1"/>
  <c r="A780" a="1"/>
  <c r="A1021" a="1"/>
  <c r="A879" a="1"/>
  <c r="A1033" a="1"/>
  <c r="A1132" a="1"/>
  <c r="A1234" a="1"/>
  <c r="A1287" a="1"/>
  <c r="A1310" a="1"/>
  <c r="A182" a="1"/>
  <c r="A382" a="1"/>
  <c r="A91" a="1"/>
  <c r="A561" a="1"/>
  <c r="A1423" a="1"/>
  <c r="A952" a="1"/>
  <c r="A934" a="1"/>
  <c r="A1289" a="1"/>
  <c r="A1081" a="1"/>
  <c r="A1180" a="1"/>
  <c r="A1114" a="1"/>
  <c r="A281" a="1"/>
  <c r="A35" a="1"/>
  <c r="A678" a="1"/>
  <c r="A412" a="1"/>
  <c r="A360" a="1"/>
  <c r="A338" a="1"/>
  <c r="A887" a="1"/>
  <c r="A1083" a="1"/>
  <c r="A1207" a="1"/>
  <c r="A1290" a="1"/>
  <c r="A1098" a="1"/>
  <c r="A1248" a="1"/>
  <c r="A1744" a="1"/>
  <c r="A306" a="1"/>
  <c r="A63" a="1"/>
  <c r="A203" a="1"/>
  <c r="A442" a="1"/>
  <c r="A494" a="1"/>
  <c r="A1050" a="1"/>
  <c r="A1057" a="1"/>
  <c r="A1177" a="1"/>
  <c r="A1262" a="1"/>
  <c r="A1047" a="1"/>
  <c r="A1159" a="1"/>
  <c r="A1187" a="1"/>
  <c r="A408" a="1"/>
  <c r="A592" a="1"/>
  <c r="A764" a="1"/>
  <c r="A261" a="1"/>
  <c r="A3" a="1"/>
  <c r="A922" a="1"/>
  <c r="A883" a="1"/>
  <c r="A991" a="1"/>
  <c r="A1117" a="1"/>
  <c r="A1209" a="1"/>
  <c r="A941" a="1"/>
  <c r="A1130" a="1"/>
  <c r="A131" a="1"/>
  <c r="A373" a="1"/>
  <c r="A56" a="1"/>
  <c r="A833" a="1"/>
  <c r="A1372" a="1"/>
  <c r="A714" a="1"/>
  <c r="A1035" a="1"/>
  <c r="A898" a="1"/>
  <c r="A1064" a="1"/>
  <c r="A1150" a="1"/>
  <c r="A1252" a="1"/>
  <c r="A1206" a="1"/>
  <c r="A433" a="1"/>
  <c r="A217" a="1"/>
  <c r="A524" a="1"/>
  <c r="A1435" a="1"/>
  <c r="A560" a="1"/>
  <c r="A1449" a="1"/>
  <c r="A948" a="1"/>
  <c r="A930" a="1"/>
  <c r="A1283" a="1"/>
  <c r="A1074" a="1"/>
  <c r="A1174" a="1"/>
  <c r="A1099" a="1"/>
  <c r="A459" a="1"/>
  <c r="A770" a="1"/>
  <c r="A160" a="1"/>
  <c r="A362" a="1"/>
  <c r="A47" a="1"/>
  <c r="A1508" a="1"/>
  <c r="A918" a="1"/>
  <c r="A906" a="1"/>
  <c r="A1249" a="1"/>
  <c r="A1014" a="1"/>
  <c r="A1145" a="1"/>
  <c r="A1188" a="1"/>
  <c r="A646" a="1"/>
  <c r="A134" a="1"/>
  <c r="A418" a="1"/>
  <c r="A82" a="1"/>
  <c r="A582" a="1"/>
  <c r="A1409" a="1"/>
  <c r="A958" a="1"/>
  <c r="A939" a="1"/>
  <c r="A1294" a="1"/>
  <c r="A1087" a="1"/>
  <c r="A1186" a="1"/>
  <c r="A1146" a="1"/>
  <c r="A259" a="1"/>
  <c r="A585" a="1"/>
  <c r="A219" a="1"/>
  <c r="A309" a="1"/>
  <c r="A1393" a="1"/>
  <c r="A359" a="1"/>
  <c r="A909" a="1"/>
  <c r="A1237" a="1"/>
  <c r="A983" a="1"/>
  <c r="A1133" a="1"/>
  <c r="A1090" a="1"/>
  <c r="A1275" a="1"/>
  <c r="A398" a="1"/>
  <c r="A21" a="1"/>
  <c r="A204" a="1"/>
  <c r="A451" a="1"/>
  <c r="A518" a="1"/>
  <c r="A1034" a="1"/>
  <c r="A1031" a="1"/>
  <c r="A1160" a="1"/>
  <c r="A1244" a="1"/>
  <c r="A1017" a="1"/>
  <c r="A1111" a="1"/>
  <c r="A1134" a="1"/>
  <c r="A213" a="1"/>
  <c r="A1455" a="1"/>
  <c r="A149" a="1"/>
  <c r="A155" a="1"/>
  <c r="A468" a="1"/>
  <c r="A1009" a="1"/>
  <c r="A1001" a="1"/>
  <c r="A1126" a="1"/>
  <c r="A1214" a="1"/>
  <c r="A955" a="1"/>
  <c r="A1276" a="1"/>
  <c r="A1038" a="1"/>
  <c r="A690" a="1"/>
  <c r="A707" a="1"/>
  <c r="A894" a="1"/>
  <c r="A1144" a="1"/>
  <c r="A1135" a="1"/>
  <c r="A313" a="1"/>
  <c r="A824" a="1"/>
  <c r="A995" a="1"/>
  <c r="A992" a="1"/>
  <c r="A1216" a="1"/>
  <c r="A1741" a="1"/>
  <c r="A370" a="1"/>
  <c r="A24" a="1"/>
  <c r="A236" a="1"/>
  <c r="A522" a="1"/>
  <c r="A477" a="1"/>
  <c r="A1045" a="1"/>
  <c r="A1041" a="1"/>
  <c r="A1172" a="1"/>
  <c r="A1256" a="1"/>
  <c r="A1037" a="1"/>
  <c r="A1141" a="1"/>
  <c r="A1170" a="1"/>
  <c r="A188" a="1"/>
  <c r="A1494" a="1"/>
  <c r="A104" a="1"/>
  <c r="A233" a="1"/>
  <c r="A101" a="1"/>
  <c r="A999" a="1"/>
  <c r="A990" a="1"/>
  <c r="A1116" a="1"/>
  <c r="A1202" a="1"/>
  <c r="A913" a="1"/>
  <c r="A1281" a="1"/>
  <c r="A972" a="1"/>
  <c r="A395" a="1"/>
  <c r="A795" a="1"/>
  <c r="A675" a="1"/>
  <c r="A267" a="1"/>
  <c r="A118" a="1"/>
  <c r="A932" a="1"/>
  <c r="A901" a="1"/>
  <c r="A1012" a="1"/>
  <c r="A1127" a="1"/>
  <c r="A1221" a="1"/>
  <c r="A1048" a="1"/>
  <c r="A1165" a="1"/>
  <c r="A124" a="1"/>
  <c r="A59" a="1"/>
  <c r="A685" a="1"/>
  <c r="A765" a="1"/>
  <c r="A295" a="1"/>
  <c r="A904" a="1"/>
  <c r="A1072" a="1"/>
  <c r="A926" a="1"/>
  <c r="A1102" a="1"/>
  <c r="A1191" a="1"/>
  <c r="A1286" a="1"/>
  <c r="A1084" a="1"/>
  <c r="A846" a="1"/>
  <c r="A548" a="1"/>
  <c r="A245" a="1"/>
  <c r="A363" a="1"/>
  <c r="A61" a="1"/>
  <c r="A1489" a="1"/>
  <c r="A914" a="1"/>
  <c r="A902" a="1"/>
  <c r="A1243" a="1"/>
  <c r="A993" a="1"/>
  <c r="A1139" a="1"/>
  <c r="A1153" a="1"/>
  <c r="A274" a="1"/>
  <c r="A1660" a="1"/>
  <c r="A568" a="1"/>
  <c r="A528" a="1"/>
  <c r="A384" a="1"/>
  <c r="A1561" a="1"/>
  <c r="A1060" a="1"/>
  <c r="A1068" a="1"/>
  <c r="A1189" a="1"/>
  <c r="A1273" a="1"/>
  <c r="A1066" a="1"/>
  <c r="A1194" a="1"/>
  <c r="A1223" a="1"/>
  <c r="A15" a="1"/>
  <c r="A435" a="1"/>
  <c r="A202" a="1"/>
  <c r="A161" a="1"/>
  <c r="A138" a="1"/>
  <c r="A994" a="1"/>
  <c r="A980" a="1"/>
  <c r="A1106" a="1"/>
  <c r="A1196" a="1"/>
  <c r="A885" a="1"/>
  <c r="A1265" a="1"/>
  <c r="A1224" a="1"/>
  <c r="A1650" a="1"/>
  <c r="A164" a="1"/>
  <c r="A14" a="1"/>
  <c r="A243" a="1"/>
  <c r="A229" a="1"/>
  <c r="A968" a="1"/>
  <c r="A953" a="1"/>
  <c r="A1079" a="1"/>
  <c r="A1167" a="1"/>
  <c r="A1263" a="1"/>
  <c r="A1175" a="1"/>
  <c r="A1288" a="1"/>
  <c r="A375" a="1"/>
  <c r="A420" a="1"/>
  <c r="A1580" a="1"/>
  <c r="A621" a="1"/>
  <c r="A695" a="1"/>
  <c r="A83" a="1"/>
  <c r="A989" a="1"/>
  <c r="A965" a="1"/>
  <c r="A982" a="1"/>
  <c r="A1108" a="1"/>
  <c r="A1210" a="1"/>
  <c r="A1217" a="1"/>
  <c r="A286" a="1"/>
  <c r="A289" a="1"/>
  <c r="A133" a="1"/>
  <c r="A371" a="1"/>
  <c r="A1520" a="1"/>
  <c r="A1681" a="1"/>
  <c r="A928" a="1"/>
  <c r="A915" a="1"/>
  <c r="A1261" a="1"/>
  <c r="A1044" a="1"/>
  <c r="A1157" a="1"/>
  <c r="A1293" a="1"/>
  <c r="A1746" a="1"/>
  <c r="A1465" a="1"/>
  <c r="A67" a="1"/>
  <c r="A839" a="1"/>
  <c r="A405" a="1"/>
  <c r="A403" a="1"/>
  <c r="A1055" a="1"/>
  <c r="A1062" a="1"/>
  <c r="A1183" a="1"/>
  <c r="A1268" a="1"/>
  <c r="A1058" a="1"/>
  <c r="A1176" a="1"/>
  <c r="A1205" a="1"/>
  <c r="A529" a="1"/>
  <c r="A55" a="1"/>
  <c r="A241" a="1"/>
  <c r="A480" a="1"/>
  <c r="A413" a="1"/>
  <c r="A1029" a="1"/>
  <c r="A1026" a="1"/>
  <c r="A1154" a="1"/>
  <c r="A1238" a="1"/>
  <c r="A1006" a="1"/>
  <c r="A1049" a="1"/>
  <c r="A303" a="1"/>
  <c r="A1458" a="1"/>
  <c r="A616" a="1"/>
  <c r="A461" a="1"/>
  <c r="A369" a="1"/>
  <c r="A320" a="1"/>
  <c r="A877" a="1"/>
  <c r="A1073" a="1"/>
  <c r="A1195" a="1"/>
  <c r="A1278" a="1"/>
  <c r="A1075" a="1"/>
  <c r="A1212" a="1"/>
  <c r="A1241" a="1"/>
  <c r="A456" a="1"/>
  <c r="A76" a="1"/>
  <c r="A169" a="1"/>
  <c r="A871" a="1"/>
  <c r="A445" a="1"/>
  <c r="A1020" a="1"/>
  <c r="A1011" a="1"/>
  <c r="A1142" a="1"/>
  <c r="A1226" a="1"/>
  <c r="A986" a="1"/>
  <c r="A987" a="1"/>
  <c r="A1089" a="1"/>
  <c r="A326" a="1"/>
  <c r="A198" a="1"/>
  <c r="A269" a="1"/>
  <c r="A211" a="1"/>
  <c r="A235" a="1"/>
  <c r="A951" a="1"/>
  <c r="A929" a="1"/>
  <c r="A1052" a="1"/>
  <c r="A1149" a="1"/>
  <c r="A1245" a="1"/>
  <c r="A1124" a="1"/>
  <c r="A1236" a="1"/>
  <c r="A387" a="1"/>
  <c r="A539" a="1"/>
  <c r="A723" a="1"/>
  <c r="A728" a="1"/>
  <c r="A6" a="1"/>
  <c r="A927" a="1"/>
  <c r="A892" a="1"/>
  <c r="A1002" a="1"/>
  <c r="A1122" a="1"/>
  <c r="A1215" a="1"/>
  <c r="A1018" a="1"/>
  <c r="A1147" a="1"/>
  <c r="A947" a="1"/>
  <c r="A924" a="1"/>
  <c r="A1042" a="1"/>
  <c r="A1143" a="1"/>
  <c r="A1239" a="1"/>
  <c r="A1110" a="1"/>
  <c r="A1218" a="1"/>
  <c r="A88" a="1"/>
  <c r="A504" a="1"/>
  <c r="A146" a="1"/>
  <c r="A237" a="1"/>
  <c r="A93" a="1"/>
  <c r="A984" a="1"/>
  <c r="A969" a="1"/>
  <c r="A1095" a="1"/>
  <c r="A1184" a="1"/>
  <c r="A1285" a="1"/>
  <c r="A1229" a="1"/>
  <c r="A1120" a="1"/>
  <c r="A345" a="1"/>
  <c r="A816" a="1"/>
  <c r="A811" a="1"/>
  <c r="A8" a="1"/>
  <c r="A175" a="1"/>
  <c r="A937" a="1"/>
  <c r="A910" a="1"/>
  <c r="A1022" a="1"/>
  <c r="A1131" a="1"/>
  <c r="A1227" a="1"/>
  <c r="A1076" a="1"/>
  <c r="A1182" a="1"/>
  <c r="A1443" a="1"/>
  <c r="A356" a="1"/>
  <c r="A60" a="1"/>
  <c r="A1342" a="1"/>
  <c r="A1030" a="1"/>
  <c r="A1053" a="1"/>
  <c r="A1246" a="1"/>
  <c r="A262" a="1"/>
  <c r="A519" a="1"/>
  <c r="A550" a="1"/>
  <c r="A37" a="1"/>
  <c r="A970" a="1"/>
  <c r="A1118" a="1"/>
  <c r="A1235" a="1"/>
  <c r="A341" a="1"/>
  <c r="A253" a="1"/>
  <c r="A9" a="1"/>
  <c r="A252" a="1"/>
  <c r="A130" a="1"/>
  <c r="A962" a="1"/>
  <c r="A949" a="1"/>
  <c r="A1070" a="1"/>
  <c r="A1161" a="1"/>
  <c r="A1257" a="1"/>
  <c r="A1158" a="1"/>
  <c r="A1272" a="1"/>
  <c r="A432" a="1"/>
  <c r="A73" a="1"/>
  <c r="A832" a="1"/>
  <c r="A649" a="1"/>
  <c r="A2" a="1"/>
  <c r="A917" a="1"/>
  <c r="A878" a="1"/>
  <c r="A978" a="1"/>
  <c r="A1112" a="1"/>
  <c r="A1203" a="1"/>
  <c r="A1297" a="1"/>
  <c r="A1115" a="1"/>
  <c r="A293" a="1"/>
  <c r="A463" a="1"/>
  <c r="A353" a="1"/>
  <c r="A574" a="1"/>
  <c r="A822" a="1"/>
  <c r="A611" a="1"/>
  <c r="A1000" a="1"/>
  <c r="A976" a="1"/>
  <c r="A1003" a="1"/>
  <c r="A1123" a="1"/>
  <c r="A1222" a="1"/>
  <c r="A1253" a="1"/>
  <c r="A423" a="1"/>
  <c r="A257" a="1"/>
  <c r="A465" a="1"/>
  <c r="A81" a="1"/>
  <c r="A676" a="1"/>
  <c r="A84" a="1"/>
  <c r="A963" a="1"/>
  <c r="A944" a="1"/>
  <c r="A903" a="1"/>
  <c r="A1093" a="1"/>
  <c r="A1192" a="1"/>
  <c r="A1164" a="1"/>
  <c r="A1743" a="1"/>
  <c r="A414" a="1"/>
  <c r="A72" a="1"/>
  <c r="A102" a="1"/>
  <c r="A860" a="1"/>
  <c r="A409" a="1"/>
  <c r="A1024" a="1"/>
  <c r="A1016" a="1"/>
  <c r="A1148" a="1"/>
  <c r="A1232" a="1"/>
  <c r="A997" a="1"/>
  <c r="A1019" a="1"/>
  <c r="A1105" a="1"/>
  <c r="A17" a="1"/>
  <c r="A392" a="1"/>
  <c r="A1618" a="1"/>
  <c r="A137" a="1"/>
  <c r="A120" a="1"/>
  <c r="A979" a="1"/>
  <c r="A964" a="1"/>
  <c r="A1091" a="1"/>
  <c r="A1178" a="1"/>
  <c r="A1279" a="1"/>
  <c r="A1211" a="1"/>
  <c r="A1039" a="1"/>
  <c r="A527" a="1"/>
  <c r="A33" a="1"/>
  <c r="A743" a="1"/>
  <c r="A673" a="1"/>
  <c r="A299" a="1"/>
  <c r="A908" a="1"/>
  <c r="A1077" a="1"/>
  <c r="A946" a="1"/>
  <c r="A1107" a="1"/>
  <c r="A1197" a="1"/>
  <c r="A1291" a="1"/>
  <c r="A1100" a="1"/>
  <c r="A251" a="1"/>
  <c r="A1502" a="1"/>
  <c r="A18" a="1"/>
  <c r="A829" a="1"/>
  <c r="A1357" a="1"/>
  <c r="A881" a="1"/>
  <c r="A1051" a="1"/>
  <c r="A912" a="1"/>
  <c r="A1080" a="1"/>
  <c r="A1162" a="1"/>
  <c r="A1264" a="1"/>
  <c r="A895" a="1"/>
  <c r="A12" a="1"/>
  <c r="A22" a="1"/>
  <c r="A302" a="1"/>
  <c r="A379" a="1"/>
  <c r="A1632" a="1"/>
  <c r="A319" a="1"/>
  <c r="A896" a="1"/>
  <c r="A884" a="1"/>
  <c r="A1219" a="1"/>
  <c r="A880" a="1"/>
  <c r="A1109" a="1"/>
  <c r="A1282" a="1"/>
  <c r="A653" a="1"/>
  <c r="A389" a="1"/>
  <c r="A54" a="1"/>
  <c r="A177" a="1"/>
  <c r="A415" a="1"/>
  <c r="A508" a="1"/>
  <c r="A1040" a="1"/>
  <c r="A1036" a="1"/>
  <c r="A1166" a="1"/>
  <c r="A1250" a="1"/>
  <c r="A1027" a="1"/>
  <c r="A1125" a="1"/>
  <c r="A1152" a="1"/>
  <c r="A1670" a="1"/>
  <c r="A125" a="1"/>
  <c r="A1620" a="1"/>
  <c r="A206" a="1"/>
  <c r="A195" a="1"/>
  <c r="A973" a="1"/>
  <c r="A959" a="1"/>
  <c r="A1085" a="1"/>
  <c r="A1173" a="1"/>
  <c r="A1269" a="1"/>
  <c r="A1193" a="1"/>
  <c r="A977" a="1"/>
  <c r="A376" a="1"/>
  <c r="A222" a="1"/>
  <c r="A275" a="1"/>
  <c r="A1593" a="1"/>
  <c r="A174" a="1"/>
  <c r="A197" a="1"/>
  <c r="A348" a="1"/>
  <c r="A40" a="1"/>
  <c r="A671" a="1"/>
  <c r="A1327" a="1"/>
  <c r="A754" a="1"/>
  <c r="A1046" a="1"/>
  <c r="A907" a="1"/>
  <c r="A1071" a="1"/>
  <c r="A1156" a="1"/>
  <c r="A1258" a="1"/>
  <c r="A1260" a="1"/>
  <c r="A224" a="1"/>
  <c r="A381" a="1"/>
  <c r="A386" a="1"/>
  <c r="A541" a="1"/>
  <c r="A820" a="1"/>
  <c r="A38" a="1"/>
  <c r="A985" a="1"/>
  <c r="A960" a="1"/>
  <c r="A966" a="1"/>
  <c r="A1103" a="1"/>
  <c r="A1204" a="1"/>
  <c r="A1199" a="1"/>
  <c r="A145" a="1"/>
  <c r="A575" a="1"/>
  <c r="A179" a="1"/>
  <c r="A1527" a="1"/>
  <c r="A1408" a="1"/>
  <c r="A318" a="1"/>
  <c r="A905" a="1"/>
  <c r="A893" a="1"/>
  <c r="A1231" a="1"/>
  <c r="A967" a="1"/>
  <c r="A1129" a="1"/>
  <c r="A1008" a="1"/>
  <c r="A1739" a="1"/>
  <c r="A1386" a="1"/>
  <c r="A607" a="1"/>
  <c r="A380" a="1"/>
  <c r="A340" a="1"/>
  <c r="A328" a="1"/>
  <c r="A882" a="1"/>
  <c r="A1078" a="1"/>
  <c r="A1201" a="1"/>
  <c r="A1284" a="1"/>
  <c r="A1082" a="1"/>
  <c r="A1230" a="1"/>
  <c r="A1259" a="1"/>
  <c r="A310" a="1"/>
  <c r="A632" a="1"/>
  <c r="A774" a="1"/>
  <c r="A1595" a="1"/>
  <c r="A95" a="1"/>
  <c r="A942" a="1"/>
  <c r="A919" a="1"/>
  <c r="A1032" a="1"/>
  <c r="A1137" a="1"/>
  <c r="A1233" a="1"/>
  <c r="A1094" a="1"/>
  <c r="A1200" a="1"/>
  <c r="A214" a="1"/>
  <c r="A1452" a="1"/>
  <c r="A815" a="1"/>
  <c r="A696" a="1"/>
  <c r="A1522" a="1"/>
  <c r="A890" a="1"/>
  <c r="A1061" a="1"/>
  <c r="A931" a="1"/>
  <c r="A1092" a="1"/>
  <c r="A1179" a="1"/>
  <c r="A1274" a="1"/>
  <c r="A998" a="1"/>
  <c r="A1323" a="1"/>
  <c r="A848" a="1"/>
  <c r="A429" a="1"/>
  <c r="A79" a="1"/>
  <c r="A814" a="1"/>
  <c r="A34" a="1"/>
  <c r="A974" a="1"/>
  <c r="A954" a="1"/>
  <c r="A950" a="1"/>
  <c r="A1097" a="1"/>
  <c r="A1198" a="1"/>
  <c r="A1181" a="1"/>
  <c r="A52" a="1"/>
  <c r="A11" a="1"/>
  <c r="A851" a="1"/>
  <c r="A1643" a="1"/>
  <c r="A612" a="1"/>
  <c r="A1390" a="1"/>
  <c r="A943" a="1"/>
  <c r="A925" a="1"/>
  <c r="A1277" a="1"/>
  <c r="A1065" a="1"/>
  <c r="A1169" a="1"/>
  <c r="A1028" a="1"/>
  <c r="A1119" a="1"/>
  <c r="A121" a="1"/>
  <c r="A1655" a="1"/>
  <c r="A100" a="1"/>
  <c r="A232" a="1"/>
  <c r="A856" a="1"/>
  <c r="A1004" a="1"/>
  <c r="A996" a="1"/>
  <c r="A1121" a="1"/>
  <c r="A1208" a="1"/>
  <c r="A940" a="1"/>
  <c r="A1298" a="1"/>
  <c r="A1007" a="1"/>
  <c r="A372" a="1"/>
  <c r="A178" a="1"/>
  <c r="A273" a="1"/>
  <c r="A183" a="1"/>
  <c r="A196" a="1"/>
  <c r="A957" a="1"/>
  <c r="A933" a="1"/>
  <c r="A1063" a="1"/>
  <c r="A1155" a="1"/>
  <c r="A1251" a="1"/>
  <c r="A1140" a="1"/>
  <c r="A1254" a="1"/>
  <c r="A126" a="1"/>
  <c r="A1658" a="1"/>
  <c r="A543" a="1"/>
  <c r="A826" a="1"/>
  <c r="A1359" a="1"/>
  <c r="A886" a="1"/>
  <c r="A1056" a="1"/>
  <c r="A916" a="1"/>
  <c r="A1086" a="1"/>
  <c r="A1168" a="1"/>
  <c r="A1270" a="1"/>
  <c r="A961" a="1"/>
  <c r="A1463" a="1"/>
  <c r="A358" a="1"/>
  <c r="A1437" a="1"/>
  <c r="A1322" a="1"/>
  <c r="A692" a="1"/>
  <c r="A797" a="1"/>
  <c r="A1025" a="1"/>
  <c r="A889" a="1"/>
  <c r="A1043" a="1"/>
  <c r="A1138" a="1"/>
  <c r="A1240" a="1"/>
  <c r="A921" a="1"/>
  <c r="A172" a="1"/>
  <c r="A36" a="1"/>
  <c r="A769" a="1"/>
  <c r="A639" a="1"/>
  <c r="A1523" a="1"/>
  <c r="A899" a="1"/>
  <c r="A1067" a="1"/>
  <c r="A935" a="1"/>
  <c r="A1096" a="1"/>
  <c r="A1185" a="1"/>
  <c r="A1280" a="1"/>
  <c r="A1059" a="1"/>
  <c r="A31" a="1"/>
  <c r="A430" a="1"/>
  <c r="A311" a="1"/>
  <c r="A531" a="1"/>
  <c r="A748" a="1"/>
  <c r="A796" a="1"/>
  <c r="A1010" a="1"/>
  <c r="A981" a="1"/>
  <c r="A1013" a="1"/>
  <c r="A1128" a="1"/>
  <c r="A1228" a="1"/>
  <c r="A1271" a="1"/>
  <c r="A792" a="1"/>
  <c r="A265" a="1"/>
  <c r="A115" a="1"/>
  <c r="A330" a="1"/>
  <c r="A51" a="1"/>
  <c r="A1490" a="1"/>
  <c r="A923" a="1"/>
  <c r="A911" a="1"/>
  <c r="A1255" a="1"/>
  <c r="A1023" a="1"/>
  <c r="A1151" a="1"/>
  <c r="A1242" a="1"/>
  <c r="A152" a="1"/>
  <c r="A1521" a="1"/>
  <c r="A105" a="1"/>
  <c r="A383" a="1"/>
  <c r="A1673" a="1"/>
  <c r="A354" a="1"/>
  <c r="A900" a="1"/>
  <c r="A888" a="1"/>
  <c r="A1225" a="1"/>
  <c r="A936" a="1"/>
  <c r="A1113" a="1"/>
  <c r="A1299" a="1"/>
  <c r="A897" a="1"/>
  <c r="A1259" l="1"/>
  <c r="A1187"/>
  <c r="A1119"/>
  <c r="A1038"/>
  <c r="A1171"/>
  <c r="A1288"/>
  <c r="A1218"/>
  <c r="A1147"/>
  <c r="A1084"/>
  <c r="A895"/>
  <c r="A921"/>
  <c r="A1235"/>
  <c r="A1164"/>
  <c r="A1028"/>
  <c r="A1188"/>
  <c r="A1299"/>
  <c r="A1230"/>
  <c r="A1159"/>
  <c r="A1049"/>
  <c r="A1276"/>
  <c r="A1247"/>
  <c r="A1175"/>
  <c r="A1110"/>
  <c r="A1018"/>
  <c r="A1286"/>
  <c r="A1264"/>
  <c r="A1240"/>
  <c r="A1216"/>
  <c r="A1192"/>
  <c r="A1169"/>
  <c r="A1145"/>
  <c r="A1113"/>
  <c r="A1082"/>
  <c r="A1047"/>
  <c r="A1006"/>
  <c r="A955"/>
  <c r="A1296"/>
  <c r="A1263"/>
  <c r="A1239"/>
  <c r="A1215"/>
  <c r="A1191"/>
  <c r="A1162"/>
  <c r="A1138"/>
  <c r="A1118"/>
  <c r="A1093"/>
  <c r="A1065"/>
  <c r="A1014"/>
  <c r="A936"/>
  <c r="A1284"/>
  <c r="A1262"/>
  <c r="A1238"/>
  <c r="A1214"/>
  <c r="A1190"/>
  <c r="A1167"/>
  <c r="A1143"/>
  <c r="A1122"/>
  <c r="A1102"/>
  <c r="A1080"/>
  <c r="A1043"/>
  <c r="A992"/>
  <c r="A903"/>
  <c r="A1277"/>
  <c r="A1249"/>
  <c r="A1225"/>
  <c r="A1201"/>
  <c r="A1177"/>
  <c r="A1154"/>
  <c r="A1126"/>
  <c r="A1101"/>
  <c r="A1079"/>
  <c r="A1042"/>
  <c r="A1002"/>
  <c r="A926"/>
  <c r="A912"/>
  <c r="A889"/>
  <c r="A970"/>
  <c r="A944"/>
  <c r="A925"/>
  <c r="A906"/>
  <c r="A888"/>
  <c r="A1078"/>
  <c r="A1057"/>
  <c r="A1026"/>
  <c r="A1001"/>
  <c r="A975"/>
  <c r="A953"/>
  <c r="A924"/>
  <c r="A892"/>
  <c r="A1072"/>
  <c r="A1051"/>
  <c r="A1025"/>
  <c r="A995"/>
  <c r="A963"/>
  <c r="A943"/>
  <c r="A918"/>
  <c r="A900"/>
  <c r="A882"/>
  <c r="A1050"/>
  <c r="A1029"/>
  <c r="A1009"/>
  <c r="A988"/>
  <c r="A968"/>
  <c r="A947"/>
  <c r="A927"/>
  <c r="A904"/>
  <c r="A881"/>
  <c r="A797"/>
  <c r="A37"/>
  <c r="A84"/>
  <c r="A1390"/>
  <c r="A1508"/>
  <c r="A354"/>
  <c r="A328"/>
  <c r="A494"/>
  <c r="A413"/>
  <c r="A468"/>
  <c r="A228"/>
  <c r="A229"/>
  <c r="A174"/>
  <c r="A6"/>
  <c r="A295"/>
  <c r="A1357"/>
  <c r="A692"/>
  <c r="A824"/>
  <c r="A676"/>
  <c r="A612"/>
  <c r="A47"/>
  <c r="A1673"/>
  <c r="A340"/>
  <c r="A442"/>
  <c r="A480"/>
  <c r="A155"/>
  <c r="A200"/>
  <c r="A243"/>
  <c r="A1593"/>
  <c r="A728"/>
  <c r="A765"/>
  <c r="A829"/>
  <c r="A1322"/>
  <c r="A550"/>
  <c r="A81"/>
  <c r="A1643"/>
  <c r="A362"/>
  <c r="A383"/>
  <c r="A380"/>
  <c r="A203"/>
  <c r="A241"/>
  <c r="A149"/>
  <c r="A166"/>
  <c r="A14"/>
  <c r="A275"/>
  <c r="A723"/>
  <c r="A685"/>
  <c r="A18"/>
  <c r="A1437"/>
  <c r="A313"/>
  <c r="A465"/>
  <c r="A851"/>
  <c r="A160"/>
  <c r="A105"/>
  <c r="A607"/>
  <c r="A63"/>
  <c r="A55"/>
  <c r="A1455"/>
  <c r="A424"/>
  <c r="A164"/>
  <c r="A222"/>
  <c r="A539"/>
  <c r="A59"/>
  <c r="A1502"/>
  <c r="A358"/>
  <c r="A519"/>
  <c r="A257"/>
  <c r="A11"/>
  <c r="A770"/>
  <c r="A1521"/>
  <c r="A1386"/>
  <c r="A306"/>
  <c r="A529"/>
  <c r="A213"/>
  <c r="A739"/>
  <c r="A1650"/>
  <c r="A376"/>
  <c r="A387"/>
  <c r="A124"/>
  <c r="A251"/>
  <c r="A1463"/>
  <c r="A262"/>
  <c r="A423"/>
  <c r="A52"/>
  <c r="A459"/>
  <c r="A152"/>
  <c r="A1739"/>
  <c r="A1744"/>
  <c r="A1205"/>
  <c r="A1134"/>
  <c r="A1069"/>
  <c r="A1224"/>
  <c r="A977"/>
  <c r="A1236"/>
  <c r="A1165"/>
  <c r="A1100"/>
  <c r="A961"/>
  <c r="A1135"/>
  <c r="A1253"/>
  <c r="A1181"/>
  <c r="A1099"/>
  <c r="A1242"/>
  <c r="A1008"/>
  <c r="A1248"/>
  <c r="A1176"/>
  <c r="A1111"/>
  <c r="A945"/>
  <c r="A1265"/>
  <c r="A1193"/>
  <c r="A1124"/>
  <c r="A1048"/>
  <c r="A1291"/>
  <c r="A1270"/>
  <c r="A1246"/>
  <c r="A1222"/>
  <c r="A1198"/>
  <c r="A1174"/>
  <c r="A1151"/>
  <c r="A1129"/>
  <c r="A1098"/>
  <c r="A1058"/>
  <c r="A1017"/>
  <c r="A971"/>
  <c r="A885"/>
  <c r="A1269"/>
  <c r="A1245"/>
  <c r="A1221"/>
  <c r="A1197"/>
  <c r="A1168"/>
  <c r="A1144"/>
  <c r="A1123"/>
  <c r="A1097"/>
  <c r="A1074"/>
  <c r="A1023"/>
  <c r="A967"/>
  <c r="A1290"/>
  <c r="A1268"/>
  <c r="A1244"/>
  <c r="A1220"/>
  <c r="A1196"/>
  <c r="A1173"/>
  <c r="A1149"/>
  <c r="A1127"/>
  <c r="A1107"/>
  <c r="A1086"/>
  <c r="A1053"/>
  <c r="A1003"/>
  <c r="A950"/>
  <c r="A1283"/>
  <c r="A1255"/>
  <c r="A1231"/>
  <c r="A1207"/>
  <c r="A1183"/>
  <c r="A1160"/>
  <c r="A1136"/>
  <c r="A1106"/>
  <c r="A1085"/>
  <c r="A1052"/>
  <c r="A1012"/>
  <c r="A946"/>
  <c r="A916"/>
  <c r="A894"/>
  <c r="A976"/>
  <c r="A954"/>
  <c r="A930"/>
  <c r="A911"/>
  <c r="A893"/>
  <c r="A1083"/>
  <c r="A1062"/>
  <c r="A1031"/>
  <c r="A1005"/>
  <c r="A980"/>
  <c r="A959"/>
  <c r="A929"/>
  <c r="A901"/>
  <c r="A1077"/>
  <c r="A1056"/>
  <c r="A1030"/>
  <c r="A1000"/>
  <c r="A974"/>
  <c r="A948"/>
  <c r="A923"/>
  <c r="A905"/>
  <c r="A887"/>
  <c r="A1055"/>
  <c r="A1034"/>
  <c r="A1015"/>
  <c r="A994"/>
  <c r="A973"/>
  <c r="A951"/>
  <c r="A932"/>
  <c r="A908"/>
  <c r="A886"/>
  <c r="A707"/>
  <c r="A611"/>
  <c r="A34"/>
  <c r="A1449"/>
  <c r="A1490"/>
  <c r="A318"/>
  <c r="A338"/>
  <c r="A403"/>
  <c r="A518"/>
  <c r="A444"/>
  <c r="A138"/>
  <c r="A195"/>
  <c r="A235"/>
  <c r="A118"/>
  <c r="A299"/>
  <c r="A1359"/>
  <c r="A1342"/>
  <c r="A822"/>
  <c r="A814"/>
  <c r="A560"/>
  <c r="A51"/>
  <c r="A1408"/>
  <c r="A360"/>
  <c r="A405"/>
  <c r="A451"/>
  <c r="A106"/>
  <c r="A161"/>
  <c r="A206"/>
  <c r="A211"/>
  <c r="A267"/>
  <c r="A673"/>
  <c r="A826"/>
  <c r="A690"/>
  <c r="A574"/>
  <c r="A79"/>
  <c r="A1435"/>
  <c r="A330"/>
  <c r="A1527"/>
  <c r="A412"/>
  <c r="A839"/>
  <c r="A204"/>
  <c r="A113"/>
  <c r="A202"/>
  <c r="A1620"/>
  <c r="A269"/>
  <c r="A675"/>
  <c r="A743"/>
  <c r="A543"/>
  <c r="A60"/>
  <c r="A353"/>
  <c r="A429"/>
  <c r="A524"/>
  <c r="A115"/>
  <c r="A179"/>
  <c r="A678"/>
  <c r="A67"/>
  <c r="A21"/>
  <c r="A1453"/>
  <c r="A435"/>
  <c r="A125"/>
  <c r="A198"/>
  <c r="A795"/>
  <c r="A33"/>
  <c r="A1658"/>
  <c r="A356"/>
  <c r="A463"/>
  <c r="A848"/>
  <c r="A217"/>
  <c r="A265"/>
  <c r="A575"/>
  <c r="A35"/>
  <c r="A1465"/>
  <c r="A398"/>
  <c r="A163"/>
  <c r="A15"/>
  <c r="A1670"/>
  <c r="A326"/>
  <c r="A395"/>
  <c r="A527"/>
  <c r="A126"/>
  <c r="A1443"/>
  <c r="A293"/>
  <c r="A1323"/>
  <c r="A433"/>
  <c r="A792"/>
  <c r="A145"/>
  <c r="A281"/>
  <c r="A1746"/>
  <c r="A1275"/>
  <c r="A1292"/>
  <c r="A1223"/>
  <c r="A1152"/>
  <c r="A1089"/>
  <c r="A972"/>
  <c r="A1039"/>
  <c r="A1254"/>
  <c r="A1182"/>
  <c r="A1115"/>
  <c r="A998"/>
  <c r="A1206"/>
  <c r="A1271"/>
  <c r="A1199"/>
  <c r="A1114"/>
  <c r="A1293"/>
  <c r="A1090"/>
  <c r="A1266"/>
  <c r="A1194"/>
  <c r="A1125"/>
  <c r="A987"/>
  <c r="A1281"/>
  <c r="A1211"/>
  <c r="A1140"/>
  <c r="A1076"/>
  <c r="A1297"/>
  <c r="A1274"/>
  <c r="A1252"/>
  <c r="A1228"/>
  <c r="A1204"/>
  <c r="A1180"/>
  <c r="A1157"/>
  <c r="A1133"/>
  <c r="A1104"/>
  <c r="A1066"/>
  <c r="A1027"/>
  <c r="A986"/>
  <c r="A913"/>
  <c r="A1279"/>
  <c r="A1251"/>
  <c r="A1227"/>
  <c r="A1203"/>
  <c r="A1179"/>
  <c r="A1150"/>
  <c r="A1128"/>
  <c r="A1103"/>
  <c r="A1081"/>
  <c r="A1044"/>
  <c r="A983"/>
  <c r="A1295"/>
  <c r="A1273"/>
  <c r="A1250"/>
  <c r="A1226"/>
  <c r="A1202"/>
  <c r="A1178"/>
  <c r="A1155"/>
  <c r="A1131"/>
  <c r="A1112"/>
  <c r="A1092"/>
  <c r="A1064"/>
  <c r="A1013"/>
  <c r="A966"/>
  <c r="A1289"/>
  <c r="A1261"/>
  <c r="A1237"/>
  <c r="A1213"/>
  <c r="A1189"/>
  <c r="A1166"/>
  <c r="A1142"/>
  <c r="A1116"/>
  <c r="A1091"/>
  <c r="A1063"/>
  <c r="A1022"/>
  <c r="A978"/>
  <c r="A931"/>
  <c r="A898"/>
  <c r="A981"/>
  <c r="A960"/>
  <c r="A934"/>
  <c r="A915"/>
  <c r="A897"/>
  <c r="A1088"/>
  <c r="A1068"/>
  <c r="A1036"/>
  <c r="A1011"/>
  <c r="A990"/>
  <c r="A964"/>
  <c r="A933"/>
  <c r="A910"/>
  <c r="A878"/>
  <c r="A1061"/>
  <c r="A1035"/>
  <c r="A1010"/>
  <c r="A985"/>
  <c r="A952"/>
  <c r="A928"/>
  <c r="A909"/>
  <c r="A891"/>
  <c r="A1060"/>
  <c r="A1040"/>
  <c r="A1020"/>
  <c r="A999"/>
  <c r="A979"/>
  <c r="A957"/>
  <c r="A937"/>
  <c r="A917"/>
  <c r="A890"/>
  <c r="A714"/>
  <c r="A796"/>
  <c r="A38"/>
  <c r="A1423"/>
  <c r="A1681"/>
  <c r="A359"/>
  <c r="A355"/>
  <c r="A1561"/>
  <c r="A508"/>
  <c r="A445"/>
  <c r="A101"/>
  <c r="A120"/>
  <c r="A196"/>
  <c r="A175"/>
  <c r="A2"/>
  <c r="A1522"/>
  <c r="A1372"/>
  <c r="A748"/>
  <c r="A820"/>
  <c r="A561"/>
  <c r="A1520"/>
  <c r="A1393"/>
  <c r="A329"/>
  <c r="A384"/>
  <c r="A415"/>
  <c r="A871"/>
  <c r="A233"/>
  <c r="A137"/>
  <c r="A183"/>
  <c r="A8"/>
  <c r="A649"/>
  <c r="A696"/>
  <c r="A833"/>
  <c r="A531"/>
  <c r="A541"/>
  <c r="A91"/>
  <c r="A371"/>
  <c r="A309"/>
  <c r="A517"/>
  <c r="A528"/>
  <c r="A177"/>
  <c r="A169"/>
  <c r="A104"/>
  <c r="A1618"/>
  <c r="A273"/>
  <c r="A811"/>
  <c r="A832"/>
  <c r="A815"/>
  <c r="A56"/>
  <c r="A311"/>
  <c r="A386"/>
  <c r="A382"/>
  <c r="A133"/>
  <c r="A219"/>
  <c r="A650"/>
  <c r="A568"/>
  <c r="A54"/>
  <c r="A76"/>
  <c r="A1494"/>
  <c r="A392"/>
  <c r="A178"/>
  <c r="A816"/>
  <c r="A73"/>
  <c r="A1452"/>
  <c r="A373"/>
  <c r="A430"/>
  <c r="A381"/>
  <c r="A182"/>
  <c r="A289"/>
  <c r="A585"/>
  <c r="A78"/>
  <c r="A1660"/>
  <c r="A389"/>
  <c r="A456"/>
  <c r="A188"/>
  <c r="A17"/>
  <c r="A372"/>
  <c r="A345"/>
  <c r="A432"/>
  <c r="A214"/>
  <c r="A131"/>
  <c r="A31"/>
  <c r="A224"/>
  <c r="A1310"/>
  <c r="A286"/>
  <c r="A259"/>
  <c r="A279"/>
  <c r="A274"/>
  <c r="A653"/>
  <c r="A1241"/>
  <c r="A1170"/>
  <c r="A1105"/>
  <c r="A1007"/>
  <c r="A1120"/>
  <c r="A1272"/>
  <c r="A1200"/>
  <c r="A1130"/>
  <c r="A1059"/>
  <c r="A1260"/>
  <c r="A1287"/>
  <c r="A1217"/>
  <c r="A1146"/>
  <c r="A956"/>
  <c r="A1153"/>
  <c r="A1282"/>
  <c r="A1212"/>
  <c r="A1141"/>
  <c r="A1019"/>
  <c r="A1298"/>
  <c r="A1229"/>
  <c r="A1158"/>
  <c r="A1094"/>
  <c r="A941"/>
  <c r="A1280"/>
  <c r="A1258"/>
  <c r="A1234"/>
  <c r="A1210"/>
  <c r="A1186"/>
  <c r="A1163"/>
  <c r="A1139"/>
  <c r="A1109"/>
  <c r="A1075"/>
  <c r="A1037"/>
  <c r="A997"/>
  <c r="A940"/>
  <c r="A1285"/>
  <c r="A1257"/>
  <c r="A1233"/>
  <c r="A1209"/>
  <c r="A1185"/>
  <c r="A1156"/>
  <c r="A1132"/>
  <c r="A1108"/>
  <c r="A1087"/>
  <c r="A1054"/>
  <c r="A993"/>
  <c r="A880"/>
  <c r="A1278"/>
  <c r="A1256"/>
  <c r="A1232"/>
  <c r="A1208"/>
  <c r="A1184"/>
  <c r="A1161"/>
  <c r="A1137"/>
  <c r="A1117"/>
  <c r="A1096"/>
  <c r="A1071"/>
  <c r="A1033"/>
  <c r="A982"/>
  <c r="A1294"/>
  <c r="A1267"/>
  <c r="A1243"/>
  <c r="A1219"/>
  <c r="A1195"/>
  <c r="A1172"/>
  <c r="A1148"/>
  <c r="A1121"/>
  <c r="A1095"/>
  <c r="A1070"/>
  <c r="A1032"/>
  <c r="A991"/>
  <c r="A935"/>
  <c r="A907"/>
  <c r="A879"/>
  <c r="A965"/>
  <c r="A939"/>
  <c r="A920"/>
  <c r="A902"/>
  <c r="A884"/>
  <c r="A1073"/>
  <c r="A1041"/>
  <c r="A1016"/>
  <c r="A996"/>
  <c r="A969"/>
  <c r="A949"/>
  <c r="A919"/>
  <c r="A883"/>
  <c r="A1067"/>
  <c r="A1046"/>
  <c r="A1021"/>
  <c r="A989"/>
  <c r="A958"/>
  <c r="A938"/>
  <c r="A914"/>
  <c r="A896"/>
  <c r="A877"/>
  <c r="A1045"/>
  <c r="A1024"/>
  <c r="A1004"/>
  <c r="A984"/>
  <c r="A962"/>
  <c r="A942"/>
  <c r="A922"/>
  <c r="A899"/>
  <c r="A754"/>
  <c r="A780"/>
  <c r="A83"/>
  <c r="A1409"/>
  <c r="A1676"/>
  <c r="A1489"/>
  <c r="A319"/>
  <c r="A320"/>
  <c r="A477"/>
  <c r="A409"/>
  <c r="A856"/>
  <c r="A93"/>
  <c r="A130"/>
  <c r="A95"/>
  <c r="A3"/>
  <c r="A1523"/>
  <c r="A1327"/>
  <c r="A711"/>
  <c r="A695"/>
  <c r="A582"/>
  <c r="A591"/>
  <c r="A61"/>
  <c r="A1632"/>
  <c r="A369"/>
  <c r="A522"/>
  <c r="A860"/>
  <c r="A232"/>
  <c r="A237"/>
  <c r="A252"/>
  <c r="A1595"/>
  <c r="A261"/>
  <c r="A639"/>
  <c r="A671"/>
  <c r="A534"/>
  <c r="A621"/>
  <c r="A82"/>
  <c r="A1468"/>
  <c r="A363"/>
  <c r="A379"/>
  <c r="A461"/>
  <c r="A236"/>
  <c r="A102"/>
  <c r="A100"/>
  <c r="A146"/>
  <c r="A9"/>
  <c r="A774"/>
  <c r="A764"/>
  <c r="A769"/>
  <c r="A40"/>
  <c r="A1645"/>
  <c r="A1580"/>
  <c r="A418"/>
  <c r="A845"/>
  <c r="A245"/>
  <c r="A302"/>
  <c r="A616"/>
  <c r="A24"/>
  <c r="A72"/>
  <c r="A1655"/>
  <c r="A504"/>
  <c r="A253"/>
  <c r="A632"/>
  <c r="A592"/>
  <c r="A36"/>
  <c r="A348"/>
  <c r="A1556"/>
  <c r="A420"/>
  <c r="A134"/>
  <c r="A288"/>
  <c r="A548"/>
  <c r="A22"/>
  <c r="A1458"/>
  <c r="A370"/>
  <c r="A414"/>
  <c r="A121"/>
  <c r="A88"/>
  <c r="A341"/>
  <c r="A310"/>
  <c r="A408"/>
  <c r="A172"/>
  <c r="A197"/>
  <c r="A694"/>
  <c r="A375"/>
  <c r="A646"/>
  <c r="A283"/>
  <c r="A846"/>
  <c r="A12"/>
  <c r="A303"/>
  <c r="A1741"/>
  <c r="A1743"/>
  <c r="T6" i="22"/>
  <c r="AG25" i="7"/>
  <c r="W5"/>
  <c r="X5" s="1"/>
  <c r="R7" i="22" l="1"/>
  <c r="S7" s="1"/>
  <c r="W6" i="7"/>
  <c r="X6" s="1"/>
  <c r="T7" i="22" l="1"/>
  <c r="W7" i="7"/>
  <c r="X7" s="1"/>
  <c r="R8" i="22" l="1"/>
  <c r="S8" s="1"/>
  <c r="T8" s="1"/>
  <c r="W8" i="7"/>
  <c r="X8" s="1"/>
  <c r="R9" i="22" l="1"/>
  <c r="S9" s="1"/>
  <c r="T9" s="1"/>
  <c r="W9" i="7"/>
  <c r="X9" s="1"/>
  <c r="R10" i="22" l="1"/>
  <c r="S10" s="1"/>
  <c r="T10" s="1"/>
  <c r="W10" i="7"/>
  <c r="X10" s="1"/>
  <c r="R11" i="22" l="1"/>
  <c r="S11" s="1"/>
  <c r="T11"/>
  <c r="W11" i="7"/>
  <c r="X11" s="1"/>
  <c r="R12" i="22" l="1"/>
  <c r="S12" s="1"/>
  <c r="T12" s="1"/>
  <c r="W12" i="7"/>
  <c r="X12" s="1"/>
  <c r="R13" i="22" l="1"/>
  <c r="S13" s="1"/>
  <c r="W13" i="7"/>
  <c r="X13" s="1"/>
  <c r="T13" i="22" l="1"/>
  <c r="W14" i="7"/>
  <c r="X14" s="1"/>
  <c r="R14" i="22" l="1"/>
  <c r="S14" s="1"/>
  <c r="T14" s="1"/>
  <c r="W15" i="7"/>
  <c r="X15" s="1"/>
  <c r="R15" i="22" l="1"/>
  <c r="S15" s="1"/>
  <c r="T15"/>
  <c r="W16" i="7"/>
  <c r="X16" s="1"/>
  <c r="R16" i="22" l="1"/>
  <c r="S16" s="1"/>
  <c r="W17" i="7"/>
  <c r="X17" s="1"/>
  <c r="T16" i="22" l="1"/>
  <c r="W18" i="7"/>
  <c r="R17" i="22" l="1"/>
  <c r="S17" s="1"/>
  <c r="T17" s="1"/>
  <c r="X18" i="7"/>
  <c r="R18" i="22" l="1"/>
  <c r="S18" s="1"/>
  <c r="T18" s="1"/>
  <c r="W19" i="7"/>
  <c r="X19" s="1"/>
  <c r="R19" i="22" l="1"/>
  <c r="S19" s="1"/>
  <c r="T19" s="1"/>
  <c r="W20" i="7"/>
  <c r="X20" s="1"/>
  <c r="R20" i="22" l="1"/>
  <c r="S20" s="1"/>
  <c r="T20" s="1"/>
  <c r="W21" i="7"/>
  <c r="X21" s="1"/>
  <c r="R21" i="22" l="1"/>
  <c r="S21" s="1"/>
  <c r="T21" s="1"/>
  <c r="W22" i="7"/>
  <c r="X22" s="1"/>
  <c r="R22" i="22" l="1"/>
  <c r="S22" s="1"/>
  <c r="T22" s="1"/>
  <c r="W23" i="7"/>
  <c r="X23" s="1"/>
  <c r="R23" i="22" l="1"/>
  <c r="S23" s="1"/>
  <c r="W24" i="7"/>
  <c r="X24" s="1"/>
  <c r="T23" i="22" l="1"/>
  <c r="W25" i="7"/>
  <c r="X25" s="1"/>
  <c r="R24" i="22" l="1"/>
  <c r="S24" s="1"/>
  <c r="T24" s="1"/>
  <c r="W26" i="7"/>
  <c r="X26" s="1"/>
  <c r="R25" i="22" l="1"/>
  <c r="S25" s="1"/>
  <c r="W27" i="7"/>
  <c r="X27" s="1"/>
  <c r="T25" i="22" l="1"/>
  <c r="W28" i="7"/>
  <c r="X28" s="1"/>
  <c r="R26" i="22" l="1"/>
  <c r="S26" s="1"/>
  <c r="W29" i="7"/>
  <c r="X29" s="1"/>
  <c r="T26" i="22" l="1"/>
  <c r="W30" i="7"/>
  <c r="X30" s="1"/>
  <c r="R27" i="22" l="1"/>
  <c r="S27" s="1"/>
  <c r="W31" i="7"/>
  <c r="X31" s="1"/>
  <c r="T27" i="22" l="1"/>
  <c r="W32" i="7"/>
  <c r="X32" s="1"/>
  <c r="R28" i="22" l="1"/>
  <c r="S28" s="1"/>
  <c r="T28"/>
  <c r="W33" i="7"/>
  <c r="X33" s="1"/>
  <c r="R29" i="22" l="1"/>
  <c r="S29" s="1"/>
  <c r="T29" s="1"/>
  <c r="W34" i="7"/>
  <c r="X34" s="1"/>
  <c r="R30" i="22" l="1"/>
  <c r="S30" s="1"/>
  <c r="W35" i="7"/>
  <c r="X35" s="1"/>
  <c r="T30" i="22" l="1"/>
  <c r="W36" i="7"/>
  <c r="X36" s="1"/>
  <c r="R31" i="22" l="1"/>
  <c r="S31" s="1"/>
  <c r="T31"/>
  <c r="W37" i="7"/>
  <c r="X37" s="1"/>
  <c r="R32" i="22" l="1"/>
  <c r="S32" s="1"/>
  <c r="T32" s="1"/>
  <c r="W38" i="7"/>
  <c r="X38" s="1"/>
  <c r="R33" i="22" l="1"/>
  <c r="S33" s="1"/>
  <c r="T33" s="1"/>
  <c r="W39" i="7"/>
  <c r="X39" s="1"/>
  <c r="R34" i="22" l="1"/>
  <c r="S34" s="1"/>
  <c r="T34" s="1"/>
  <c r="W40" i="7"/>
  <c r="X40" s="1"/>
  <c r="R35" i="22" l="1"/>
  <c r="S35" s="1"/>
  <c r="T35" s="1"/>
  <c r="W41" i="7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R36" i="22" l="1"/>
  <c r="S36" s="1"/>
  <c r="T36" s="1"/>
  <c r="R37" l="1"/>
  <c r="S37" s="1"/>
  <c r="T37" s="1"/>
  <c r="R38" l="1"/>
  <c r="S38" s="1"/>
  <c r="T38" s="1"/>
  <c r="R39" l="1"/>
  <c r="S39" s="1"/>
  <c r="T39" s="1"/>
  <c r="R40" l="1"/>
  <c r="S40" s="1"/>
  <c r="T40" s="1"/>
  <c r="R41" l="1"/>
  <c r="S41" s="1"/>
  <c r="T41" s="1"/>
  <c r="R42" l="1"/>
  <c r="S42" s="1"/>
  <c r="T42" s="1"/>
  <c r="R43" l="1"/>
  <c r="S43" s="1"/>
  <c r="T43" l="1"/>
  <c r="R44" l="1"/>
  <c r="S44" s="1"/>
  <c r="T44"/>
  <c r="R45" l="1"/>
  <c r="S45" s="1"/>
  <c r="T45" s="1"/>
  <c r="R46" l="1"/>
  <c r="S46" s="1"/>
  <c r="T46" s="1"/>
  <c r="R47" l="1"/>
  <c r="S47" s="1"/>
  <c r="T47" s="1"/>
  <c r="R48" l="1"/>
  <c r="S48" s="1"/>
  <c r="T48"/>
  <c r="R49" l="1"/>
  <c r="S49" s="1"/>
  <c r="T49" s="1"/>
  <c r="R50" l="1"/>
  <c r="S50" s="1"/>
  <c r="T50" l="1"/>
  <c r="R51" l="1"/>
  <c r="S51" s="1"/>
  <c r="T51"/>
  <c r="R52" l="1"/>
  <c r="S52" s="1"/>
  <c r="T52" s="1"/>
  <c r="R53" l="1"/>
  <c r="S53" s="1"/>
  <c r="T53"/>
  <c r="R54" l="1"/>
  <c r="S54" s="1"/>
  <c r="T54" s="1"/>
  <c r="R55" l="1"/>
  <c r="S55" s="1"/>
  <c r="T55" s="1"/>
  <c r="W63" i="7"/>
  <c r="X63" s="1"/>
  <c r="R56" i="22" l="1"/>
  <c r="S56" s="1"/>
  <c r="T56" s="1"/>
  <c r="W64" i="7"/>
  <c r="X64" s="1"/>
  <c r="R57" i="22" l="1"/>
  <c r="S57" s="1"/>
  <c r="T57"/>
  <c r="W65" i="7"/>
  <c r="X65" s="1"/>
  <c r="R58" i="22" l="1"/>
  <c r="S58" s="1"/>
  <c r="T58" s="1"/>
  <c r="W66" i="7"/>
  <c r="X66" s="1"/>
  <c r="R59" i="22" l="1"/>
  <c r="S59" s="1"/>
  <c r="T59" s="1"/>
  <c r="W67" i="7"/>
  <c r="X67" s="1"/>
  <c r="R60" i="22" l="1"/>
  <c r="S60" s="1"/>
  <c r="T60" s="1"/>
  <c r="W68" i="7"/>
  <c r="X68" s="1"/>
  <c r="R61" i="22" l="1"/>
  <c r="S61" s="1"/>
  <c r="T61" s="1"/>
  <c r="W69" i="7"/>
  <c r="X69" s="1"/>
  <c r="R62" i="22" l="1"/>
  <c r="S62" s="1"/>
  <c r="T62" s="1"/>
  <c r="W70" i="7"/>
  <c r="X70" s="1"/>
  <c r="R63" i="22" l="1"/>
  <c r="S63" s="1"/>
  <c r="T63"/>
  <c r="W71" i="7"/>
  <c r="X71" s="1"/>
  <c r="R64" i="22" l="1"/>
  <c r="S64" s="1"/>
  <c r="T64" s="1"/>
  <c r="W72" i="7"/>
  <c r="X72" s="1"/>
  <c r="R65" i="22" l="1"/>
  <c r="S65" s="1"/>
  <c r="T65"/>
  <c r="W73" i="7"/>
  <c r="X73" s="1"/>
  <c r="R66" i="22" l="1"/>
  <c r="S66" s="1"/>
  <c r="T66" s="1"/>
  <c r="W74" i="7"/>
  <c r="X74" s="1"/>
  <c r="R67" i="22" l="1"/>
  <c r="S67" s="1"/>
  <c r="T67"/>
  <c r="W75" i="7"/>
  <c r="X75" s="1"/>
  <c r="R68" i="22" l="1"/>
  <c r="S68" s="1"/>
  <c r="T68"/>
  <c r="W76" i="7"/>
  <c r="X76" s="1"/>
  <c r="R69" i="22" l="1"/>
  <c r="S69" s="1"/>
  <c r="T69" s="1"/>
  <c r="W77" i="7"/>
  <c r="X77" s="1"/>
  <c r="R70" i="22" l="1"/>
  <c r="S70" s="1"/>
  <c r="T70" s="1"/>
  <c r="W78" i="7"/>
  <c r="X78" s="1"/>
  <c r="R71" i="22" l="1"/>
  <c r="S71" s="1"/>
  <c r="T71" s="1"/>
  <c r="W79" i="7"/>
  <c r="X79" s="1"/>
  <c r="R72" i="22" l="1"/>
  <c r="S72" s="1"/>
  <c r="T72" s="1"/>
  <c r="W80" i="7"/>
  <c r="X80" s="1"/>
  <c r="R73" i="22" l="1"/>
  <c r="S73" s="1"/>
  <c r="T73"/>
  <c r="W81" i="7"/>
  <c r="X81" s="1"/>
  <c r="R74" i="22" l="1"/>
  <c r="S74" s="1"/>
  <c r="T74" s="1"/>
  <c r="W82" i="7"/>
  <c r="X82" s="1"/>
  <c r="R75" i="22" l="1"/>
  <c r="S75" s="1"/>
  <c r="T75" s="1"/>
  <c r="W83" i="7"/>
  <c r="X83" s="1"/>
  <c r="R76" i="22" l="1"/>
  <c r="S76" s="1"/>
  <c r="T76" s="1"/>
  <c r="W84" i="7"/>
  <c r="X84" s="1"/>
  <c r="R77" i="22" l="1"/>
  <c r="S77" s="1"/>
  <c r="T77"/>
  <c r="W85" i="7"/>
  <c r="X85" s="1"/>
  <c r="R78" i="22" l="1"/>
  <c r="S78" s="1"/>
  <c r="T78" s="1"/>
  <c r="W86" i="7"/>
  <c r="X86" s="1"/>
  <c r="R79" i="22" l="1"/>
  <c r="S79" s="1"/>
  <c r="T79"/>
  <c r="W87" i="7"/>
  <c r="X87" s="1"/>
  <c r="R80" i="22" l="1"/>
  <c r="S80" s="1"/>
  <c r="T80" s="1"/>
  <c r="W88" i="7"/>
  <c r="X88" s="1"/>
  <c r="R81" i="22" l="1"/>
  <c r="S81" s="1"/>
  <c r="T81" s="1"/>
  <c r="W89" i="7"/>
  <c r="X89" s="1"/>
  <c r="R82" i="22" l="1"/>
  <c r="S82" s="1"/>
  <c r="T82" s="1"/>
  <c r="W90" i="7"/>
  <c r="X90" s="1"/>
  <c r="R83" i="22" l="1"/>
  <c r="S83" s="1"/>
  <c r="T83"/>
  <c r="W91" i="7"/>
  <c r="X91" s="1"/>
  <c r="R84" i="22" l="1"/>
  <c r="S84" s="1"/>
  <c r="T84" s="1"/>
  <c r="W92" i="7"/>
  <c r="X92" s="1"/>
  <c r="R85" i="22" l="1"/>
  <c r="S85" s="1"/>
  <c r="T85"/>
  <c r="W93" i="7"/>
  <c r="X93" s="1"/>
  <c r="R86" i="22" l="1"/>
  <c r="S86" s="1"/>
  <c r="T86" s="1"/>
  <c r="W94" i="7"/>
  <c r="X94" s="1"/>
  <c r="R87" i="22" l="1"/>
  <c r="S87" s="1"/>
  <c r="T87" s="1"/>
  <c r="W95" i="7"/>
  <c r="X95" s="1"/>
  <c r="R88" i="22" l="1"/>
  <c r="S88" s="1"/>
  <c r="T88" s="1"/>
  <c r="W96" i="7"/>
  <c r="X96" s="1"/>
  <c r="R89" i="22" l="1"/>
  <c r="S89" s="1"/>
  <c r="T89"/>
  <c r="W97" i="7"/>
  <c r="X97" s="1"/>
  <c r="R90" i="22" l="1"/>
  <c r="S90" s="1"/>
  <c r="T90" s="1"/>
  <c r="W98" i="7"/>
  <c r="X98" s="1"/>
  <c r="R91" i="22" l="1"/>
  <c r="S91" s="1"/>
  <c r="T91"/>
  <c r="W99" i="7"/>
  <c r="X99" s="1"/>
  <c r="R92" i="22" l="1"/>
  <c r="S92" s="1"/>
  <c r="T92" s="1"/>
  <c r="W100" i="7"/>
  <c r="X100" s="1"/>
  <c r="R93" i="22" l="1"/>
  <c r="S93" s="1"/>
  <c r="T93" s="1"/>
  <c r="W101" i="7"/>
  <c r="X101" s="1"/>
  <c r="R94" i="22" l="1"/>
  <c r="S94" s="1"/>
  <c r="T94" s="1"/>
  <c r="W102" i="7"/>
  <c r="X102" s="1"/>
  <c r="R95" i="22" l="1"/>
  <c r="S95" s="1"/>
  <c r="T95"/>
  <c r="W103" i="7"/>
  <c r="X103" s="1"/>
  <c r="R96" i="22" l="1"/>
  <c r="S96" s="1"/>
  <c r="T96" s="1"/>
  <c r="W104" i="7"/>
  <c r="X104" s="1"/>
  <c r="R97" i="22" l="1"/>
  <c r="S97" s="1"/>
  <c r="T97" s="1"/>
  <c r="W105" i="7"/>
  <c r="X105" s="1"/>
  <c r="R98" i="22" l="1"/>
  <c r="S98" s="1"/>
  <c r="T98" s="1"/>
  <c r="W106" i="7"/>
  <c r="X106" s="1"/>
  <c r="R99" i="22" l="1"/>
  <c r="S99" s="1"/>
  <c r="T99"/>
  <c r="W107" i="7"/>
  <c r="X107" s="1"/>
  <c r="R100" i="22" l="1"/>
  <c r="S100" s="1"/>
  <c r="T100" s="1"/>
  <c r="W108" i="7"/>
  <c r="X108" s="1"/>
  <c r="R101" i="22" l="1"/>
  <c r="S101" s="1"/>
  <c r="T101"/>
  <c r="W109" i="7"/>
  <c r="X109" s="1"/>
  <c r="R102" i="22" l="1"/>
  <c r="S102" s="1"/>
  <c r="T102" s="1"/>
  <c r="W110" i="7"/>
  <c r="X110" s="1"/>
  <c r="R103" i="22" l="1"/>
  <c r="S103" s="1"/>
  <c r="T103"/>
  <c r="W111" i="7"/>
  <c r="X111" s="1"/>
  <c r="R104" i="22" l="1"/>
  <c r="S104" s="1"/>
  <c r="T104" s="1"/>
  <c r="W112" i="7"/>
  <c r="X112" s="1"/>
  <c r="R105" i="22" l="1"/>
  <c r="S105" s="1"/>
  <c r="T105"/>
  <c r="W113" i="7"/>
  <c r="X113" s="1"/>
  <c r="R106" i="22" l="1"/>
  <c r="S106" s="1"/>
  <c r="T106" s="1"/>
  <c r="W114" i="7"/>
  <c r="X114" s="1"/>
  <c r="R107" i="22" l="1"/>
  <c r="S107" s="1"/>
  <c r="T107" s="1"/>
  <c r="W115" i="7"/>
  <c r="X115" s="1"/>
  <c r="R108" i="22" l="1"/>
  <c r="S108" s="1"/>
  <c r="T108" s="1"/>
  <c r="W116" i="7"/>
  <c r="X116" s="1"/>
  <c r="R109" i="22" l="1"/>
  <c r="S109" s="1"/>
  <c r="T109"/>
  <c r="W117" i="7"/>
  <c r="X117" s="1"/>
  <c r="R110" i="22" l="1"/>
  <c r="S110" s="1"/>
  <c r="T110" s="1"/>
  <c r="W118" i="7"/>
  <c r="X118" s="1"/>
  <c r="R111" i="22" l="1"/>
  <c r="S111" s="1"/>
  <c r="T111" s="1"/>
  <c r="W119" i="7"/>
  <c r="X119" s="1"/>
  <c r="R112" i="22" l="1"/>
  <c r="S112" s="1"/>
  <c r="T112" s="1"/>
  <c r="W120" i="7"/>
  <c r="X120" s="1"/>
  <c r="R113" i="22" l="1"/>
  <c r="S113" s="1"/>
  <c r="T113" s="1"/>
  <c r="W121" i="7"/>
  <c r="X121" s="1"/>
  <c r="R114" i="22" l="1"/>
  <c r="S114" s="1"/>
  <c r="T114" s="1"/>
  <c r="W122" i="7"/>
  <c r="X122" s="1"/>
  <c r="R115" i="22" l="1"/>
  <c r="S115" s="1"/>
  <c r="T115" s="1"/>
  <c r="W123" i="7"/>
  <c r="X123" s="1"/>
  <c r="R116" i="22" l="1"/>
  <c r="S116" s="1"/>
  <c r="T116" s="1"/>
  <c r="W124" i="7"/>
  <c r="X124" s="1"/>
  <c r="R117" i="22" l="1"/>
  <c r="S117" s="1"/>
  <c r="T117" s="1"/>
  <c r="W125" i="7"/>
  <c r="X125" s="1"/>
  <c r="R118" i="22" l="1"/>
  <c r="S118" s="1"/>
  <c r="T118" s="1"/>
  <c r="W126" i="7"/>
  <c r="X126" s="1"/>
  <c r="R119" i="22" l="1"/>
  <c r="S119" s="1"/>
  <c r="T119"/>
  <c r="W127" i="7"/>
  <c r="X127" s="1"/>
  <c r="R120" i="22" l="1"/>
  <c r="S120" s="1"/>
  <c r="T120" s="1"/>
  <c r="W128" i="7"/>
  <c r="X128" s="1"/>
  <c r="R121" i="22" l="1"/>
  <c r="S121" s="1"/>
  <c r="T121" s="1"/>
  <c r="W129" i="7"/>
  <c r="X129" s="1"/>
  <c r="R122" i="22" l="1"/>
  <c r="S122" s="1"/>
  <c r="T122" s="1"/>
  <c r="W130" i="7"/>
  <c r="X130" s="1"/>
  <c r="R123" i="22" l="1"/>
  <c r="S123" s="1"/>
  <c r="T123"/>
  <c r="W131" i="7"/>
  <c r="X131" s="1"/>
  <c r="R124" i="22" l="1"/>
  <c r="S124" s="1"/>
  <c r="T124" s="1"/>
  <c r="W132" i="7"/>
  <c r="X132" s="1"/>
  <c r="R125" i="22" l="1"/>
  <c r="S125" s="1"/>
  <c r="T125"/>
  <c r="W133" i="7"/>
  <c r="X133" s="1"/>
  <c r="R126" i="22" l="1"/>
  <c r="S126" s="1"/>
  <c r="T126" s="1"/>
  <c r="W134" i="7"/>
  <c r="X134" s="1"/>
  <c r="R127" i="22" l="1"/>
  <c r="S127" s="1"/>
  <c r="T127"/>
  <c r="W135" i="7"/>
  <c r="X135" s="1"/>
  <c r="R128" i="22" l="1"/>
  <c r="S128" s="1"/>
  <c r="T128" s="1"/>
  <c r="W136" i="7"/>
  <c r="X136" s="1"/>
  <c r="R129" i="22" l="1"/>
  <c r="S129" s="1"/>
  <c r="T129" s="1"/>
  <c r="W137" i="7"/>
  <c r="X137" s="1"/>
  <c r="R130" i="22" l="1"/>
  <c r="S130" s="1"/>
  <c r="T130" s="1"/>
  <c r="W138" i="7"/>
  <c r="X138" s="1"/>
  <c r="R131" i="22" l="1"/>
  <c r="S131" s="1"/>
  <c r="T131" s="1"/>
  <c r="W139" i="7"/>
  <c r="X139" s="1"/>
  <c r="R132" i="22" l="1"/>
  <c r="S132" s="1"/>
  <c r="T132" s="1"/>
  <c r="W140" i="7"/>
  <c r="X140" s="1"/>
  <c r="R133" i="22" l="1"/>
  <c r="S133" s="1"/>
  <c r="T133" s="1"/>
  <c r="W141" i="7"/>
  <c r="X141" s="1"/>
  <c r="R134" i="22" l="1"/>
  <c r="S134" s="1"/>
  <c r="T134" s="1"/>
  <c r="W142" i="7"/>
  <c r="X142" s="1"/>
  <c r="R135" i="22" l="1"/>
  <c r="S135" s="1"/>
  <c r="T135"/>
  <c r="W143" i="7"/>
  <c r="X143" s="1"/>
  <c r="R136" i="22" l="1"/>
  <c r="S136" s="1"/>
  <c r="T136" s="1"/>
  <c r="W144" i="7"/>
  <c r="X144" s="1"/>
  <c r="R137" i="22" l="1"/>
  <c r="S137" s="1"/>
  <c r="T137"/>
  <c r="W145" i="7"/>
  <c r="X145" s="1"/>
  <c r="R138" i="22" l="1"/>
  <c r="S138" s="1"/>
  <c r="T138" s="1"/>
  <c r="W146" i="7"/>
  <c r="X146" s="1"/>
  <c r="R139" i="22" l="1"/>
  <c r="S139" s="1"/>
  <c r="T139" s="1"/>
  <c r="W147" i="7"/>
  <c r="X147" s="1"/>
  <c r="R140" i="22" l="1"/>
  <c r="S140" s="1"/>
  <c r="T140" s="1"/>
  <c r="W148" i="7"/>
  <c r="X148" s="1"/>
  <c r="R141" i="22" l="1"/>
  <c r="S141" s="1"/>
  <c r="T141" s="1"/>
  <c r="W149" i="7"/>
  <c r="X149" s="1"/>
  <c r="R142" i="22" l="1"/>
  <c r="S142" s="1"/>
  <c r="T142" s="1"/>
  <c r="W150" i="7"/>
  <c r="X150" s="1"/>
  <c r="R143" i="22" l="1"/>
  <c r="S143" s="1"/>
  <c r="T143"/>
  <c r="W151" i="7"/>
  <c r="X151" s="1"/>
  <c r="R144" i="22" l="1"/>
  <c r="S144" s="1"/>
  <c r="T144" s="1"/>
  <c r="W152" i="7"/>
  <c r="X152" s="1"/>
  <c r="R145" i="22" l="1"/>
  <c r="S145" s="1"/>
  <c r="T145" s="1"/>
  <c r="W153" i="7"/>
  <c r="X153" s="1"/>
  <c r="R146" i="22" l="1"/>
  <c r="S146" s="1"/>
  <c r="T146" s="1"/>
  <c r="W154" i="7"/>
  <c r="X154" s="1"/>
  <c r="R147" i="22" l="1"/>
  <c r="S147" s="1"/>
  <c r="T147" s="1"/>
  <c r="W155" i="7"/>
  <c r="X155" s="1"/>
  <c r="R148" i="22" l="1"/>
  <c r="S148" s="1"/>
  <c r="T148" s="1"/>
  <c r="W156" i="7"/>
  <c r="X156" s="1"/>
  <c r="R149" i="22" l="1"/>
  <c r="S149" s="1"/>
  <c r="T149"/>
  <c r="W157" i="7"/>
  <c r="X157" s="1"/>
  <c r="R150" i="22" l="1"/>
  <c r="S150" s="1"/>
  <c r="T150" s="1"/>
  <c r="W158" i="7"/>
  <c r="X158" s="1"/>
  <c r="R151" i="22" l="1"/>
  <c r="S151" s="1"/>
  <c r="T151"/>
  <c r="W159" i="7"/>
  <c r="X159" s="1"/>
  <c r="R152" i="22" l="1"/>
  <c r="S152" s="1"/>
  <c r="T152" s="1"/>
  <c r="W160" i="7"/>
  <c r="X160" s="1"/>
  <c r="R153" i="22" l="1"/>
  <c r="S153" s="1"/>
  <c r="T153" s="1"/>
  <c r="W161" i="7"/>
  <c r="X161" s="1"/>
  <c r="R154" i="22" l="1"/>
  <c r="S154" s="1"/>
  <c r="T154" s="1"/>
  <c r="W162" i="7"/>
  <c r="X162" s="1"/>
  <c r="R155" i="22" l="1"/>
  <c r="S155" s="1"/>
  <c r="T155" s="1"/>
  <c r="W163" i="7"/>
  <c r="X163" s="1"/>
  <c r="R156" i="22" l="1"/>
  <c r="S156" s="1"/>
  <c r="T156" s="1"/>
  <c r="W164" i="7"/>
  <c r="X164" s="1"/>
  <c r="R157" i="22" l="1"/>
  <c r="S157" s="1"/>
  <c r="T157"/>
  <c r="W165" i="7"/>
  <c r="X165" s="1"/>
  <c r="R158" i="22" l="1"/>
  <c r="S158" s="1"/>
  <c r="T158" s="1"/>
  <c r="W166" i="7"/>
  <c r="X166" s="1"/>
  <c r="R159" i="22" l="1"/>
  <c r="S159" s="1"/>
  <c r="T159"/>
  <c r="W167" i="7"/>
  <c r="X167" s="1"/>
  <c r="R160" i="22" l="1"/>
  <c r="S160" s="1"/>
  <c r="T160" s="1"/>
  <c r="W168" i="7"/>
  <c r="X168" s="1"/>
  <c r="R161" i="22" l="1"/>
  <c r="S161" s="1"/>
  <c r="T161"/>
  <c r="W169" i="7"/>
  <c r="X169" s="1"/>
  <c r="R162" i="22" l="1"/>
  <c r="S162" s="1"/>
  <c r="T162" s="1"/>
  <c r="W170" i="7"/>
  <c r="X170" s="1"/>
  <c r="R163" i="22" l="1"/>
  <c r="S163" s="1"/>
  <c r="T163"/>
  <c r="W171" i="7"/>
  <c r="X171" s="1"/>
  <c r="R164" i="22" l="1"/>
  <c r="S164" s="1"/>
  <c r="T164" s="1"/>
  <c r="W172" i="7"/>
  <c r="X172" s="1"/>
  <c r="R165" i="22" l="1"/>
  <c r="S165" s="1"/>
  <c r="T165"/>
  <c r="W173" i="7"/>
  <c r="X173" s="1"/>
  <c r="R166" i="22" l="1"/>
  <c r="S166" s="1"/>
  <c r="T166" s="1"/>
  <c r="W174" i="7"/>
  <c r="X174" s="1"/>
  <c r="R167" i="22" l="1"/>
  <c r="S167" s="1"/>
  <c r="T167"/>
  <c r="W175" i="7"/>
  <c r="X175" s="1"/>
  <c r="R168" i="22" l="1"/>
  <c r="S168" s="1"/>
  <c r="T168" s="1"/>
  <c r="W176" i="7"/>
  <c r="X176" s="1"/>
  <c r="R169" i="22" l="1"/>
  <c r="S169" s="1"/>
  <c r="T169"/>
  <c r="W177" i="7"/>
  <c r="X177" s="1"/>
  <c r="R170" i="22" l="1"/>
  <c r="S170" s="1"/>
  <c r="T170" s="1"/>
  <c r="W178" i="7"/>
  <c r="X178" s="1"/>
  <c r="R171" i="22" l="1"/>
  <c r="S171" s="1"/>
  <c r="T171"/>
  <c r="W179" i="7"/>
  <c r="X179" s="1"/>
  <c r="R172" i="22" l="1"/>
  <c r="S172" s="1"/>
  <c r="T172" s="1"/>
  <c r="W180" i="7"/>
  <c r="X180" s="1"/>
  <c r="R173" i="22" l="1"/>
  <c r="S173" s="1"/>
  <c r="T173"/>
  <c r="W181" i="7"/>
  <c r="X181" s="1"/>
  <c r="R174" i="22" l="1"/>
  <c r="S174" s="1"/>
  <c r="T174" s="1"/>
  <c r="W182" i="7"/>
  <c r="X182" s="1"/>
  <c r="R175" i="22" l="1"/>
  <c r="S175" s="1"/>
  <c r="T175" s="1"/>
  <c r="W183" i="7"/>
  <c r="X183" s="1"/>
  <c r="R176" i="22" l="1"/>
  <c r="S176" s="1"/>
  <c r="T176" s="1"/>
  <c r="W184" i="7"/>
  <c r="X184" s="1"/>
  <c r="R177" i="22" l="1"/>
  <c r="S177" s="1"/>
  <c r="T177"/>
  <c r="W185" i="7"/>
  <c r="X185" s="1"/>
  <c r="R178" i="22" l="1"/>
  <c r="S178" s="1"/>
  <c r="T178" s="1"/>
  <c r="W186" i="7"/>
  <c r="X186" s="1"/>
  <c r="R179" i="22" l="1"/>
  <c r="S179" s="1"/>
  <c r="T179" s="1"/>
  <c r="W187" i="7"/>
  <c r="X187" s="1"/>
  <c r="R180" i="22" l="1"/>
  <c r="S180" s="1"/>
  <c r="T180" s="1"/>
  <c r="W188" i="7"/>
  <c r="X188" s="1"/>
  <c r="R181" i="22" l="1"/>
  <c r="S181" s="1"/>
  <c r="T181" s="1"/>
  <c r="W189" i="7"/>
  <c r="R182" i="22" l="1"/>
  <c r="S182" s="1"/>
  <c r="T182" s="1"/>
  <c r="X189" i="7"/>
  <c r="R183" i="22" l="1"/>
  <c r="S183" s="1"/>
  <c r="T183" s="1"/>
  <c r="W190" i="7"/>
  <c r="R184" i="22" l="1"/>
  <c r="S184" s="1"/>
  <c r="T184" s="1"/>
  <c r="X190" i="7"/>
  <c r="R185" i="22" l="1"/>
  <c r="S185" s="1"/>
  <c r="T185"/>
  <c r="W191" i="7"/>
  <c r="R186" i="22" l="1"/>
  <c r="S186" s="1"/>
  <c r="T186" s="1"/>
  <c r="X191" i="7"/>
  <c r="R187" i="22" l="1"/>
  <c r="S187" s="1"/>
  <c r="T187"/>
  <c r="W192" i="7"/>
  <c r="X192" s="1"/>
  <c r="R188" i="22" l="1"/>
  <c r="S188" s="1"/>
  <c r="T188" s="1"/>
  <c r="R189" l="1"/>
  <c r="S189" s="1"/>
  <c r="T189" s="1"/>
  <c r="R190" l="1"/>
  <c r="S190" s="1"/>
  <c r="T190" s="1"/>
  <c r="R191" l="1"/>
  <c r="S191" s="1"/>
  <c r="T191" s="1"/>
  <c r="R192" l="1"/>
  <c r="S192" s="1"/>
  <c r="T192" s="1"/>
  <c r="R193" l="1"/>
  <c r="S193" s="1"/>
  <c r="T193" s="1"/>
  <c r="R194" l="1"/>
  <c r="S194" s="1"/>
  <c r="T194" s="1"/>
  <c r="R195" l="1"/>
  <c r="S195" s="1"/>
  <c r="T195" s="1"/>
  <c r="R196" l="1"/>
  <c r="S196" s="1"/>
  <c r="T196" s="1"/>
  <c r="R197" l="1"/>
  <c r="S197" s="1"/>
  <c r="T197" s="1"/>
  <c r="R198" l="1"/>
  <c r="S198" s="1"/>
  <c r="T198" s="1"/>
  <c r="R199" l="1"/>
  <c r="S199" s="1"/>
  <c r="T199"/>
  <c r="R200" l="1"/>
  <c r="S200" s="1"/>
  <c r="T200" s="1"/>
  <c r="R201" l="1"/>
  <c r="S201" s="1"/>
  <c r="T201"/>
  <c r="R202" l="1"/>
  <c r="S202" s="1"/>
  <c r="T202" s="1"/>
  <c r="R203" l="1"/>
  <c r="S203" s="1"/>
  <c r="T203" s="1"/>
  <c r="R204" l="1"/>
  <c r="S204" s="1"/>
  <c r="T204" s="1"/>
  <c r="R205" l="1"/>
  <c r="S205" s="1"/>
  <c r="T205"/>
  <c r="R206" l="1"/>
  <c r="S206" s="1"/>
  <c r="T206" s="1"/>
  <c r="R207" l="1"/>
  <c r="S207" s="1"/>
  <c r="T207" s="1"/>
  <c r="R208" l="1"/>
  <c r="S208" s="1"/>
  <c r="T208" s="1"/>
  <c r="R209" l="1"/>
  <c r="S209" s="1"/>
  <c r="T209" s="1"/>
  <c r="R210" l="1"/>
  <c r="S210" s="1"/>
  <c r="T210" s="1"/>
  <c r="R211" l="1"/>
  <c r="S211" s="1"/>
  <c r="T211" s="1"/>
  <c r="R212" l="1"/>
  <c r="S212" s="1"/>
  <c r="T212" s="1"/>
  <c r="R213" l="1"/>
  <c r="S213" s="1"/>
  <c r="T213" s="1"/>
  <c r="R214" l="1"/>
  <c r="S214" s="1"/>
  <c r="T214" s="1"/>
  <c r="R215" l="1"/>
  <c r="S215" s="1"/>
  <c r="T215" s="1"/>
  <c r="R216" l="1"/>
  <c r="S216" s="1"/>
  <c r="T216" s="1"/>
  <c r="R217" l="1"/>
  <c r="S217" s="1"/>
  <c r="T217" s="1"/>
  <c r="R218" l="1"/>
  <c r="S218" s="1"/>
  <c r="T218" s="1"/>
  <c r="R219" l="1"/>
  <c r="S219" s="1"/>
  <c r="T219" s="1"/>
  <c r="R220" l="1"/>
  <c r="S220" s="1"/>
  <c r="T220" s="1"/>
  <c r="R221" l="1"/>
  <c r="S221" s="1"/>
  <c r="T221" s="1"/>
  <c r="R222" l="1"/>
  <c r="S222" s="1"/>
  <c r="T222"/>
  <c r="R223" l="1"/>
  <c r="S223" s="1"/>
  <c r="T223" s="1"/>
  <c r="R224" l="1"/>
  <c r="S224" s="1"/>
  <c r="T224" s="1"/>
  <c r="R225" l="1"/>
  <c r="S225" s="1"/>
  <c r="T225" s="1"/>
  <c r="R226" l="1"/>
  <c r="S226" s="1"/>
  <c r="T226" s="1"/>
  <c r="R227" l="1"/>
  <c r="S227" s="1"/>
  <c r="T227"/>
  <c r="R228" l="1"/>
  <c r="S228" s="1"/>
  <c r="T228"/>
  <c r="R229" l="1"/>
  <c r="S229" s="1"/>
  <c r="T229" s="1"/>
  <c r="R230" l="1"/>
  <c r="S230" s="1"/>
  <c r="T230" s="1"/>
  <c r="R231" l="1"/>
  <c r="S231" s="1"/>
  <c r="T231" s="1"/>
  <c r="R232" l="1"/>
  <c r="S232" s="1"/>
  <c r="T232" s="1"/>
  <c r="R233" l="1"/>
  <c r="S233" s="1"/>
  <c r="T233" s="1"/>
  <c r="R234" l="1"/>
  <c r="S234" s="1"/>
  <c r="T234"/>
  <c r="R235" l="1"/>
  <c r="S235" s="1"/>
  <c r="T235" s="1"/>
  <c r="R236" l="1"/>
  <c r="S236" s="1"/>
  <c r="T236"/>
  <c r="R237" l="1"/>
  <c r="S237" s="1"/>
  <c r="T237" s="1"/>
  <c r="R238" l="1"/>
  <c r="S238" s="1"/>
  <c r="T238" s="1"/>
  <c r="R239" l="1"/>
  <c r="S239" s="1"/>
  <c r="T239" s="1"/>
  <c r="R240" l="1"/>
  <c r="S240" s="1"/>
  <c r="T240" s="1"/>
  <c r="R241" l="1"/>
  <c r="S241" s="1"/>
  <c r="T241" s="1"/>
  <c r="R242" l="1"/>
  <c r="S242" s="1"/>
  <c r="T242"/>
  <c r="R243" l="1"/>
  <c r="S243" s="1"/>
  <c r="T243" s="1"/>
  <c r="R244" l="1"/>
  <c r="S244" s="1"/>
  <c r="T244" s="1"/>
  <c r="R245" l="1"/>
  <c r="S245" s="1"/>
  <c r="T245"/>
  <c r="R246" l="1"/>
  <c r="S246" s="1"/>
  <c r="T246"/>
  <c r="R247" l="1"/>
  <c r="S247" s="1"/>
  <c r="T247" s="1"/>
  <c r="W193" i="7"/>
  <c r="X193" s="1"/>
  <c r="R248" i="22" l="1"/>
  <c r="S248" s="1"/>
  <c r="T248" s="1"/>
  <c r="R249" l="1"/>
  <c r="S249" s="1"/>
  <c r="T249" s="1"/>
  <c r="R250" l="1"/>
  <c r="S250" s="1"/>
  <c r="T250" s="1"/>
  <c r="R251" l="1"/>
  <c r="S251" s="1"/>
  <c r="T251" s="1"/>
  <c r="R252" l="1"/>
  <c r="S252" s="1"/>
  <c r="T252" s="1"/>
  <c r="R253" l="1"/>
  <c r="S253" s="1"/>
  <c r="T253" s="1"/>
  <c r="R254" l="1"/>
  <c r="S254" s="1"/>
  <c r="T254" s="1"/>
  <c r="R255" l="1"/>
  <c r="S255" s="1"/>
  <c r="T255" s="1"/>
  <c r="R256" l="1"/>
  <c r="S256" s="1"/>
  <c r="T256" s="1"/>
  <c r="R257" l="1"/>
  <c r="S257" s="1"/>
  <c r="T257"/>
  <c r="R258" l="1"/>
  <c r="S258" s="1"/>
  <c r="T258" s="1"/>
  <c r="R259" l="1"/>
  <c r="S259" s="1"/>
  <c r="T259" s="1"/>
  <c r="R260" l="1"/>
  <c r="S260" s="1"/>
  <c r="T260"/>
  <c r="R261" l="1"/>
  <c r="S261" s="1"/>
  <c r="T261" s="1"/>
  <c r="R262" l="1"/>
  <c r="S262" s="1"/>
  <c r="T262" s="1"/>
  <c r="R263" l="1"/>
  <c r="S263" s="1"/>
  <c r="T263" s="1"/>
  <c r="W194" i="7"/>
  <c r="X194" s="1"/>
  <c r="R264" i="22" l="1"/>
  <c r="S264" s="1"/>
  <c r="T264" s="1"/>
  <c r="W195" i="7"/>
  <c r="X195" s="1"/>
  <c r="R265" i="22" l="1"/>
  <c r="S265" s="1"/>
  <c r="T265" s="1"/>
  <c r="W196" i="7"/>
  <c r="X196" s="1"/>
  <c r="R266" i="22" l="1"/>
  <c r="S266" s="1"/>
  <c r="T266" s="1"/>
  <c r="W197" i="7"/>
  <c r="X197" s="1"/>
  <c r="R267" i="22" l="1"/>
  <c r="S267" s="1"/>
  <c r="T267" s="1"/>
  <c r="W198" i="7"/>
  <c r="X198" s="1"/>
  <c r="R268" i="22" l="1"/>
  <c r="S268" s="1"/>
  <c r="T268" s="1"/>
  <c r="W199" i="7"/>
  <c r="X199" s="1"/>
  <c r="R269" i="22" l="1"/>
  <c r="S269" s="1"/>
  <c r="T269" s="1"/>
  <c r="R270" l="1"/>
  <c r="S270" s="1"/>
  <c r="T270" s="1"/>
  <c r="W200" i="7"/>
  <c r="X200" s="1"/>
  <c r="R271" i="22" l="1"/>
  <c r="S271" s="1"/>
  <c r="T271" s="1"/>
  <c r="R272" l="1"/>
  <c r="S272" s="1"/>
  <c r="T272"/>
  <c r="R273" l="1"/>
  <c r="S273" s="1"/>
  <c r="T273" s="1"/>
  <c r="W201" i="7"/>
  <c r="X201" s="1"/>
  <c r="R274" i="22" l="1"/>
  <c r="S274" s="1"/>
  <c r="T274"/>
  <c r="R275" l="1"/>
  <c r="S275" s="1"/>
  <c r="T275"/>
  <c r="R276" l="1"/>
  <c r="S276" s="1"/>
  <c r="T276"/>
  <c r="R277" l="1"/>
  <c r="S277" s="1"/>
  <c r="T277" s="1"/>
  <c r="W202" i="7"/>
  <c r="X202" s="1"/>
  <c r="R278" i="22" l="1"/>
  <c r="S278" s="1"/>
  <c r="T278"/>
  <c r="R279" l="1"/>
  <c r="S279" s="1"/>
  <c r="T279" s="1"/>
  <c r="R280" l="1"/>
  <c r="S280" s="1"/>
  <c r="T280" s="1"/>
  <c r="R281" l="1"/>
  <c r="S281" s="1"/>
  <c r="T281" s="1"/>
  <c r="R282" l="1"/>
  <c r="S282" s="1"/>
  <c r="T282" s="1"/>
  <c r="W203" i="7"/>
  <c r="X203" s="1"/>
  <c r="R283" i="22" l="1"/>
  <c r="S283" s="1"/>
  <c r="T283" s="1"/>
  <c r="R284" l="1"/>
  <c r="S284" s="1"/>
  <c r="T284"/>
  <c r="R285" l="1"/>
  <c r="S285" s="1"/>
  <c r="T285" s="1"/>
  <c r="R286" l="1"/>
  <c r="S286" s="1"/>
  <c r="T286"/>
  <c r="R287" l="1"/>
  <c r="S287" s="1"/>
  <c r="T287"/>
  <c r="R288" l="1"/>
  <c r="S288" s="1"/>
  <c r="T288" s="1"/>
  <c r="R289" l="1"/>
  <c r="S289" s="1"/>
  <c r="T289" s="1"/>
  <c r="R290" l="1"/>
  <c r="S290" s="1"/>
  <c r="T290" s="1"/>
  <c r="R291" l="1"/>
  <c r="S291" s="1"/>
  <c r="T291" s="1"/>
  <c r="W204" i="7"/>
  <c r="X204" s="1"/>
  <c r="R292" i="22" l="1"/>
  <c r="S292" s="1"/>
  <c r="T292" s="1"/>
  <c r="R293" l="1"/>
  <c r="S293" s="1"/>
  <c r="T293"/>
  <c r="R294" l="1"/>
  <c r="S294" s="1"/>
  <c r="T294"/>
  <c r="R295" l="1"/>
  <c r="S295" s="1"/>
  <c r="T295" s="1"/>
  <c r="R296" l="1"/>
  <c r="S296" s="1"/>
  <c r="T296" s="1"/>
  <c r="R297" l="1"/>
  <c r="S297" s="1"/>
  <c r="T297"/>
  <c r="R298" l="1"/>
  <c r="S298" s="1"/>
  <c r="T298"/>
  <c r="R299" l="1"/>
  <c r="S299" s="1"/>
  <c r="T299"/>
  <c r="R300" l="1"/>
  <c r="S300" s="1"/>
  <c r="T300" s="1"/>
  <c r="R301" l="1"/>
  <c r="S301" s="1"/>
  <c r="T301" s="1"/>
  <c r="R302" l="1"/>
  <c r="S302" s="1"/>
  <c r="T302"/>
  <c r="R303" l="1"/>
  <c r="S303" s="1"/>
  <c r="T303" s="1"/>
  <c r="R304" l="1"/>
  <c r="S304" s="1"/>
  <c r="T304" s="1"/>
  <c r="R305" l="1"/>
  <c r="S305" s="1"/>
  <c r="T305"/>
  <c r="W205" i="7"/>
  <c r="X205" s="1"/>
  <c r="R306" i="22" l="1"/>
  <c r="S306" s="1"/>
  <c r="T306" s="1"/>
  <c r="R307" l="1"/>
  <c r="S307" s="1"/>
  <c r="T307" s="1"/>
  <c r="R308" l="1"/>
  <c r="S308" s="1"/>
  <c r="T308" s="1"/>
  <c r="W206" i="7"/>
  <c r="X206" s="1"/>
  <c r="R309" i="22" l="1"/>
  <c r="S309" s="1"/>
  <c r="T309"/>
  <c r="R310" l="1"/>
  <c r="S310" s="1"/>
  <c r="T310"/>
  <c r="R311" l="1"/>
  <c r="S311" s="1"/>
  <c r="T311" s="1"/>
  <c r="R312" l="1"/>
  <c r="S312" s="1"/>
  <c r="T312" s="1"/>
  <c r="R313" l="1"/>
  <c r="S313" s="1"/>
  <c r="T313" s="1"/>
  <c r="R314" l="1"/>
  <c r="S314" s="1"/>
  <c r="T314"/>
  <c r="R315" l="1"/>
  <c r="S315" s="1"/>
  <c r="T315" s="1"/>
  <c r="R316" l="1"/>
  <c r="S316" s="1"/>
  <c r="T316"/>
  <c r="R317" l="1"/>
  <c r="S317" s="1"/>
  <c r="T317" s="1"/>
  <c r="W207" i="7"/>
  <c r="X207" s="1"/>
  <c r="R318" i="22" l="1"/>
  <c r="S318" s="1"/>
  <c r="T318" s="1"/>
  <c r="R319" l="1"/>
  <c r="S319" s="1"/>
  <c r="T319" s="1"/>
  <c r="W208" i="7"/>
  <c r="X208" s="1"/>
  <c r="R320" i="22" l="1"/>
  <c r="S320" s="1"/>
  <c r="T320" s="1"/>
  <c r="R321" l="1"/>
  <c r="S321" s="1"/>
  <c r="T321"/>
  <c r="R322" l="1"/>
  <c r="S322" s="1"/>
  <c r="T322"/>
  <c r="R323" l="1"/>
  <c r="S323" s="1"/>
  <c r="T323" s="1"/>
  <c r="R324" l="1"/>
  <c r="S324" s="1"/>
  <c r="T324" s="1"/>
  <c r="W209" i="7"/>
  <c r="X209" s="1"/>
  <c r="R325" i="22" l="1"/>
  <c r="S325" s="1"/>
  <c r="T325" s="1"/>
  <c r="R326" l="1"/>
  <c r="S326" s="1"/>
  <c r="T326" s="1"/>
  <c r="R327" l="1"/>
  <c r="S327" s="1"/>
  <c r="T327" s="1"/>
  <c r="R328" l="1"/>
  <c r="S328" s="1"/>
  <c r="T328" s="1"/>
  <c r="R329" l="1"/>
  <c r="S329" s="1"/>
  <c r="T329" s="1"/>
  <c r="W210" i="7"/>
  <c r="X210" s="1"/>
  <c r="R330" i="22" l="1"/>
  <c r="S330" s="1"/>
  <c r="T330" s="1"/>
  <c r="R331" l="1"/>
  <c r="S331" s="1"/>
  <c r="T331" s="1"/>
  <c r="R332" l="1"/>
  <c r="S332" s="1"/>
  <c r="T332" s="1"/>
  <c r="R333" l="1"/>
  <c r="S333" s="1"/>
  <c r="T333" s="1"/>
  <c r="R334" l="1"/>
  <c r="S334" s="1"/>
  <c r="T334" s="1"/>
  <c r="R335" l="1"/>
  <c r="S335" s="1"/>
  <c r="T335"/>
  <c r="R336" l="1"/>
  <c r="S336" s="1"/>
  <c r="T336" s="1"/>
  <c r="R337" l="1"/>
  <c r="S337" s="1"/>
  <c r="T337" s="1"/>
  <c r="R338" l="1"/>
  <c r="S338" s="1"/>
  <c r="T338" s="1"/>
  <c r="R339" l="1"/>
  <c r="S339" s="1"/>
  <c r="T339" s="1"/>
  <c r="R340" l="1"/>
  <c r="S340" s="1"/>
  <c r="T340" s="1"/>
  <c r="R341" l="1"/>
  <c r="S341" s="1"/>
  <c r="T341" s="1"/>
  <c r="R342" l="1"/>
  <c r="S342" s="1"/>
  <c r="T342" s="1"/>
  <c r="W211" i="7"/>
  <c r="X211" s="1"/>
  <c r="R343" i="22" l="1"/>
  <c r="S343" s="1"/>
  <c r="T343" s="1"/>
  <c r="R344" l="1"/>
  <c r="S344" s="1"/>
  <c r="T344" s="1"/>
  <c r="R345" l="1"/>
  <c r="S345" s="1"/>
  <c r="T345" s="1"/>
  <c r="R346" l="1"/>
  <c r="S346" s="1"/>
  <c r="T346" l="1"/>
  <c r="R347" l="1"/>
  <c r="S347" s="1"/>
  <c r="T347"/>
  <c r="R348" l="1"/>
  <c r="S348" s="1"/>
  <c r="T348" s="1"/>
  <c r="R349" l="1"/>
  <c r="S349" s="1"/>
  <c r="T349"/>
  <c r="R350" l="1"/>
  <c r="S350" s="1"/>
  <c r="T350" s="1"/>
  <c r="R351" l="1"/>
  <c r="S351" s="1"/>
  <c r="T351"/>
  <c r="R352" l="1"/>
  <c r="S352" s="1"/>
  <c r="T352" s="1"/>
  <c r="R353" l="1"/>
  <c r="S353" s="1"/>
  <c r="T353" s="1"/>
  <c r="R354" l="1"/>
  <c r="S354" s="1"/>
  <c r="T354" s="1"/>
  <c r="R355" l="1"/>
  <c r="S355" s="1"/>
  <c r="T355" s="1"/>
  <c r="W212" i="7"/>
  <c r="X212" s="1"/>
  <c r="R356" i="22" l="1"/>
  <c r="S356" s="1"/>
  <c r="T356" s="1"/>
  <c r="R357" l="1"/>
  <c r="S357" s="1"/>
  <c r="T357" s="1"/>
  <c r="R358" l="1"/>
  <c r="S358" s="1"/>
  <c r="T358" s="1"/>
  <c r="R359" l="1"/>
  <c r="S359" s="1"/>
  <c r="T359"/>
  <c r="W213" i="7"/>
  <c r="X213" s="1"/>
  <c r="R360" i="22" l="1"/>
  <c r="S360" s="1"/>
  <c r="T360" s="1"/>
  <c r="R361" l="1"/>
  <c r="S361" s="1"/>
  <c r="T361"/>
  <c r="R362" l="1"/>
  <c r="S362" s="1"/>
  <c r="T362" s="1"/>
  <c r="R363" l="1"/>
  <c r="S363" s="1"/>
  <c r="T363"/>
  <c r="R364" l="1"/>
  <c r="S364" s="1"/>
  <c r="T364" s="1"/>
  <c r="W214" i="7"/>
  <c r="X214" s="1"/>
  <c r="R365" i="22" l="1"/>
  <c r="S365" s="1"/>
  <c r="T365" s="1"/>
  <c r="W215" i="7"/>
  <c r="X215" s="1"/>
  <c r="W216" s="1"/>
  <c r="X216" s="1"/>
  <c r="W217" s="1"/>
  <c r="X217" s="1"/>
  <c r="W218" s="1"/>
  <c r="X218" s="1"/>
  <c r="W219" s="1"/>
  <c r="X219" s="1"/>
  <c r="W220" s="1"/>
  <c r="X220" s="1"/>
  <c r="W221" s="1"/>
  <c r="X221" s="1"/>
  <c r="W222" s="1"/>
  <c r="X222" s="1"/>
  <c r="W223" s="1"/>
  <c r="X223" s="1"/>
  <c r="W224" s="1"/>
  <c r="X224" s="1"/>
  <c r="W225" s="1"/>
  <c r="X225" s="1"/>
  <c r="W226" s="1"/>
  <c r="X226" s="1"/>
  <c r="W227" s="1"/>
  <c r="X227" s="1"/>
  <c r="W228" s="1"/>
  <c r="X228" s="1"/>
  <c r="W229" s="1"/>
  <c r="X229" s="1"/>
  <c r="R366" i="22" l="1"/>
  <c r="S366" s="1"/>
  <c r="T366" s="1"/>
  <c r="W230" i="7"/>
  <c r="X230" s="1"/>
  <c r="R367" i="22" l="1"/>
  <c r="S367" s="1"/>
  <c r="T367" s="1"/>
  <c r="W231" i="7"/>
  <c r="X231" s="1"/>
  <c r="R368" i="22" l="1"/>
  <c r="S368" s="1"/>
  <c r="T368" s="1"/>
  <c r="W232" i="7"/>
  <c r="X232" s="1"/>
  <c r="R369" i="22" l="1"/>
  <c r="S369" s="1"/>
  <c r="T369" s="1"/>
  <c r="W233" i="7"/>
  <c r="X233" s="1"/>
  <c r="R370" i="22" l="1"/>
  <c r="S370" s="1"/>
  <c r="T370" s="1"/>
  <c r="W234" i="7"/>
  <c r="X234" s="1"/>
  <c r="W235" s="1"/>
  <c r="X235" s="1"/>
  <c r="R371" i="22" l="1"/>
  <c r="S371" s="1"/>
  <c r="T371" s="1"/>
  <c r="W236" i="7"/>
  <c r="X236" s="1"/>
  <c r="W237" s="1"/>
  <c r="X237" s="1"/>
  <c r="R372" i="22" l="1"/>
  <c r="S372" s="1"/>
  <c r="T372" s="1"/>
  <c r="W238" i="7"/>
  <c r="X238" s="1"/>
  <c r="W239" s="1"/>
  <c r="X239" s="1"/>
  <c r="W240" s="1"/>
  <c r="X240" s="1"/>
  <c r="R373" i="22" l="1"/>
  <c r="S373" s="1"/>
  <c r="T373"/>
  <c r="W241" i="7"/>
  <c r="X241" s="1"/>
  <c r="R374" i="22" l="1"/>
  <c r="S374" s="1"/>
  <c r="T374" s="1"/>
  <c r="W242" i="7"/>
  <c r="X242" s="1"/>
  <c r="R375" i="22" l="1"/>
  <c r="S375" s="1"/>
  <c r="T375" s="1"/>
  <c r="W243" i="7"/>
  <c r="X243" s="1"/>
  <c r="R376" i="22" l="1"/>
  <c r="S376" s="1"/>
  <c r="T376" s="1"/>
  <c r="W244" i="7"/>
  <c r="X244" s="1"/>
  <c r="R377" i="22" l="1"/>
  <c r="S377" s="1"/>
  <c r="T377" s="1"/>
  <c r="W245" i="7"/>
  <c r="X245" s="1"/>
  <c r="W246" s="1"/>
  <c r="X246" s="1"/>
  <c r="R378" i="22" l="1"/>
  <c r="S378" s="1"/>
  <c r="T378" s="1"/>
  <c r="W247" i="7"/>
  <c r="X247" s="1"/>
  <c r="W248" s="1"/>
  <c r="X248" s="1"/>
  <c r="R379" i="22" l="1"/>
  <c r="S379" s="1"/>
  <c r="T379"/>
  <c r="W249" i="7"/>
  <c r="X249" s="1"/>
  <c r="W250" s="1"/>
  <c r="X250" s="1"/>
  <c r="R380" i="22" l="1"/>
  <c r="S380" s="1"/>
  <c r="T380" s="1"/>
  <c r="W251" i="7"/>
  <c r="X251" s="1"/>
  <c r="R381" i="22" l="1"/>
  <c r="S381" s="1"/>
  <c r="T381" s="1"/>
  <c r="W252" i="7"/>
  <c r="X252" s="1"/>
  <c r="R382" i="22" l="1"/>
  <c r="S382" s="1"/>
  <c r="T382" s="1"/>
  <c r="W253" i="7"/>
  <c r="X253" s="1"/>
  <c r="R383" i="22" l="1"/>
  <c r="S383" s="1"/>
  <c r="T383" s="1"/>
  <c r="W254" i="7"/>
  <c r="X254" s="1"/>
  <c r="R384" i="22" l="1"/>
  <c r="S384" s="1"/>
  <c r="T384" s="1"/>
  <c r="W255" i="7"/>
  <c r="X255" s="1"/>
  <c r="R385" i="22" l="1"/>
  <c r="S385" s="1"/>
  <c r="T385" s="1"/>
  <c r="W256" i="7"/>
  <c r="X256" s="1"/>
  <c r="R386" i="22" l="1"/>
  <c r="S386" s="1"/>
  <c r="T386" s="1"/>
  <c r="R387" l="1"/>
  <c r="S387" s="1"/>
  <c r="T387" s="1"/>
  <c r="R388" l="1"/>
  <c r="S388" s="1"/>
  <c r="T388" s="1"/>
  <c r="W257" i="7"/>
  <c r="X257" s="1"/>
  <c r="R389" i="22" l="1"/>
  <c r="S389" s="1"/>
  <c r="T389"/>
  <c r="W258" i="7"/>
  <c r="X258" s="1"/>
  <c r="R390" i="22" l="1"/>
  <c r="S390" s="1"/>
  <c r="T390" s="1"/>
  <c r="W259" i="7"/>
  <c r="X259" s="1"/>
  <c r="R391" i="22" l="1"/>
  <c r="S391" s="1"/>
  <c r="T391" s="1"/>
  <c r="W260" i="7"/>
  <c r="X260" s="1"/>
  <c r="R392" i="22" l="1"/>
  <c r="S392" s="1"/>
  <c r="T392"/>
  <c r="W261" i="7"/>
  <c r="X261" s="1"/>
  <c r="R393" i="22" l="1"/>
  <c r="S393" s="1"/>
  <c r="T393"/>
  <c r="W262" i="7"/>
  <c r="X262" s="1"/>
  <c r="R394" i="22" l="1"/>
  <c r="S394" s="1"/>
  <c r="T394" s="1"/>
  <c r="W263" i="7"/>
  <c r="X263" s="1"/>
  <c r="R395" i="22" l="1"/>
  <c r="S395" s="1"/>
  <c r="T395"/>
  <c r="W264" i="7"/>
  <c r="X264" s="1"/>
  <c r="W265" s="1"/>
  <c r="X265" s="1"/>
  <c r="R396" i="22" l="1"/>
  <c r="S396" s="1"/>
  <c r="T396" s="1"/>
  <c r="W266" i="7"/>
  <c r="X266" s="1"/>
  <c r="R397" i="22" l="1"/>
  <c r="S397" s="1"/>
  <c r="T397"/>
  <c r="W267" i="7"/>
  <c r="X267" s="1"/>
  <c r="R398" i="22" l="1"/>
  <c r="S398" s="1"/>
  <c r="T398" s="1"/>
  <c r="W268" i="7"/>
  <c r="X268" s="1"/>
  <c r="R399" i="22" l="1"/>
  <c r="S399" s="1"/>
  <c r="T399"/>
  <c r="W269" i="7"/>
  <c r="X269" s="1"/>
  <c r="R400" i="22" l="1"/>
  <c r="S400" s="1"/>
  <c r="T400" s="1"/>
  <c r="W270" i="7"/>
  <c r="X270" s="1"/>
  <c r="R401" i="22" l="1"/>
  <c r="S401" s="1"/>
  <c r="T401"/>
  <c r="W271" i="7"/>
  <c r="X271" s="1"/>
  <c r="R402" i="22" l="1"/>
  <c r="S402" s="1"/>
  <c r="T402" s="1"/>
  <c r="R403" l="1"/>
  <c r="S403" s="1"/>
  <c r="T403" s="1"/>
  <c r="W272" i="7"/>
  <c r="X272" s="1"/>
  <c r="R404" i="22" l="1"/>
  <c r="S404" s="1"/>
  <c r="T404"/>
  <c r="W273" i="7"/>
  <c r="X273" s="1"/>
  <c r="R405" i="22" l="1"/>
  <c r="S405" s="1"/>
  <c r="T405"/>
  <c r="W274" i="7"/>
  <c r="X274" s="1"/>
  <c r="R406" i="22" l="1"/>
  <c r="S406" s="1"/>
  <c r="T406" s="1"/>
  <c r="W275" i="7"/>
  <c r="X275" s="1"/>
  <c r="R407" i="22" l="1"/>
  <c r="S407" s="1"/>
  <c r="T407"/>
  <c r="W276" i="7"/>
  <c r="X276" s="1"/>
  <c r="R408" i="22" l="1"/>
  <c r="S408" s="1"/>
  <c r="T408" s="1"/>
  <c r="W277" i="7"/>
  <c r="X277" s="1"/>
  <c r="R409" i="22" l="1"/>
  <c r="S409" s="1"/>
  <c r="T409"/>
  <c r="W278" i="7"/>
  <c r="W279" s="1"/>
  <c r="R410" i="22" l="1"/>
  <c r="S410" s="1"/>
  <c r="T410"/>
  <c r="X278" i="7"/>
  <c r="X279" s="1"/>
  <c r="W280"/>
  <c r="W281" s="1"/>
  <c r="R411" i="22" l="1"/>
  <c r="S411" s="1"/>
  <c r="T411"/>
  <c r="X280" i="7"/>
  <c r="X281" s="1"/>
  <c r="W282"/>
  <c r="W283" s="1"/>
  <c r="W284" s="1"/>
  <c r="R412" i="22" l="1"/>
  <c r="S412" s="1"/>
  <c r="T412" s="1"/>
  <c r="X282" i="7"/>
  <c r="X283" s="1"/>
  <c r="X284" s="1"/>
  <c r="W285"/>
  <c r="R413" i="22" l="1"/>
  <c r="S413" s="1"/>
  <c r="T413"/>
  <c r="X285" i="7"/>
  <c r="W286"/>
  <c r="R414" i="22" l="1"/>
  <c r="S414" s="1"/>
  <c r="T414" s="1"/>
  <c r="X286" i="7"/>
  <c r="W287" s="1"/>
  <c r="X287" s="1"/>
  <c r="W288" s="1"/>
  <c r="X288" s="1"/>
  <c r="W289"/>
  <c r="R415" i="22" l="1"/>
  <c r="S415" s="1"/>
  <c r="T415"/>
  <c r="X289" i="7"/>
  <c r="W290" s="1"/>
  <c r="X290" s="1"/>
  <c r="W291"/>
  <c r="R416" i="22" l="1"/>
  <c r="S416" s="1"/>
  <c r="T416" s="1"/>
  <c r="X291" i="7"/>
  <c r="W292" s="1"/>
  <c r="X292" s="1"/>
  <c r="W293"/>
  <c r="R417" i="22" l="1"/>
  <c r="S417" s="1"/>
  <c r="T417"/>
  <c r="X293" i="7"/>
  <c r="W294" s="1"/>
  <c r="X294" s="1"/>
  <c r="W295"/>
  <c r="R418" i="22" l="1"/>
  <c r="S418" s="1"/>
  <c r="T418" s="1"/>
  <c r="X295" i="7"/>
  <c r="W296" s="1"/>
  <c r="X296" s="1"/>
  <c r="W297"/>
  <c r="R419" i="22" l="1"/>
  <c r="S419" s="1"/>
  <c r="T419"/>
  <c r="X297" i="7"/>
  <c r="W298" s="1"/>
  <c r="X298" s="1"/>
  <c r="W299"/>
  <c r="R420" i="22" l="1"/>
  <c r="S420" s="1"/>
  <c r="T420" s="1"/>
  <c r="X299" i="7"/>
  <c r="W300" s="1"/>
  <c r="X300" s="1"/>
  <c r="W301" s="1"/>
  <c r="X301" s="1"/>
  <c r="W302"/>
  <c r="R421" i="22" l="1"/>
  <c r="S421" s="1"/>
  <c r="T421" s="1"/>
  <c r="X302" i="7"/>
  <c r="W303" s="1"/>
  <c r="X303" s="1"/>
  <c r="W304" s="1"/>
  <c r="X304" s="1"/>
  <c r="W305"/>
  <c r="R422" i="22" l="1"/>
  <c r="S422" s="1"/>
  <c r="T422"/>
  <c r="X305" i="7"/>
  <c r="W306"/>
  <c r="R423" i="22" l="1"/>
  <c r="S423" s="1"/>
  <c r="T423"/>
  <c r="X306" i="7"/>
  <c r="W307" s="1"/>
  <c r="X307" s="1"/>
  <c r="W308"/>
  <c r="R424" i="22" l="1"/>
  <c r="S424" s="1"/>
  <c r="T424" s="1"/>
  <c r="X308" i="7"/>
  <c r="W309"/>
  <c r="R425" i="22" l="1"/>
  <c r="S425" s="1"/>
  <c r="T425"/>
  <c r="X309" i="7"/>
  <c r="W310" s="1"/>
  <c r="X310" s="1"/>
  <c r="W311"/>
  <c r="R426" i="22" l="1"/>
  <c r="S426" s="1"/>
  <c r="T426" s="1"/>
  <c r="X311" i="7"/>
  <c r="W312" s="1"/>
  <c r="X312" s="1"/>
  <c r="W313"/>
  <c r="R427" i="22" l="1"/>
  <c r="S427" s="1"/>
  <c r="T427" s="1"/>
  <c r="X313" i="7"/>
  <c r="W314"/>
  <c r="R428" i="22" l="1"/>
  <c r="S428" s="1"/>
  <c r="T428"/>
  <c r="X314" i="7"/>
  <c r="W315" s="1"/>
  <c r="X315" s="1"/>
  <c r="W316"/>
  <c r="R429" i="22" l="1"/>
  <c r="S429" s="1"/>
  <c r="T429"/>
  <c r="X316" i="7"/>
  <c r="W317" s="1"/>
  <c r="X317" s="1"/>
  <c r="W318" s="1"/>
  <c r="X318" s="1"/>
  <c r="W319" s="1"/>
  <c r="X319" s="1"/>
  <c r="W320" s="1"/>
  <c r="X320" s="1"/>
  <c r="W321"/>
  <c r="W322" s="1"/>
  <c r="W323" s="1"/>
  <c r="W324"/>
  <c r="R430" i="22" l="1"/>
  <c r="S430" s="1"/>
  <c r="T430" s="1"/>
  <c r="X321" i="7"/>
  <c r="X322" s="1"/>
  <c r="X323" s="1"/>
  <c r="X324" s="1"/>
  <c r="W325" s="1"/>
  <c r="X325" s="1"/>
  <c r="W326"/>
  <c r="R431" i="22" l="1"/>
  <c r="S431" s="1"/>
  <c r="T431"/>
  <c r="X326" i="7"/>
  <c r="W327"/>
  <c r="R432" i="22" l="1"/>
  <c r="S432" s="1"/>
  <c r="T432" s="1"/>
  <c r="X327" i="7"/>
  <c r="W328"/>
  <c r="R433" i="22" l="1"/>
  <c r="S433" s="1"/>
  <c r="T433"/>
  <c r="X328" i="7"/>
  <c r="W329" s="1"/>
  <c r="X329" s="1"/>
  <c r="W330"/>
  <c r="R434" i="22" l="1"/>
  <c r="S434" s="1"/>
  <c r="T434" s="1"/>
  <c r="X330" i="7"/>
  <c r="W331" s="1"/>
  <c r="X331" s="1"/>
  <c r="W332"/>
  <c r="R435" i="22" l="1"/>
  <c r="S435" s="1"/>
  <c r="T435" s="1"/>
  <c r="X332" i="7"/>
  <c r="W333"/>
  <c r="R436" i="22" l="1"/>
  <c r="S436" s="1"/>
  <c r="T436" s="1"/>
  <c r="X333" i="7"/>
  <c r="W334" s="1"/>
  <c r="X334" s="1"/>
  <c r="W335" s="1"/>
  <c r="X335" s="1"/>
  <c r="W336"/>
  <c r="R437" i="22" l="1"/>
  <c r="S437" s="1"/>
  <c r="T437" s="1"/>
  <c r="X336" i="7"/>
  <c r="W337" s="1"/>
  <c r="X337" s="1"/>
  <c r="W338"/>
  <c r="R438" i="22" l="1"/>
  <c r="S438" s="1"/>
  <c r="X338" i="7"/>
  <c r="W339" s="1"/>
  <c r="X339" s="1"/>
  <c r="W340" s="1"/>
  <c r="X340" s="1"/>
  <c r="W341" s="1"/>
  <c r="X341" s="1"/>
  <c r="W342"/>
  <c r="T438" i="22" l="1"/>
  <c r="X342" i="7"/>
  <c r="W343"/>
  <c r="R439" i="22" l="1"/>
  <c r="S439" s="1"/>
  <c r="T439" s="1"/>
  <c r="X343" i="7"/>
  <c r="W344"/>
  <c r="R440" i="22" l="1"/>
  <c r="S440" s="1"/>
  <c r="T440"/>
  <c r="X344" i="7"/>
  <c r="W345" s="1"/>
  <c r="X345" s="1"/>
  <c r="W346"/>
  <c r="R441" i="22" l="1"/>
  <c r="S441" s="1"/>
  <c r="T441" s="1"/>
  <c r="X346" i="7"/>
  <c r="W347" s="1"/>
  <c r="X347" s="1"/>
  <c r="W348" s="1"/>
  <c r="X348" s="1"/>
  <c r="W349" s="1"/>
  <c r="X349" s="1"/>
  <c r="W350" s="1"/>
  <c r="X350" s="1"/>
  <c r="W351"/>
  <c r="R442" i="22" l="1"/>
  <c r="S442" s="1"/>
  <c r="T442" s="1"/>
  <c r="X351" i="7"/>
  <c r="W352"/>
  <c r="R443" i="22" l="1"/>
  <c r="S443" s="1"/>
  <c r="T443"/>
  <c r="X352" i="7"/>
  <c r="W353" s="1"/>
  <c r="X353" s="1"/>
  <c r="W354" s="1"/>
  <c r="X354" s="1"/>
  <c r="W355" s="1"/>
  <c r="X355" s="1"/>
  <c r="W356" s="1"/>
  <c r="X356" s="1"/>
  <c r="W357"/>
  <c r="R444" i="22" l="1"/>
  <c r="S444" s="1"/>
  <c r="T444" s="1"/>
  <c r="X357" i="7"/>
  <c r="W358" s="1"/>
  <c r="X358" s="1"/>
  <c r="W359"/>
  <c r="R445" i="22" l="1"/>
  <c r="S445" s="1"/>
  <c r="T445" s="1"/>
  <c r="X359" i="7"/>
  <c r="W360" s="1"/>
  <c r="X360" s="1"/>
  <c r="W361"/>
  <c r="R446" i="22" l="1"/>
  <c r="S446" s="1"/>
  <c r="T446" s="1"/>
  <c r="X361" i="7"/>
  <c r="W362"/>
  <c r="R447" i="22" l="1"/>
  <c r="S447" s="1"/>
  <c r="T447" s="1"/>
  <c r="X362" i="7"/>
  <c r="W363"/>
  <c r="R448" i="22" l="1"/>
  <c r="S448" s="1"/>
  <c r="T448" s="1"/>
  <c r="X363" i="7"/>
  <c r="W364" s="1"/>
  <c r="X364" s="1"/>
  <c r="W365" s="1"/>
  <c r="X365" s="1"/>
  <c r="W366" s="1"/>
  <c r="X366" s="1"/>
  <c r="W367" s="1"/>
  <c r="X367" s="1"/>
  <c r="W368"/>
  <c r="R449" i="22" l="1"/>
  <c r="S449" s="1"/>
  <c r="T449"/>
  <c r="X368" i="7"/>
  <c r="W369" s="1"/>
  <c r="X369" s="1"/>
  <c r="W370" s="1"/>
  <c r="X370" s="1"/>
  <c r="W371" s="1"/>
  <c r="X371" s="1"/>
  <c r="W372"/>
  <c r="R450" i="22" l="1"/>
  <c r="S450" s="1"/>
  <c r="T450" s="1"/>
  <c r="X372" i="7"/>
  <c r="W373" s="1"/>
  <c r="X373" s="1"/>
  <c r="W374"/>
  <c r="R451" i="22" l="1"/>
  <c r="S451" s="1"/>
  <c r="T451" s="1"/>
  <c r="X374" i="7"/>
  <c r="W375" s="1"/>
  <c r="X375" s="1"/>
  <c r="W376" s="1"/>
  <c r="X376" s="1"/>
  <c r="W377"/>
  <c r="R452" i="22" l="1"/>
  <c r="S452" s="1"/>
  <c r="T452" s="1"/>
  <c r="X377" i="7"/>
  <c r="W378" s="1"/>
  <c r="X378" s="1"/>
  <c r="W379" s="1"/>
  <c r="X379" s="1"/>
  <c r="W380"/>
  <c r="R453" i="22" l="1"/>
  <c r="S453" s="1"/>
  <c r="T453" s="1"/>
  <c r="X380" i="7"/>
  <c r="W381" s="1"/>
  <c r="X381" s="1"/>
  <c r="W382" s="1"/>
  <c r="X382" s="1"/>
  <c r="W383" s="1"/>
  <c r="X383" s="1"/>
  <c r="W384"/>
  <c r="R454" i="22" l="1"/>
  <c r="S454" s="1"/>
  <c r="T454" s="1"/>
  <c r="X384" i="7"/>
  <c r="W385"/>
  <c r="W386" s="1"/>
  <c r="R455" i="22" l="1"/>
  <c r="S455" s="1"/>
  <c r="T455" s="1"/>
  <c r="X385" i="7"/>
  <c r="X386" s="1"/>
  <c r="W387" s="1"/>
  <c r="X387" s="1"/>
  <c r="W388" s="1"/>
  <c r="X388" s="1"/>
  <c r="W389" s="1"/>
  <c r="X389" s="1"/>
  <c r="R456" i="22" l="1"/>
  <c r="S456" s="1"/>
  <c r="T456" s="1"/>
  <c r="W390" i="7"/>
  <c r="W391" s="1"/>
  <c r="W392" s="1"/>
  <c r="W393" s="1"/>
  <c r="W394" s="1"/>
  <c r="W395" s="1"/>
  <c r="W396"/>
  <c r="W397" s="1"/>
  <c r="W398" s="1"/>
  <c r="W399" s="1"/>
  <c r="W400" s="1"/>
  <c r="W401"/>
  <c r="R457" i="22" l="1"/>
  <c r="S457" s="1"/>
  <c r="T457"/>
  <c r="X390" i="7"/>
  <c r="X391" s="1"/>
  <c r="X392" s="1"/>
  <c r="X393" s="1"/>
  <c r="X394" s="1"/>
  <c r="X395" s="1"/>
  <c r="X396" s="1"/>
  <c r="X397" s="1"/>
  <c r="X398" s="1"/>
  <c r="X399" s="1"/>
  <c r="X400" s="1"/>
  <c r="X401" s="1"/>
  <c r="W402" s="1"/>
  <c r="X402" s="1"/>
  <c r="W403"/>
  <c r="R458" i="22" l="1"/>
  <c r="S458" s="1"/>
  <c r="T458" s="1"/>
  <c r="X403" i="7"/>
  <c r="W404" s="1"/>
  <c r="X404" s="1"/>
  <c r="W405"/>
  <c r="R459" i="22" l="1"/>
  <c r="S459" s="1"/>
  <c r="T459" s="1"/>
  <c r="X405" i="7"/>
  <c r="W406" s="1"/>
  <c r="X406" s="1"/>
  <c r="W407"/>
  <c r="R460" i="22" l="1"/>
  <c r="S460" s="1"/>
  <c r="T460" s="1"/>
  <c r="X407" i="7"/>
  <c r="W408" s="1"/>
  <c r="X408" s="1"/>
  <c r="W409"/>
  <c r="R461" i="22" l="1"/>
  <c r="S461" s="1"/>
  <c r="T461"/>
  <c r="X409" i="7"/>
  <c r="W410" s="1"/>
  <c r="X410" s="1"/>
  <c r="W411"/>
  <c r="R462" i="22" l="1"/>
  <c r="S462" s="1"/>
  <c r="T462" s="1"/>
  <c r="X411" i="7"/>
  <c r="W412" s="1"/>
  <c r="X412" s="1"/>
  <c r="W413"/>
  <c r="R463" i="22" l="1"/>
  <c r="S463" s="1"/>
  <c r="T463"/>
  <c r="X413" i="7"/>
  <c r="W414"/>
  <c r="R464" i="22" l="1"/>
  <c r="S464" s="1"/>
  <c r="T464"/>
  <c r="X414" i="7"/>
  <c r="W415"/>
  <c r="R465" i="22" l="1"/>
  <c r="S465" s="1"/>
  <c r="T465"/>
  <c r="X415" i="7"/>
  <c r="W416" s="1"/>
  <c r="X416" s="1"/>
  <c r="W417"/>
  <c r="R466" i="22" l="1"/>
  <c r="S466" s="1"/>
  <c r="X417" i="7"/>
  <c r="W418" s="1"/>
  <c r="X418" s="1"/>
  <c r="W419"/>
  <c r="T466" i="22" l="1"/>
  <c r="X419" i="7"/>
  <c r="W420" s="1"/>
  <c r="X420" s="1"/>
  <c r="W421"/>
  <c r="R467" i="22" l="1"/>
  <c r="S467" s="1"/>
  <c r="T467" s="1"/>
  <c r="X421" i="7"/>
  <c r="W422" s="1"/>
  <c r="X422" s="1"/>
  <c r="W423"/>
  <c r="R468" i="22" l="1"/>
  <c r="S468" s="1"/>
  <c r="T468" s="1"/>
  <c r="X423" i="7"/>
  <c r="W424" s="1"/>
  <c r="X424" s="1"/>
  <c r="W425"/>
  <c r="R469" i="22" l="1"/>
  <c r="S469" s="1"/>
  <c r="T469" s="1"/>
  <c r="X425" i="7"/>
  <c r="W426" s="1"/>
  <c r="X426" s="1"/>
  <c r="W427" s="1"/>
  <c r="X427" s="1"/>
  <c r="W428" s="1"/>
  <c r="X428" s="1"/>
  <c r="W429"/>
  <c r="R470" i="22" l="1"/>
  <c r="S470" s="1"/>
  <c r="T470" s="1"/>
  <c r="X429" i="7"/>
  <c r="W430" s="1"/>
  <c r="X430" s="1"/>
  <c r="W431" s="1"/>
  <c r="X431" s="1"/>
  <c r="W432" s="1"/>
  <c r="X432" s="1"/>
  <c r="W433"/>
  <c r="R471" i="22" l="1"/>
  <c r="S471" s="1"/>
  <c r="T471" s="1"/>
  <c r="X433" i="7"/>
  <c r="W434" s="1"/>
  <c r="X434" s="1"/>
  <c r="W435" s="1"/>
  <c r="X435" s="1"/>
  <c r="W436" s="1"/>
  <c r="X436" s="1"/>
  <c r="W437" s="1"/>
  <c r="X437" s="1"/>
  <c r="W438" s="1"/>
  <c r="X438" s="1"/>
  <c r="W439" s="1"/>
  <c r="X439" s="1"/>
  <c r="W440" s="1"/>
  <c r="X440" s="1"/>
  <c r="R472" i="22" l="1"/>
  <c r="S472" s="1"/>
  <c r="T472" s="1"/>
  <c r="W441" i="7"/>
  <c r="X441" s="1"/>
  <c r="W442" s="1"/>
  <c r="X442" s="1"/>
  <c r="R473" i="22" l="1"/>
  <c r="S473" s="1"/>
  <c r="T473" s="1"/>
  <c r="W443" i="7"/>
  <c r="X443" s="1"/>
  <c r="R474" i="22" l="1"/>
  <c r="S474" s="1"/>
  <c r="W444" i="7"/>
  <c r="X444" s="1"/>
  <c r="W445" s="1"/>
  <c r="X445" s="1"/>
  <c r="W446" s="1"/>
  <c r="X446" s="1"/>
  <c r="T474" i="22" l="1"/>
  <c r="W447" i="7"/>
  <c r="X447" s="1"/>
  <c r="W448" s="1"/>
  <c r="X448" s="1"/>
  <c r="R475" i="22" l="1"/>
  <c r="S475" s="1"/>
  <c r="T475" s="1"/>
  <c r="W449" i="7"/>
  <c r="X449" s="1"/>
  <c r="W450" s="1"/>
  <c r="X450" s="1"/>
  <c r="W451" s="1"/>
  <c r="X451" s="1"/>
  <c r="W452" s="1"/>
  <c r="X452" s="1"/>
  <c r="R476" i="22" l="1"/>
  <c r="S476" s="1"/>
  <c r="T476" s="1"/>
  <c r="W453" i="7"/>
  <c r="X453" s="1"/>
  <c r="R477" i="22" l="1"/>
  <c r="S477" s="1"/>
  <c r="T477"/>
  <c r="W454" i="7"/>
  <c r="X454" s="1"/>
  <c r="W455"/>
  <c r="R478" i="22" l="1"/>
  <c r="S478" s="1"/>
  <c r="T478" s="1"/>
  <c r="X455" i="7"/>
  <c r="W456" s="1"/>
  <c r="X456" s="1"/>
  <c r="W457" s="1"/>
  <c r="X457" s="1"/>
  <c r="W458" s="1"/>
  <c r="X458" s="1"/>
  <c r="W459"/>
  <c r="R479" i="22" l="1"/>
  <c r="S479" s="1"/>
  <c r="T479"/>
  <c r="X459" i="7"/>
  <c r="W460" s="1"/>
  <c r="X460" s="1"/>
  <c r="W461"/>
  <c r="R480" i="22" l="1"/>
  <c r="S480" s="1"/>
  <c r="T480" s="1"/>
  <c r="X461" i="7"/>
  <c r="W462" s="1"/>
  <c r="X462" s="1"/>
  <c r="W463"/>
  <c r="R481" i="22" l="1"/>
  <c r="S481" s="1"/>
  <c r="T481" s="1"/>
  <c r="X463" i="7"/>
  <c r="R482" i="22" l="1"/>
  <c r="S482" s="1"/>
  <c r="T482" s="1"/>
  <c r="W464" i="7"/>
  <c r="X464" s="1"/>
  <c r="W465" s="1"/>
  <c r="X465" s="1"/>
  <c r="W466" s="1"/>
  <c r="X466" s="1"/>
  <c r="W467" s="1"/>
  <c r="X467" s="1"/>
  <c r="W468" s="1"/>
  <c r="X468" s="1"/>
  <c r="R483" i="22" l="1"/>
  <c r="S483" s="1"/>
  <c r="T483" s="1"/>
  <c r="W469" i="7"/>
  <c r="X469" s="1"/>
  <c r="R484" i="22" l="1"/>
  <c r="S484" s="1"/>
  <c r="W470" i="7"/>
  <c r="X470" s="1"/>
  <c r="T484" i="22" l="1"/>
  <c r="W471" i="7"/>
  <c r="W472" s="1"/>
  <c r="R485" i="22" l="1"/>
  <c r="S485" s="1"/>
  <c r="T485" s="1"/>
  <c r="X471" i="7"/>
  <c r="X472" s="1"/>
  <c r="W473"/>
  <c r="R486" i="22" l="1"/>
  <c r="S486" s="1"/>
  <c r="T486" s="1"/>
  <c r="X473" i="7"/>
  <c r="W474" s="1"/>
  <c r="X474" s="1"/>
  <c r="W475"/>
  <c r="R487" i="22" l="1"/>
  <c r="S487" s="1"/>
  <c r="T487" s="1"/>
  <c r="X475" i="7"/>
  <c r="W476" s="1"/>
  <c r="R488" i="22" l="1"/>
  <c r="S488" s="1"/>
  <c r="T488" s="1"/>
  <c r="X476" i="7"/>
  <c r="W477" s="1"/>
  <c r="X477" s="1"/>
  <c r="W478"/>
  <c r="R489" i="22" l="1"/>
  <c r="S489" s="1"/>
  <c r="T489" s="1"/>
  <c r="X478" i="7"/>
  <c r="W479"/>
  <c r="R490" i="22" l="1"/>
  <c r="S490" s="1"/>
  <c r="X479" i="7"/>
  <c r="W480" s="1"/>
  <c r="X480" s="1"/>
  <c r="W481"/>
  <c r="T490" i="22" l="1"/>
  <c r="X481" i="7"/>
  <c r="W482"/>
  <c r="R491" i="22" l="1"/>
  <c r="S491" s="1"/>
  <c r="T491" s="1"/>
  <c r="X482" i="7"/>
  <c r="R492" i="22" l="1"/>
  <c r="S492" s="1"/>
  <c r="W483" i="7"/>
  <c r="X483" s="1"/>
  <c r="W484" s="1"/>
  <c r="X484" s="1"/>
  <c r="T492" i="22" l="1"/>
  <c r="W485" i="7"/>
  <c r="X485" s="1"/>
  <c r="R493" i="22" l="1"/>
  <c r="S493" s="1"/>
  <c r="T493" s="1"/>
  <c r="W486" i="7"/>
  <c r="X486" s="1"/>
  <c r="R494" i="22" l="1"/>
  <c r="S494" s="1"/>
  <c r="T494"/>
  <c r="W487" i="7"/>
  <c r="X487" s="1"/>
  <c r="W488" s="1"/>
  <c r="X488" s="1"/>
  <c r="W489" s="1"/>
  <c r="R495" i="22" l="1"/>
  <c r="S495" s="1"/>
  <c r="T495" s="1"/>
  <c r="X489" i="7"/>
  <c r="W490" s="1"/>
  <c r="X490" s="1"/>
  <c r="W491" s="1"/>
  <c r="X491" s="1"/>
  <c r="W492" s="1"/>
  <c r="X492" s="1"/>
  <c r="W493" s="1"/>
  <c r="X493" s="1"/>
  <c r="W494" s="1"/>
  <c r="X494" s="1"/>
  <c r="R496" i="22" l="1"/>
  <c r="S496" s="1"/>
  <c r="T496" s="1"/>
  <c r="W495" i="7"/>
  <c r="X495" s="1"/>
  <c r="W496" s="1"/>
  <c r="X496" s="1"/>
  <c r="W497" s="1"/>
  <c r="X497" s="1"/>
  <c r="W498" s="1"/>
  <c r="X498" s="1"/>
  <c r="R497" i="22" l="1"/>
  <c r="S497" s="1"/>
  <c r="T497" s="1"/>
  <c r="W499" i="7"/>
  <c r="X499" s="1"/>
  <c r="W500" s="1"/>
  <c r="R498" i="22" l="1"/>
  <c r="S498" s="1"/>
  <c r="T498" s="1"/>
  <c r="X500" i="7"/>
  <c r="W501" s="1"/>
  <c r="X501" s="1"/>
  <c r="W502" s="1"/>
  <c r="X502" s="1"/>
  <c r="W503" s="1"/>
  <c r="X503" s="1"/>
  <c r="W504" s="1"/>
  <c r="X504" s="1"/>
  <c r="R499" i="22" l="1"/>
  <c r="S499" s="1"/>
  <c r="T499" s="1"/>
  <c r="W505" i="7"/>
  <c r="W506" s="1"/>
  <c r="W507"/>
  <c r="R500" i="22" l="1"/>
  <c r="S500" s="1"/>
  <c r="T500" s="1"/>
  <c r="X505" i="7"/>
  <c r="X506" s="1"/>
  <c r="X507" s="1"/>
  <c r="W508" s="1"/>
  <c r="X508" s="1"/>
  <c r="W509"/>
  <c r="R501" i="22" l="1"/>
  <c r="S501" s="1"/>
  <c r="AH8" s="1"/>
  <c r="X509" i="7"/>
  <c r="W510"/>
  <c r="T501" i="22" l="1"/>
  <c r="AJ8"/>
  <c r="X510" i="7"/>
  <c r="W511"/>
  <c r="R502" i="22" l="1"/>
  <c r="S502" s="1"/>
  <c r="T502" s="1"/>
  <c r="X511" i="7"/>
  <c r="W512"/>
  <c r="R503" i="22" l="1"/>
  <c r="S503" s="1"/>
  <c r="T503" s="1"/>
  <c r="X512" i="7"/>
  <c r="W513"/>
  <c r="R504" i="22" l="1"/>
  <c r="S504" s="1"/>
  <c r="Z32" s="1"/>
  <c r="AB32" s="1"/>
  <c r="X513" i="7"/>
  <c r="W514"/>
  <c r="T504" i="22" l="1"/>
  <c r="X514" i="7"/>
  <c r="W515"/>
  <c r="R505" i="22" l="1"/>
  <c r="S505" s="1"/>
  <c r="T505" s="1"/>
  <c r="X515" i="7"/>
  <c r="W516"/>
  <c r="R506" i="22" l="1"/>
  <c r="S506" s="1"/>
  <c r="T506" s="1"/>
  <c r="X516" i="7"/>
  <c r="W517"/>
  <c r="R507" i="22" l="1"/>
  <c r="S507" s="1"/>
  <c r="T507" s="1"/>
  <c r="X517" i="7"/>
  <c r="W518"/>
  <c r="R508" i="22" l="1"/>
  <c r="S508" s="1"/>
  <c r="T508" s="1"/>
  <c r="X518" i="7"/>
  <c r="W519"/>
  <c r="R509" i="22" l="1"/>
  <c r="S509" s="1"/>
  <c r="T509" s="1"/>
  <c r="X519" i="7"/>
  <c r="W520"/>
  <c r="R510" i="22" l="1"/>
  <c r="S510" s="1"/>
  <c r="T510" s="1"/>
  <c r="X520" i="7"/>
  <c r="W521"/>
  <c r="R511" i="22" l="1"/>
  <c r="S511" s="1"/>
  <c r="T511" s="1"/>
  <c r="X521" i="7"/>
  <c r="W522"/>
  <c r="R512" i="22" l="1"/>
  <c r="S512" s="1"/>
  <c r="T512" s="1"/>
  <c r="X522" i="7"/>
  <c r="W523"/>
  <c r="R513" i="22" l="1"/>
  <c r="S513" s="1"/>
  <c r="T513" s="1"/>
  <c r="X523" i="7"/>
  <c r="W524"/>
  <c r="R514" i="22" l="1"/>
  <c r="S514" s="1"/>
  <c r="T514" s="1"/>
  <c r="X524" i="7"/>
  <c r="W525"/>
  <c r="R515" i="22" l="1"/>
  <c r="S515" s="1"/>
  <c r="T515" s="1"/>
  <c r="X525" i="7"/>
  <c r="W526"/>
  <c r="R516" i="22" l="1"/>
  <c r="S516" s="1"/>
  <c r="T516" s="1"/>
  <c r="X526" i="7"/>
  <c r="W527"/>
  <c r="R517" i="22" l="1"/>
  <c r="S517" s="1"/>
  <c r="T517" s="1"/>
  <c r="X527" i="7"/>
  <c r="W528"/>
  <c r="R518" i="22" l="1"/>
  <c r="S518" s="1"/>
  <c r="Z28" s="1"/>
  <c r="AB28" s="1"/>
  <c r="X528" i="7"/>
  <c r="W529" s="1"/>
  <c r="X529" s="1"/>
  <c r="T518" i="22" l="1"/>
  <c r="W530" i="7"/>
  <c r="X530" s="1"/>
  <c r="R519" i="22" l="1"/>
  <c r="S519" s="1"/>
  <c r="T519" s="1"/>
  <c r="W531" i="7"/>
  <c r="R520" i="22" l="1"/>
  <c r="S520" s="1"/>
  <c r="T520" s="1"/>
  <c r="X531" i="7"/>
  <c r="W532"/>
  <c r="R521" i="22" l="1"/>
  <c r="S521" s="1"/>
  <c r="T521"/>
  <c r="X532" i="7"/>
  <c r="W533"/>
  <c r="R522" i="22" l="1"/>
  <c r="S522" s="1"/>
  <c r="T522" s="1"/>
  <c r="X533" i="7"/>
  <c r="W534" s="1"/>
  <c r="X534" s="1"/>
  <c r="R523" i="22" l="1"/>
  <c r="S523" s="1"/>
  <c r="T523" s="1"/>
  <c r="W535" i="7"/>
  <c r="R524" i="22" l="1"/>
  <c r="S524" s="1"/>
  <c r="T524" s="1"/>
  <c r="X535" i="7"/>
  <c r="W536" s="1"/>
  <c r="X536" s="1"/>
  <c r="R525" i="22" l="1"/>
  <c r="S525" s="1"/>
  <c r="AD16" s="1"/>
  <c r="AF16" s="1"/>
  <c r="W537" i="7"/>
  <c r="T525" i="22" l="1"/>
  <c r="X537" i="7"/>
  <c r="W538" s="1"/>
  <c r="X538" s="1"/>
  <c r="R526" i="22" l="1"/>
  <c r="S526" s="1"/>
  <c r="T526" s="1"/>
  <c r="W539" i="7"/>
  <c r="X539" s="1"/>
  <c r="R527" i="22" l="1"/>
  <c r="S527" s="1"/>
  <c r="T527" s="1"/>
  <c r="W540" i="7"/>
  <c r="X540" s="1"/>
  <c r="R528" i="22" l="1"/>
  <c r="S528" s="1"/>
  <c r="T528" s="1"/>
  <c r="W541" i="7"/>
  <c r="X541" s="1"/>
  <c r="R529" i="22" l="1"/>
  <c r="S529" s="1"/>
  <c r="T529"/>
  <c r="T530" s="1"/>
  <c r="T531" s="1"/>
  <c r="T532" s="1"/>
  <c r="T533" s="1"/>
  <c r="T534" s="1"/>
  <c r="T535" s="1"/>
  <c r="T536" s="1"/>
  <c r="T537" s="1"/>
  <c r="T538" s="1"/>
  <c r="T539" s="1"/>
  <c r="T540" s="1"/>
  <c r="T541" s="1"/>
  <c r="T542" s="1"/>
  <c r="T543" s="1"/>
  <c r="T544" s="1"/>
  <c r="T545" s="1"/>
  <c r="T546" s="1"/>
  <c r="T547" s="1"/>
  <c r="T548" s="1"/>
  <c r="T549" s="1"/>
  <c r="T550" s="1"/>
  <c r="T551" s="1"/>
  <c r="T552" s="1"/>
  <c r="T553" s="1"/>
  <c r="T554" s="1"/>
  <c r="T555" s="1"/>
  <c r="T556" s="1"/>
  <c r="T557" s="1"/>
  <c r="T558" s="1"/>
  <c r="T559" s="1"/>
  <c r="T560" s="1"/>
  <c r="T561" s="1"/>
  <c r="T562" s="1"/>
  <c r="T563" s="1"/>
  <c r="T564" s="1"/>
  <c r="T565" s="1"/>
  <c r="T566" s="1"/>
  <c r="T567" s="1"/>
  <c r="T568" s="1"/>
  <c r="T569" s="1"/>
  <c r="T570" s="1"/>
  <c r="T571" s="1"/>
  <c r="T572" s="1"/>
  <c r="T573" s="1"/>
  <c r="T574" s="1"/>
  <c r="T575" s="1"/>
  <c r="T576" s="1"/>
  <c r="T577" s="1"/>
  <c r="T578" s="1"/>
  <c r="T579" s="1"/>
  <c r="T580" s="1"/>
  <c r="T581" s="1"/>
  <c r="T582" s="1"/>
  <c r="T583" s="1"/>
  <c r="T584" s="1"/>
  <c r="T585" s="1"/>
  <c r="T586" s="1"/>
  <c r="T587" s="1"/>
  <c r="T588" s="1"/>
  <c r="T589" s="1"/>
  <c r="T590" s="1"/>
  <c r="T591" s="1"/>
  <c r="T592" s="1"/>
  <c r="T593" s="1"/>
  <c r="T594" s="1"/>
  <c r="T595" s="1"/>
  <c r="T596" s="1"/>
  <c r="T597" s="1"/>
  <c r="T598" s="1"/>
  <c r="T599" s="1"/>
  <c r="T600" s="1"/>
  <c r="T601" s="1"/>
  <c r="T602" s="1"/>
  <c r="T603" s="1"/>
  <c r="T604" s="1"/>
  <c r="T605" s="1"/>
  <c r="T606" s="1"/>
  <c r="T607" s="1"/>
  <c r="T608" s="1"/>
  <c r="T609" s="1"/>
  <c r="T610" s="1"/>
  <c r="T611" s="1"/>
  <c r="T612" s="1"/>
  <c r="T613" s="1"/>
  <c r="T614" s="1"/>
  <c r="T615" s="1"/>
  <c r="T616" s="1"/>
  <c r="T617" s="1"/>
  <c r="T618" s="1"/>
  <c r="T619" s="1"/>
  <c r="T620" s="1"/>
  <c r="T621" s="1"/>
  <c r="T622" s="1"/>
  <c r="T623" s="1"/>
  <c r="T624" s="1"/>
  <c r="T625" s="1"/>
  <c r="T626" s="1"/>
  <c r="T627" s="1"/>
  <c r="T628" s="1"/>
  <c r="T629" s="1"/>
  <c r="T630" s="1"/>
  <c r="T631" s="1"/>
  <c r="T632" s="1"/>
  <c r="T633" s="1"/>
  <c r="T634" s="1"/>
  <c r="T635" s="1"/>
  <c r="T636" s="1"/>
  <c r="T637" s="1"/>
  <c r="T638" s="1"/>
  <c r="T639" s="1"/>
  <c r="T640" s="1"/>
  <c r="T641" s="1"/>
  <c r="T642" s="1"/>
  <c r="T643" s="1"/>
  <c r="T644" s="1"/>
  <c r="T645" s="1"/>
  <c r="T646" s="1"/>
  <c r="T647" s="1"/>
  <c r="T648" s="1"/>
  <c r="T649" s="1"/>
  <c r="T650" s="1"/>
  <c r="T651" s="1"/>
  <c r="T652" s="1"/>
  <c r="T653" s="1"/>
  <c r="T654" s="1"/>
  <c r="T655" s="1"/>
  <c r="T656" s="1"/>
  <c r="T657" s="1"/>
  <c r="T658" s="1"/>
  <c r="T659" s="1"/>
  <c r="T660" s="1"/>
  <c r="T661" s="1"/>
  <c r="T662" s="1"/>
  <c r="T663" s="1"/>
  <c r="T664" s="1"/>
  <c r="T665" s="1"/>
  <c r="T666" s="1"/>
  <c r="T667" s="1"/>
  <c r="T668" s="1"/>
  <c r="T669" s="1"/>
  <c r="T670" s="1"/>
  <c r="T671" s="1"/>
  <c r="T672" s="1"/>
  <c r="T673" s="1"/>
  <c r="T674" s="1"/>
  <c r="T675" s="1"/>
  <c r="T676" s="1"/>
  <c r="T677" s="1"/>
  <c r="T678" s="1"/>
  <c r="T679" s="1"/>
  <c r="T680" s="1"/>
  <c r="T681" s="1"/>
  <c r="T682" s="1"/>
  <c r="T683" s="1"/>
  <c r="T684" s="1"/>
  <c r="T685" s="1"/>
  <c r="T686" s="1"/>
  <c r="T687" s="1"/>
  <c r="T688" s="1"/>
  <c r="T689" s="1"/>
  <c r="T690" s="1"/>
  <c r="T691" s="1"/>
  <c r="T692" s="1"/>
  <c r="T693" s="1"/>
  <c r="T694" s="1"/>
  <c r="T695" s="1"/>
  <c r="T696" s="1"/>
  <c r="T697" s="1"/>
  <c r="T698" s="1"/>
  <c r="T699" s="1"/>
  <c r="T700" s="1"/>
  <c r="T701" s="1"/>
  <c r="T702" s="1"/>
  <c r="T703" s="1"/>
  <c r="T704" s="1"/>
  <c r="T705" s="1"/>
  <c r="T706" s="1"/>
  <c r="T707" s="1"/>
  <c r="T708" s="1"/>
  <c r="T709" s="1"/>
  <c r="T710" s="1"/>
  <c r="T711" s="1"/>
  <c r="T712" s="1"/>
  <c r="T713" s="1"/>
  <c r="T714" s="1"/>
  <c r="T715" s="1"/>
  <c r="T716" s="1"/>
  <c r="T717" s="1"/>
  <c r="T718" s="1"/>
  <c r="T719" s="1"/>
  <c r="T720" s="1"/>
  <c r="T721" s="1"/>
  <c r="T722" s="1"/>
  <c r="T723" s="1"/>
  <c r="T724" s="1"/>
  <c r="T725" s="1"/>
  <c r="T726" s="1"/>
  <c r="T727" s="1"/>
  <c r="T728" s="1"/>
  <c r="T729" s="1"/>
  <c r="T730" s="1"/>
  <c r="T731" s="1"/>
  <c r="T732" s="1"/>
  <c r="T733" s="1"/>
  <c r="T734" s="1"/>
  <c r="T735" s="1"/>
  <c r="T736" s="1"/>
  <c r="T737" s="1"/>
  <c r="T738" s="1"/>
  <c r="T739" s="1"/>
  <c r="T740" s="1"/>
  <c r="T741" s="1"/>
  <c r="T742" s="1"/>
  <c r="T743" s="1"/>
  <c r="T744" s="1"/>
  <c r="T745" s="1"/>
  <c r="T746" s="1"/>
  <c r="T747" s="1"/>
  <c r="T748" s="1"/>
  <c r="T749" s="1"/>
  <c r="T750" s="1"/>
  <c r="T751" s="1"/>
  <c r="T752" s="1"/>
  <c r="T753" s="1"/>
  <c r="T754" s="1"/>
  <c r="T755" s="1"/>
  <c r="T756" s="1"/>
  <c r="T757" s="1"/>
  <c r="T758" s="1"/>
  <c r="T759" s="1"/>
  <c r="T760" s="1"/>
  <c r="T761" s="1"/>
  <c r="T762" s="1"/>
  <c r="T763" s="1"/>
  <c r="T764" s="1"/>
  <c r="T765" s="1"/>
  <c r="T766" s="1"/>
  <c r="T767" s="1"/>
  <c r="T768" s="1"/>
  <c r="T769" s="1"/>
  <c r="T770" s="1"/>
  <c r="T771" s="1"/>
  <c r="T772" s="1"/>
  <c r="T773" s="1"/>
  <c r="T774" s="1"/>
  <c r="T775" s="1"/>
  <c r="T776" s="1"/>
  <c r="T777" s="1"/>
  <c r="T778" s="1"/>
  <c r="T779" s="1"/>
  <c r="T780" s="1"/>
  <c r="T781" s="1"/>
  <c r="T782" s="1"/>
  <c r="T783" s="1"/>
  <c r="T784" s="1"/>
  <c r="T785" s="1"/>
  <c r="T786" s="1"/>
  <c r="T787" s="1"/>
  <c r="T788" s="1"/>
  <c r="T789" s="1"/>
  <c r="T790" s="1"/>
  <c r="T791" s="1"/>
  <c r="T792" s="1"/>
  <c r="T793" s="1"/>
  <c r="T794" s="1"/>
  <c r="T795" s="1"/>
  <c r="T796" s="1"/>
  <c r="T797" s="1"/>
  <c r="T798" s="1"/>
  <c r="T799" s="1"/>
  <c r="T800" s="1"/>
  <c r="T801" s="1"/>
  <c r="T802" s="1"/>
  <c r="T803" s="1"/>
  <c r="T804" s="1"/>
  <c r="T805" s="1"/>
  <c r="T806" s="1"/>
  <c r="T807" s="1"/>
  <c r="T808" s="1"/>
  <c r="T809" s="1"/>
  <c r="T810" s="1"/>
  <c r="T811" s="1"/>
  <c r="T812" s="1"/>
  <c r="T813" s="1"/>
  <c r="T814" s="1"/>
  <c r="T815" s="1"/>
  <c r="T816" s="1"/>
  <c r="T817" s="1"/>
  <c r="T818" s="1"/>
  <c r="T819" s="1"/>
  <c r="T820" s="1"/>
  <c r="T821" s="1"/>
  <c r="T822" s="1"/>
  <c r="T823" s="1"/>
  <c r="T824" s="1"/>
  <c r="T825" s="1"/>
  <c r="T826" s="1"/>
  <c r="T827" s="1"/>
  <c r="T828" s="1"/>
  <c r="T829" s="1"/>
  <c r="T830" s="1"/>
  <c r="T831" s="1"/>
  <c r="T832" s="1"/>
  <c r="T833" s="1"/>
  <c r="T834" s="1"/>
  <c r="T835" s="1"/>
  <c r="T836" s="1"/>
  <c r="T837" s="1"/>
  <c r="T838" s="1"/>
  <c r="T839" s="1"/>
  <c r="T840" s="1"/>
  <c r="T841" s="1"/>
  <c r="T842" s="1"/>
  <c r="T843" s="1"/>
  <c r="T844" s="1"/>
  <c r="T845" s="1"/>
  <c r="T846" s="1"/>
  <c r="T847" s="1"/>
  <c r="T848" s="1"/>
  <c r="T849" s="1"/>
  <c r="T850" s="1"/>
  <c r="T851" s="1"/>
  <c r="T852" s="1"/>
  <c r="T853" s="1"/>
  <c r="T854" s="1"/>
  <c r="T855" s="1"/>
  <c r="T856" s="1"/>
  <c r="T857" s="1"/>
  <c r="T858" s="1"/>
  <c r="T859" s="1"/>
  <c r="T860" s="1"/>
  <c r="T861" s="1"/>
  <c r="T862" s="1"/>
  <c r="T863" s="1"/>
  <c r="T864" s="1"/>
  <c r="T865" s="1"/>
  <c r="T866" s="1"/>
  <c r="T867" s="1"/>
  <c r="T868" s="1"/>
  <c r="T869" s="1"/>
  <c r="T870" s="1"/>
  <c r="T871" s="1"/>
  <c r="T872" s="1"/>
  <c r="T873" s="1"/>
  <c r="T874" s="1"/>
  <c r="T875" s="1"/>
  <c r="T876" s="1"/>
  <c r="T877" s="1"/>
  <c r="T878" s="1"/>
  <c r="T879" s="1"/>
  <c r="T880" s="1"/>
  <c r="T881" s="1"/>
  <c r="T882" s="1"/>
  <c r="T883" s="1"/>
  <c r="T884" s="1"/>
  <c r="T885" s="1"/>
  <c r="T886" s="1"/>
  <c r="T887" s="1"/>
  <c r="T888" s="1"/>
  <c r="T889" s="1"/>
  <c r="T890" s="1"/>
  <c r="T891" s="1"/>
  <c r="T892" s="1"/>
  <c r="T893" s="1"/>
  <c r="T894" s="1"/>
  <c r="T895" s="1"/>
  <c r="T896" s="1"/>
  <c r="T897" s="1"/>
  <c r="T898" s="1"/>
  <c r="T899" s="1"/>
  <c r="T900" s="1"/>
  <c r="T901" s="1"/>
  <c r="T902" s="1"/>
  <c r="T903" s="1"/>
  <c r="T904" s="1"/>
  <c r="T905" s="1"/>
  <c r="T906" s="1"/>
  <c r="T907" s="1"/>
  <c r="T908" s="1"/>
  <c r="T909" s="1"/>
  <c r="T910" s="1"/>
  <c r="T911" s="1"/>
  <c r="T912" s="1"/>
  <c r="T913" s="1"/>
  <c r="T914" s="1"/>
  <c r="T915" s="1"/>
  <c r="T916" s="1"/>
  <c r="T917" s="1"/>
  <c r="T918" s="1"/>
  <c r="T919" s="1"/>
  <c r="T920" s="1"/>
  <c r="T921" s="1"/>
  <c r="T922" s="1"/>
  <c r="T923" s="1"/>
  <c r="T924" s="1"/>
  <c r="T925" s="1"/>
  <c r="T926" s="1"/>
  <c r="T927" s="1"/>
  <c r="T928" s="1"/>
  <c r="T929" s="1"/>
  <c r="T930" s="1"/>
  <c r="T931" s="1"/>
  <c r="T932" s="1"/>
  <c r="T933" s="1"/>
  <c r="T934" s="1"/>
  <c r="T935" s="1"/>
  <c r="T936" s="1"/>
  <c r="T937" s="1"/>
  <c r="T938" s="1"/>
  <c r="T939" s="1"/>
  <c r="T940" s="1"/>
  <c r="T941" s="1"/>
  <c r="T942" s="1"/>
  <c r="T943" s="1"/>
  <c r="T944" s="1"/>
  <c r="T945" s="1"/>
  <c r="T946" s="1"/>
  <c r="T947" s="1"/>
  <c r="T948" s="1"/>
  <c r="T949" s="1"/>
  <c r="T950" s="1"/>
  <c r="T951" s="1"/>
  <c r="T952" s="1"/>
  <c r="T953" s="1"/>
  <c r="T954" s="1"/>
  <c r="T955" s="1"/>
  <c r="T956" s="1"/>
  <c r="T957" s="1"/>
  <c r="T958" s="1"/>
  <c r="T959" s="1"/>
  <c r="T960" s="1"/>
  <c r="T961" s="1"/>
  <c r="T962" s="1"/>
  <c r="T963" s="1"/>
  <c r="T964" s="1"/>
  <c r="T965" s="1"/>
  <c r="T966" s="1"/>
  <c r="T967" s="1"/>
  <c r="T968" s="1"/>
  <c r="T969" s="1"/>
  <c r="T970" s="1"/>
  <c r="T971" s="1"/>
  <c r="T972" s="1"/>
  <c r="T973" s="1"/>
  <c r="T974" s="1"/>
  <c r="T975" s="1"/>
  <c r="T976" s="1"/>
  <c r="T977" s="1"/>
  <c r="T978" s="1"/>
  <c r="T979" s="1"/>
  <c r="T980" s="1"/>
  <c r="T981" s="1"/>
  <c r="T982" s="1"/>
  <c r="T983" s="1"/>
  <c r="T984" s="1"/>
  <c r="T985" s="1"/>
  <c r="T986" s="1"/>
  <c r="T987" s="1"/>
  <c r="T988" s="1"/>
  <c r="T989" s="1"/>
  <c r="T990" s="1"/>
  <c r="T991" s="1"/>
  <c r="T992" s="1"/>
  <c r="T993" s="1"/>
  <c r="T994" s="1"/>
  <c r="T995" s="1"/>
  <c r="T996" s="1"/>
  <c r="T997" s="1"/>
  <c r="T998" s="1"/>
  <c r="T999" s="1"/>
  <c r="T1000" s="1"/>
  <c r="T1001" s="1"/>
  <c r="T1002" s="1"/>
  <c r="T1003" s="1"/>
  <c r="T1004" s="1"/>
  <c r="T1005" s="1"/>
  <c r="T1006" s="1"/>
  <c r="T1007" s="1"/>
  <c r="T1008" s="1"/>
  <c r="T1009" s="1"/>
  <c r="T1010" s="1"/>
  <c r="T1011" s="1"/>
  <c r="T1012" s="1"/>
  <c r="T1013" s="1"/>
  <c r="T1014" s="1"/>
  <c r="T1015" s="1"/>
  <c r="T1016" s="1"/>
  <c r="T1017" s="1"/>
  <c r="T1018" s="1"/>
  <c r="T1019" s="1"/>
  <c r="T1020" s="1"/>
  <c r="T1021" s="1"/>
  <c r="T1022" s="1"/>
  <c r="T1023" s="1"/>
  <c r="T1024" s="1"/>
  <c r="T1025" s="1"/>
  <c r="T1026" s="1"/>
  <c r="T1027" s="1"/>
  <c r="T1028" s="1"/>
  <c r="T1029" s="1"/>
  <c r="T1030" s="1"/>
  <c r="T1031" s="1"/>
  <c r="T1032" s="1"/>
  <c r="T1033" s="1"/>
  <c r="T1034" s="1"/>
  <c r="T1035" s="1"/>
  <c r="T1036" s="1"/>
  <c r="T1037" s="1"/>
  <c r="T1038" s="1"/>
  <c r="T1039" s="1"/>
  <c r="T1040" s="1"/>
  <c r="T1041" s="1"/>
  <c r="T1042" s="1"/>
  <c r="T1043" s="1"/>
  <c r="T1044" s="1"/>
  <c r="T1045" s="1"/>
  <c r="T1046" s="1"/>
  <c r="T1047" s="1"/>
  <c r="T1048" s="1"/>
  <c r="T1049" s="1"/>
  <c r="T1050" s="1"/>
  <c r="T1051" s="1"/>
  <c r="T1052" s="1"/>
  <c r="T1053" s="1"/>
  <c r="T1054" s="1"/>
  <c r="T1055" s="1"/>
  <c r="T1056" s="1"/>
  <c r="T1057" s="1"/>
  <c r="T1058" s="1"/>
  <c r="T1059" s="1"/>
  <c r="T1060" s="1"/>
  <c r="T1061" s="1"/>
  <c r="T1062" s="1"/>
  <c r="T1063" s="1"/>
  <c r="T1064" s="1"/>
  <c r="T1065" s="1"/>
  <c r="T1066" s="1"/>
  <c r="T1067" s="1"/>
  <c r="T1068" s="1"/>
  <c r="T1069" s="1"/>
  <c r="T1070" s="1"/>
  <c r="T1071" s="1"/>
  <c r="T1072" s="1"/>
  <c r="T1073" s="1"/>
  <c r="T1074" s="1"/>
  <c r="T1075" s="1"/>
  <c r="T1076" s="1"/>
  <c r="T1077" s="1"/>
  <c r="T1078" s="1"/>
  <c r="T1079" s="1"/>
  <c r="T1080" s="1"/>
  <c r="T1081" s="1"/>
  <c r="T1082" s="1"/>
  <c r="T1083" s="1"/>
  <c r="T1084" s="1"/>
  <c r="T1085" s="1"/>
  <c r="T1086" s="1"/>
  <c r="T1087" s="1"/>
  <c r="T1088" s="1"/>
  <c r="T1089" s="1"/>
  <c r="T1090" s="1"/>
  <c r="T1091" s="1"/>
  <c r="T1092" s="1"/>
  <c r="T1093" s="1"/>
  <c r="T1094" s="1"/>
  <c r="T1095" s="1"/>
  <c r="T1096" s="1"/>
  <c r="T1097" s="1"/>
  <c r="T1098" s="1"/>
  <c r="T1099" s="1"/>
  <c r="T1100" s="1"/>
  <c r="T1101" s="1"/>
  <c r="T1102" s="1"/>
  <c r="T1103" s="1"/>
  <c r="T1104" s="1"/>
  <c r="T1105" s="1"/>
  <c r="T1106" s="1"/>
  <c r="T1107" s="1"/>
  <c r="T1108" s="1"/>
  <c r="T1109" s="1"/>
  <c r="T1110" s="1"/>
  <c r="T1111" s="1"/>
  <c r="T1112" s="1"/>
  <c r="T1113" s="1"/>
  <c r="T1114" s="1"/>
  <c r="T1115" s="1"/>
  <c r="T1116" s="1"/>
  <c r="T1117" s="1"/>
  <c r="T1118" s="1"/>
  <c r="T1119" s="1"/>
  <c r="T1120" s="1"/>
  <c r="T1121" s="1"/>
  <c r="T1122" s="1"/>
  <c r="T1123" s="1"/>
  <c r="T1124" s="1"/>
  <c r="T1125" s="1"/>
  <c r="T1126" s="1"/>
  <c r="T1127" s="1"/>
  <c r="T1128" s="1"/>
  <c r="T1129" s="1"/>
  <c r="T1130" s="1"/>
  <c r="T1131" s="1"/>
  <c r="T1132" s="1"/>
  <c r="T1133" s="1"/>
  <c r="T1134" s="1"/>
  <c r="T1135" s="1"/>
  <c r="T1136" s="1"/>
  <c r="T1137" s="1"/>
  <c r="T1138" s="1"/>
  <c r="T1139" s="1"/>
  <c r="T1140" s="1"/>
  <c r="T1141" s="1"/>
  <c r="T1142" s="1"/>
  <c r="T1143" s="1"/>
  <c r="T1144" s="1"/>
  <c r="T1145" s="1"/>
  <c r="T1146" s="1"/>
  <c r="T1147" s="1"/>
  <c r="T1148" s="1"/>
  <c r="T1149" s="1"/>
  <c r="T1150" s="1"/>
  <c r="T1151" s="1"/>
  <c r="T1152" s="1"/>
  <c r="T1153" s="1"/>
  <c r="T1154" s="1"/>
  <c r="T1155" s="1"/>
  <c r="T1156" s="1"/>
  <c r="T1157" s="1"/>
  <c r="T1158" s="1"/>
  <c r="T1159" s="1"/>
  <c r="T1160" s="1"/>
  <c r="T1161" s="1"/>
  <c r="T1162" s="1"/>
  <c r="T1163" s="1"/>
  <c r="T1164" s="1"/>
  <c r="T1165" s="1"/>
  <c r="T1166" s="1"/>
  <c r="T1167" s="1"/>
  <c r="T1168" s="1"/>
  <c r="T1169" s="1"/>
  <c r="T1170" s="1"/>
  <c r="T1171" s="1"/>
  <c r="T1172" s="1"/>
  <c r="T1173" s="1"/>
  <c r="T1174" s="1"/>
  <c r="T1175" s="1"/>
  <c r="T1176" s="1"/>
  <c r="T1177" s="1"/>
  <c r="T1178" s="1"/>
  <c r="T1179" s="1"/>
  <c r="T1180" s="1"/>
  <c r="T1181" s="1"/>
  <c r="T1182" s="1"/>
  <c r="T1183" s="1"/>
  <c r="T1184" s="1"/>
  <c r="T1185" s="1"/>
  <c r="T1186" s="1"/>
  <c r="T1187" s="1"/>
  <c r="T1188" s="1"/>
  <c r="T1189" s="1"/>
  <c r="T1190" s="1"/>
  <c r="T1191" s="1"/>
  <c r="T1192" s="1"/>
  <c r="T1193" s="1"/>
  <c r="T1194" s="1"/>
  <c r="T1195" s="1"/>
  <c r="T1196" s="1"/>
  <c r="T1197" s="1"/>
  <c r="T1198" s="1"/>
  <c r="T1199" s="1"/>
  <c r="T1200" s="1"/>
  <c r="T1201" s="1"/>
  <c r="T1202" s="1"/>
  <c r="T1203" s="1"/>
  <c r="T1204" s="1"/>
  <c r="T1205" s="1"/>
  <c r="T1206" s="1"/>
  <c r="T1207" s="1"/>
  <c r="T1208" s="1"/>
  <c r="T1209" s="1"/>
  <c r="T1210" s="1"/>
  <c r="T1211" s="1"/>
  <c r="T1212" s="1"/>
  <c r="T1213" s="1"/>
  <c r="T1214" s="1"/>
  <c r="T1215" s="1"/>
  <c r="T1216" s="1"/>
  <c r="T1217" s="1"/>
  <c r="T1218" s="1"/>
  <c r="T1219" s="1"/>
  <c r="T1220" s="1"/>
  <c r="T1221" s="1"/>
  <c r="T1222" s="1"/>
  <c r="T1223" s="1"/>
  <c r="T1224" s="1"/>
  <c r="T1225" s="1"/>
  <c r="T1226" s="1"/>
  <c r="T1227" s="1"/>
  <c r="T1228" s="1"/>
  <c r="T1229" s="1"/>
  <c r="T1230" s="1"/>
  <c r="T1231" s="1"/>
  <c r="T1232" s="1"/>
  <c r="T1233" s="1"/>
  <c r="T1234" s="1"/>
  <c r="T1235" s="1"/>
  <c r="T1236" s="1"/>
  <c r="T1237" s="1"/>
  <c r="T1238" s="1"/>
  <c r="T1239" s="1"/>
  <c r="T1240" s="1"/>
  <c r="T1241" s="1"/>
  <c r="T1242" s="1"/>
  <c r="T1243" s="1"/>
  <c r="T1244" s="1"/>
  <c r="T1245" s="1"/>
  <c r="T1246" s="1"/>
  <c r="T1247" s="1"/>
  <c r="T1248" s="1"/>
  <c r="T1249" s="1"/>
  <c r="T1250" s="1"/>
  <c r="T1251" s="1"/>
  <c r="T1252" s="1"/>
  <c r="T1253" s="1"/>
  <c r="T1254" s="1"/>
  <c r="T1255" s="1"/>
  <c r="T1256" s="1"/>
  <c r="T1257" s="1"/>
  <c r="T1258" s="1"/>
  <c r="T1259" s="1"/>
  <c r="T1260" s="1"/>
  <c r="T1261" s="1"/>
  <c r="T1262" s="1"/>
  <c r="T1263" s="1"/>
  <c r="T1264" s="1"/>
  <c r="T1265" s="1"/>
  <c r="T1266" s="1"/>
  <c r="T1267" s="1"/>
  <c r="T1268" s="1"/>
  <c r="T1269" s="1"/>
  <c r="T1270" s="1"/>
  <c r="T1271" s="1"/>
  <c r="T1272" s="1"/>
  <c r="T1273" s="1"/>
  <c r="T1274" s="1"/>
  <c r="T1275" s="1"/>
  <c r="T1276" s="1"/>
  <c r="T1277" s="1"/>
  <c r="T1278" s="1"/>
  <c r="T1279" s="1"/>
  <c r="T1280" s="1"/>
  <c r="T1281" s="1"/>
  <c r="T1282" s="1"/>
  <c r="T1283" s="1"/>
  <c r="T1284" s="1"/>
  <c r="T1285" s="1"/>
  <c r="T1286" s="1"/>
  <c r="T1287" s="1"/>
  <c r="T1288" s="1"/>
  <c r="T1289" s="1"/>
  <c r="T1290" s="1"/>
  <c r="T1291" s="1"/>
  <c r="T1292" s="1"/>
  <c r="T1293" s="1"/>
  <c r="T1294" s="1"/>
  <c r="T1295" s="1"/>
  <c r="T1296" s="1"/>
  <c r="T1297" s="1"/>
  <c r="T1298" s="1"/>
  <c r="T1299" s="1"/>
  <c r="T1300" s="1"/>
  <c r="T1301" s="1"/>
  <c r="T1302" s="1"/>
  <c r="T1303" s="1"/>
  <c r="T1304" s="1"/>
  <c r="T1305" s="1"/>
  <c r="T1306" s="1"/>
  <c r="T1307" s="1"/>
  <c r="T1308" s="1"/>
  <c r="T1309" s="1"/>
  <c r="T1310" s="1"/>
  <c r="T1311" s="1"/>
  <c r="T1312" s="1"/>
  <c r="T1313" s="1"/>
  <c r="T1314" s="1"/>
  <c r="T1315" s="1"/>
  <c r="T1316" s="1"/>
  <c r="T1317" s="1"/>
  <c r="T1318" s="1"/>
  <c r="T1319" s="1"/>
  <c r="T1320" s="1"/>
  <c r="T1321" s="1"/>
  <c r="T1322" s="1"/>
  <c r="T1323" s="1"/>
  <c r="T1324" s="1"/>
  <c r="T1325" s="1"/>
  <c r="T1326" s="1"/>
  <c r="T1327" s="1"/>
  <c r="T1328" s="1"/>
  <c r="T1329" s="1"/>
  <c r="T1330" s="1"/>
  <c r="T1331" s="1"/>
  <c r="T1332" s="1"/>
  <c r="T1333" s="1"/>
  <c r="T1334" s="1"/>
  <c r="T1335" s="1"/>
  <c r="T1336" s="1"/>
  <c r="T1337" s="1"/>
  <c r="T1338" s="1"/>
  <c r="T1339" s="1"/>
  <c r="T1340" s="1"/>
  <c r="T1341" s="1"/>
  <c r="T1342" s="1"/>
  <c r="T1343" s="1"/>
  <c r="T1344" s="1"/>
  <c r="T1345" s="1"/>
  <c r="T1346" s="1"/>
  <c r="T1347" s="1"/>
  <c r="T1348" s="1"/>
  <c r="T1349" s="1"/>
  <c r="T1350" s="1"/>
  <c r="T1351" s="1"/>
  <c r="T1352" s="1"/>
  <c r="T1353" s="1"/>
  <c r="T1354" s="1"/>
  <c r="T1355" s="1"/>
  <c r="T1356" s="1"/>
  <c r="T1357" s="1"/>
  <c r="T1358" s="1"/>
  <c r="T1359" s="1"/>
  <c r="T1360" s="1"/>
  <c r="T1361" s="1"/>
  <c r="T1362" s="1"/>
  <c r="T1363" s="1"/>
  <c r="T1364" s="1"/>
  <c r="T1365" s="1"/>
  <c r="T1366" s="1"/>
  <c r="T1367" s="1"/>
  <c r="T1368" s="1"/>
  <c r="T1369" s="1"/>
  <c r="T1370" s="1"/>
  <c r="T1371" s="1"/>
  <c r="T1372" s="1"/>
  <c r="T1373" s="1"/>
  <c r="T1374" s="1"/>
  <c r="T1375" s="1"/>
  <c r="T1376" s="1"/>
  <c r="T1377" s="1"/>
  <c r="T1378" s="1"/>
  <c r="T1379" s="1"/>
  <c r="T1380" s="1"/>
  <c r="T1381" s="1"/>
  <c r="T1382" s="1"/>
  <c r="T1383" s="1"/>
  <c r="T1384" s="1"/>
  <c r="T1385" s="1"/>
  <c r="T1386" s="1"/>
  <c r="T1387" s="1"/>
  <c r="T1388" s="1"/>
  <c r="T1389" s="1"/>
  <c r="T1390" s="1"/>
  <c r="T1391" s="1"/>
  <c r="T1392" s="1"/>
  <c r="T1393" s="1"/>
  <c r="T1394" s="1"/>
  <c r="T1395" s="1"/>
  <c r="T1396" s="1"/>
  <c r="T1397" s="1"/>
  <c r="T1398" s="1"/>
  <c r="T1399" s="1"/>
  <c r="T1400" s="1"/>
  <c r="T1401" s="1"/>
  <c r="T1402" s="1"/>
  <c r="T1403" s="1"/>
  <c r="T1404" s="1"/>
  <c r="T1405" s="1"/>
  <c r="T1406" s="1"/>
  <c r="T1407" s="1"/>
  <c r="T1408" s="1"/>
  <c r="T1409" s="1"/>
  <c r="T1410" s="1"/>
  <c r="T1411" s="1"/>
  <c r="T1412" s="1"/>
  <c r="T1413" s="1"/>
  <c r="T1414" s="1"/>
  <c r="T1415" s="1"/>
  <c r="T1416" s="1"/>
  <c r="T1417" s="1"/>
  <c r="T1418" s="1"/>
  <c r="T1419" s="1"/>
  <c r="T1420" s="1"/>
  <c r="T1421" s="1"/>
  <c r="T1422" s="1"/>
  <c r="T1423" s="1"/>
  <c r="T1424" s="1"/>
  <c r="T1425" s="1"/>
  <c r="T1426" s="1"/>
  <c r="T1427" s="1"/>
  <c r="T1428" s="1"/>
  <c r="T1429" s="1"/>
  <c r="T1430" s="1"/>
  <c r="T1431" s="1"/>
  <c r="T1432" s="1"/>
  <c r="T1433" s="1"/>
  <c r="T1434" s="1"/>
  <c r="T1435" s="1"/>
  <c r="T1436" s="1"/>
  <c r="T1437" s="1"/>
  <c r="T1438" s="1"/>
  <c r="T1439" s="1"/>
  <c r="T1440" s="1"/>
  <c r="T1441" s="1"/>
  <c r="T1442" s="1"/>
  <c r="T1443" s="1"/>
  <c r="T1444" s="1"/>
  <c r="T1445" s="1"/>
  <c r="T1446" s="1"/>
  <c r="T1447" s="1"/>
  <c r="T1448" s="1"/>
  <c r="T1449" s="1"/>
  <c r="T1450" s="1"/>
  <c r="T1451" s="1"/>
  <c r="T1452" s="1"/>
  <c r="T1453" s="1"/>
  <c r="T1454" s="1"/>
  <c r="T1455" s="1"/>
  <c r="T1456" s="1"/>
  <c r="T1457" s="1"/>
  <c r="T1458" s="1"/>
  <c r="T1459" s="1"/>
  <c r="T1460" s="1"/>
  <c r="T1461" s="1"/>
  <c r="T1462" s="1"/>
  <c r="T1463" s="1"/>
  <c r="T1464" s="1"/>
  <c r="T1465" s="1"/>
  <c r="T1466" s="1"/>
  <c r="T1467" s="1"/>
  <c r="T1468" s="1"/>
  <c r="T1469" s="1"/>
  <c r="T1470" s="1"/>
  <c r="T1471" s="1"/>
  <c r="T1472" s="1"/>
  <c r="T1473" s="1"/>
  <c r="T1474" s="1"/>
  <c r="T1475" s="1"/>
  <c r="T1476" s="1"/>
  <c r="T1477" s="1"/>
  <c r="T1478" s="1"/>
  <c r="T1479" s="1"/>
  <c r="T1480" s="1"/>
  <c r="T1481" s="1"/>
  <c r="T1482" s="1"/>
  <c r="T1483" s="1"/>
  <c r="T1484" s="1"/>
  <c r="T1485" s="1"/>
  <c r="T1486" s="1"/>
  <c r="T1487" s="1"/>
  <c r="T1488" s="1"/>
  <c r="T1489" s="1"/>
  <c r="T1490" s="1"/>
  <c r="T1491" s="1"/>
  <c r="T1492" s="1"/>
  <c r="T1493" s="1"/>
  <c r="T1494" s="1"/>
  <c r="T1495" s="1"/>
  <c r="T1496" s="1"/>
  <c r="T1497" s="1"/>
  <c r="T1498" s="1"/>
  <c r="T1499" s="1"/>
  <c r="T1500" s="1"/>
  <c r="T1501" s="1"/>
  <c r="T1502" s="1"/>
  <c r="T1503" s="1"/>
  <c r="T1504" s="1"/>
  <c r="T1505" s="1"/>
  <c r="T1506" s="1"/>
  <c r="T1507" s="1"/>
  <c r="T1508" s="1"/>
  <c r="T1509" s="1"/>
  <c r="T1510" s="1"/>
  <c r="T1511" s="1"/>
  <c r="T1512" s="1"/>
  <c r="T1513" s="1"/>
  <c r="T1514" s="1"/>
  <c r="T1515" s="1"/>
  <c r="T1516" s="1"/>
  <c r="T1517" s="1"/>
  <c r="T1518" s="1"/>
  <c r="T1519" s="1"/>
  <c r="T1520" s="1"/>
  <c r="T1521" s="1"/>
  <c r="T1522" s="1"/>
  <c r="T1523" s="1"/>
  <c r="T1524" s="1"/>
  <c r="T1525" s="1"/>
  <c r="T1526" s="1"/>
  <c r="T1527" s="1"/>
  <c r="T1528" s="1"/>
  <c r="T1529" s="1"/>
  <c r="T1530" s="1"/>
  <c r="T1531" s="1"/>
  <c r="T1532" s="1"/>
  <c r="T1533" s="1"/>
  <c r="T1534" s="1"/>
  <c r="T1535" s="1"/>
  <c r="T1536" s="1"/>
  <c r="T1537" s="1"/>
  <c r="T1538" s="1"/>
  <c r="T1539" s="1"/>
  <c r="T1540" s="1"/>
  <c r="T1541" s="1"/>
  <c r="T1542" s="1"/>
  <c r="T1543" s="1"/>
  <c r="T1544" s="1"/>
  <c r="T1545" s="1"/>
  <c r="T1546" s="1"/>
  <c r="T1547" s="1"/>
  <c r="T1548" s="1"/>
  <c r="T1549" s="1"/>
  <c r="T1550" s="1"/>
  <c r="T1551" s="1"/>
  <c r="T1552" s="1"/>
  <c r="T1553" s="1"/>
  <c r="T1554" s="1"/>
  <c r="T1555" s="1"/>
  <c r="T1556" s="1"/>
  <c r="T1557" s="1"/>
  <c r="T1558" s="1"/>
  <c r="T1559" s="1"/>
  <c r="T1560" s="1"/>
  <c r="T1561" s="1"/>
  <c r="T1562" s="1"/>
  <c r="T1563" s="1"/>
  <c r="T1564" s="1"/>
  <c r="T1565" s="1"/>
  <c r="T1566" s="1"/>
  <c r="T1567" s="1"/>
  <c r="T1568" s="1"/>
  <c r="T1569" s="1"/>
  <c r="T1570" s="1"/>
  <c r="T1571" s="1"/>
  <c r="T1572" s="1"/>
  <c r="T1573" s="1"/>
  <c r="T1574" s="1"/>
  <c r="T1575" s="1"/>
  <c r="T1576" s="1"/>
  <c r="T1577" s="1"/>
  <c r="T1578" s="1"/>
  <c r="T1579" s="1"/>
  <c r="T1580" s="1"/>
  <c r="T1581" s="1"/>
  <c r="T1582" s="1"/>
  <c r="T1583" s="1"/>
  <c r="T1584" s="1"/>
  <c r="T1585" s="1"/>
  <c r="T1586" s="1"/>
  <c r="T1587" s="1"/>
  <c r="T1588" s="1"/>
  <c r="T1589" s="1"/>
  <c r="T1590" s="1"/>
  <c r="T1591" s="1"/>
  <c r="T1592" s="1"/>
  <c r="T1593" s="1"/>
  <c r="T1594" s="1"/>
  <c r="T1595" s="1"/>
  <c r="T1596" s="1"/>
  <c r="T1597" s="1"/>
  <c r="T1598" s="1"/>
  <c r="T1599" s="1"/>
  <c r="T1600" s="1"/>
  <c r="T1601" s="1"/>
  <c r="T1602" s="1"/>
  <c r="T1603" s="1"/>
  <c r="T1604" s="1"/>
  <c r="T1605" s="1"/>
  <c r="T1606" s="1"/>
  <c r="T1607" s="1"/>
  <c r="T1608" s="1"/>
  <c r="T1609" s="1"/>
  <c r="T1610" s="1"/>
  <c r="T1611" s="1"/>
  <c r="T1612" s="1"/>
  <c r="T1613" s="1"/>
  <c r="T1614" s="1"/>
  <c r="T1615" s="1"/>
  <c r="T1616" s="1"/>
  <c r="T1617" s="1"/>
  <c r="T1618" s="1"/>
  <c r="T1619" s="1"/>
  <c r="T1620" s="1"/>
  <c r="T1621" s="1"/>
  <c r="T1622" s="1"/>
  <c r="T1623" s="1"/>
  <c r="T1624" s="1"/>
  <c r="T1625" s="1"/>
  <c r="T1626" s="1"/>
  <c r="T1627" s="1"/>
  <c r="T1628" s="1"/>
  <c r="T1629" s="1"/>
  <c r="T1630" s="1"/>
  <c r="T1631" s="1"/>
  <c r="T1632" s="1"/>
  <c r="T1633" s="1"/>
  <c r="T1634" s="1"/>
  <c r="T1635" s="1"/>
  <c r="T1636" s="1"/>
  <c r="T1637" s="1"/>
  <c r="T1638" s="1"/>
  <c r="T1639" s="1"/>
  <c r="T1640" s="1"/>
  <c r="T1641" s="1"/>
  <c r="T1642" s="1"/>
  <c r="T1643" s="1"/>
  <c r="T1644" s="1"/>
  <c r="T1645" s="1"/>
  <c r="T1646" s="1"/>
  <c r="T1647" s="1"/>
  <c r="T1648" s="1"/>
  <c r="T1649" s="1"/>
  <c r="T1650" s="1"/>
  <c r="T1651" s="1"/>
  <c r="T1652" s="1"/>
  <c r="T1653" s="1"/>
  <c r="T1654" s="1"/>
  <c r="T1655" s="1"/>
  <c r="T1656" s="1"/>
  <c r="T1657" s="1"/>
  <c r="T1658" s="1"/>
  <c r="T1659" s="1"/>
  <c r="T1660" s="1"/>
  <c r="T1661" s="1"/>
  <c r="T1662" s="1"/>
  <c r="T1663" s="1"/>
  <c r="T1664" s="1"/>
  <c r="T1665" s="1"/>
  <c r="T1666" s="1"/>
  <c r="T1667" s="1"/>
  <c r="T1668" s="1"/>
  <c r="T1669" s="1"/>
  <c r="T1670" s="1"/>
  <c r="T1671" s="1"/>
  <c r="T1672" s="1"/>
  <c r="T1673" s="1"/>
  <c r="T1674" s="1"/>
  <c r="T1675" s="1"/>
  <c r="T1676" s="1"/>
  <c r="T1677" s="1"/>
  <c r="T1678" s="1"/>
  <c r="T1679" s="1"/>
  <c r="T1680" s="1"/>
  <c r="T1681" s="1"/>
  <c r="T1682" s="1"/>
  <c r="T1683" s="1"/>
  <c r="T1684" s="1"/>
  <c r="T1685" s="1"/>
  <c r="T1686" s="1"/>
  <c r="T1687" s="1"/>
  <c r="T1688" s="1"/>
  <c r="T1689" s="1"/>
  <c r="T1690" s="1"/>
  <c r="T1691" s="1"/>
  <c r="T1692" s="1"/>
  <c r="T1693" s="1"/>
  <c r="T1694" s="1"/>
  <c r="T1695" s="1"/>
  <c r="T1696" s="1"/>
  <c r="T1697" s="1"/>
  <c r="T1698" s="1"/>
  <c r="T1699" s="1"/>
  <c r="T1700" s="1"/>
  <c r="T1701" s="1"/>
  <c r="T1702" s="1"/>
  <c r="T1703" s="1"/>
  <c r="T1704" s="1"/>
  <c r="T1705" s="1"/>
  <c r="T1706" s="1"/>
  <c r="T1707" s="1"/>
  <c r="T1708" s="1"/>
  <c r="T1709" s="1"/>
  <c r="T1710" s="1"/>
  <c r="T1711" s="1"/>
  <c r="T1712" s="1"/>
  <c r="T1713" s="1"/>
  <c r="T1714" s="1"/>
  <c r="T1715" s="1"/>
  <c r="T1716" s="1"/>
  <c r="T1717" s="1"/>
  <c r="T1718" s="1"/>
  <c r="T1719" s="1"/>
  <c r="T1720" s="1"/>
  <c r="T1721" s="1"/>
  <c r="T1722" s="1"/>
  <c r="T1723" s="1"/>
  <c r="T1724" s="1"/>
  <c r="T1725" s="1"/>
  <c r="T1726" s="1"/>
  <c r="T1727" s="1"/>
  <c r="T1728" s="1"/>
  <c r="T1729" s="1"/>
  <c r="T1730" s="1"/>
  <c r="T1731" s="1"/>
  <c r="T1732" s="1"/>
  <c r="T1733" s="1"/>
  <c r="T1734" s="1"/>
  <c r="T1735" s="1"/>
  <c r="T1736" s="1"/>
  <c r="T1737" s="1"/>
  <c r="T1738" s="1"/>
  <c r="T1739" s="1"/>
  <c r="T1740" s="1"/>
  <c r="T1741" s="1"/>
  <c r="T1742" s="1"/>
  <c r="T1743" s="1"/>
  <c r="T1744" s="1"/>
  <c r="T1745" s="1"/>
  <c r="T1746" s="1"/>
  <c r="T1747" s="1"/>
  <c r="T1748" s="1"/>
  <c r="T1749" s="1"/>
  <c r="T1750" s="1"/>
  <c r="T1751" s="1"/>
  <c r="T1752" s="1"/>
  <c r="T1753" s="1"/>
  <c r="T1754" s="1"/>
  <c r="T1755" s="1"/>
  <c r="T1756" s="1"/>
  <c r="T1757" s="1"/>
  <c r="T1758" s="1"/>
  <c r="T1759" s="1"/>
  <c r="T1760" s="1"/>
  <c r="T1761" s="1"/>
  <c r="T1762" s="1"/>
  <c r="T1763" s="1"/>
  <c r="T1764" s="1"/>
  <c r="T1765" s="1"/>
  <c r="T1766" s="1"/>
  <c r="T1767" s="1"/>
  <c r="T1768" s="1"/>
  <c r="T1769" s="1"/>
  <c r="T1770" s="1"/>
  <c r="T1771" s="1"/>
  <c r="T1772" s="1"/>
  <c r="T1773" s="1"/>
  <c r="T1774" s="1"/>
  <c r="T1775" s="1"/>
  <c r="T1776" s="1"/>
  <c r="T1777" s="1"/>
  <c r="T1778" s="1"/>
  <c r="T1779" s="1"/>
  <c r="T1780" s="1"/>
  <c r="T1781" s="1"/>
  <c r="T1782" s="1"/>
  <c r="W542" i="7"/>
  <c r="X542" s="1"/>
  <c r="AD33" i="22" l="1"/>
  <c r="AF33" s="1"/>
  <c r="Z8"/>
  <c r="AB8" s="1"/>
  <c r="AD8"/>
  <c r="AF8" s="1"/>
  <c r="Z12"/>
  <c r="AB12" s="1"/>
  <c r="Z16"/>
  <c r="AB16" s="1"/>
  <c r="AD25"/>
  <c r="AF25" s="1"/>
  <c r="Z4"/>
  <c r="AD4"/>
  <c r="AD12"/>
  <c r="AF12" s="1"/>
  <c r="AH24"/>
  <c r="AH20"/>
  <c r="AH4"/>
  <c r="AJ4" s="1"/>
  <c r="AH28"/>
  <c r="AJ28" s="1"/>
  <c r="AH12"/>
  <c r="Z20"/>
  <c r="AB20" s="1"/>
  <c r="W543" i="7"/>
  <c r="X543" s="1"/>
  <c r="AJ12" i="22" l="1"/>
  <c r="AH16"/>
  <c r="AJ16" s="1"/>
  <c r="AD29"/>
  <c r="AB4"/>
  <c r="AJ20"/>
  <c r="AN12"/>
  <c r="AJ24"/>
  <c r="AH32"/>
  <c r="AJ32" s="1"/>
  <c r="AD20"/>
  <c r="AF20" s="1"/>
  <c r="AF4"/>
  <c r="W544" i="7"/>
  <c r="X544" s="1"/>
  <c r="AF29" i="22" l="1"/>
  <c r="X9"/>
  <c r="W545" i="7"/>
  <c r="X545" s="1"/>
  <c r="W546" l="1"/>
  <c r="X546" s="1"/>
  <c r="W547" l="1"/>
  <c r="X547" s="1"/>
  <c r="W548" l="1"/>
  <c r="X548" s="1"/>
  <c r="W549" l="1"/>
  <c r="X549" s="1"/>
  <c r="W550" l="1"/>
  <c r="X550" s="1"/>
  <c r="W551" l="1"/>
  <c r="X551" s="1"/>
  <c r="W552" l="1"/>
  <c r="X552" s="1"/>
  <c r="W553" l="1"/>
  <c r="X553" s="1"/>
  <c r="W554" l="1"/>
  <c r="X554" s="1"/>
  <c r="W555" l="1"/>
  <c r="X555" s="1"/>
  <c r="W556" l="1"/>
  <c r="X556" l="1"/>
  <c r="W557" l="1"/>
  <c r="X557" l="1"/>
  <c r="W558" l="1"/>
  <c r="X558" l="1"/>
  <c r="W559" l="1"/>
  <c r="X559" s="1"/>
  <c r="W560" l="1"/>
  <c r="X560" s="1"/>
  <c r="W561" l="1"/>
  <c r="X561" s="1"/>
  <c r="W562" l="1"/>
  <c r="X562" s="1"/>
  <c r="W563" l="1"/>
  <c r="X563" s="1"/>
  <c r="W564" l="1"/>
  <c r="X564" s="1"/>
  <c r="W565" l="1"/>
  <c r="X565" s="1"/>
  <c r="W566" l="1"/>
  <c r="X566" s="1"/>
  <c r="W567" l="1"/>
  <c r="X567" s="1"/>
  <c r="W568" l="1"/>
  <c r="X568" s="1"/>
  <c r="W569" l="1"/>
  <c r="X569" s="1"/>
  <c r="W570" l="1"/>
  <c r="X570" s="1"/>
  <c r="W571" l="1"/>
  <c r="X571" s="1"/>
  <c r="W572" l="1"/>
  <c r="X572" s="1"/>
  <c r="W573" l="1"/>
  <c r="X573" l="1"/>
  <c r="W574" s="1"/>
  <c r="X574" s="1"/>
  <c r="W575" l="1"/>
  <c r="X575" s="1"/>
  <c r="W576" l="1"/>
  <c r="X576" s="1"/>
  <c r="W577" l="1"/>
  <c r="X577" l="1"/>
  <c r="W578" s="1"/>
  <c r="X578" s="1"/>
  <c r="W579" l="1"/>
  <c r="X579" s="1"/>
  <c r="W580" l="1"/>
  <c r="X580" l="1"/>
  <c r="W581" s="1"/>
  <c r="X581" s="1"/>
  <c r="W582" l="1"/>
  <c r="X582" s="1"/>
  <c r="W583" l="1"/>
  <c r="X583" s="1"/>
  <c r="W584" l="1"/>
  <c r="X584" s="1"/>
  <c r="W585" l="1"/>
  <c r="X585" s="1"/>
  <c r="W586" l="1"/>
  <c r="X586" l="1"/>
  <c r="W587" l="1"/>
  <c r="X587" l="1"/>
  <c r="W588" l="1"/>
  <c r="X588" l="1"/>
  <c r="W589" l="1"/>
  <c r="X589" s="1"/>
  <c r="W590" l="1"/>
  <c r="X590" s="1"/>
  <c r="W591" l="1"/>
  <c r="X591" l="1"/>
  <c r="W592" l="1"/>
  <c r="X592" l="1"/>
  <c r="W593" l="1"/>
  <c r="X593" l="1"/>
  <c r="W594" l="1"/>
  <c r="X594" l="1"/>
  <c r="W595" l="1"/>
  <c r="X595" l="1"/>
  <c r="W596" l="1"/>
  <c r="X596" s="1"/>
  <c r="W597" l="1"/>
  <c r="X597" s="1"/>
  <c r="W598" l="1"/>
  <c r="X598" s="1"/>
  <c r="W599" l="1"/>
  <c r="X599" s="1"/>
  <c r="W600" l="1"/>
  <c r="X600" l="1"/>
  <c r="X601" s="1"/>
  <c r="X602" s="1"/>
  <c r="X603" s="1"/>
  <c r="X604" s="1"/>
  <c r="X605" s="1"/>
  <c r="X606" s="1"/>
  <c r="X607" s="1"/>
  <c r="X608" s="1"/>
  <c r="X609" s="1"/>
  <c r="X610" s="1"/>
  <c r="X611" s="1"/>
  <c r="X612" s="1"/>
  <c r="X613" s="1"/>
  <c r="X614" s="1"/>
  <c r="X615" s="1"/>
  <c r="X616" s="1"/>
  <c r="X617" s="1"/>
  <c r="X618" s="1"/>
  <c r="X619" s="1"/>
  <c r="X620" l="1"/>
  <c r="X621" s="1"/>
  <c r="X622" s="1"/>
  <c r="X623" s="1"/>
  <c r="X624" s="1"/>
  <c r="X625" s="1"/>
  <c r="X626" s="1"/>
  <c r="X627" s="1"/>
  <c r="X628" s="1"/>
  <c r="X629" s="1"/>
  <c r="X630" s="1"/>
  <c r="X631" s="1"/>
  <c r="X632" s="1"/>
  <c r="X633" s="1"/>
  <c r="X634" s="1"/>
  <c r="X635" s="1"/>
  <c r="X636" s="1"/>
  <c r="X637" s="1"/>
  <c r="X638" s="1"/>
  <c r="X639" s="1"/>
  <c r="X640" s="1"/>
  <c r="X641" s="1"/>
  <c r="X642" s="1"/>
  <c r="X643" s="1"/>
  <c r="X644" s="1"/>
  <c r="X645" s="1"/>
  <c r="X646" s="1"/>
  <c r="X647" s="1"/>
  <c r="X648" s="1"/>
  <c r="X649" s="1"/>
  <c r="X650" s="1"/>
  <c r="X651" s="1"/>
  <c r="X652" s="1"/>
  <c r="X653" s="1"/>
  <c r="X654" s="1"/>
  <c r="X655" s="1"/>
  <c r="X656" s="1"/>
  <c r="X657" s="1"/>
  <c r="X658" s="1"/>
  <c r="X659" s="1"/>
  <c r="X660" s="1"/>
  <c r="X661" s="1"/>
  <c r="X662" s="1"/>
  <c r="X663" s="1"/>
  <c r="X664" s="1"/>
  <c r="X665" s="1"/>
  <c r="X666" s="1"/>
  <c r="X667" s="1"/>
  <c r="X668" s="1"/>
  <c r="X669" s="1"/>
  <c r="X670" s="1"/>
  <c r="X671" s="1"/>
  <c r="X672" s="1"/>
  <c r="X673" s="1"/>
  <c r="X674" s="1"/>
  <c r="X675" s="1"/>
  <c r="X676" s="1"/>
  <c r="X677" s="1"/>
  <c r="X678" s="1"/>
  <c r="X679" s="1"/>
  <c r="X680" s="1"/>
  <c r="X681" s="1"/>
  <c r="X682" s="1"/>
  <c r="X683" s="1"/>
  <c r="X684" s="1"/>
  <c r="X685" s="1"/>
  <c r="X686" s="1"/>
  <c r="X687" s="1"/>
  <c r="X688" s="1"/>
  <c r="X689" s="1"/>
  <c r="X690" s="1"/>
  <c r="X691" s="1"/>
  <c r="X692" s="1"/>
  <c r="X693" s="1"/>
  <c r="X694" s="1"/>
  <c r="X695" s="1"/>
  <c r="X696" s="1"/>
  <c r="X697" s="1"/>
  <c r="X698" s="1"/>
  <c r="X699" s="1"/>
  <c r="X700" s="1"/>
  <c r="X701" s="1"/>
  <c r="X702" s="1"/>
  <c r="X703" s="1"/>
  <c r="X704" s="1"/>
  <c r="X705" s="1"/>
  <c r="X706" s="1"/>
  <c r="X707" s="1"/>
  <c r="X708" s="1"/>
  <c r="X709" s="1"/>
  <c r="X710" s="1"/>
  <c r="X711" s="1"/>
  <c r="X712" s="1"/>
  <c r="X713" s="1"/>
  <c r="X714" s="1"/>
  <c r="X715" s="1"/>
  <c r="X716" s="1"/>
  <c r="X717" s="1"/>
  <c r="X718" s="1"/>
  <c r="X719" s="1"/>
  <c r="X720" s="1"/>
  <c r="X721" s="1"/>
  <c r="X722" s="1"/>
  <c r="X723" s="1"/>
  <c r="X724" s="1"/>
  <c r="X725" s="1"/>
  <c r="X726" s="1"/>
  <c r="X727" s="1"/>
  <c r="X728" s="1"/>
  <c r="X729" s="1"/>
  <c r="X730" s="1"/>
  <c r="X731" s="1"/>
  <c r="X732" s="1"/>
  <c r="X733" s="1"/>
  <c r="X734" s="1"/>
  <c r="X735" s="1"/>
  <c r="X736" s="1"/>
  <c r="X737" s="1"/>
  <c r="X738" s="1"/>
  <c r="X739" s="1"/>
  <c r="X740" s="1"/>
  <c r="X741" s="1"/>
  <c r="X742" s="1"/>
  <c r="X743" l="1"/>
  <c r="X744" s="1"/>
  <c r="X745" s="1"/>
  <c r="X746" s="1"/>
  <c r="X747" s="1"/>
  <c r="X748" s="1"/>
  <c r="X749" s="1"/>
  <c r="X750" s="1"/>
  <c r="X751" s="1"/>
  <c r="X752" s="1"/>
  <c r="X753" s="1"/>
  <c r="X754" s="1"/>
  <c r="X755" s="1"/>
  <c r="X756" s="1"/>
  <c r="X757" s="1"/>
  <c r="X758" s="1"/>
  <c r="X759" s="1"/>
  <c r="X760" s="1"/>
  <c r="X761" s="1"/>
  <c r="X762" s="1"/>
  <c r="X763" s="1"/>
  <c r="X764" s="1"/>
  <c r="X765" s="1"/>
  <c r="X766" s="1"/>
  <c r="X767" s="1"/>
  <c r="X768" s="1"/>
  <c r="X769" s="1"/>
  <c r="X770" s="1"/>
  <c r="X771" s="1"/>
  <c r="X772" s="1"/>
  <c r="X773" s="1"/>
  <c r="X774" s="1"/>
  <c r="X775" s="1"/>
  <c r="X776" s="1"/>
  <c r="X777" s="1"/>
  <c r="X778" s="1"/>
  <c r="X779" s="1"/>
  <c r="X780" s="1"/>
  <c r="X781" s="1"/>
  <c r="X782" s="1"/>
  <c r="X783" s="1"/>
  <c r="X784" s="1"/>
  <c r="X785" s="1"/>
  <c r="X786" s="1"/>
  <c r="X787" s="1"/>
  <c r="X788" s="1"/>
  <c r="X789" s="1"/>
  <c r="X790" s="1"/>
  <c r="X791" s="1"/>
  <c r="X792" s="1"/>
  <c r="X793" s="1"/>
  <c r="X794" s="1"/>
  <c r="X795" s="1"/>
  <c r="X796" s="1"/>
  <c r="X797" s="1"/>
  <c r="X798" s="1"/>
  <c r="X799" s="1"/>
  <c r="X800" s="1"/>
  <c r="X801" s="1"/>
  <c r="X802" s="1"/>
  <c r="X803" s="1"/>
  <c r="X804" s="1"/>
  <c r="X805" s="1"/>
  <c r="X806" s="1"/>
  <c r="X807" s="1"/>
  <c r="X808" s="1"/>
  <c r="X809" s="1"/>
  <c r="X810" s="1"/>
  <c r="X811" s="1"/>
  <c r="X812" s="1"/>
  <c r="X813" s="1"/>
  <c r="X814" s="1"/>
  <c r="X815" s="1"/>
  <c r="X816" s="1"/>
  <c r="X817" s="1"/>
  <c r="X818" s="1"/>
  <c r="X819" s="1"/>
  <c r="X820" s="1"/>
  <c r="X821" s="1"/>
  <c r="X822" s="1"/>
  <c r="X823" s="1"/>
  <c r="X824" s="1"/>
  <c r="X825" s="1"/>
  <c r="X826" s="1"/>
  <c r="X827" s="1"/>
  <c r="X828" s="1"/>
  <c r="X829" s="1"/>
  <c r="X830" s="1"/>
  <c r="X831" s="1"/>
  <c r="X832" s="1"/>
  <c r="X833" s="1"/>
  <c r="X834" s="1"/>
  <c r="X835" s="1"/>
  <c r="X836" s="1"/>
  <c r="X837" s="1"/>
  <c r="X838" s="1"/>
  <c r="X839" s="1"/>
  <c r="X840" s="1"/>
  <c r="X841" s="1"/>
  <c r="X842" s="1"/>
  <c r="X843" s="1"/>
  <c r="X844" s="1"/>
  <c r="X845" s="1"/>
  <c r="X846" s="1"/>
  <c r="X847" s="1"/>
  <c r="X848" s="1"/>
  <c r="X849" s="1"/>
  <c r="X850" s="1"/>
  <c r="X851" s="1"/>
  <c r="X852" s="1"/>
  <c r="X853" s="1"/>
  <c r="X854" s="1"/>
  <c r="X855" s="1"/>
  <c r="X856" s="1"/>
  <c r="X857" s="1"/>
  <c r="X858" s="1"/>
  <c r="X859" s="1"/>
  <c r="X860" s="1"/>
  <c r="X861" s="1"/>
  <c r="X862" s="1"/>
  <c r="X863" s="1"/>
  <c r="X864" s="1"/>
  <c r="X865" s="1"/>
  <c r="X866" l="1"/>
  <c r="X867" s="1"/>
  <c r="X868" s="1"/>
  <c r="X869" s="1"/>
  <c r="X870" s="1"/>
  <c r="X871" s="1"/>
  <c r="X872" s="1"/>
  <c r="X873" s="1"/>
  <c r="X874" s="1"/>
  <c r="X875" s="1"/>
  <c r="X876" s="1"/>
  <c r="X877" s="1"/>
  <c r="X878" s="1"/>
  <c r="X879" s="1"/>
  <c r="X880" s="1"/>
  <c r="X881" s="1"/>
  <c r="X882" s="1"/>
  <c r="X883" s="1"/>
  <c r="X884" s="1"/>
  <c r="X885" s="1"/>
  <c r="X886" s="1"/>
  <c r="X887" s="1"/>
  <c r="X888" s="1"/>
  <c r="X889" s="1"/>
  <c r="X890" s="1"/>
  <c r="X891" s="1"/>
  <c r="X892" s="1"/>
  <c r="X893" s="1"/>
  <c r="X894" s="1"/>
  <c r="X895" s="1"/>
  <c r="X896" s="1"/>
  <c r="X897" s="1"/>
  <c r="X898" s="1"/>
  <c r="X899" s="1"/>
  <c r="X900" s="1"/>
  <c r="X901" s="1"/>
  <c r="X902" s="1"/>
  <c r="X903" s="1"/>
  <c r="X904" s="1"/>
  <c r="X905" s="1"/>
  <c r="X906" s="1"/>
  <c r="X907" s="1"/>
  <c r="X908" s="1"/>
  <c r="X909" s="1"/>
  <c r="X910" s="1"/>
  <c r="X911" s="1"/>
  <c r="X912" s="1"/>
  <c r="X913" s="1"/>
  <c r="X914" s="1"/>
  <c r="X915" s="1"/>
  <c r="X916" s="1"/>
  <c r="X917" s="1"/>
  <c r="X918" s="1"/>
  <c r="X919" s="1"/>
  <c r="X920" s="1"/>
  <c r="X921" s="1"/>
  <c r="X922" s="1"/>
  <c r="X923" s="1"/>
  <c r="X924" s="1"/>
  <c r="X925" s="1"/>
  <c r="X926" s="1"/>
  <c r="X927" s="1"/>
  <c r="X928" s="1"/>
  <c r="X929" s="1"/>
  <c r="X930" s="1"/>
  <c r="X931" s="1"/>
  <c r="X932" s="1"/>
  <c r="X933" s="1"/>
  <c r="X934" s="1"/>
  <c r="X935" s="1"/>
  <c r="X936" s="1"/>
  <c r="X937" s="1"/>
  <c r="X938" s="1"/>
  <c r="X939" s="1"/>
  <c r="X940" s="1"/>
  <c r="X941" s="1"/>
  <c r="X942" s="1"/>
  <c r="X943" s="1"/>
  <c r="X944" s="1"/>
  <c r="X945" s="1"/>
  <c r="X946" s="1"/>
  <c r="X947" s="1"/>
  <c r="X948" s="1"/>
  <c r="X949" s="1"/>
  <c r="X950" s="1"/>
  <c r="X951" s="1"/>
  <c r="X952" s="1"/>
  <c r="X953" s="1"/>
  <c r="X954" s="1"/>
  <c r="X955" s="1"/>
  <c r="X956" s="1"/>
  <c r="X957" s="1"/>
  <c r="X958" s="1"/>
  <c r="X959" s="1"/>
  <c r="X960" s="1"/>
  <c r="X961" s="1"/>
  <c r="X962" s="1"/>
  <c r="X963" s="1"/>
  <c r="X964" s="1"/>
  <c r="X965" s="1"/>
  <c r="X966" s="1"/>
  <c r="X967" s="1"/>
  <c r="X968" s="1"/>
  <c r="X969" s="1"/>
  <c r="X970" s="1"/>
  <c r="X971" s="1"/>
  <c r="X972" s="1"/>
  <c r="X973" s="1"/>
  <c r="X974" s="1"/>
  <c r="X975" s="1"/>
  <c r="X976" s="1"/>
  <c r="X977" s="1"/>
  <c r="X978" s="1"/>
  <c r="X979" s="1"/>
  <c r="X980" s="1"/>
  <c r="X981" s="1"/>
  <c r="X982" s="1"/>
  <c r="X983" s="1"/>
  <c r="X984" s="1"/>
  <c r="X985" s="1"/>
  <c r="X986" s="1"/>
  <c r="X987" s="1"/>
  <c r="X988" s="1"/>
  <c r="X989" s="1"/>
  <c r="X990" s="1"/>
  <c r="X991" s="1"/>
  <c r="X992" s="1"/>
  <c r="X993" s="1"/>
  <c r="X994" s="1"/>
  <c r="X995" s="1"/>
  <c r="X996" s="1"/>
  <c r="X997" s="1"/>
  <c r="X998" s="1"/>
  <c r="X999" s="1"/>
  <c r="X1000" s="1"/>
  <c r="X1001" s="1"/>
  <c r="X1002" s="1"/>
  <c r="X1003" s="1"/>
  <c r="X1004" s="1"/>
  <c r="X1005" s="1"/>
  <c r="X1006" s="1"/>
  <c r="X1007" s="1"/>
  <c r="X1008" s="1"/>
  <c r="X1009" s="1"/>
  <c r="X1010" s="1"/>
  <c r="X1011" s="1"/>
  <c r="X1012" s="1"/>
  <c r="X1013" s="1"/>
  <c r="X1014" s="1"/>
  <c r="X1015" s="1"/>
  <c r="X1016" s="1"/>
  <c r="X1017" s="1"/>
  <c r="X1018" s="1"/>
  <c r="X1019" s="1"/>
  <c r="X1020" s="1"/>
  <c r="X1021" s="1"/>
  <c r="X1022" s="1"/>
  <c r="X1023" s="1"/>
  <c r="X1024" s="1"/>
  <c r="X1025" s="1"/>
  <c r="X1026" s="1"/>
  <c r="X1027" s="1"/>
  <c r="X1028" s="1"/>
  <c r="X1029" s="1"/>
  <c r="X1030" s="1"/>
  <c r="X1031" s="1"/>
  <c r="X1032" s="1"/>
  <c r="X1033" s="1"/>
  <c r="X1034" s="1"/>
  <c r="X1035" s="1"/>
  <c r="X1036" s="1"/>
  <c r="X1037" s="1"/>
  <c r="X1038" s="1"/>
  <c r="X1039" s="1"/>
  <c r="X1040" s="1"/>
  <c r="X1041" s="1"/>
  <c r="X1042" s="1"/>
  <c r="X1043" s="1"/>
  <c r="X1044" s="1"/>
  <c r="X1045" s="1"/>
  <c r="X1046" s="1"/>
  <c r="X1047" s="1"/>
  <c r="X1048" s="1"/>
  <c r="X1049" s="1"/>
  <c r="X1050" s="1"/>
  <c r="X1051" s="1"/>
  <c r="X1052" s="1"/>
  <c r="X1053" s="1"/>
  <c r="X1054" s="1"/>
  <c r="X1055" s="1"/>
  <c r="X1056" s="1"/>
  <c r="X1057" s="1"/>
  <c r="X1058" s="1"/>
  <c r="X1059" s="1"/>
  <c r="X1060" s="1"/>
  <c r="X1061" s="1"/>
  <c r="X1062" s="1"/>
  <c r="X1063" s="1"/>
  <c r="X1064" s="1"/>
  <c r="X1065" s="1"/>
  <c r="X1066" s="1"/>
  <c r="X1067" s="1"/>
  <c r="X1068" s="1"/>
  <c r="X1069" s="1"/>
  <c r="X1070" s="1"/>
  <c r="X1071" s="1"/>
  <c r="X1072" s="1"/>
  <c r="X1073" s="1"/>
  <c r="X1074" s="1"/>
  <c r="X1075" s="1"/>
  <c r="X1076" s="1"/>
  <c r="X1077" s="1"/>
  <c r="X1078" s="1"/>
  <c r="X1079" s="1"/>
  <c r="X1080" s="1"/>
  <c r="X1081" s="1"/>
  <c r="X1082" s="1"/>
  <c r="X1083" s="1"/>
  <c r="X1084" s="1"/>
  <c r="X1085" s="1"/>
  <c r="X1086" s="1"/>
  <c r="X1087" s="1"/>
  <c r="X1088" s="1"/>
  <c r="X1089" s="1"/>
  <c r="X1090" s="1"/>
  <c r="X1091" s="1"/>
  <c r="X1092" s="1"/>
  <c r="X1093" s="1"/>
  <c r="X1094" s="1"/>
  <c r="X1095" s="1"/>
  <c r="X1096" s="1"/>
  <c r="X1097" s="1"/>
  <c r="X1098" s="1"/>
  <c r="X1099" s="1"/>
  <c r="X1100" s="1"/>
  <c r="X1101" s="1"/>
  <c r="X1102" s="1"/>
  <c r="X1103" s="1"/>
  <c r="X1104" s="1"/>
  <c r="X1105" s="1"/>
  <c r="X1106" s="1"/>
  <c r="X1107" s="1"/>
  <c r="X1108" s="1"/>
  <c r="X1109" s="1"/>
  <c r="X1110" s="1"/>
  <c r="X1111" s="1"/>
  <c r="X1112" s="1"/>
  <c r="X1113" s="1"/>
  <c r="X1114" s="1"/>
  <c r="X1115" s="1"/>
  <c r="X1116" s="1"/>
  <c r="X1117" s="1"/>
  <c r="X1118" s="1"/>
  <c r="X1119" s="1"/>
  <c r="X1120" s="1"/>
  <c r="X1121" s="1"/>
  <c r="X1122" s="1"/>
  <c r="X1123" s="1"/>
  <c r="X1124" s="1"/>
  <c r="X1125" s="1"/>
  <c r="X1126" s="1"/>
  <c r="X1127" s="1"/>
  <c r="X1128" s="1"/>
  <c r="X1129" s="1"/>
  <c r="X1130" s="1"/>
  <c r="X1131" s="1"/>
  <c r="X1132" s="1"/>
  <c r="X1133" s="1"/>
  <c r="X1134" s="1"/>
  <c r="X1135" s="1"/>
  <c r="X1136" s="1"/>
  <c r="X1137" s="1"/>
  <c r="X1138" s="1"/>
  <c r="X1139" s="1"/>
  <c r="X1140" s="1"/>
  <c r="X1141" s="1"/>
  <c r="X1142" s="1"/>
  <c r="X1143" s="1"/>
  <c r="X1144" s="1"/>
  <c r="X1145" s="1"/>
  <c r="X1146" s="1"/>
  <c r="X1147" s="1"/>
  <c r="X1148" s="1"/>
  <c r="X1149" s="1"/>
  <c r="X1150" s="1"/>
  <c r="X1151" s="1"/>
  <c r="X1152" s="1"/>
  <c r="X1153" s="1"/>
  <c r="X1154" s="1"/>
  <c r="X1155" s="1"/>
  <c r="X1156" s="1"/>
  <c r="X1157" s="1"/>
  <c r="X1158" s="1"/>
  <c r="X1159" s="1"/>
  <c r="X1160" s="1"/>
  <c r="X1161" s="1"/>
  <c r="X1162" s="1"/>
  <c r="X1163" s="1"/>
  <c r="X1164" s="1"/>
  <c r="X1165" s="1"/>
  <c r="X1166" s="1"/>
  <c r="X1167" s="1"/>
  <c r="X1168" s="1"/>
  <c r="X1169" s="1"/>
  <c r="X1170" s="1"/>
  <c r="X1171" s="1"/>
  <c r="X1172" s="1"/>
  <c r="X1173" s="1"/>
  <c r="X1174" s="1"/>
  <c r="X1175" s="1"/>
  <c r="X1176" s="1"/>
  <c r="X1177" s="1"/>
  <c r="X1178" s="1"/>
  <c r="X1179" s="1"/>
  <c r="X1180" s="1"/>
  <c r="X1181" s="1"/>
  <c r="X1182" s="1"/>
  <c r="X1183" s="1"/>
  <c r="X1184" s="1"/>
  <c r="X1185" s="1"/>
  <c r="X1186" s="1"/>
  <c r="X1187" s="1"/>
  <c r="X1188" s="1"/>
  <c r="X1189" s="1"/>
  <c r="X1190" s="1"/>
  <c r="X1191" s="1"/>
  <c r="X1192" s="1"/>
  <c r="X1193" s="1"/>
  <c r="X1194" s="1"/>
  <c r="X1195" s="1"/>
  <c r="X1196" s="1"/>
  <c r="X1197" s="1"/>
  <c r="X1198" s="1"/>
  <c r="X1199" s="1"/>
  <c r="X1200" s="1"/>
  <c r="X1201" s="1"/>
  <c r="X1202" s="1"/>
  <c r="X1203" s="1"/>
  <c r="X1204" s="1"/>
  <c r="X1205" s="1"/>
  <c r="X1206" s="1"/>
  <c r="X1207" s="1"/>
  <c r="X1208" s="1"/>
  <c r="X1209" s="1"/>
  <c r="X1210" s="1"/>
  <c r="X1211" s="1"/>
  <c r="X1212" s="1"/>
  <c r="X1213" s="1"/>
  <c r="X1214" s="1"/>
  <c r="X1215" s="1"/>
  <c r="X1216" s="1"/>
  <c r="X1217" s="1"/>
  <c r="X1218" s="1"/>
  <c r="X1219" s="1"/>
  <c r="X1220" s="1"/>
  <c r="X1221" s="1"/>
  <c r="X1222" s="1"/>
  <c r="X1223" s="1"/>
  <c r="X1224" s="1"/>
  <c r="X1225" s="1"/>
  <c r="X1226" s="1"/>
  <c r="X1227" s="1"/>
  <c r="X1228" s="1"/>
  <c r="X1229" s="1"/>
  <c r="X1230" s="1"/>
  <c r="X1231" s="1"/>
  <c r="X1232" s="1"/>
  <c r="X1233" s="1"/>
  <c r="X1234" s="1"/>
  <c r="X1235" s="1"/>
  <c r="X1236" s="1"/>
  <c r="X1237" s="1"/>
  <c r="X1238" s="1"/>
  <c r="X1239" s="1"/>
  <c r="X1240" s="1"/>
  <c r="X1241" s="1"/>
  <c r="X1242" s="1"/>
  <c r="X1243" s="1"/>
  <c r="X1244" s="1"/>
  <c r="X1245" s="1"/>
  <c r="X1246" s="1"/>
  <c r="X1247" s="1"/>
  <c r="X1248" s="1"/>
  <c r="X1249" s="1"/>
  <c r="X1250" s="1"/>
  <c r="X1251" s="1"/>
  <c r="X1252" s="1"/>
  <c r="X1253" s="1"/>
  <c r="X1254" s="1"/>
  <c r="X1255" s="1"/>
  <c r="X1256" s="1"/>
  <c r="X1257" s="1"/>
  <c r="X1258" s="1"/>
  <c r="X1259" s="1"/>
  <c r="X1260" s="1"/>
  <c r="X1261" s="1"/>
  <c r="X1262" s="1"/>
  <c r="X1263" s="1"/>
  <c r="X1264" s="1"/>
  <c r="X1265" s="1"/>
  <c r="X1266" s="1"/>
  <c r="X1267" s="1"/>
  <c r="X1268" s="1"/>
  <c r="X1269" s="1"/>
  <c r="X1270" s="1"/>
  <c r="X1271" s="1"/>
  <c r="X1272" s="1"/>
  <c r="X1273" s="1"/>
  <c r="X1274" s="1"/>
  <c r="X1275" s="1"/>
  <c r="X1276" s="1"/>
  <c r="X1277" s="1"/>
  <c r="X1278" s="1"/>
  <c r="X1279" s="1"/>
  <c r="X1280" s="1"/>
  <c r="X1281" s="1"/>
  <c r="X1282" s="1"/>
  <c r="X1283" s="1"/>
  <c r="X1284" s="1"/>
  <c r="X1285" s="1"/>
  <c r="X1286" s="1"/>
  <c r="X1287" s="1"/>
  <c r="X1288" s="1"/>
  <c r="X1289" s="1"/>
  <c r="X1290" s="1"/>
  <c r="X1291" s="1"/>
  <c r="X1292" s="1"/>
  <c r="X1293" s="1"/>
  <c r="X1294" s="1"/>
  <c r="X1295" s="1"/>
  <c r="X1296" s="1"/>
  <c r="X1297" s="1"/>
  <c r="X1298" s="1"/>
  <c r="X1299" s="1"/>
  <c r="X1300" s="1"/>
  <c r="X1301" s="1"/>
  <c r="X1302" s="1"/>
  <c r="X1303" s="1"/>
  <c r="X1304" s="1"/>
  <c r="X1305" s="1"/>
  <c r="X1306" s="1"/>
  <c r="X1307" s="1"/>
  <c r="X1308" s="1"/>
  <c r="X1309" s="1"/>
  <c r="X1310" s="1"/>
  <c r="X1311" s="1"/>
  <c r="X1312" s="1"/>
  <c r="X1313" s="1"/>
  <c r="X1314" s="1"/>
  <c r="X1315" s="1"/>
  <c r="X1316" s="1"/>
  <c r="X1317" s="1"/>
  <c r="X1318" s="1"/>
  <c r="X1319" s="1"/>
  <c r="X1320" s="1"/>
  <c r="X1321" s="1"/>
  <c r="X1322" s="1"/>
  <c r="X1323" s="1"/>
  <c r="X1324" s="1"/>
  <c r="X1325" s="1"/>
  <c r="X1326" s="1"/>
  <c r="X1327" s="1"/>
  <c r="X1328" s="1"/>
  <c r="X1329" s="1"/>
  <c r="X1330" s="1"/>
  <c r="X1331" s="1"/>
  <c r="X1332" s="1"/>
  <c r="X1333" s="1"/>
  <c r="X1334" s="1"/>
  <c r="X1335" s="1"/>
  <c r="X1336" s="1"/>
  <c r="X1337" s="1"/>
  <c r="X1338" s="1"/>
  <c r="X1339" s="1"/>
  <c r="X1340" s="1"/>
  <c r="X1341" s="1"/>
  <c r="X1342" s="1"/>
  <c r="X1343" s="1"/>
  <c r="X1344" s="1"/>
  <c r="X1345" s="1"/>
  <c r="X1346" s="1"/>
  <c r="X1347" s="1"/>
  <c r="X1348" s="1"/>
  <c r="X1349" s="1"/>
  <c r="X1350" s="1"/>
  <c r="X1351" s="1"/>
  <c r="X1352" s="1"/>
  <c r="X1353" s="1"/>
  <c r="X1354" s="1"/>
  <c r="X1355" s="1"/>
  <c r="X1356" s="1"/>
  <c r="X1357" s="1"/>
  <c r="X1358" s="1"/>
  <c r="X1359" s="1"/>
  <c r="X1360" s="1"/>
  <c r="X1361" s="1"/>
  <c r="X1362" s="1"/>
  <c r="X1363" s="1"/>
  <c r="X1364" s="1"/>
  <c r="X1365" s="1"/>
  <c r="X1366" s="1"/>
  <c r="X1367" s="1"/>
  <c r="X1368" s="1"/>
  <c r="X1369" s="1"/>
  <c r="X1370" s="1"/>
  <c r="X1371" s="1"/>
  <c r="X1372" s="1"/>
  <c r="X1373" s="1"/>
  <c r="X1374" s="1"/>
  <c r="X1375" s="1"/>
  <c r="X1376" s="1"/>
  <c r="X1377" s="1"/>
  <c r="X1378" s="1"/>
  <c r="X1379" s="1"/>
  <c r="X1380" s="1"/>
  <c r="X1381" s="1"/>
  <c r="X1382" s="1"/>
  <c r="X1383" s="1"/>
  <c r="X1384" s="1"/>
  <c r="X1385" s="1"/>
  <c r="X1386" s="1"/>
  <c r="X1387" s="1"/>
  <c r="X1388" s="1"/>
  <c r="X1389" s="1"/>
  <c r="X1390" s="1"/>
  <c r="X1391" s="1"/>
  <c r="X1392" s="1"/>
  <c r="X1393" s="1"/>
  <c r="X1394" s="1"/>
  <c r="X1395" s="1"/>
  <c r="X1396" s="1"/>
  <c r="X1397" s="1"/>
  <c r="X1398" s="1"/>
  <c r="X1399" s="1"/>
  <c r="X1400" s="1"/>
  <c r="X1401" s="1"/>
  <c r="X1402" s="1"/>
  <c r="X1403" s="1"/>
  <c r="X1404" s="1"/>
  <c r="X1405" s="1"/>
  <c r="X1406" s="1"/>
  <c r="X1407" s="1"/>
  <c r="X1408" s="1"/>
  <c r="X1409" s="1"/>
  <c r="X1410" s="1"/>
  <c r="X1411" s="1"/>
  <c r="X1412" s="1"/>
  <c r="X1413" s="1"/>
  <c r="X1414" s="1"/>
  <c r="X1415" s="1"/>
  <c r="X1416" s="1"/>
  <c r="X1417" s="1"/>
  <c r="X1418" s="1"/>
  <c r="X1419" s="1"/>
  <c r="X1420" s="1"/>
  <c r="X1421" s="1"/>
  <c r="X1422" s="1"/>
  <c r="X1423" s="1"/>
  <c r="X1424" s="1"/>
  <c r="X1425" s="1"/>
  <c r="X1426" s="1"/>
  <c r="X1427" s="1"/>
  <c r="X1428" s="1"/>
  <c r="X1429" s="1"/>
  <c r="X1430" s="1"/>
  <c r="X1431" s="1"/>
  <c r="X1432" s="1"/>
  <c r="X1433" s="1"/>
  <c r="X1434" s="1"/>
  <c r="X1435" s="1"/>
  <c r="X1436" s="1"/>
  <c r="X1437" s="1"/>
  <c r="X1438" s="1"/>
  <c r="X1439" s="1"/>
  <c r="X1440" s="1"/>
  <c r="X1441" s="1"/>
  <c r="X1442" s="1"/>
  <c r="X1443" s="1"/>
  <c r="X1444" s="1"/>
  <c r="X1445" s="1"/>
  <c r="X1446" s="1"/>
  <c r="X1447" s="1"/>
  <c r="X1448" s="1"/>
  <c r="X1449" s="1"/>
  <c r="X1450" s="1"/>
  <c r="X1451" s="1"/>
  <c r="X1452" s="1"/>
  <c r="X1453" s="1"/>
  <c r="X1454" s="1"/>
  <c r="X1455" s="1"/>
  <c r="X1456" s="1"/>
  <c r="X1457" s="1"/>
  <c r="X1458" s="1"/>
  <c r="X1459" s="1"/>
  <c r="X1460" s="1"/>
  <c r="X1461" s="1"/>
  <c r="X1462" s="1"/>
  <c r="X1463" s="1"/>
  <c r="X1464" s="1"/>
  <c r="X1465" s="1"/>
  <c r="X1466" s="1"/>
  <c r="X1467" s="1"/>
  <c r="X1468" s="1"/>
  <c r="X1469" s="1"/>
  <c r="X1470" s="1"/>
  <c r="X1471" s="1"/>
  <c r="X1472" s="1"/>
  <c r="X1473" s="1"/>
  <c r="X1474" s="1"/>
  <c r="X1475" s="1"/>
  <c r="X1476" s="1"/>
  <c r="X1477" s="1"/>
  <c r="X1478" s="1"/>
  <c r="X1479" s="1"/>
  <c r="X1480" s="1"/>
  <c r="X1481" s="1"/>
  <c r="X1482" s="1"/>
  <c r="X1483" s="1"/>
  <c r="X1484" s="1"/>
  <c r="X1485" s="1"/>
  <c r="X1486" s="1"/>
  <c r="X1487" s="1"/>
  <c r="X1488" s="1"/>
  <c r="X1489" s="1"/>
  <c r="X1490" s="1"/>
  <c r="X1491" s="1"/>
  <c r="X1492" s="1"/>
  <c r="X1493" s="1"/>
  <c r="X1494" s="1"/>
  <c r="X1495" s="1"/>
  <c r="X1496" s="1"/>
  <c r="X1497" s="1"/>
  <c r="X1498" s="1"/>
  <c r="X1499" s="1"/>
  <c r="X1500" s="1"/>
  <c r="X1501" s="1"/>
  <c r="X1502" s="1"/>
  <c r="X1503" s="1"/>
  <c r="X1504" s="1"/>
  <c r="X1505" s="1"/>
  <c r="X1506" s="1"/>
  <c r="X1507" s="1"/>
  <c r="X1508" s="1"/>
  <c r="X1509" s="1"/>
  <c r="X1510" s="1"/>
  <c r="X1511" s="1"/>
  <c r="X1512" s="1"/>
  <c r="X1513" s="1"/>
  <c r="X1514" s="1"/>
  <c r="X1515" s="1"/>
  <c r="X1516" s="1"/>
  <c r="X1517" s="1"/>
  <c r="X1518" s="1"/>
  <c r="X1519" s="1"/>
  <c r="X1520" s="1"/>
  <c r="X1521" s="1"/>
  <c r="X1522" s="1"/>
  <c r="X1523" s="1"/>
  <c r="X1524" s="1"/>
  <c r="X1525" s="1"/>
  <c r="X1526" s="1"/>
  <c r="X1527" s="1"/>
  <c r="X1528" s="1"/>
  <c r="X1529" s="1"/>
  <c r="X1530" s="1"/>
  <c r="X1531" s="1"/>
  <c r="X1532" s="1"/>
  <c r="X1533" s="1"/>
  <c r="X1534" s="1"/>
  <c r="X1535" s="1"/>
  <c r="X1536" s="1"/>
  <c r="X1537" s="1"/>
  <c r="X1538" s="1"/>
  <c r="X1539" s="1"/>
  <c r="X1540" s="1"/>
  <c r="X1541" s="1"/>
  <c r="X1542" s="1"/>
  <c r="X1543" s="1"/>
  <c r="X1544" s="1"/>
  <c r="X1545" s="1"/>
  <c r="X1546" s="1"/>
  <c r="X1547" s="1"/>
  <c r="X1548" s="1"/>
  <c r="X1549" s="1"/>
  <c r="X1550" s="1"/>
  <c r="X1551" s="1"/>
  <c r="X1552" s="1"/>
  <c r="X1553" s="1"/>
  <c r="X1554" s="1"/>
  <c r="X1555" s="1"/>
  <c r="X1556" s="1"/>
  <c r="X1557" s="1"/>
  <c r="X1558" s="1"/>
  <c r="X1559" s="1"/>
  <c r="X1560" s="1"/>
  <c r="X1561" s="1"/>
  <c r="X1562" s="1"/>
  <c r="X1563" s="1"/>
  <c r="X1564" s="1"/>
  <c r="X1565" s="1"/>
  <c r="X1566" s="1"/>
  <c r="X1567" s="1"/>
  <c r="X1568" s="1"/>
  <c r="X1569" s="1"/>
  <c r="X1570" s="1"/>
  <c r="X1571" s="1"/>
  <c r="X1572" s="1"/>
  <c r="X1573" s="1"/>
  <c r="X1574" s="1"/>
  <c r="X1575" s="1"/>
  <c r="X1576" s="1"/>
  <c r="X1577" s="1"/>
  <c r="X1578" s="1"/>
  <c r="X1579" s="1"/>
  <c r="X1580" s="1"/>
  <c r="X1581" s="1"/>
  <c r="X1582" s="1"/>
  <c r="X1583" s="1"/>
  <c r="X1584" s="1"/>
  <c r="X1585" s="1"/>
  <c r="X1586" s="1"/>
  <c r="X1587" s="1"/>
  <c r="X1588" s="1"/>
  <c r="X1589" s="1"/>
  <c r="X1590" s="1"/>
  <c r="X1591" s="1"/>
  <c r="X1592" s="1"/>
  <c r="X1593" s="1"/>
  <c r="X1594" s="1"/>
  <c r="X1595" s="1"/>
  <c r="X1596" s="1"/>
  <c r="X1597" s="1"/>
  <c r="X1598" s="1"/>
  <c r="X1599" s="1"/>
  <c r="X1600" s="1"/>
  <c r="X1601" s="1"/>
  <c r="X1602" s="1"/>
  <c r="X1603" s="1"/>
  <c r="X1604" s="1"/>
  <c r="X1605" s="1"/>
  <c r="X1606" s="1"/>
  <c r="X1607" s="1"/>
  <c r="X1608" s="1"/>
  <c r="X1609" s="1"/>
  <c r="X1610" s="1"/>
  <c r="X1611" s="1"/>
  <c r="X1612" s="1"/>
  <c r="X1613" s="1"/>
  <c r="X1614" s="1"/>
  <c r="X1615" s="1"/>
  <c r="X1616" s="1"/>
  <c r="X1617" s="1"/>
  <c r="X1618" s="1"/>
  <c r="X1619" s="1"/>
  <c r="X1620" s="1"/>
  <c r="X1621" s="1"/>
  <c r="X1622" s="1"/>
  <c r="X1623" s="1"/>
  <c r="X1624" s="1"/>
  <c r="X1625" s="1"/>
  <c r="X1626" s="1"/>
  <c r="X1627" s="1"/>
  <c r="X1628" s="1"/>
  <c r="X1629" s="1"/>
  <c r="X1630" s="1"/>
  <c r="X1631" s="1"/>
  <c r="X1632" s="1"/>
  <c r="X1633" s="1"/>
  <c r="X1634" s="1"/>
  <c r="X1635" s="1"/>
  <c r="X1636" s="1"/>
  <c r="X1637" s="1"/>
  <c r="X1638" s="1"/>
  <c r="X1639" s="1"/>
  <c r="X1640" s="1"/>
  <c r="X1641" s="1"/>
  <c r="X1642" s="1"/>
  <c r="X1643" s="1"/>
  <c r="X1644" s="1"/>
  <c r="X1645" s="1"/>
  <c r="X1646" s="1"/>
  <c r="X1647" s="1"/>
  <c r="X1648" s="1"/>
  <c r="X1649" s="1"/>
  <c r="X1650" s="1"/>
  <c r="X1651" s="1"/>
  <c r="X1652" s="1"/>
  <c r="X1653" s="1"/>
  <c r="X1654" s="1"/>
  <c r="X1655" s="1"/>
  <c r="X1656" s="1"/>
  <c r="X1657" s="1"/>
  <c r="X1658" s="1"/>
  <c r="X1659" s="1"/>
  <c r="X1660" s="1"/>
  <c r="X1661" s="1"/>
  <c r="X1662" s="1"/>
  <c r="X1663" s="1"/>
  <c r="X1664" s="1"/>
  <c r="X1665" s="1"/>
  <c r="X1666" s="1"/>
  <c r="X1667" s="1"/>
  <c r="X1668" s="1"/>
  <c r="X1669" s="1"/>
  <c r="X1670" s="1"/>
  <c r="X1671" s="1"/>
  <c r="X1672" s="1"/>
  <c r="X1673" s="1"/>
  <c r="X1674" s="1"/>
  <c r="X1675" s="1"/>
  <c r="X1676" s="1"/>
  <c r="X1677" s="1"/>
  <c r="X1678" s="1"/>
  <c r="X1679" s="1"/>
  <c r="X1680" s="1"/>
  <c r="X1681" s="1"/>
  <c r="X1682" s="1"/>
  <c r="X1683" s="1"/>
  <c r="X1684" s="1"/>
  <c r="X1685" s="1"/>
  <c r="X1686" s="1"/>
  <c r="X1687" s="1"/>
  <c r="X1688" s="1"/>
  <c r="X1689" s="1"/>
  <c r="X1690" s="1"/>
  <c r="X1691" s="1"/>
  <c r="X1692" s="1"/>
  <c r="X1693" s="1"/>
  <c r="X1694" s="1"/>
  <c r="X1695" s="1"/>
  <c r="X1696" s="1"/>
  <c r="X1697" s="1"/>
  <c r="X1698" s="1"/>
  <c r="X1699" s="1"/>
  <c r="X1700" s="1"/>
  <c r="X1701" s="1"/>
  <c r="X1702" s="1"/>
  <c r="X1703" s="1"/>
  <c r="X1704" s="1"/>
  <c r="X1705" s="1"/>
  <c r="X1706" s="1"/>
  <c r="X1707" s="1"/>
  <c r="X1708" s="1"/>
  <c r="X1709" s="1"/>
  <c r="X1710" s="1"/>
  <c r="X1711" s="1"/>
  <c r="X1712" s="1"/>
  <c r="X1713" s="1"/>
  <c r="X1714" s="1"/>
  <c r="X1715" s="1"/>
  <c r="X1716" s="1"/>
  <c r="X1717" s="1"/>
  <c r="X1718" s="1"/>
  <c r="X1719" s="1"/>
  <c r="X1720" s="1"/>
  <c r="X1721" s="1"/>
  <c r="X1722" s="1"/>
  <c r="X1723" s="1"/>
  <c r="X1724" s="1"/>
  <c r="X1725" s="1"/>
  <c r="X1726" s="1"/>
  <c r="X1727" s="1"/>
  <c r="X1728" s="1"/>
  <c r="X1729" s="1"/>
  <c r="X1730" s="1"/>
  <c r="X1731" s="1"/>
  <c r="X1732" s="1"/>
  <c r="X1733" s="1"/>
  <c r="X1734" s="1"/>
  <c r="X1735" s="1"/>
  <c r="X1736" s="1"/>
  <c r="X1737" s="1"/>
  <c r="X1738" s="1"/>
  <c r="AR21" l="1"/>
  <c r="AS21" s="1"/>
  <c r="AR20" l="1"/>
  <c r="AS20" s="1"/>
  <c r="AR22" l="1"/>
  <c r="AS22" s="1"/>
  <c r="AR11" l="1"/>
  <c r="AS11" s="1"/>
  <c r="AR18"/>
  <c r="AS18" s="1"/>
  <c r="AR19"/>
  <c r="AS19" s="1"/>
  <c r="AR8"/>
  <c r="AS8" s="1"/>
  <c r="AR5"/>
  <c r="AS5" s="1"/>
  <c r="AR12"/>
  <c r="AS12" s="1"/>
  <c r="AR3"/>
  <c r="AR10"/>
  <c r="AS10" s="1"/>
  <c r="AR17"/>
  <c r="AS17" s="1"/>
  <c r="AR4"/>
  <c r="AS4" s="1"/>
  <c r="AR13"/>
  <c r="AS13" s="1"/>
  <c r="AR14"/>
  <c r="AS14" s="1"/>
  <c r="AR15"/>
  <c r="AS15" s="1"/>
  <c r="AR9"/>
  <c r="AS9" s="1"/>
  <c r="AR7"/>
  <c r="AS7" s="1"/>
  <c r="AR16"/>
  <c r="AS16" s="1"/>
  <c r="AR6"/>
  <c r="AS6" s="1"/>
  <c r="AR25" l="1"/>
  <c r="AS25" s="1"/>
  <c r="AS3"/>
  <c r="AF9" l="1"/>
  <c r="U2" i="5" l="1"/>
  <c r="V2" s="1"/>
  <c r="T3" l="1"/>
  <c r="U3" s="1"/>
  <c r="V3" s="1"/>
  <c r="T4" l="1"/>
  <c r="U4" s="1"/>
  <c r="V4" s="1"/>
  <c r="T5" l="1"/>
  <c r="U5" s="1"/>
  <c r="V5" s="1"/>
  <c r="T6" l="1"/>
  <c r="U6" s="1"/>
  <c r="V6" s="1"/>
  <c r="T7" l="1"/>
  <c r="U7" s="1"/>
  <c r="V7" s="1"/>
  <c r="T8" l="1"/>
  <c r="U8" s="1"/>
  <c r="V8" s="1"/>
  <c r="T9" l="1"/>
  <c r="U9" s="1"/>
  <c r="V9" s="1"/>
  <c r="T10" l="1"/>
  <c r="U10" s="1"/>
  <c r="V10" s="1"/>
  <c r="T11" l="1"/>
  <c r="U11" s="1"/>
  <c r="V11" s="1"/>
  <c r="T12" l="1"/>
  <c r="U12" s="1"/>
  <c r="V12" s="1"/>
  <c r="T13" l="1"/>
  <c r="U13" s="1"/>
  <c r="V13" s="1"/>
  <c r="T14" l="1"/>
  <c r="U14" s="1"/>
  <c r="V14" s="1"/>
  <c r="T15" l="1"/>
  <c r="U15" s="1"/>
  <c r="V15" s="1"/>
  <c r="T16" l="1"/>
  <c r="U16" s="1"/>
  <c r="V16" s="1"/>
  <c r="T17" l="1"/>
  <c r="U17" s="1"/>
  <c r="V17" s="1"/>
  <c r="T18" l="1"/>
  <c r="U18" s="1"/>
  <c r="V18" s="1"/>
  <c r="T19" l="1"/>
  <c r="U19" s="1"/>
  <c r="V19" s="1"/>
  <c r="T20" l="1"/>
  <c r="U20" s="1"/>
  <c r="V20" s="1"/>
  <c r="T21" l="1"/>
  <c r="U21" s="1"/>
  <c r="V21" s="1"/>
  <c r="T22" l="1"/>
  <c r="U22" s="1"/>
  <c r="V22" s="1"/>
  <c r="T23" l="1"/>
  <c r="U23" s="1"/>
  <c r="V23" s="1"/>
  <c r="T24" l="1"/>
  <c r="U24" s="1"/>
  <c r="V24" s="1"/>
  <c r="T25" l="1"/>
  <c r="U25" s="1"/>
  <c r="V25" s="1"/>
  <c r="T26" l="1"/>
  <c r="U26" s="1"/>
  <c r="V26" s="1"/>
  <c r="T27" l="1"/>
  <c r="U27" s="1"/>
  <c r="V27" s="1"/>
  <c r="T28" l="1"/>
  <c r="U28" s="1"/>
  <c r="V28" s="1"/>
  <c r="T29" l="1"/>
  <c r="U29" s="1"/>
  <c r="V29" s="1"/>
  <c r="T30" l="1"/>
  <c r="U30" s="1"/>
  <c r="V30" s="1"/>
  <c r="T31" l="1"/>
  <c r="U31" s="1"/>
  <c r="V31" s="1"/>
  <c r="T32" l="1"/>
  <c r="U32" s="1"/>
  <c r="V32" s="1"/>
  <c r="T33" l="1"/>
  <c r="U33" s="1"/>
  <c r="V33" s="1"/>
  <c r="T34" l="1"/>
  <c r="U34" s="1"/>
  <c r="V34" s="1"/>
  <c r="T35" l="1"/>
  <c r="U35" s="1"/>
  <c r="V35" s="1"/>
  <c r="T36" l="1"/>
  <c r="U36" s="1"/>
  <c r="V36" s="1"/>
  <c r="T37" l="1"/>
  <c r="U37" s="1"/>
  <c r="V37" s="1"/>
  <c r="T38" l="1"/>
  <c r="U38" s="1"/>
  <c r="V38" s="1"/>
  <c r="T39" l="1"/>
  <c r="U39" s="1"/>
  <c r="V39" s="1"/>
  <c r="T40" l="1"/>
  <c r="U40" s="1"/>
  <c r="V40" s="1"/>
  <c r="T41" l="1"/>
  <c r="U41" s="1"/>
  <c r="V41" s="1"/>
  <c r="T42" l="1"/>
  <c r="U42" s="1"/>
  <c r="V42" s="1"/>
  <c r="T43" l="1"/>
  <c r="U43" s="1"/>
  <c r="V43" s="1"/>
  <c r="T44" l="1"/>
  <c r="U44" s="1"/>
  <c r="V44" s="1"/>
  <c r="T45" l="1"/>
  <c r="U45" s="1"/>
  <c r="V45" s="1"/>
  <c r="T46" l="1"/>
  <c r="U46" s="1"/>
  <c r="V46" s="1"/>
  <c r="T47" l="1"/>
  <c r="U47" s="1"/>
  <c r="V47" s="1"/>
  <c r="T48" l="1"/>
  <c r="U48" s="1"/>
  <c r="V48" s="1"/>
  <c r="T49" l="1"/>
  <c r="U49" s="1"/>
  <c r="V49" s="1"/>
  <c r="T50" l="1"/>
  <c r="U50" s="1"/>
  <c r="V50" s="1"/>
  <c r="T51" l="1"/>
  <c r="U51" s="1"/>
  <c r="V51" s="1"/>
  <c r="T52" l="1"/>
  <c r="U52" s="1"/>
  <c r="V52" s="1"/>
  <c r="T53" l="1"/>
  <c r="U53" s="1"/>
  <c r="V53" s="1"/>
  <c r="T54" l="1"/>
  <c r="U54" s="1"/>
  <c r="V54" s="1"/>
  <c r="T55" l="1"/>
  <c r="U55" s="1"/>
  <c r="V55" s="1"/>
  <c r="T56" l="1"/>
  <c r="U56" s="1"/>
  <c r="V56" s="1"/>
  <c r="T57" l="1"/>
  <c r="U57" s="1"/>
  <c r="V57" s="1"/>
  <c r="T58" l="1"/>
  <c r="U58" s="1"/>
  <c r="V58" s="1"/>
  <c r="T59" l="1"/>
  <c r="U59" s="1"/>
  <c r="V59" s="1"/>
  <c r="T60" l="1"/>
  <c r="U60" s="1"/>
  <c r="V60" s="1"/>
  <c r="T61" l="1"/>
  <c r="U61" s="1"/>
  <c r="V61" s="1"/>
  <c r="T62" l="1"/>
  <c r="U62" s="1"/>
  <c r="V62" s="1"/>
  <c r="T63" l="1"/>
  <c r="U63" s="1"/>
  <c r="V63" s="1"/>
  <c r="T64" l="1"/>
  <c r="U64" s="1"/>
  <c r="V64" s="1"/>
  <c r="T65" l="1"/>
  <c r="U65" s="1"/>
  <c r="V65" s="1"/>
  <c r="T66" l="1"/>
  <c r="U66" s="1"/>
  <c r="V66" s="1"/>
  <c r="T67" l="1"/>
  <c r="U67" s="1"/>
  <c r="V67" s="1"/>
  <c r="T68" l="1"/>
  <c r="U68" s="1"/>
  <c r="V68" s="1"/>
  <c r="T69" l="1"/>
  <c r="U69" s="1"/>
  <c r="V69" s="1"/>
  <c r="T70" l="1"/>
  <c r="U70" s="1"/>
  <c r="V70" s="1"/>
  <c r="T71" l="1"/>
  <c r="U71" s="1"/>
  <c r="V71" s="1"/>
  <c r="T72" l="1"/>
  <c r="U72" s="1"/>
  <c r="V72" s="1"/>
  <c r="T73" l="1"/>
  <c r="U73" s="1"/>
  <c r="V73" s="1"/>
  <c r="T74" l="1"/>
  <c r="U74" s="1"/>
  <c r="V74" s="1"/>
  <c r="T75" l="1"/>
  <c r="U75" s="1"/>
  <c r="V75" s="1"/>
  <c r="T76" l="1"/>
  <c r="U76" s="1"/>
  <c r="V76" s="1"/>
  <c r="T77" l="1"/>
  <c r="U77" s="1"/>
  <c r="V77" s="1"/>
  <c r="T78" l="1"/>
  <c r="U78" s="1"/>
  <c r="V78" s="1"/>
  <c r="T79" l="1"/>
  <c r="U79" s="1"/>
  <c r="V79" s="1"/>
  <c r="T80" l="1"/>
  <c r="U80" s="1"/>
  <c r="V80" s="1"/>
  <c r="T81" l="1"/>
  <c r="U81" s="1"/>
  <c r="V81" s="1"/>
  <c r="T82" l="1"/>
  <c r="U82" s="1"/>
  <c r="V82" s="1"/>
  <c r="T83" l="1"/>
  <c r="U83" s="1"/>
  <c r="V83" s="1"/>
  <c r="T84" l="1"/>
  <c r="U84" s="1"/>
  <c r="V84" s="1"/>
  <c r="T85" l="1"/>
  <c r="U85" s="1"/>
  <c r="V85" s="1"/>
  <c r="T86" l="1"/>
  <c r="U86" s="1"/>
  <c r="V86" s="1"/>
  <c r="T87" l="1"/>
  <c r="U87" s="1"/>
  <c r="V87" s="1"/>
  <c r="T88" l="1"/>
  <c r="U88" s="1"/>
  <c r="V88" s="1"/>
  <c r="T89" l="1"/>
  <c r="U89" s="1"/>
  <c r="V89" s="1"/>
  <c r="T90" l="1"/>
  <c r="U90" s="1"/>
  <c r="V90" s="1"/>
  <c r="T91" l="1"/>
  <c r="U91" s="1"/>
  <c r="V91" s="1"/>
  <c r="T92" l="1"/>
  <c r="U92" s="1"/>
  <c r="V92" s="1"/>
  <c r="T93" l="1"/>
  <c r="U93" s="1"/>
  <c r="V93" s="1"/>
  <c r="T94" l="1"/>
  <c r="U94" s="1"/>
  <c r="V94" s="1"/>
  <c r="T95" l="1"/>
  <c r="U95" s="1"/>
  <c r="V95" s="1"/>
  <c r="T96" l="1"/>
  <c r="U96" s="1"/>
  <c r="V96" s="1"/>
  <c r="T97" l="1"/>
  <c r="U97" s="1"/>
  <c r="V97" s="1"/>
  <c r="T98" l="1"/>
  <c r="U98" s="1"/>
  <c r="V98" s="1"/>
  <c r="T99" l="1"/>
  <c r="U99" s="1"/>
  <c r="V99" s="1"/>
  <c r="T100" l="1"/>
  <c r="U100" s="1"/>
  <c r="V100" s="1"/>
  <c r="T101" l="1"/>
  <c r="U101" s="1"/>
  <c r="V101" s="1"/>
  <c r="T102" l="1"/>
  <c r="U102" s="1"/>
  <c r="V102" s="1"/>
  <c r="T103" l="1"/>
  <c r="U103" s="1"/>
  <c r="V103" s="1"/>
  <c r="T104" l="1"/>
  <c r="U104" s="1"/>
  <c r="V104" s="1"/>
  <c r="T105" l="1"/>
  <c r="U105" s="1"/>
  <c r="V105" s="1"/>
  <c r="T106" l="1"/>
  <c r="U106" s="1"/>
  <c r="V106" s="1"/>
  <c r="T107" l="1"/>
  <c r="U107" s="1"/>
  <c r="V107" s="1"/>
  <c r="T108" l="1"/>
  <c r="U108" s="1"/>
  <c r="V108" s="1"/>
  <c r="T109" l="1"/>
  <c r="U109" s="1"/>
  <c r="V109" s="1"/>
  <c r="T110" l="1"/>
  <c r="U110" s="1"/>
  <c r="V110" s="1"/>
  <c r="T111" l="1"/>
  <c r="U111" s="1"/>
  <c r="V111" s="1"/>
  <c r="T112" l="1"/>
  <c r="U112" s="1"/>
  <c r="V112" s="1"/>
  <c r="T113" l="1"/>
  <c r="U113" s="1"/>
  <c r="V113" s="1"/>
  <c r="T114" l="1"/>
  <c r="U114" s="1"/>
  <c r="V114" s="1"/>
  <c r="T115" l="1"/>
  <c r="U115" s="1"/>
  <c r="V115" s="1"/>
  <c r="T116" l="1"/>
  <c r="U116" s="1"/>
  <c r="V116" s="1"/>
  <c r="T117" l="1"/>
  <c r="U117" s="1"/>
  <c r="V117" s="1"/>
  <c r="T118" l="1"/>
  <c r="U118" s="1"/>
  <c r="V118" s="1"/>
  <c r="T119" l="1"/>
  <c r="U119" s="1"/>
  <c r="V119" s="1"/>
  <c r="T120" l="1"/>
  <c r="U120" s="1"/>
  <c r="V120" s="1"/>
  <c r="T121" l="1"/>
  <c r="U121" s="1"/>
  <c r="V121" s="1"/>
  <c r="T122" l="1"/>
  <c r="U122" s="1"/>
  <c r="V122" s="1"/>
  <c r="T123" l="1"/>
  <c r="U123" s="1"/>
  <c r="V123" s="1"/>
  <c r="T124" l="1"/>
  <c r="U124" s="1"/>
  <c r="V124" s="1"/>
  <c r="T125" l="1"/>
  <c r="U125" s="1"/>
  <c r="V125" s="1"/>
  <c r="T126" l="1"/>
  <c r="U126" s="1"/>
  <c r="V126" s="1"/>
  <c r="T127" l="1"/>
  <c r="U127" s="1"/>
  <c r="V127" s="1"/>
  <c r="T128" l="1"/>
  <c r="U128" s="1"/>
  <c r="V128" s="1"/>
  <c r="T129" l="1"/>
  <c r="U129" s="1"/>
  <c r="V129" s="1"/>
  <c r="T130" l="1"/>
  <c r="U130" s="1"/>
  <c r="V130" s="1"/>
  <c r="T131" l="1"/>
  <c r="U131" s="1"/>
  <c r="V131" s="1"/>
  <c r="T132" l="1"/>
  <c r="U132" s="1"/>
  <c r="V132" s="1"/>
  <c r="T133" l="1"/>
  <c r="U133" s="1"/>
  <c r="V133" s="1"/>
  <c r="T134" l="1"/>
  <c r="U134" s="1"/>
  <c r="V134" s="1"/>
  <c r="T135" l="1"/>
  <c r="U135" s="1"/>
  <c r="V135" s="1"/>
  <c r="T136" l="1"/>
  <c r="U136" s="1"/>
  <c r="V136" s="1"/>
  <c r="T137" l="1"/>
  <c r="U137" s="1"/>
  <c r="V137" s="1"/>
  <c r="T138" l="1"/>
  <c r="U138" s="1"/>
  <c r="V138" s="1"/>
  <c r="T139" l="1"/>
  <c r="U139" s="1"/>
  <c r="V139" s="1"/>
  <c r="T140" l="1"/>
  <c r="U140" s="1"/>
  <c r="V140" s="1"/>
  <c r="T141" l="1"/>
  <c r="U141" s="1"/>
  <c r="V141" s="1"/>
  <c r="T142" l="1"/>
  <c r="U142" s="1"/>
  <c r="V142" s="1"/>
  <c r="T143" l="1"/>
  <c r="U143" s="1"/>
  <c r="V143" s="1"/>
  <c r="T144" l="1"/>
  <c r="U144" s="1"/>
  <c r="V144" s="1"/>
  <c r="T145" l="1"/>
  <c r="U145" s="1"/>
  <c r="V145" s="1"/>
  <c r="T146" l="1"/>
  <c r="U146" s="1"/>
  <c r="V146" s="1"/>
  <c r="T147" l="1"/>
  <c r="U147" s="1"/>
  <c r="V147" s="1"/>
  <c r="T148" l="1"/>
  <c r="U148" s="1"/>
  <c r="V148" s="1"/>
  <c r="T149" l="1"/>
  <c r="U149" s="1"/>
  <c r="V149" s="1"/>
  <c r="T150" l="1"/>
  <c r="U150" s="1"/>
  <c r="V150" s="1"/>
  <c r="T151" l="1"/>
  <c r="U151" s="1"/>
  <c r="V151" s="1"/>
  <c r="T152" l="1"/>
  <c r="U152" s="1"/>
  <c r="V152" s="1"/>
  <c r="T153" l="1"/>
  <c r="U153" s="1"/>
  <c r="V153" s="1"/>
  <c r="T154" l="1"/>
  <c r="U154" s="1"/>
  <c r="V154" s="1"/>
  <c r="T155" l="1"/>
  <c r="U155" s="1"/>
  <c r="V155" s="1"/>
  <c r="T156" l="1"/>
  <c r="U156" s="1"/>
  <c r="V156" s="1"/>
  <c r="T157" l="1"/>
  <c r="U157" s="1"/>
  <c r="V157" s="1"/>
  <c r="T158" l="1"/>
  <c r="U158" s="1"/>
  <c r="V158" s="1"/>
  <c r="T159" l="1"/>
  <c r="U159" s="1"/>
  <c r="V159" s="1"/>
  <c r="T160" l="1"/>
  <c r="U160" s="1"/>
  <c r="V160" s="1"/>
  <c r="T161" l="1"/>
  <c r="U161" s="1"/>
  <c r="V161" s="1"/>
  <c r="T162" l="1"/>
  <c r="U162" s="1"/>
  <c r="V162" s="1"/>
  <c r="T163" l="1"/>
  <c r="U163" s="1"/>
  <c r="V163" s="1"/>
  <c r="T164" l="1"/>
  <c r="U164" s="1"/>
  <c r="V164" s="1"/>
  <c r="T165" l="1"/>
  <c r="U165" s="1"/>
  <c r="V165" s="1"/>
  <c r="T166" l="1"/>
  <c r="U166" s="1"/>
  <c r="V166" s="1"/>
  <c r="T167" l="1"/>
  <c r="U167" s="1"/>
  <c r="V167" s="1"/>
  <c r="T168" l="1"/>
  <c r="U168" s="1"/>
  <c r="V168" s="1"/>
  <c r="T169" l="1"/>
  <c r="U169" s="1"/>
  <c r="V169" s="1"/>
  <c r="T170" l="1"/>
  <c r="U170" s="1"/>
  <c r="V170" s="1"/>
  <c r="T171" l="1"/>
  <c r="U171" s="1"/>
  <c r="V171" s="1"/>
  <c r="T172" l="1"/>
  <c r="U172" s="1"/>
  <c r="V172" s="1"/>
  <c r="T173" l="1"/>
  <c r="U173" s="1"/>
  <c r="V173" s="1"/>
  <c r="T174" l="1"/>
  <c r="U174" s="1"/>
  <c r="V174" s="1"/>
  <c r="T175" l="1"/>
  <c r="U175" s="1"/>
  <c r="V175" s="1"/>
  <c r="T176" l="1"/>
  <c r="U176" s="1"/>
  <c r="V176" s="1"/>
  <c r="T177" l="1"/>
  <c r="U177" s="1"/>
  <c r="V177" s="1"/>
  <c r="T178" l="1"/>
  <c r="U178" s="1"/>
  <c r="V178" s="1"/>
  <c r="T179" l="1"/>
  <c r="U179" s="1"/>
  <c r="V179" s="1"/>
  <c r="T180" l="1"/>
  <c r="U180" s="1"/>
  <c r="V180" s="1"/>
  <c r="T181" l="1"/>
  <c r="U181" s="1"/>
  <c r="V181" s="1"/>
  <c r="T182" l="1"/>
  <c r="U182" s="1"/>
  <c r="V182" s="1"/>
  <c r="T183" l="1"/>
  <c r="U183" s="1"/>
  <c r="V183" s="1"/>
  <c r="T184" l="1"/>
  <c r="U184" s="1"/>
  <c r="V184" s="1"/>
  <c r="T185" l="1"/>
  <c r="U185" s="1"/>
  <c r="V185" s="1"/>
  <c r="T186" l="1"/>
  <c r="U186" s="1"/>
  <c r="V186" s="1"/>
  <c r="T187" l="1"/>
  <c r="U187" s="1"/>
  <c r="V187" s="1"/>
  <c r="T188" l="1"/>
  <c r="U188" s="1"/>
  <c r="V188" s="1"/>
  <c r="T189" l="1"/>
  <c r="U189" s="1"/>
  <c r="V189" s="1"/>
  <c r="T190" l="1"/>
  <c r="U190" s="1"/>
  <c r="V190" s="1"/>
  <c r="T191" l="1"/>
  <c r="U191" s="1"/>
  <c r="V191" s="1"/>
  <c r="T192" l="1"/>
  <c r="U192" s="1"/>
  <c r="V192" s="1"/>
  <c r="T193" l="1"/>
  <c r="U193" s="1"/>
  <c r="V193" s="1"/>
  <c r="T194" l="1"/>
  <c r="U194" s="1"/>
  <c r="V194" s="1"/>
  <c r="T195" l="1"/>
  <c r="U195" s="1"/>
  <c r="V195" s="1"/>
  <c r="T196" l="1"/>
  <c r="U196" s="1"/>
  <c r="V196" s="1"/>
  <c r="T197" l="1"/>
  <c r="U197" s="1"/>
  <c r="V197" s="1"/>
  <c r="T198" l="1"/>
  <c r="U198" s="1"/>
  <c r="V198" s="1"/>
  <c r="T199" l="1"/>
  <c r="U199" s="1"/>
  <c r="V199" s="1"/>
  <c r="T200" l="1"/>
  <c r="U200" s="1"/>
  <c r="V200" s="1"/>
  <c r="T201" l="1"/>
  <c r="U201" s="1"/>
  <c r="V201" s="1"/>
  <c r="T202" l="1"/>
  <c r="U202" s="1"/>
  <c r="V202" s="1"/>
  <c r="T203" l="1"/>
  <c r="U203" s="1"/>
  <c r="V203" s="1"/>
  <c r="T204" l="1"/>
  <c r="U204" s="1"/>
  <c r="V204" s="1"/>
  <c r="T205" l="1"/>
  <c r="U205" s="1"/>
  <c r="V205" s="1"/>
  <c r="T206" l="1"/>
  <c r="U206" s="1"/>
  <c r="V206" s="1"/>
  <c r="T207" l="1"/>
  <c r="U207" s="1"/>
  <c r="V207" s="1"/>
  <c r="T208" l="1"/>
  <c r="U208" s="1"/>
  <c r="V208" s="1"/>
  <c r="T209" l="1"/>
  <c r="U209" s="1"/>
  <c r="V209" s="1"/>
  <c r="T210" l="1"/>
  <c r="U210" s="1"/>
  <c r="V210" s="1"/>
  <c r="T211" l="1"/>
  <c r="U211" s="1"/>
  <c r="V211" s="1"/>
  <c r="T212" l="1"/>
  <c r="U212" s="1"/>
  <c r="V212" s="1"/>
  <c r="T213" l="1"/>
  <c r="U213" s="1"/>
  <c r="V213" s="1"/>
  <c r="T214" l="1"/>
  <c r="U214" s="1"/>
  <c r="V214" s="1"/>
  <c r="T215" l="1"/>
  <c r="U215" s="1"/>
  <c r="V215" s="1"/>
  <c r="T216" l="1"/>
  <c r="U216" s="1"/>
  <c r="V216" s="1"/>
  <c r="T217" l="1"/>
  <c r="U217" s="1"/>
  <c r="V217" s="1"/>
  <c r="T218" l="1"/>
  <c r="U218" s="1"/>
  <c r="V218" s="1"/>
  <c r="T219" l="1"/>
  <c r="U219" s="1"/>
  <c r="V219" s="1"/>
  <c r="T220" l="1"/>
  <c r="U220" s="1"/>
  <c r="V220" s="1"/>
  <c r="T221" l="1"/>
  <c r="U221" s="1"/>
  <c r="V221" s="1"/>
  <c r="T222" l="1"/>
  <c r="U222" s="1"/>
  <c r="V222" s="1"/>
  <c r="T223" l="1"/>
  <c r="U223" s="1"/>
  <c r="V223" s="1"/>
  <c r="T224" l="1"/>
  <c r="U224" s="1"/>
  <c r="V224" s="1"/>
  <c r="T225" l="1"/>
  <c r="U225" s="1"/>
  <c r="V225" s="1"/>
  <c r="T226" l="1"/>
  <c r="U226" s="1"/>
  <c r="V226" s="1"/>
  <c r="T227" l="1"/>
  <c r="U227" s="1"/>
  <c r="V227" s="1"/>
  <c r="T228" l="1"/>
  <c r="U228" s="1"/>
  <c r="V228" s="1"/>
  <c r="T229" l="1"/>
  <c r="U229" s="1"/>
  <c r="V229" s="1"/>
  <c r="T230" l="1"/>
  <c r="U230" s="1"/>
  <c r="V230" s="1"/>
  <c r="T231" l="1"/>
  <c r="U231" s="1"/>
  <c r="V231" s="1"/>
  <c r="T232" l="1"/>
  <c r="U232" s="1"/>
  <c r="V232" s="1"/>
  <c r="T233" l="1"/>
  <c r="U233" s="1"/>
  <c r="V233" s="1"/>
  <c r="T234" l="1"/>
  <c r="U234" s="1"/>
  <c r="V234" s="1"/>
  <c r="T235" l="1"/>
  <c r="U235" s="1"/>
  <c r="V235" s="1"/>
  <c r="T236" l="1"/>
  <c r="U236" s="1"/>
  <c r="V236" s="1"/>
  <c r="T237" l="1"/>
  <c r="U237" s="1"/>
  <c r="V237" s="1"/>
  <c r="T238" l="1"/>
  <c r="U238" s="1"/>
  <c r="V238" s="1"/>
  <c r="T239" l="1"/>
  <c r="U239" s="1"/>
  <c r="V239" s="1"/>
  <c r="T240" l="1"/>
  <c r="U240" s="1"/>
  <c r="V240" s="1"/>
  <c r="T241" l="1"/>
  <c r="U241" s="1"/>
  <c r="V241" s="1"/>
  <c r="T242" l="1"/>
  <c r="U242" s="1"/>
  <c r="V242" s="1"/>
  <c r="T243" l="1"/>
  <c r="U243" s="1"/>
  <c r="V243" s="1"/>
  <c r="T244" l="1"/>
  <c r="U244" s="1"/>
  <c r="V244" s="1"/>
  <c r="T245" l="1"/>
  <c r="U245" s="1"/>
  <c r="V245" s="1"/>
  <c r="T246" l="1"/>
  <c r="U246" s="1"/>
  <c r="V246" s="1"/>
  <c r="T247" l="1"/>
  <c r="U247" s="1"/>
  <c r="V247" s="1"/>
  <c r="T248" l="1"/>
  <c r="U248" s="1"/>
  <c r="V248" s="1"/>
  <c r="T249" l="1"/>
  <c r="U249" s="1"/>
  <c r="V249" s="1"/>
  <c r="T250" l="1"/>
  <c r="U250" s="1"/>
  <c r="V250" s="1"/>
  <c r="T251" l="1"/>
  <c r="U251" s="1"/>
  <c r="V251" s="1"/>
  <c r="T252" l="1"/>
  <c r="U252" s="1"/>
  <c r="V252" s="1"/>
  <c r="T253" l="1"/>
  <c r="U253" s="1"/>
  <c r="V253" s="1"/>
  <c r="T254" l="1"/>
  <c r="U254" s="1"/>
  <c r="V254" s="1"/>
  <c r="T255" l="1"/>
  <c r="U255" s="1"/>
  <c r="V255" s="1"/>
  <c r="T256" l="1"/>
  <c r="U256" s="1"/>
  <c r="V256" s="1"/>
  <c r="T257" l="1"/>
  <c r="U257" s="1"/>
  <c r="V257" s="1"/>
  <c r="T258" l="1"/>
  <c r="U258" s="1"/>
  <c r="V258" s="1"/>
  <c r="T259" l="1"/>
  <c r="U259" s="1"/>
  <c r="V259" s="1"/>
  <c r="T260" l="1"/>
  <c r="U260" s="1"/>
  <c r="V260" s="1"/>
  <c r="T261" l="1"/>
  <c r="U261" s="1"/>
  <c r="V261" s="1"/>
  <c r="T262" l="1"/>
  <c r="U262" s="1"/>
  <c r="V262" s="1"/>
  <c r="T263" l="1"/>
  <c r="U263" s="1"/>
  <c r="V263" s="1"/>
  <c r="T264" l="1"/>
  <c r="U264" s="1"/>
  <c r="V264" s="1"/>
  <c r="T265" l="1"/>
  <c r="U265" s="1"/>
  <c r="V265" s="1"/>
  <c r="T266" l="1"/>
  <c r="U266" s="1"/>
  <c r="V266" s="1"/>
  <c r="T267" l="1"/>
  <c r="U267" s="1"/>
  <c r="V267" s="1"/>
  <c r="T268" l="1"/>
  <c r="U268" s="1"/>
  <c r="V268" s="1"/>
  <c r="T269" l="1"/>
  <c r="U269" s="1"/>
  <c r="V269" s="1"/>
  <c r="T270" l="1"/>
  <c r="U270" s="1"/>
  <c r="V270" s="1"/>
  <c r="T271" l="1"/>
  <c r="U271" s="1"/>
  <c r="V271" s="1"/>
  <c r="T272" l="1"/>
  <c r="U272" s="1"/>
  <c r="V272" s="1"/>
  <c r="T273" l="1"/>
  <c r="U273" s="1"/>
  <c r="V273" s="1"/>
  <c r="T274" l="1"/>
  <c r="U274" s="1"/>
  <c r="V274" s="1"/>
  <c r="T275" l="1"/>
  <c r="U275" s="1"/>
  <c r="V275" s="1"/>
  <c r="T276" l="1"/>
  <c r="U276" s="1"/>
  <c r="V276" s="1"/>
  <c r="T277" l="1"/>
  <c r="U277" s="1"/>
  <c r="V277" s="1"/>
  <c r="T278" l="1"/>
  <c r="U278" s="1"/>
  <c r="V278" s="1"/>
  <c r="T279" l="1"/>
  <c r="U279" s="1"/>
  <c r="V279" s="1"/>
  <c r="T280" l="1"/>
  <c r="U280" s="1"/>
  <c r="V280" s="1"/>
  <c r="T281" l="1"/>
  <c r="U281" s="1"/>
  <c r="V281" s="1"/>
  <c r="T282" l="1"/>
  <c r="U282" s="1"/>
  <c r="V282" s="1"/>
  <c r="T283" l="1"/>
  <c r="U283" s="1"/>
  <c r="V283" s="1"/>
  <c r="T284" l="1"/>
  <c r="U284" s="1"/>
  <c r="V284" s="1"/>
  <c r="T285" l="1"/>
  <c r="U285" s="1"/>
  <c r="V285" s="1"/>
  <c r="T286" l="1"/>
  <c r="U286" s="1"/>
  <c r="V286" s="1"/>
  <c r="T287" l="1"/>
  <c r="U287" s="1"/>
  <c r="V287" s="1"/>
  <c r="T288" l="1"/>
  <c r="U288" s="1"/>
  <c r="V288" s="1"/>
  <c r="T289" l="1"/>
  <c r="U289" s="1"/>
  <c r="V289" s="1"/>
  <c r="T290" l="1"/>
  <c r="U290" s="1"/>
  <c r="V290" s="1"/>
  <c r="T291" l="1"/>
  <c r="U291" s="1"/>
  <c r="V291" s="1"/>
  <c r="T292" l="1"/>
  <c r="U292" s="1"/>
  <c r="V292" s="1"/>
  <c r="T293" l="1"/>
  <c r="U293" s="1"/>
  <c r="V293" s="1"/>
  <c r="T294" l="1"/>
  <c r="U294" s="1"/>
  <c r="V294" s="1"/>
  <c r="T295" l="1"/>
  <c r="U295" s="1"/>
  <c r="V295" s="1"/>
  <c r="T296" l="1"/>
  <c r="U296" s="1"/>
  <c r="V296" s="1"/>
  <c r="T297" l="1"/>
  <c r="U297" s="1"/>
  <c r="V297" s="1"/>
  <c r="T298" l="1"/>
  <c r="U298" s="1"/>
  <c r="V298" s="1"/>
  <c r="T299" l="1"/>
  <c r="U299" s="1"/>
  <c r="V299" s="1"/>
  <c r="T300" l="1"/>
  <c r="U300" s="1"/>
  <c r="V300" s="1"/>
  <c r="T301" l="1"/>
  <c r="U301" s="1"/>
  <c r="V301" s="1"/>
  <c r="T302" l="1"/>
  <c r="U302" s="1"/>
  <c r="V302" s="1"/>
  <c r="T303" l="1"/>
  <c r="U303" s="1"/>
  <c r="V303" s="1"/>
  <c r="T304" l="1"/>
  <c r="U304" s="1"/>
  <c r="V304" s="1"/>
  <c r="T305" l="1"/>
  <c r="U305" s="1"/>
  <c r="V305" s="1"/>
  <c r="T306" l="1"/>
  <c r="U306" s="1"/>
  <c r="V306" s="1"/>
  <c r="T307" l="1"/>
  <c r="U307" s="1"/>
  <c r="V307" s="1"/>
  <c r="T308" l="1"/>
  <c r="U308" s="1"/>
  <c r="V308" s="1"/>
  <c r="T309" l="1"/>
  <c r="U309" s="1"/>
  <c r="V309" s="1"/>
  <c r="T310" l="1"/>
  <c r="U310" s="1"/>
  <c r="V310" s="1"/>
  <c r="T311" l="1"/>
  <c r="U311" s="1"/>
  <c r="V311" s="1"/>
  <c r="T312" l="1"/>
  <c r="U312" s="1"/>
  <c r="V312" s="1"/>
  <c r="T313" l="1"/>
  <c r="U313" s="1"/>
  <c r="V313" s="1"/>
  <c r="T314" l="1"/>
  <c r="U314" s="1"/>
  <c r="V314" s="1"/>
  <c r="T315" l="1"/>
  <c r="U315" s="1"/>
  <c r="V315" s="1"/>
  <c r="T316" l="1"/>
  <c r="U316" s="1"/>
  <c r="V316" s="1"/>
  <c r="T317" l="1"/>
  <c r="U317" s="1"/>
  <c r="V317" s="1"/>
  <c r="T318" l="1"/>
  <c r="U318" s="1"/>
  <c r="V318" s="1"/>
  <c r="T319" l="1"/>
  <c r="U319" s="1"/>
  <c r="V319" s="1"/>
  <c r="T320" l="1"/>
  <c r="U320" s="1"/>
  <c r="V320" s="1"/>
  <c r="T321" l="1"/>
  <c r="U321" s="1"/>
  <c r="V321" s="1"/>
  <c r="T322" l="1"/>
  <c r="U322" s="1"/>
  <c r="V322" s="1"/>
  <c r="T323" l="1"/>
  <c r="U323" s="1"/>
  <c r="V323" s="1"/>
  <c r="T324" l="1"/>
  <c r="U324" s="1"/>
  <c r="V324" s="1"/>
  <c r="T325" l="1"/>
  <c r="U325" s="1"/>
  <c r="V325" s="1"/>
  <c r="T326" l="1"/>
  <c r="U326" s="1"/>
  <c r="V326" s="1"/>
  <c r="T327" l="1"/>
  <c r="U327" s="1"/>
  <c r="V327" s="1"/>
  <c r="T328" l="1"/>
  <c r="U328" s="1"/>
  <c r="V328" s="1"/>
  <c r="T329" l="1"/>
  <c r="U329" s="1"/>
  <c r="V329" s="1"/>
  <c r="T330" l="1"/>
  <c r="U330" s="1"/>
  <c r="V330" s="1"/>
  <c r="T331" l="1"/>
  <c r="U331" s="1"/>
  <c r="V331" s="1"/>
  <c r="T332" l="1"/>
  <c r="U332" s="1"/>
  <c r="V332" s="1"/>
  <c r="T333" l="1"/>
  <c r="U333" s="1"/>
  <c r="V333" s="1"/>
  <c r="T334" l="1"/>
  <c r="U334" s="1"/>
  <c r="V334" s="1"/>
  <c r="T335" l="1"/>
  <c r="U335" s="1"/>
  <c r="V335" s="1"/>
  <c r="T336" l="1"/>
  <c r="U336" s="1"/>
  <c r="V336" s="1"/>
  <c r="T337" l="1"/>
  <c r="U337" s="1"/>
  <c r="V337" s="1"/>
  <c r="T338" l="1"/>
  <c r="U338" s="1"/>
  <c r="V338" s="1"/>
  <c r="T339" l="1"/>
  <c r="U339" s="1"/>
  <c r="V339" s="1"/>
  <c r="T340" l="1"/>
  <c r="U340" s="1"/>
  <c r="V340" s="1"/>
  <c r="T341" l="1"/>
  <c r="U341" s="1"/>
  <c r="V341" s="1"/>
  <c r="T342" l="1"/>
  <c r="U342" s="1"/>
  <c r="V342" s="1"/>
  <c r="T343" l="1"/>
  <c r="U343" s="1"/>
  <c r="V343" s="1"/>
  <c r="T344" l="1"/>
  <c r="U344" s="1"/>
  <c r="V344" s="1"/>
  <c r="T345" l="1"/>
  <c r="U345" s="1"/>
  <c r="V345" s="1"/>
  <c r="T346" l="1"/>
  <c r="U346" s="1"/>
  <c r="V346" s="1"/>
  <c r="T347" l="1"/>
  <c r="U347" s="1"/>
  <c r="V347" s="1"/>
  <c r="T348" l="1"/>
  <c r="U348" s="1"/>
  <c r="V348" s="1"/>
  <c r="T349" l="1"/>
  <c r="U349" s="1"/>
  <c r="V349" s="1"/>
  <c r="T350" l="1"/>
  <c r="U350" s="1"/>
  <c r="V350" s="1"/>
  <c r="T351" l="1"/>
  <c r="U351" s="1"/>
  <c r="V351" s="1"/>
  <c r="T352" l="1"/>
  <c r="U352" s="1"/>
  <c r="V352" s="1"/>
  <c r="T353" l="1"/>
  <c r="U353" s="1"/>
  <c r="V353" s="1"/>
  <c r="T354" l="1"/>
  <c r="U354" s="1"/>
  <c r="V354" s="1"/>
  <c r="T355" l="1"/>
  <c r="U355" s="1"/>
  <c r="V355" s="1"/>
  <c r="T356" l="1"/>
  <c r="U356" s="1"/>
  <c r="V356" s="1"/>
  <c r="T357" l="1"/>
  <c r="U357" s="1"/>
  <c r="V357" s="1"/>
  <c r="T358" l="1"/>
  <c r="U358" s="1"/>
  <c r="V358" s="1"/>
  <c r="T359" l="1"/>
  <c r="U359" s="1"/>
  <c r="V359" s="1"/>
  <c r="T360" l="1"/>
  <c r="U360" s="1"/>
  <c r="V360" s="1"/>
  <c r="T361" l="1"/>
  <c r="U361" s="1"/>
  <c r="V361" s="1"/>
  <c r="T362" l="1"/>
  <c r="U362" s="1"/>
  <c r="V362" s="1"/>
  <c r="T363" l="1"/>
  <c r="U363" s="1"/>
  <c r="V363" s="1"/>
  <c r="T364" l="1"/>
  <c r="U364" s="1"/>
  <c r="V364" s="1"/>
  <c r="T365" l="1"/>
  <c r="U365" s="1"/>
  <c r="V365" s="1"/>
  <c r="T366" l="1"/>
  <c r="U366" s="1"/>
  <c r="V366" s="1"/>
  <c r="T367" l="1"/>
  <c r="U367" s="1"/>
  <c r="V367" s="1"/>
  <c r="T368" l="1"/>
  <c r="U368" s="1"/>
  <c r="V368" s="1"/>
  <c r="T369" l="1"/>
  <c r="U369" s="1"/>
  <c r="V369" s="1"/>
  <c r="T370" l="1"/>
  <c r="U370" s="1"/>
  <c r="V370" s="1"/>
  <c r="T371" l="1"/>
  <c r="U371" s="1"/>
  <c r="V371" s="1"/>
  <c r="T372" l="1"/>
  <c r="U372" s="1"/>
  <c r="V372" s="1"/>
  <c r="T373" l="1"/>
  <c r="U373" s="1"/>
  <c r="V373" s="1"/>
  <c r="T374" l="1"/>
  <c r="U374" s="1"/>
  <c r="V374" s="1"/>
  <c r="T375" l="1"/>
  <c r="U375" s="1"/>
  <c r="V375" s="1"/>
  <c r="T376" l="1"/>
  <c r="U376" s="1"/>
  <c r="V376" s="1"/>
  <c r="T377" l="1"/>
  <c r="U377" s="1"/>
  <c r="V377" s="1"/>
  <c r="T378" l="1"/>
  <c r="U378" s="1"/>
  <c r="V378" s="1"/>
  <c r="T379" l="1"/>
  <c r="U379" s="1"/>
  <c r="V379" s="1"/>
  <c r="T380" l="1"/>
  <c r="U380" s="1"/>
  <c r="V380" s="1"/>
  <c r="T381" l="1"/>
  <c r="U381" s="1"/>
  <c r="V381" s="1"/>
  <c r="T382" l="1"/>
  <c r="U382" s="1"/>
  <c r="V382" s="1"/>
  <c r="T383" l="1"/>
  <c r="U383" s="1"/>
  <c r="V383" s="1"/>
  <c r="T384" l="1"/>
  <c r="U384" s="1"/>
  <c r="V384" s="1"/>
  <c r="T385" l="1"/>
  <c r="U385" s="1"/>
  <c r="V385" s="1"/>
  <c r="T386" l="1"/>
  <c r="U386" s="1"/>
  <c r="V386" s="1"/>
  <c r="T387" l="1"/>
  <c r="U387" s="1"/>
  <c r="V387" s="1"/>
  <c r="T388" l="1"/>
  <c r="U388" s="1"/>
  <c r="V388" s="1"/>
  <c r="T389" l="1"/>
  <c r="U389" s="1"/>
  <c r="V389" s="1"/>
  <c r="T390" l="1"/>
  <c r="U390" s="1"/>
  <c r="V390" s="1"/>
  <c r="T391" l="1"/>
  <c r="U391" s="1"/>
  <c r="V391" s="1"/>
  <c r="T392" l="1"/>
  <c r="U392" s="1"/>
  <c r="V392" s="1"/>
  <c r="T393" l="1"/>
  <c r="U393" s="1"/>
  <c r="V393" s="1"/>
  <c r="T394" l="1"/>
  <c r="U394" s="1"/>
  <c r="V394" s="1"/>
  <c r="T395" l="1"/>
  <c r="U395" s="1"/>
  <c r="V395" s="1"/>
  <c r="T396" l="1"/>
  <c r="U396" s="1"/>
  <c r="V396" s="1"/>
  <c r="T397" l="1"/>
  <c r="U397" s="1"/>
  <c r="V397" s="1"/>
  <c r="T398" l="1"/>
  <c r="U398" s="1"/>
  <c r="V398" s="1"/>
  <c r="T399" l="1"/>
  <c r="U399" s="1"/>
  <c r="V399" s="1"/>
  <c r="T400" l="1"/>
  <c r="U400" s="1"/>
  <c r="V400" s="1"/>
  <c r="T401" l="1"/>
  <c r="U401" s="1"/>
  <c r="V401" s="1"/>
  <c r="T402" l="1"/>
  <c r="U402" s="1"/>
  <c r="V402" s="1"/>
  <c r="T403" l="1"/>
  <c r="U403" s="1"/>
  <c r="V403" s="1"/>
  <c r="T404" l="1"/>
  <c r="U404" s="1"/>
  <c r="V404" s="1"/>
  <c r="T405" l="1"/>
  <c r="U405" s="1"/>
  <c r="V405" s="1"/>
  <c r="T406" l="1"/>
  <c r="U406" s="1"/>
  <c r="V406" s="1"/>
  <c r="T407" l="1"/>
  <c r="U407" s="1"/>
  <c r="V407" s="1"/>
  <c r="T408" l="1"/>
  <c r="U408" s="1"/>
  <c r="V408" s="1"/>
  <c r="T409" l="1"/>
  <c r="U409" s="1"/>
  <c r="V409" s="1"/>
  <c r="T410" l="1"/>
  <c r="U410" s="1"/>
  <c r="V410" s="1"/>
  <c r="T411" l="1"/>
  <c r="U411" s="1"/>
  <c r="V411" s="1"/>
  <c r="T412" l="1"/>
  <c r="U412" s="1"/>
  <c r="V412" s="1"/>
  <c r="T413" l="1"/>
  <c r="U413" s="1"/>
  <c r="V413" s="1"/>
  <c r="T414" l="1"/>
  <c r="U414" s="1"/>
  <c r="V414" s="1"/>
  <c r="T415" l="1"/>
  <c r="U415" s="1"/>
  <c r="V415" s="1"/>
  <c r="T416" l="1"/>
  <c r="U416" s="1"/>
  <c r="V416" s="1"/>
  <c r="T417" l="1"/>
  <c r="U417" s="1"/>
  <c r="V417" s="1"/>
  <c r="T418" l="1"/>
  <c r="U418" s="1"/>
  <c r="V418" s="1"/>
  <c r="T419" l="1"/>
  <c r="U419" s="1"/>
  <c r="V419" s="1"/>
  <c r="T420" l="1"/>
  <c r="U420" s="1"/>
  <c r="V420" s="1"/>
  <c r="T421" l="1"/>
  <c r="U421" s="1"/>
  <c r="V421" s="1"/>
  <c r="T422" l="1"/>
  <c r="U422" s="1"/>
  <c r="V422" s="1"/>
  <c r="T423" l="1"/>
  <c r="U423" s="1"/>
  <c r="V423" s="1"/>
  <c r="T424" l="1"/>
  <c r="U424" s="1"/>
  <c r="V424" s="1"/>
  <c r="T425" l="1"/>
  <c r="U425" s="1"/>
  <c r="V425" s="1"/>
  <c r="T426" l="1"/>
  <c r="U426" s="1"/>
  <c r="V426" s="1"/>
  <c r="T427" l="1"/>
  <c r="U427" s="1"/>
  <c r="V427" s="1"/>
  <c r="T428" l="1"/>
  <c r="U428" s="1"/>
  <c r="V428" s="1"/>
  <c r="T429" l="1"/>
  <c r="U429" s="1"/>
  <c r="V429" s="1"/>
  <c r="T430" l="1"/>
  <c r="U430" s="1"/>
  <c r="V430" s="1"/>
  <c r="T431" l="1"/>
  <c r="U431" s="1"/>
  <c r="V431" s="1"/>
  <c r="T432" l="1"/>
  <c r="U432" s="1"/>
  <c r="V432" s="1"/>
  <c r="T433" l="1"/>
  <c r="U433" s="1"/>
  <c r="V433" s="1"/>
  <c r="T434" l="1"/>
  <c r="U434" s="1"/>
  <c r="V434" s="1"/>
  <c r="T435" l="1"/>
  <c r="U435" s="1"/>
  <c r="V435" s="1"/>
  <c r="T436" l="1"/>
  <c r="U436" s="1"/>
  <c r="V436" s="1"/>
  <c r="T437" l="1"/>
  <c r="U437" s="1"/>
  <c r="V437" s="1"/>
  <c r="T438" l="1"/>
  <c r="U438" s="1"/>
  <c r="V438" s="1"/>
  <c r="T439" l="1"/>
  <c r="U439" s="1"/>
  <c r="V439" s="1"/>
  <c r="T440" l="1"/>
  <c r="U440" s="1"/>
  <c r="V440" s="1"/>
  <c r="T441" l="1"/>
  <c r="U441" s="1"/>
  <c r="V441" s="1"/>
  <c r="T442" l="1"/>
  <c r="U442" s="1"/>
  <c r="V442" s="1"/>
  <c r="T443" l="1"/>
  <c r="U443" s="1"/>
  <c r="V443" s="1"/>
  <c r="T444" l="1"/>
  <c r="U444" s="1"/>
  <c r="V444" s="1"/>
  <c r="T445" l="1"/>
  <c r="U445" s="1"/>
  <c r="V445" s="1"/>
  <c r="T446" l="1"/>
  <c r="U446" s="1"/>
  <c r="V446" s="1"/>
  <c r="T447" l="1"/>
  <c r="U447" s="1"/>
  <c r="V447" s="1"/>
  <c r="T448" l="1"/>
  <c r="U448" s="1"/>
  <c r="V448" s="1"/>
  <c r="T449" l="1"/>
  <c r="U449" s="1"/>
  <c r="V449" s="1"/>
  <c r="T450" l="1"/>
  <c r="U450" s="1"/>
  <c r="V450" s="1"/>
  <c r="T451" l="1"/>
  <c r="U451" s="1"/>
  <c r="V451" s="1"/>
  <c r="T452" l="1"/>
  <c r="U452" s="1"/>
  <c r="V452" s="1"/>
  <c r="T453" l="1"/>
  <c r="U453" s="1"/>
  <c r="V453" s="1"/>
  <c r="T454" l="1"/>
  <c r="U454" s="1"/>
  <c r="V454" s="1"/>
  <c r="T455" l="1"/>
  <c r="U455" s="1"/>
  <c r="V455" s="1"/>
  <c r="T456" l="1"/>
  <c r="U456" s="1"/>
  <c r="V456" s="1"/>
  <c r="T457" l="1"/>
  <c r="U457" s="1"/>
  <c r="V457" s="1"/>
  <c r="T458" l="1"/>
  <c r="U458" s="1"/>
  <c r="V458" s="1"/>
  <c r="T459" l="1"/>
  <c r="U459" s="1"/>
  <c r="V459" s="1"/>
  <c r="T460" l="1"/>
  <c r="U460" s="1"/>
  <c r="V460" s="1"/>
  <c r="T461" l="1"/>
  <c r="U461" s="1"/>
  <c r="V461" s="1"/>
  <c r="T462" l="1"/>
  <c r="U462" s="1"/>
  <c r="V462" s="1"/>
  <c r="T463" l="1"/>
  <c r="U463" s="1"/>
  <c r="V463" s="1"/>
  <c r="T464" l="1"/>
  <c r="U464" s="1"/>
  <c r="V464" s="1"/>
  <c r="T465" l="1"/>
  <c r="U465" s="1"/>
  <c r="V465" s="1"/>
  <c r="T466" l="1"/>
  <c r="U466" s="1"/>
  <c r="V466" s="1"/>
  <c r="T467" l="1"/>
  <c r="U467" s="1"/>
  <c r="V467" s="1"/>
  <c r="T468" l="1"/>
  <c r="U468" s="1"/>
  <c r="V468" s="1"/>
  <c r="T469" l="1"/>
  <c r="U469" s="1"/>
  <c r="V469" s="1"/>
  <c r="T470" l="1"/>
  <c r="U470" s="1"/>
  <c r="V470" s="1"/>
  <c r="T471" l="1"/>
  <c r="U471" s="1"/>
  <c r="V471" s="1"/>
  <c r="T472" l="1"/>
  <c r="U472" s="1"/>
  <c r="V472" s="1"/>
  <c r="T473" l="1"/>
  <c r="U473" s="1"/>
  <c r="V473" s="1"/>
  <c r="T474" l="1"/>
  <c r="U474" s="1"/>
  <c r="V474" s="1"/>
  <c r="T475" l="1"/>
  <c r="U475" s="1"/>
  <c r="V475" s="1"/>
  <c r="T476" l="1"/>
  <c r="U476" s="1"/>
  <c r="V476" s="1"/>
  <c r="T477" l="1"/>
  <c r="U477" s="1"/>
  <c r="V477" s="1"/>
  <c r="T478" l="1"/>
  <c r="U478" s="1"/>
  <c r="V478" s="1"/>
  <c r="T479" l="1"/>
  <c r="U479" s="1"/>
  <c r="V479" s="1"/>
  <c r="T480" l="1"/>
  <c r="U480" s="1"/>
  <c r="V480" s="1"/>
  <c r="T481" l="1"/>
  <c r="U481" s="1"/>
  <c r="V481" s="1"/>
  <c r="T482" l="1"/>
  <c r="U482" s="1"/>
  <c r="V482" s="1"/>
  <c r="T483" l="1"/>
  <c r="U483" s="1"/>
  <c r="V483" s="1"/>
  <c r="T484" l="1"/>
  <c r="U484" s="1"/>
  <c r="V484" s="1"/>
  <c r="T485" l="1"/>
  <c r="U485" s="1"/>
  <c r="V485" s="1"/>
  <c r="T486" l="1"/>
  <c r="U486" s="1"/>
  <c r="V486" s="1"/>
  <c r="T487" l="1"/>
  <c r="U487" s="1"/>
  <c r="V487" s="1"/>
  <c r="T488" l="1"/>
  <c r="U488" s="1"/>
  <c r="V488" s="1"/>
  <c r="T489" l="1"/>
  <c r="U489" s="1"/>
  <c r="V489" s="1"/>
  <c r="T490" l="1"/>
  <c r="U490" s="1"/>
  <c r="V490" s="1"/>
  <c r="T491" l="1"/>
  <c r="U491" s="1"/>
  <c r="V491" s="1"/>
  <c r="T492" l="1"/>
  <c r="U492" s="1"/>
  <c r="V492" s="1"/>
  <c r="T493" l="1"/>
  <c r="U493" s="1"/>
  <c r="V493" s="1"/>
  <c r="T494" l="1"/>
  <c r="U494" s="1"/>
  <c r="V494" s="1"/>
  <c r="T495" l="1"/>
  <c r="U495" s="1"/>
  <c r="V495" s="1"/>
  <c r="T496" l="1"/>
  <c r="U496" s="1"/>
  <c r="V496" s="1"/>
  <c r="T497" l="1"/>
  <c r="U497" s="1"/>
  <c r="V497" s="1"/>
  <c r="T498" l="1"/>
  <c r="U498" s="1"/>
  <c r="V498" s="1"/>
  <c r="T499" l="1"/>
  <c r="U499" s="1"/>
  <c r="V499" s="1"/>
  <c r="T500" l="1"/>
  <c r="U500" s="1"/>
  <c r="V500" s="1"/>
  <c r="T501" l="1"/>
  <c r="U501" s="1"/>
  <c r="V501" s="1"/>
  <c r="T502" l="1"/>
  <c r="U502" s="1"/>
  <c r="V502" s="1"/>
  <c r="T503" l="1"/>
  <c r="U503" s="1"/>
  <c r="V503" s="1"/>
  <c r="T504" l="1"/>
  <c r="U504" s="1"/>
  <c r="V504" s="1"/>
  <c r="T505" l="1"/>
  <c r="U505" s="1"/>
  <c r="V505" s="1"/>
  <c r="T506" l="1"/>
  <c r="U506" s="1"/>
  <c r="V506" s="1"/>
  <c r="T507" l="1"/>
  <c r="U507" s="1"/>
  <c r="V507" s="1"/>
  <c r="T508" l="1"/>
  <c r="U508" s="1"/>
  <c r="V508" s="1"/>
  <c r="T509" l="1"/>
  <c r="U509" s="1"/>
  <c r="V509" s="1"/>
  <c r="T510" l="1"/>
  <c r="U510" s="1"/>
  <c r="V510" s="1"/>
  <c r="T511" l="1"/>
  <c r="U511" s="1"/>
  <c r="V511" s="1"/>
  <c r="T512" l="1"/>
  <c r="U512" s="1"/>
  <c r="V512" s="1"/>
  <c r="T513" l="1"/>
  <c r="U513" s="1"/>
  <c r="V513" s="1"/>
  <c r="T514" l="1"/>
  <c r="U514" s="1"/>
  <c r="V514" s="1"/>
  <c r="T515" l="1"/>
  <c r="U515" s="1"/>
  <c r="V515" s="1"/>
  <c r="T516" l="1"/>
  <c r="U516" s="1"/>
  <c r="V516" s="1"/>
  <c r="T517" l="1"/>
  <c r="U517" s="1"/>
  <c r="V517" s="1"/>
  <c r="T518" l="1"/>
  <c r="U518" s="1"/>
  <c r="V518" s="1"/>
  <c r="T519" l="1"/>
  <c r="U519" s="1"/>
  <c r="V519" s="1"/>
  <c r="T520" l="1"/>
  <c r="U520" s="1"/>
  <c r="V520" s="1"/>
  <c r="T521" l="1"/>
  <c r="U521" s="1"/>
  <c r="V521" s="1"/>
  <c r="T522" l="1"/>
  <c r="U522" s="1"/>
  <c r="V522" s="1"/>
  <c r="T523" l="1"/>
  <c r="U523" s="1"/>
  <c r="V523" s="1"/>
  <c r="T524" l="1"/>
  <c r="U524" s="1"/>
  <c r="V524" s="1"/>
  <c r="T525" l="1"/>
  <c r="U525" s="1"/>
  <c r="V525" s="1"/>
  <c r="T526" l="1"/>
  <c r="U526" s="1"/>
  <c r="V526" s="1"/>
  <c r="T527" l="1"/>
  <c r="U527" s="1"/>
  <c r="V527" s="1"/>
  <c r="T528" l="1"/>
  <c r="U528" s="1"/>
  <c r="V528" s="1"/>
  <c r="T529" l="1"/>
  <c r="U529" s="1"/>
  <c r="V529" s="1"/>
  <c r="U530" l="1"/>
  <c r="V530" s="1"/>
  <c r="U531" l="1"/>
  <c r="V531" s="1"/>
  <c r="U532" l="1"/>
  <c r="V532" s="1"/>
  <c r="U533" l="1"/>
  <c r="V533" s="1"/>
  <c r="U534" l="1"/>
  <c r="V534" s="1"/>
  <c r="U535" l="1"/>
  <c r="V535" s="1"/>
  <c r="U536" l="1"/>
  <c r="V536" s="1"/>
  <c r="U537" l="1"/>
  <c r="V537" s="1"/>
  <c r="U538" l="1"/>
  <c r="V538" s="1"/>
  <c r="U539" l="1"/>
  <c r="V539" s="1"/>
  <c r="U540" l="1"/>
  <c r="V540" s="1"/>
  <c r="U541" l="1"/>
  <c r="V541" s="1"/>
  <c r="U542" l="1"/>
  <c r="V542" s="1"/>
  <c r="U543" l="1"/>
  <c r="V543" s="1"/>
  <c r="U544" l="1"/>
  <c r="V544" s="1"/>
  <c r="U545" l="1"/>
  <c r="V545" s="1"/>
  <c r="U546" l="1"/>
  <c r="V546" s="1"/>
  <c r="U547" l="1"/>
  <c r="V547" s="1"/>
  <c r="U548" l="1"/>
  <c r="V548" s="1"/>
  <c r="U549" l="1"/>
  <c r="V549" s="1"/>
  <c r="U550" l="1"/>
  <c r="V550" s="1"/>
  <c r="U551" l="1"/>
  <c r="V551" s="1"/>
  <c r="U552" l="1"/>
  <c r="V552" s="1"/>
  <c r="U553" l="1"/>
  <c r="V553" s="1"/>
  <c r="U554" l="1"/>
  <c r="V554" s="1"/>
  <c r="U555" l="1"/>
  <c r="V555" s="1"/>
  <c r="U556" l="1"/>
  <c r="V556" s="1"/>
  <c r="U557" l="1"/>
  <c r="V557" s="1"/>
  <c r="U558" l="1"/>
  <c r="V558" s="1"/>
  <c r="U559" l="1"/>
  <c r="V559" s="1"/>
  <c r="U560" l="1"/>
  <c r="V560" s="1"/>
  <c r="U561" l="1"/>
  <c r="V561" s="1"/>
  <c r="U562" l="1"/>
  <c r="V562" s="1"/>
  <c r="U563" l="1"/>
  <c r="V563" s="1"/>
  <c r="U564" l="1"/>
  <c r="V564" s="1"/>
  <c r="U565" l="1"/>
  <c r="V565" s="1"/>
  <c r="U566" l="1"/>
  <c r="V566" s="1"/>
  <c r="U567" l="1"/>
  <c r="V567" s="1"/>
  <c r="U568" l="1"/>
  <c r="V568" s="1"/>
  <c r="U569" l="1"/>
  <c r="V569" s="1"/>
  <c r="U570" l="1"/>
  <c r="V570" s="1"/>
  <c r="U571" l="1"/>
  <c r="V571" s="1"/>
  <c r="U572" l="1"/>
  <c r="V572" s="1"/>
  <c r="U573" l="1"/>
  <c r="V573" s="1"/>
  <c r="U574" l="1"/>
  <c r="V574" s="1"/>
  <c r="U575" l="1"/>
  <c r="V575" s="1"/>
  <c r="U576" l="1"/>
  <c r="V576" s="1"/>
  <c r="U577" l="1"/>
  <c r="V577" s="1"/>
  <c r="U578" l="1"/>
  <c r="V578" s="1"/>
  <c r="U579" l="1"/>
  <c r="V579" s="1"/>
  <c r="U580" l="1"/>
  <c r="V580" s="1"/>
  <c r="U581" l="1"/>
  <c r="V581" s="1"/>
  <c r="U582" l="1"/>
  <c r="V582" s="1"/>
  <c r="U583" l="1"/>
  <c r="V583" s="1"/>
  <c r="U584" l="1"/>
  <c r="V584" s="1"/>
  <c r="U585" l="1"/>
  <c r="V585" s="1"/>
  <c r="U586" l="1"/>
  <c r="V586" s="1"/>
  <c r="U587" l="1"/>
  <c r="V587" s="1"/>
  <c r="U588" l="1"/>
  <c r="V588" s="1"/>
  <c r="U589" l="1"/>
  <c r="V589" s="1"/>
  <c r="U590" l="1"/>
  <c r="V590" s="1"/>
  <c r="U591" l="1"/>
  <c r="V591" s="1"/>
  <c r="U592" l="1"/>
  <c r="V592" s="1"/>
  <c r="U593" l="1"/>
  <c r="V593" s="1"/>
  <c r="U594" l="1"/>
  <c r="V594" s="1"/>
  <c r="U595" l="1"/>
  <c r="V595" s="1"/>
  <c r="U596" l="1"/>
  <c r="V596" s="1"/>
  <c r="U597" l="1"/>
  <c r="V597" s="1"/>
  <c r="U598" l="1"/>
  <c r="V598" s="1"/>
  <c r="U599" l="1"/>
  <c r="V599" s="1"/>
  <c r="U600" l="1"/>
  <c r="V600" s="1"/>
  <c r="U601" l="1"/>
  <c r="V601" s="1"/>
  <c r="U602" l="1"/>
  <c r="V602" s="1"/>
  <c r="U603" l="1"/>
  <c r="V603" s="1"/>
  <c r="U604" l="1"/>
  <c r="V604" s="1"/>
  <c r="U605" l="1"/>
  <c r="V605" s="1"/>
  <c r="U606" l="1"/>
  <c r="V606" s="1"/>
  <c r="U607" l="1"/>
  <c r="V607" s="1"/>
  <c r="U608" l="1"/>
  <c r="V608" s="1"/>
  <c r="U609" l="1"/>
  <c r="V609" s="1"/>
  <c r="U610" l="1"/>
  <c r="V610" s="1"/>
  <c r="U611" l="1"/>
  <c r="V611" s="1"/>
  <c r="U612" l="1"/>
  <c r="V612" s="1"/>
  <c r="U613" l="1"/>
  <c r="V613" s="1"/>
  <c r="U614" l="1"/>
  <c r="V614" s="1"/>
  <c r="U615" l="1"/>
  <c r="V615" s="1"/>
  <c r="U616" l="1"/>
  <c r="V616" s="1"/>
  <c r="U617" l="1"/>
  <c r="V617" s="1"/>
  <c r="U618" l="1"/>
  <c r="V618" s="1"/>
  <c r="U619" l="1"/>
  <c r="V619" s="1"/>
  <c r="U620" l="1"/>
  <c r="V620" s="1"/>
  <c r="U621" l="1"/>
  <c r="V621" s="1"/>
  <c r="U622" l="1"/>
  <c r="V622" s="1"/>
  <c r="U623" l="1"/>
  <c r="V623" s="1"/>
  <c r="U624" l="1"/>
  <c r="V624" s="1"/>
  <c r="U625" l="1"/>
  <c r="V625" s="1"/>
  <c r="U626" l="1"/>
  <c r="V626" s="1"/>
  <c r="U627" l="1"/>
  <c r="V627" s="1"/>
  <c r="U628" l="1"/>
  <c r="V628" s="1"/>
  <c r="U629" l="1"/>
  <c r="V629" s="1"/>
  <c r="U630" l="1"/>
  <c r="V630" s="1"/>
  <c r="U631" l="1"/>
  <c r="V631" s="1"/>
  <c r="U632" l="1"/>
  <c r="V632" s="1"/>
  <c r="U633" l="1"/>
  <c r="V633" s="1"/>
  <c r="U634" l="1"/>
  <c r="V634" s="1"/>
  <c r="U635" l="1"/>
  <c r="V635" s="1"/>
  <c r="U636" l="1"/>
  <c r="V636" s="1"/>
  <c r="U637" l="1"/>
  <c r="V637" s="1"/>
  <c r="U638" l="1"/>
  <c r="V638" s="1"/>
  <c r="U639" l="1"/>
  <c r="V639" s="1"/>
  <c r="U640" l="1"/>
  <c r="V640" s="1"/>
  <c r="U641" l="1"/>
  <c r="V641" s="1"/>
  <c r="U642" l="1"/>
  <c r="V642" s="1"/>
  <c r="U643" l="1"/>
  <c r="V643" s="1"/>
  <c r="U644" l="1"/>
  <c r="V644" s="1"/>
  <c r="U645" l="1"/>
  <c r="V645" s="1"/>
  <c r="U646" l="1"/>
  <c r="V646" s="1"/>
  <c r="U647" l="1"/>
  <c r="V647" s="1"/>
  <c r="U648" l="1"/>
  <c r="V648" s="1"/>
  <c r="U649" l="1"/>
  <c r="V649" s="1"/>
  <c r="U650" l="1"/>
  <c r="V650" s="1"/>
  <c r="U651" l="1"/>
  <c r="V651" s="1"/>
  <c r="U652" l="1"/>
  <c r="V652" s="1"/>
  <c r="U653" l="1"/>
  <c r="V653" s="1"/>
  <c r="U654" l="1"/>
  <c r="V654" s="1"/>
  <c r="U655" l="1"/>
  <c r="V655" s="1"/>
  <c r="U656" l="1"/>
  <c r="V656" s="1"/>
  <c r="U657" l="1"/>
  <c r="V657" s="1"/>
  <c r="U658" l="1"/>
  <c r="V658" s="1"/>
  <c r="U659" l="1"/>
  <c r="V659" s="1"/>
  <c r="U660" l="1"/>
  <c r="V660" s="1"/>
  <c r="U661" l="1"/>
  <c r="V661" s="1"/>
  <c r="U662" l="1"/>
  <c r="V662" s="1"/>
  <c r="U663" l="1"/>
  <c r="V663" s="1"/>
  <c r="U664" l="1"/>
  <c r="V664" s="1"/>
  <c r="U665" l="1"/>
  <c r="V665" s="1"/>
  <c r="U666" l="1"/>
  <c r="V666" s="1"/>
  <c r="U667" l="1"/>
  <c r="V667" s="1"/>
  <c r="U668" l="1"/>
  <c r="V668" s="1"/>
  <c r="U669" l="1"/>
  <c r="V669" s="1"/>
  <c r="U670" l="1"/>
  <c r="V670" s="1"/>
  <c r="U671" l="1"/>
  <c r="V671" s="1"/>
  <c r="U672" l="1"/>
  <c r="V672" s="1"/>
  <c r="U673" l="1"/>
  <c r="V673" s="1"/>
  <c r="U674" l="1"/>
  <c r="V674" s="1"/>
  <c r="U675" l="1"/>
  <c r="V675" s="1"/>
  <c r="U676" l="1"/>
  <c r="V676" s="1"/>
  <c r="U677" l="1"/>
  <c r="V677" s="1"/>
  <c r="U678" l="1"/>
  <c r="V678" s="1"/>
  <c r="U679" l="1"/>
  <c r="V679" s="1"/>
  <c r="U680" l="1"/>
  <c r="V680" s="1"/>
  <c r="U681" l="1"/>
  <c r="V681" s="1"/>
  <c r="U682" l="1"/>
  <c r="V682" s="1"/>
  <c r="U683" l="1"/>
  <c r="V683" s="1"/>
  <c r="U684" l="1"/>
  <c r="V684" s="1"/>
  <c r="U685" l="1"/>
  <c r="V685" s="1"/>
  <c r="U686" l="1"/>
  <c r="V686" s="1"/>
  <c r="U687" l="1"/>
  <c r="V687" s="1"/>
  <c r="U688" l="1"/>
  <c r="V688" s="1"/>
  <c r="U689" l="1"/>
  <c r="V689" s="1"/>
  <c r="U690" l="1"/>
  <c r="V690" s="1"/>
  <c r="U691" l="1"/>
  <c r="V691" s="1"/>
  <c r="U692" l="1"/>
  <c r="V692" s="1"/>
  <c r="U693" l="1"/>
  <c r="V693" s="1"/>
  <c r="U694" l="1"/>
  <c r="V694" s="1"/>
  <c r="U695" l="1"/>
  <c r="V695" s="1"/>
  <c r="U696" l="1"/>
  <c r="V696" s="1"/>
  <c r="U697" l="1"/>
  <c r="V697" s="1"/>
  <c r="U698" l="1"/>
  <c r="V698" s="1"/>
  <c r="U699" l="1"/>
  <c r="V699" s="1"/>
  <c r="U700" l="1"/>
  <c r="V700" s="1"/>
  <c r="U701" l="1"/>
  <c r="V701" s="1"/>
  <c r="U702" l="1"/>
  <c r="V702" s="1"/>
  <c r="U703" l="1"/>
  <c r="V703" s="1"/>
  <c r="U704" l="1"/>
  <c r="V704" s="1"/>
  <c r="U705" l="1"/>
  <c r="V705" s="1"/>
  <c r="U706" l="1"/>
  <c r="V706" s="1"/>
  <c r="U707" l="1"/>
  <c r="V707" s="1"/>
  <c r="U708" l="1"/>
  <c r="V708" s="1"/>
  <c r="U709" l="1"/>
  <c r="V709" s="1"/>
  <c r="U710" l="1"/>
  <c r="V710" s="1"/>
  <c r="U711" l="1"/>
  <c r="V711" s="1"/>
  <c r="U712" l="1"/>
  <c r="V712" s="1"/>
  <c r="U713" l="1"/>
  <c r="V713" s="1"/>
  <c r="U714" l="1"/>
  <c r="V714" s="1"/>
  <c r="U715" l="1"/>
  <c r="V715" s="1"/>
  <c r="U716" l="1"/>
  <c r="V716" s="1"/>
  <c r="U717" l="1"/>
  <c r="V717" s="1"/>
  <c r="U718" l="1"/>
  <c r="V718" s="1"/>
  <c r="U719" l="1"/>
  <c r="V719" s="1"/>
  <c r="U720" l="1"/>
  <c r="V720" s="1"/>
  <c r="U721" l="1"/>
  <c r="V721" s="1"/>
  <c r="U722" l="1"/>
  <c r="V722" s="1"/>
  <c r="U723" l="1"/>
  <c r="V723" s="1"/>
  <c r="U724" l="1"/>
  <c r="V724" s="1"/>
  <c r="U725" l="1"/>
  <c r="V725" s="1"/>
  <c r="U726" l="1"/>
  <c r="V726" s="1"/>
  <c r="U727" l="1"/>
  <c r="V727" s="1"/>
  <c r="U728" l="1"/>
  <c r="V728" s="1"/>
  <c r="U729" l="1"/>
  <c r="V729" s="1"/>
  <c r="U730" l="1"/>
  <c r="V730" s="1"/>
  <c r="U731" l="1"/>
  <c r="V731" s="1"/>
  <c r="U732" l="1"/>
  <c r="V732" s="1"/>
  <c r="U733" l="1"/>
  <c r="V733" s="1"/>
  <c r="U734" l="1"/>
  <c r="V734" s="1"/>
  <c r="U735" l="1"/>
  <c r="V735" s="1"/>
  <c r="U736" l="1"/>
  <c r="V736" s="1"/>
  <c r="U737" l="1"/>
  <c r="V737" s="1"/>
  <c r="U738" l="1"/>
  <c r="V738" s="1"/>
  <c r="U739" l="1"/>
  <c r="V739" s="1"/>
  <c r="U740" l="1"/>
  <c r="V740" s="1"/>
  <c r="U741" l="1"/>
  <c r="V741" s="1"/>
  <c r="U742" l="1"/>
  <c r="V742" s="1"/>
  <c r="U743" l="1"/>
  <c r="V743" s="1"/>
  <c r="U744" l="1"/>
  <c r="V744" s="1"/>
  <c r="U745" l="1"/>
  <c r="V745" s="1"/>
  <c r="U746" l="1"/>
  <c r="V746" s="1"/>
  <c r="U747" l="1"/>
  <c r="V747" s="1"/>
  <c r="U748" l="1"/>
  <c r="V748" s="1"/>
  <c r="U749" l="1"/>
  <c r="V749" s="1"/>
  <c r="U750" l="1"/>
  <c r="V750" s="1"/>
  <c r="U751" l="1"/>
  <c r="V751" s="1"/>
  <c r="U752" l="1"/>
  <c r="V752" s="1"/>
  <c r="U753" l="1"/>
  <c r="V753" s="1"/>
  <c r="U754" l="1"/>
  <c r="V754" s="1"/>
  <c r="U755" l="1"/>
  <c r="V755" s="1"/>
  <c r="U756" l="1"/>
  <c r="V756" s="1"/>
  <c r="U757" l="1"/>
  <c r="V757" s="1"/>
  <c r="U758" l="1"/>
  <c r="V758" s="1"/>
  <c r="U759" l="1"/>
  <c r="V759" s="1"/>
  <c r="U760" l="1"/>
  <c r="V760" s="1"/>
  <c r="U761" l="1"/>
  <c r="V761" s="1"/>
  <c r="U762" l="1"/>
  <c r="V762" s="1"/>
  <c r="U763" l="1"/>
  <c r="V763" s="1"/>
  <c r="U764" l="1"/>
  <c r="V764" s="1"/>
  <c r="U765" l="1"/>
  <c r="V765" s="1"/>
  <c r="U766" l="1"/>
  <c r="V766" s="1"/>
  <c r="U767" l="1"/>
  <c r="V767" s="1"/>
  <c r="U768" l="1"/>
  <c r="V768" s="1"/>
  <c r="U769" l="1"/>
  <c r="V769" s="1"/>
  <c r="U770" l="1"/>
  <c r="V770" s="1"/>
  <c r="U771" l="1"/>
  <c r="V771" s="1"/>
  <c r="U772" l="1"/>
  <c r="V772" s="1"/>
  <c r="U773" l="1"/>
  <c r="V773" s="1"/>
  <c r="U774" l="1"/>
  <c r="V774" s="1"/>
  <c r="U775" l="1"/>
  <c r="V775" s="1"/>
  <c r="U776" l="1"/>
  <c r="V776" s="1"/>
  <c r="U777" l="1"/>
  <c r="V777" s="1"/>
  <c r="U778" l="1"/>
  <c r="V778" s="1"/>
  <c r="U779" l="1"/>
  <c r="V779" s="1"/>
  <c r="U780" l="1"/>
  <c r="V780" s="1"/>
  <c r="U781" l="1"/>
  <c r="V781" s="1"/>
  <c r="U782" l="1"/>
  <c r="V782" s="1"/>
  <c r="U783" l="1"/>
  <c r="V783" s="1"/>
  <c r="U784" l="1"/>
  <c r="V784" s="1"/>
  <c r="U785" l="1"/>
  <c r="V785" s="1"/>
  <c r="U786" l="1"/>
  <c r="V786" s="1"/>
  <c r="U787" l="1"/>
  <c r="V787" s="1"/>
  <c r="U788" l="1"/>
  <c r="V788" s="1"/>
  <c r="U789" l="1"/>
  <c r="V789" s="1"/>
  <c r="U790" l="1"/>
  <c r="V790" s="1"/>
  <c r="U791" l="1"/>
  <c r="V791" s="1"/>
  <c r="U792" l="1"/>
  <c r="V792" s="1"/>
  <c r="U793" l="1"/>
  <c r="V793" s="1"/>
  <c r="U794" l="1"/>
  <c r="V794" s="1"/>
  <c r="U795" l="1"/>
  <c r="V795" s="1"/>
  <c r="U796" l="1"/>
  <c r="V796" s="1"/>
  <c r="U797" l="1"/>
  <c r="V797" s="1"/>
  <c r="U798" l="1"/>
  <c r="V798" s="1"/>
  <c r="U799" l="1"/>
  <c r="V799" s="1"/>
  <c r="U800" l="1"/>
  <c r="V800" s="1"/>
  <c r="U801" l="1"/>
  <c r="V801" s="1"/>
  <c r="U802" l="1"/>
  <c r="V802" s="1"/>
  <c r="U803" l="1"/>
  <c r="V803" s="1"/>
  <c r="U804" l="1"/>
  <c r="V804" s="1"/>
  <c r="U805" l="1"/>
  <c r="V805" s="1"/>
  <c r="U806" l="1"/>
  <c r="V806" s="1"/>
  <c r="U807" l="1"/>
  <c r="V807" s="1"/>
  <c r="U808" l="1"/>
  <c r="V808" s="1"/>
  <c r="U809" l="1"/>
  <c r="V809" s="1"/>
  <c r="U810" l="1"/>
  <c r="V810" s="1"/>
  <c r="U811" l="1"/>
  <c r="V811" s="1"/>
  <c r="U812" l="1"/>
  <c r="V812" s="1"/>
  <c r="U813" l="1"/>
  <c r="V813" s="1"/>
  <c r="U814" l="1"/>
  <c r="V814" s="1"/>
  <c r="U815" l="1"/>
  <c r="V815" s="1"/>
  <c r="U816" l="1"/>
  <c r="V816" s="1"/>
  <c r="U817" l="1"/>
  <c r="V817" s="1"/>
  <c r="U818" l="1"/>
  <c r="V818" s="1"/>
  <c r="U819" l="1"/>
  <c r="V819" s="1"/>
  <c r="U820" l="1"/>
  <c r="V820" s="1"/>
  <c r="U821" l="1"/>
  <c r="V821" s="1"/>
  <c r="U822" l="1"/>
  <c r="V822" s="1"/>
  <c r="U823" l="1"/>
  <c r="V823" s="1"/>
  <c r="U824" l="1"/>
  <c r="V824" s="1"/>
  <c r="U825" l="1"/>
  <c r="V825" s="1"/>
  <c r="U826" l="1"/>
  <c r="V826" s="1"/>
  <c r="U827" l="1"/>
  <c r="V827" s="1"/>
  <c r="U828" l="1"/>
  <c r="V828" s="1"/>
  <c r="U829" l="1"/>
  <c r="V829" s="1"/>
  <c r="U830" l="1"/>
  <c r="V830" s="1"/>
  <c r="U831" l="1"/>
  <c r="V831" s="1"/>
  <c r="U832" l="1"/>
  <c r="V832" s="1"/>
  <c r="U833" l="1"/>
  <c r="V833" s="1"/>
  <c r="U834" l="1"/>
  <c r="V834" s="1"/>
  <c r="U835" l="1"/>
  <c r="V835" s="1"/>
  <c r="U836" l="1"/>
  <c r="V836" s="1"/>
  <c r="U837" l="1"/>
  <c r="V837" s="1"/>
  <c r="U838" l="1"/>
  <c r="V838" s="1"/>
  <c r="U839" l="1"/>
  <c r="V839" s="1"/>
  <c r="U840" l="1"/>
  <c r="V840" s="1"/>
  <c r="U841" l="1"/>
  <c r="V841" s="1"/>
  <c r="U842" l="1"/>
  <c r="V842" s="1"/>
  <c r="U843" l="1"/>
  <c r="V843" s="1"/>
  <c r="U844" l="1"/>
  <c r="V844" s="1"/>
  <c r="U845" l="1"/>
  <c r="V845" s="1"/>
  <c r="U846" l="1"/>
  <c r="V846" s="1"/>
  <c r="U847" l="1"/>
  <c r="V847" s="1"/>
  <c r="U848" l="1"/>
  <c r="V848" s="1"/>
  <c r="U849" l="1"/>
  <c r="V849" s="1"/>
  <c r="U850" l="1"/>
  <c r="V850" s="1"/>
  <c r="U851" l="1"/>
  <c r="V851" s="1"/>
  <c r="U852" l="1"/>
  <c r="V852" s="1"/>
  <c r="U853" l="1"/>
  <c r="V853" s="1"/>
  <c r="U854" l="1"/>
  <c r="V854" s="1"/>
  <c r="U855" l="1"/>
  <c r="V855" s="1"/>
  <c r="U856" l="1"/>
  <c r="V856" s="1"/>
  <c r="U857" l="1"/>
  <c r="V857" s="1"/>
  <c r="U858" l="1"/>
  <c r="V858" s="1"/>
  <c r="U859" l="1"/>
  <c r="V859" s="1"/>
  <c r="U860" l="1"/>
  <c r="V860" s="1"/>
  <c r="U861" l="1"/>
  <c r="V861" s="1"/>
  <c r="U862" l="1"/>
  <c r="V862" s="1"/>
  <c r="U863" l="1"/>
  <c r="V863" s="1"/>
  <c r="U864" l="1"/>
  <c r="V864" s="1"/>
  <c r="U865" l="1"/>
  <c r="V865" s="1"/>
  <c r="U866" l="1"/>
  <c r="V866" s="1"/>
  <c r="U867" l="1"/>
  <c r="V867" s="1"/>
  <c r="U868" l="1"/>
  <c r="V868" s="1"/>
  <c r="U869" l="1"/>
  <c r="V869" s="1"/>
  <c r="U870" l="1"/>
  <c r="V870" s="1"/>
  <c r="U871" l="1"/>
  <c r="V871" s="1"/>
  <c r="U872" l="1"/>
  <c r="V872" s="1"/>
  <c r="U873" l="1"/>
  <c r="V873" s="1"/>
  <c r="U874" l="1"/>
  <c r="V874" s="1"/>
  <c r="U875" l="1"/>
  <c r="V875" s="1"/>
  <c r="U876" l="1"/>
  <c r="V876" s="1"/>
  <c r="U877" l="1"/>
  <c r="V877" s="1"/>
  <c r="U878" l="1"/>
  <c r="V878" s="1"/>
  <c r="U879" l="1"/>
  <c r="V879" s="1"/>
  <c r="U880" l="1"/>
  <c r="V880" s="1"/>
  <c r="U881" l="1"/>
  <c r="V881" s="1"/>
  <c r="U882" l="1"/>
  <c r="V882" s="1"/>
  <c r="U883" l="1"/>
  <c r="V883" s="1"/>
  <c r="U884" l="1"/>
  <c r="V884" s="1"/>
  <c r="U885" l="1"/>
  <c r="V885" s="1"/>
  <c r="U886" l="1"/>
  <c r="V886" s="1"/>
  <c r="U887" l="1"/>
  <c r="V887" s="1"/>
  <c r="U888" l="1"/>
  <c r="V888" s="1"/>
  <c r="U889" l="1"/>
  <c r="V889" s="1"/>
  <c r="U890" l="1"/>
  <c r="V890" s="1"/>
  <c r="U891" l="1"/>
  <c r="V891" s="1"/>
  <c r="U892" l="1"/>
  <c r="V892" s="1"/>
  <c r="U893" l="1"/>
  <c r="V893" s="1"/>
  <c r="U894" l="1"/>
  <c r="V894" s="1"/>
  <c r="U895" l="1"/>
  <c r="V895" s="1"/>
  <c r="U896" l="1"/>
  <c r="V896" s="1"/>
  <c r="U897" l="1"/>
  <c r="V897" s="1"/>
  <c r="U898" l="1"/>
  <c r="V898" s="1"/>
  <c r="U899" l="1"/>
  <c r="V899" s="1"/>
  <c r="U900" l="1"/>
  <c r="V900" s="1"/>
  <c r="U901" l="1"/>
  <c r="V901" s="1"/>
  <c r="U902" l="1"/>
  <c r="V902" s="1"/>
  <c r="U903" l="1"/>
  <c r="V903" s="1"/>
  <c r="U904" l="1"/>
  <c r="V904" s="1"/>
  <c r="U905" l="1"/>
  <c r="V905" s="1"/>
  <c r="U906" l="1"/>
  <c r="V906" s="1"/>
  <c r="U907" l="1"/>
  <c r="V907" s="1"/>
  <c r="U908" l="1"/>
  <c r="V908" s="1"/>
  <c r="U909" l="1"/>
  <c r="V909" s="1"/>
  <c r="U910" l="1"/>
  <c r="V910" s="1"/>
  <c r="U911" l="1"/>
  <c r="V911" s="1"/>
  <c r="U912" l="1"/>
  <c r="V912" s="1"/>
  <c r="U913" l="1"/>
  <c r="V913" s="1"/>
  <c r="U914" l="1"/>
  <c r="V914" s="1"/>
  <c r="U915" l="1"/>
  <c r="V915" s="1"/>
  <c r="U916" l="1"/>
  <c r="V916" s="1"/>
  <c r="U917" l="1"/>
  <c r="V917" s="1"/>
  <c r="U918" l="1"/>
  <c r="V918" s="1"/>
  <c r="U919" l="1"/>
  <c r="V919" s="1"/>
  <c r="U920" l="1"/>
  <c r="V920" s="1"/>
  <c r="U921" l="1"/>
  <c r="V921" s="1"/>
  <c r="U922" l="1"/>
  <c r="V922" s="1"/>
  <c r="U923" l="1"/>
  <c r="V923" s="1"/>
  <c r="U924" l="1"/>
  <c r="V924" s="1"/>
  <c r="U925" l="1"/>
  <c r="V925" s="1"/>
  <c r="U926" l="1"/>
  <c r="V926" s="1"/>
  <c r="U927" l="1"/>
  <c r="V927" s="1"/>
  <c r="U928" l="1"/>
  <c r="V928" s="1"/>
  <c r="U929" l="1"/>
  <c r="V929" s="1"/>
  <c r="U930" l="1"/>
  <c r="V930" s="1"/>
  <c r="U931" l="1"/>
  <c r="V931" s="1"/>
  <c r="U932" l="1"/>
  <c r="V932" s="1"/>
  <c r="U933" l="1"/>
  <c r="V933" s="1"/>
  <c r="U934" l="1"/>
  <c r="V934" s="1"/>
  <c r="U935" l="1"/>
  <c r="V935" s="1"/>
  <c r="U936" l="1"/>
  <c r="V936" s="1"/>
  <c r="U937" l="1"/>
  <c r="V937" s="1"/>
  <c r="U938" l="1"/>
  <c r="V938" s="1"/>
  <c r="U939" l="1"/>
  <c r="V939" s="1"/>
  <c r="U940" l="1"/>
  <c r="V940" s="1"/>
  <c r="U941" l="1"/>
  <c r="V941" s="1"/>
  <c r="U942" l="1"/>
  <c r="V942" s="1"/>
  <c r="U943" l="1"/>
  <c r="V943" s="1"/>
  <c r="U944" l="1"/>
  <c r="V944" s="1"/>
  <c r="U945" l="1"/>
  <c r="V945" s="1"/>
  <c r="U946" l="1"/>
  <c r="V946" s="1"/>
  <c r="U947" l="1"/>
  <c r="V947" s="1"/>
  <c r="U948" l="1"/>
  <c r="V948" s="1"/>
  <c r="U949" l="1"/>
  <c r="V949" s="1"/>
  <c r="U950" l="1"/>
  <c r="V950" s="1"/>
  <c r="U951" l="1"/>
  <c r="V951" s="1"/>
  <c r="U952" l="1"/>
  <c r="V952" s="1"/>
  <c r="U953" l="1"/>
  <c r="V953" s="1"/>
  <c r="U954" l="1"/>
  <c r="V954" s="1"/>
  <c r="U955" l="1"/>
  <c r="V955" s="1"/>
  <c r="U956" l="1"/>
  <c r="V956" s="1"/>
  <c r="U957" l="1"/>
  <c r="V957" s="1"/>
  <c r="U958" l="1"/>
  <c r="V958" s="1"/>
  <c r="U959" l="1"/>
  <c r="V959" s="1"/>
  <c r="U960" l="1"/>
  <c r="V960" s="1"/>
  <c r="U961" l="1"/>
  <c r="V961" s="1"/>
  <c r="U962" l="1"/>
  <c r="V962" s="1"/>
  <c r="U963" l="1"/>
  <c r="V963" s="1"/>
  <c r="U964" l="1"/>
  <c r="V964" s="1"/>
  <c r="U965" l="1"/>
  <c r="V965" s="1"/>
  <c r="U966" l="1"/>
  <c r="V966" s="1"/>
  <c r="U967" l="1"/>
  <c r="V967" s="1"/>
  <c r="U968" l="1"/>
  <c r="V968" s="1"/>
  <c r="U969" l="1"/>
  <c r="V969" s="1"/>
  <c r="U970" l="1"/>
  <c r="V970" s="1"/>
  <c r="U971" l="1"/>
  <c r="V971" s="1"/>
  <c r="U972" l="1"/>
  <c r="V972" s="1"/>
  <c r="U973" l="1"/>
  <c r="V973" s="1"/>
  <c r="U974" l="1"/>
  <c r="V974" s="1"/>
  <c r="U975" l="1"/>
  <c r="V975" s="1"/>
  <c r="U976" l="1"/>
  <c r="V976" s="1"/>
  <c r="U977" l="1"/>
  <c r="V977" s="1"/>
  <c r="U978" l="1"/>
  <c r="V978" s="1"/>
  <c r="U979" l="1"/>
  <c r="V979" s="1"/>
  <c r="U980" l="1"/>
  <c r="V980" s="1"/>
  <c r="U981" l="1"/>
  <c r="V981" s="1"/>
  <c r="U982" l="1"/>
  <c r="V982" s="1"/>
  <c r="U983" l="1"/>
  <c r="V983" s="1"/>
  <c r="U984" l="1"/>
  <c r="V984" s="1"/>
  <c r="U985" l="1"/>
  <c r="V985" s="1"/>
  <c r="U986" l="1"/>
  <c r="V986" s="1"/>
  <c r="U987" l="1"/>
  <c r="V987" s="1"/>
  <c r="U988" l="1"/>
  <c r="V988" s="1"/>
  <c r="U989" l="1"/>
  <c r="V989" s="1"/>
  <c r="U990" l="1"/>
  <c r="V990" s="1"/>
  <c r="U991" l="1"/>
  <c r="V991" s="1"/>
  <c r="U992" l="1"/>
  <c r="V992" s="1"/>
  <c r="U993" l="1"/>
  <c r="V993" s="1"/>
  <c r="U994" l="1"/>
  <c r="V994" s="1"/>
  <c r="U995" l="1"/>
  <c r="V995" s="1"/>
  <c r="U996" l="1"/>
  <c r="V996" s="1"/>
  <c r="U997" l="1"/>
  <c r="V997" s="1"/>
  <c r="U998" l="1"/>
  <c r="V998" s="1"/>
  <c r="U999" l="1"/>
  <c r="V999" s="1"/>
  <c r="U1000" l="1"/>
  <c r="V1000" s="1"/>
  <c r="U1001" l="1"/>
  <c r="V1001" s="1"/>
  <c r="U1002" l="1"/>
  <c r="V1002" s="1"/>
  <c r="U1003" l="1"/>
  <c r="V1003" s="1"/>
  <c r="U1004" l="1"/>
  <c r="V1004" s="1"/>
  <c r="U1005" l="1"/>
  <c r="V1005" s="1"/>
  <c r="U1006" l="1"/>
  <c r="V1006" s="1"/>
  <c r="U1007" l="1"/>
  <c r="V1007" s="1"/>
  <c r="U1008" l="1"/>
  <c r="V1008" s="1"/>
  <c r="U1009" l="1"/>
  <c r="V1009" s="1"/>
  <c r="U1010" l="1"/>
  <c r="V1010" s="1"/>
  <c r="U1011" l="1"/>
  <c r="V1011" s="1"/>
  <c r="U1012" l="1"/>
  <c r="V1012" s="1"/>
  <c r="U1013" l="1"/>
  <c r="V1013" s="1"/>
  <c r="U1014" l="1"/>
  <c r="V1014" s="1"/>
  <c r="U1015" l="1"/>
  <c r="V1015" s="1"/>
  <c r="U1016" l="1"/>
  <c r="V1016" s="1"/>
  <c r="U1017" l="1"/>
  <c r="V1017" s="1"/>
  <c r="U1018" l="1"/>
  <c r="V1018" s="1"/>
  <c r="U1019" l="1"/>
  <c r="V1019" s="1"/>
  <c r="U1020" l="1"/>
  <c r="V1020" s="1"/>
  <c r="U1021" l="1"/>
  <c r="V1021" s="1"/>
  <c r="U1022" l="1"/>
  <c r="V1022" s="1"/>
  <c r="U1023" l="1"/>
  <c r="V1023" s="1"/>
  <c r="U1024" l="1"/>
  <c r="V1024" s="1"/>
  <c r="U1025" l="1"/>
  <c r="V1025" s="1"/>
  <c r="U1026" l="1"/>
  <c r="V1026" s="1"/>
  <c r="U1027" l="1"/>
  <c r="V1027" s="1"/>
  <c r="U1028" l="1"/>
  <c r="V1028" s="1"/>
  <c r="U1029" l="1"/>
  <c r="V1029" s="1"/>
  <c r="U1030" l="1"/>
  <c r="V1030" s="1"/>
  <c r="U1031" l="1"/>
  <c r="V1031" s="1"/>
  <c r="U1032" l="1"/>
  <c r="V1032" s="1"/>
  <c r="U1033" l="1"/>
  <c r="V1033" s="1"/>
  <c r="U1034" l="1"/>
  <c r="V1034" s="1"/>
  <c r="U1035" l="1"/>
  <c r="V1035" s="1"/>
  <c r="U1036" l="1"/>
  <c r="V1036" s="1"/>
  <c r="U1037" l="1"/>
  <c r="V1037" s="1"/>
  <c r="U1038" l="1"/>
  <c r="V1038" s="1"/>
  <c r="U1039" l="1"/>
  <c r="V1039" s="1"/>
  <c r="U1040" l="1"/>
  <c r="V1040" s="1"/>
  <c r="U1041" l="1"/>
  <c r="V1041" s="1"/>
  <c r="U1042" l="1"/>
  <c r="V1042" s="1"/>
  <c r="U1043" l="1"/>
  <c r="V1043" s="1"/>
  <c r="U1044" l="1"/>
  <c r="V1044" s="1"/>
  <c r="U1045" l="1"/>
  <c r="V1045" s="1"/>
  <c r="U1046" l="1"/>
  <c r="V1046" s="1"/>
  <c r="U1047" l="1"/>
  <c r="V1047" s="1"/>
  <c r="U1048" l="1"/>
  <c r="V1048" s="1"/>
  <c r="U1049" l="1"/>
  <c r="V1049" s="1"/>
  <c r="U1050" l="1"/>
  <c r="V1050" s="1"/>
  <c r="U1051" l="1"/>
  <c r="V1051" s="1"/>
  <c r="U1052" l="1"/>
  <c r="V1052" s="1"/>
  <c r="U1053" l="1"/>
  <c r="V1053" s="1"/>
  <c r="U1054" l="1"/>
  <c r="V1054" s="1"/>
  <c r="U1055" l="1"/>
  <c r="V1055" s="1"/>
  <c r="U1056" l="1"/>
  <c r="V1056" s="1"/>
  <c r="U1057" l="1"/>
  <c r="V1057" s="1"/>
  <c r="U1058" l="1"/>
  <c r="V1058" s="1"/>
  <c r="U1059" l="1"/>
  <c r="V1059" s="1"/>
  <c r="U1060" l="1"/>
  <c r="V1060" s="1"/>
  <c r="U1061" l="1"/>
  <c r="V1061" s="1"/>
  <c r="U1062" l="1"/>
  <c r="V1062" s="1"/>
  <c r="U1063" l="1"/>
  <c r="V1063" s="1"/>
  <c r="U1064" l="1"/>
  <c r="V1064" s="1"/>
  <c r="U1065" l="1"/>
  <c r="V1065" s="1"/>
  <c r="U1066" l="1"/>
  <c r="V1066" s="1"/>
  <c r="U1067" l="1"/>
  <c r="V1067" s="1"/>
  <c r="U1068" l="1"/>
  <c r="V1068" s="1"/>
  <c r="U1069" l="1"/>
  <c r="V1069" s="1"/>
  <c r="U1070" l="1"/>
  <c r="V1070" s="1"/>
  <c r="U1071" l="1"/>
  <c r="V1071" s="1"/>
  <c r="U1072" l="1"/>
  <c r="V1072" s="1"/>
  <c r="U1073" l="1"/>
  <c r="V1073" s="1"/>
  <c r="U1074" l="1"/>
  <c r="V1074" s="1"/>
  <c r="U1075" l="1"/>
  <c r="V1075" s="1"/>
  <c r="U1076" l="1"/>
  <c r="V1076" s="1"/>
  <c r="U1077" l="1"/>
  <c r="V1077" s="1"/>
  <c r="U1078" l="1"/>
  <c r="V1078" s="1"/>
  <c r="U1079" l="1"/>
  <c r="V1079" s="1"/>
  <c r="U1080" l="1"/>
  <c r="V1080" s="1"/>
  <c r="U1081" l="1"/>
  <c r="V1081" s="1"/>
  <c r="U1082" l="1"/>
  <c r="V1082" s="1"/>
  <c r="U1083" l="1"/>
  <c r="V1083" s="1"/>
  <c r="U1084" l="1"/>
  <c r="V1084" s="1"/>
  <c r="U1085" l="1"/>
  <c r="V1085" s="1"/>
  <c r="U1086" l="1"/>
  <c r="V1086" s="1"/>
  <c r="U1087" l="1"/>
  <c r="V1087" s="1"/>
  <c r="U1088" l="1"/>
  <c r="V1088" s="1"/>
  <c r="U1089" l="1"/>
  <c r="V1089" s="1"/>
  <c r="U1090" l="1"/>
  <c r="V1090" s="1"/>
  <c r="U1091" l="1"/>
  <c r="V1091" s="1"/>
  <c r="U1092" l="1"/>
  <c r="V1092" s="1"/>
  <c r="U1093" l="1"/>
  <c r="V1093" s="1"/>
  <c r="U1094" l="1"/>
  <c r="V1094" s="1"/>
  <c r="U1095" l="1"/>
  <c r="V1095" s="1"/>
  <c r="U1096" l="1"/>
  <c r="V1096" s="1"/>
  <c r="U1097" l="1"/>
  <c r="V1097" s="1"/>
  <c r="U1098" l="1"/>
  <c r="V1098" s="1"/>
  <c r="U1099" l="1"/>
  <c r="V1099" s="1"/>
  <c r="U1100" l="1"/>
  <c r="V1100" s="1"/>
  <c r="U1101" l="1"/>
  <c r="V1101" s="1"/>
  <c r="U1102" l="1"/>
  <c r="V1102" s="1"/>
  <c r="U1103" l="1"/>
  <c r="V1103" s="1"/>
  <c r="U1104" l="1"/>
  <c r="V1104" s="1"/>
  <c r="U1105" l="1"/>
  <c r="V1105" s="1"/>
  <c r="U1106" l="1"/>
  <c r="V1106" s="1"/>
  <c r="U1107" l="1"/>
  <c r="V1107" s="1"/>
  <c r="U1108" l="1"/>
  <c r="V1108" s="1"/>
  <c r="U1109" l="1"/>
  <c r="V1109" s="1"/>
  <c r="U1110" l="1"/>
  <c r="V1110" s="1"/>
  <c r="U1111" l="1"/>
  <c r="V1111" s="1"/>
  <c r="U1112" l="1"/>
  <c r="V1112" s="1"/>
  <c r="U1113" l="1"/>
  <c r="V1113" s="1"/>
  <c r="U1114" l="1"/>
  <c r="V1114" s="1"/>
  <c r="U1115" l="1"/>
  <c r="V1115" s="1"/>
  <c r="U1116" l="1"/>
  <c r="V1116" s="1"/>
  <c r="U1117" l="1"/>
  <c r="V1117" s="1"/>
  <c r="U1118" l="1"/>
  <c r="V1118" s="1"/>
  <c r="U1119" l="1"/>
  <c r="V1119" s="1"/>
  <c r="U1120" l="1"/>
  <c r="V1120" s="1"/>
  <c r="U1121" l="1"/>
  <c r="V1121" s="1"/>
  <c r="U1122" l="1"/>
  <c r="V1122" s="1"/>
  <c r="U1123" l="1"/>
  <c r="V1123" s="1"/>
  <c r="U1124" l="1"/>
  <c r="V1124" s="1"/>
  <c r="U1125" l="1"/>
  <c r="V1125" s="1"/>
  <c r="U1126" l="1"/>
  <c r="V1126" s="1"/>
  <c r="U1127" l="1"/>
  <c r="V1127" s="1"/>
  <c r="U1128" l="1"/>
  <c r="V1128" s="1"/>
  <c r="U1129" l="1"/>
  <c r="V1129" s="1"/>
  <c r="U1130" l="1"/>
  <c r="V1130" s="1"/>
  <c r="U1131" l="1"/>
  <c r="V1131" s="1"/>
  <c r="U1132" l="1"/>
  <c r="V1132" s="1"/>
  <c r="U1133" l="1"/>
  <c r="V1133" s="1"/>
  <c r="U1134" l="1"/>
  <c r="V1134" s="1"/>
  <c r="U1135" l="1"/>
  <c r="V1135" s="1"/>
  <c r="U1136" l="1"/>
  <c r="V1136" s="1"/>
  <c r="U1137" l="1"/>
  <c r="V1137" s="1"/>
  <c r="U1138" l="1"/>
  <c r="V1138" s="1"/>
  <c r="U1139" l="1"/>
  <c r="V1139" s="1"/>
  <c r="U1140" l="1"/>
  <c r="V1140" s="1"/>
  <c r="U1141" l="1"/>
  <c r="V1141" s="1"/>
  <c r="U1142" l="1"/>
  <c r="V1142" s="1"/>
  <c r="U1143" l="1"/>
  <c r="V1143" s="1"/>
  <c r="U1144" l="1"/>
  <c r="V1144" s="1"/>
  <c r="U1145" l="1"/>
  <c r="V1145" s="1"/>
  <c r="U1146" l="1"/>
  <c r="V1146" s="1"/>
  <c r="U1147" l="1"/>
  <c r="V1147" s="1"/>
  <c r="U1148" l="1"/>
  <c r="V1148" s="1"/>
  <c r="U1149" l="1"/>
  <c r="V1149" s="1"/>
  <c r="U1150" l="1"/>
  <c r="V1150" s="1"/>
  <c r="U1151" l="1"/>
  <c r="V1151" s="1"/>
  <c r="U1152" l="1"/>
  <c r="V1152" s="1"/>
  <c r="U1153" l="1"/>
  <c r="V1153" s="1"/>
  <c r="U1154" l="1"/>
  <c r="V1154" s="1"/>
  <c r="U1155" l="1"/>
  <c r="V1155" s="1"/>
  <c r="U1156" l="1"/>
  <c r="V1156" s="1"/>
  <c r="U1157" l="1"/>
  <c r="V1157" s="1"/>
  <c r="U1158" l="1"/>
  <c r="V1158" s="1"/>
  <c r="U1159" l="1"/>
  <c r="V1159" s="1"/>
  <c r="U1160" l="1"/>
  <c r="V1160" s="1"/>
  <c r="U1161" l="1"/>
  <c r="V1161" s="1"/>
  <c r="U1162" l="1"/>
  <c r="V1162" s="1"/>
  <c r="U1163" l="1"/>
  <c r="V1163" s="1"/>
  <c r="U1164" l="1"/>
  <c r="V1164" s="1"/>
  <c r="U1165" l="1"/>
  <c r="V1165" s="1"/>
  <c r="U1166" l="1"/>
  <c r="V1166" s="1"/>
  <c r="U1167" l="1"/>
  <c r="V1167" s="1"/>
  <c r="U1168" l="1"/>
  <c r="V1168" s="1"/>
  <c r="U1169" l="1"/>
  <c r="V1169" s="1"/>
  <c r="U1170" l="1"/>
  <c r="V1170" s="1"/>
  <c r="U1171" l="1"/>
  <c r="V1171" s="1"/>
  <c r="U1172" l="1"/>
  <c r="V1172" s="1"/>
  <c r="U1173" l="1"/>
  <c r="V1173" s="1"/>
  <c r="U1174" l="1"/>
  <c r="V1174" s="1"/>
  <c r="U1175" l="1"/>
  <c r="V1175" s="1"/>
  <c r="U1176" l="1"/>
  <c r="V1176" s="1"/>
  <c r="U1177" l="1"/>
  <c r="V1177" s="1"/>
  <c r="U1178" l="1"/>
  <c r="V1178" s="1"/>
  <c r="U1179" l="1"/>
  <c r="V1179" s="1"/>
  <c r="U1180" l="1"/>
  <c r="V1180" s="1"/>
  <c r="U1181" l="1"/>
  <c r="V1181" s="1"/>
  <c r="U1182" l="1"/>
  <c r="V1182" s="1"/>
  <c r="U1183" l="1"/>
  <c r="V1183" s="1"/>
  <c r="U1184" l="1"/>
  <c r="V1184" s="1"/>
  <c r="U1185" l="1"/>
  <c r="V1185" s="1"/>
  <c r="U1186" l="1"/>
  <c r="V1186" s="1"/>
  <c r="U1187" l="1"/>
  <c r="V1187" s="1"/>
  <c r="U1188" l="1"/>
  <c r="V1188" s="1"/>
  <c r="U1189" l="1"/>
  <c r="V1189" s="1"/>
  <c r="U1190" l="1"/>
  <c r="V1190" s="1"/>
  <c r="U1191" l="1"/>
  <c r="V1191" s="1"/>
  <c r="U1192" l="1"/>
  <c r="V1192" s="1"/>
  <c r="U1193" l="1"/>
  <c r="V1193" s="1"/>
  <c r="U1194" l="1"/>
  <c r="V1194" s="1"/>
  <c r="U1195" l="1"/>
  <c r="V1195" s="1"/>
  <c r="U1196" l="1"/>
  <c r="V1196" s="1"/>
  <c r="U1197" l="1"/>
  <c r="V1197" s="1"/>
  <c r="U1198" l="1"/>
  <c r="V1198" s="1"/>
  <c r="U1199" l="1"/>
  <c r="V1199" s="1"/>
  <c r="U1200" l="1"/>
  <c r="V1200" s="1"/>
  <c r="U1201" l="1"/>
  <c r="V1201" s="1"/>
  <c r="U1202" l="1"/>
  <c r="V1202" s="1"/>
  <c r="U1203" l="1"/>
  <c r="V1203" s="1"/>
  <c r="U1204" l="1"/>
  <c r="V1204" s="1"/>
  <c r="U1205" l="1"/>
  <c r="V1205" s="1"/>
  <c r="U1206" l="1"/>
  <c r="V1206" s="1"/>
  <c r="U1207" l="1"/>
  <c r="V1207" s="1"/>
  <c r="U1208" l="1"/>
  <c r="V1208" s="1"/>
  <c r="U1209" l="1"/>
  <c r="V1209" s="1"/>
  <c r="U1210" l="1"/>
  <c r="V1210" s="1"/>
  <c r="U1211" l="1"/>
  <c r="V1211" s="1"/>
  <c r="U1212" l="1"/>
  <c r="V1212" s="1"/>
  <c r="U1213" l="1"/>
  <c r="V1213" s="1"/>
  <c r="U1214" l="1"/>
  <c r="V1214" s="1"/>
  <c r="U1215" l="1"/>
  <c r="V1215" s="1"/>
  <c r="U1216" l="1"/>
  <c r="V1216" s="1"/>
  <c r="U1217" l="1"/>
  <c r="V1217" s="1"/>
  <c r="U1218" l="1"/>
  <c r="V1218" s="1"/>
  <c r="U1219" l="1"/>
  <c r="V1219" s="1"/>
  <c r="U1220" l="1"/>
  <c r="V1220" s="1"/>
  <c r="U1221" l="1"/>
  <c r="V1221" s="1"/>
  <c r="U1222" l="1"/>
  <c r="V1222" s="1"/>
  <c r="U1223" l="1"/>
  <c r="V1223" s="1"/>
  <c r="U1224" l="1"/>
  <c r="V1224" s="1"/>
  <c r="U1225" l="1"/>
  <c r="V1225" s="1"/>
  <c r="U1226" l="1"/>
  <c r="V1226" s="1"/>
  <c r="U1227" l="1"/>
  <c r="V1227" s="1"/>
  <c r="U1228" l="1"/>
  <c r="V1228" s="1"/>
  <c r="U1229" l="1"/>
  <c r="V1229" s="1"/>
  <c r="U1230" l="1"/>
  <c r="V1230" s="1"/>
  <c r="U1231" l="1"/>
  <c r="V1231" s="1"/>
  <c r="U1232" l="1"/>
  <c r="V1232" s="1"/>
  <c r="U1233" l="1"/>
  <c r="V1233" s="1"/>
  <c r="U1234" l="1"/>
  <c r="V1234" s="1"/>
  <c r="U1235" l="1"/>
  <c r="V1235" s="1"/>
  <c r="U1236" l="1"/>
  <c r="V1236" s="1"/>
  <c r="U1237" l="1"/>
  <c r="V1237" s="1"/>
  <c r="U1238" l="1"/>
  <c r="V1238" s="1"/>
  <c r="U1239" l="1"/>
  <c r="V1239" s="1"/>
  <c r="U1240" l="1"/>
  <c r="V1240" s="1"/>
  <c r="U1241" l="1"/>
  <c r="V1241" s="1"/>
  <c r="U1242" l="1"/>
  <c r="V1242" s="1"/>
  <c r="U1243" l="1"/>
  <c r="V1243" s="1"/>
  <c r="U1244" l="1"/>
  <c r="V1244" s="1"/>
  <c r="U1245" l="1"/>
  <c r="V1245" s="1"/>
  <c r="U1246" l="1"/>
  <c r="V1246" s="1"/>
  <c r="U1247" l="1"/>
  <c r="V1247" s="1"/>
  <c r="U1248" l="1"/>
  <c r="V1248" s="1"/>
  <c r="U1249" l="1"/>
  <c r="V1249" s="1"/>
  <c r="U1250" l="1"/>
  <c r="V1250" s="1"/>
  <c r="U1251" l="1"/>
  <c r="V1251" s="1"/>
  <c r="U1252" l="1"/>
  <c r="V1252" s="1"/>
  <c r="U1253" l="1"/>
  <c r="V1253" s="1"/>
  <c r="U1254" l="1"/>
  <c r="V1254" s="1"/>
  <c r="U1255" l="1"/>
  <c r="V1255" s="1"/>
  <c r="U1256" l="1"/>
  <c r="V1256" s="1"/>
  <c r="U1257" l="1"/>
  <c r="V1257" s="1"/>
  <c r="U1258" l="1"/>
  <c r="V1258" s="1"/>
  <c r="U1259" l="1"/>
  <c r="V1259" s="1"/>
  <c r="U1260" l="1"/>
  <c r="V1260" s="1"/>
  <c r="U1261" l="1"/>
  <c r="V1261" s="1"/>
  <c r="U1262" l="1"/>
  <c r="V1262" s="1"/>
  <c r="U1263" l="1"/>
  <c r="V1263" s="1"/>
  <c r="U1264" l="1"/>
  <c r="V1264" s="1"/>
  <c r="U1265" l="1"/>
  <c r="V1265" s="1"/>
  <c r="U1266" l="1"/>
  <c r="V1266" s="1"/>
  <c r="U1267" l="1"/>
  <c r="V1267" s="1"/>
  <c r="U1268" l="1"/>
  <c r="V1268" s="1"/>
  <c r="U1269" l="1"/>
  <c r="V1269" s="1"/>
  <c r="U1270" l="1"/>
  <c r="V1270" s="1"/>
  <c r="U1271" l="1"/>
  <c r="V1271" s="1"/>
  <c r="U1272" l="1"/>
  <c r="V1272" s="1"/>
  <c r="U1273" l="1"/>
  <c r="V1273" s="1"/>
  <c r="U1274" l="1"/>
  <c r="V1274" s="1"/>
  <c r="U1275" l="1"/>
  <c r="V1275" s="1"/>
  <c r="U1276" l="1"/>
  <c r="V1276" s="1"/>
  <c r="U1277" l="1"/>
  <c r="V1277" s="1"/>
  <c r="U1278" l="1"/>
  <c r="V1278" s="1"/>
  <c r="U1279" l="1"/>
  <c r="V1279" s="1"/>
  <c r="U1280" l="1"/>
  <c r="V1280" s="1"/>
  <c r="U1281" l="1"/>
  <c r="V1281" s="1"/>
  <c r="U1282" l="1"/>
  <c r="V1282" s="1"/>
  <c r="U1283" l="1"/>
  <c r="V1283" s="1"/>
  <c r="U1284" l="1"/>
  <c r="V1284" s="1"/>
  <c r="U1285" l="1"/>
  <c r="V1285" s="1"/>
  <c r="U1286" l="1"/>
  <c r="V1286" s="1"/>
  <c r="U1287" l="1"/>
  <c r="V1287" s="1"/>
  <c r="U1288" l="1"/>
  <c r="V1288" s="1"/>
  <c r="U1289" l="1"/>
  <c r="V1289" s="1"/>
  <c r="U1290" l="1"/>
  <c r="V1290" s="1"/>
  <c r="U1291" l="1"/>
  <c r="V1291" s="1"/>
  <c r="U1292" l="1"/>
  <c r="V1292" s="1"/>
  <c r="U1293" l="1"/>
  <c r="V1293" s="1"/>
  <c r="U1294" l="1"/>
  <c r="V1294" s="1"/>
  <c r="U1295" l="1"/>
  <c r="V1295" s="1"/>
  <c r="U1296" l="1"/>
  <c r="V1296" s="1"/>
  <c r="U1297" l="1"/>
  <c r="V1297" s="1"/>
  <c r="U1298" l="1"/>
  <c r="V1298" s="1"/>
  <c r="U1299" l="1"/>
  <c r="V1299" s="1"/>
  <c r="U1300" l="1"/>
  <c r="V1300" s="1"/>
  <c r="U1301" l="1"/>
  <c r="V1301" s="1"/>
  <c r="U1302" l="1"/>
  <c r="V1302" s="1"/>
  <c r="U1303" l="1"/>
  <c r="V1303" s="1"/>
  <c r="U1304" l="1"/>
  <c r="V1304" s="1"/>
  <c r="U1305" l="1"/>
  <c r="V1305" s="1"/>
  <c r="U1306" l="1"/>
  <c r="V1306" s="1"/>
  <c r="U1307" l="1"/>
  <c r="V1307" s="1"/>
  <c r="U1308" l="1"/>
  <c r="V1308" s="1"/>
  <c r="U1309" l="1"/>
  <c r="V1309" s="1"/>
  <c r="U1310" l="1"/>
  <c r="V1310" s="1"/>
  <c r="U1311" l="1"/>
  <c r="V1311" s="1"/>
  <c r="U1312" l="1"/>
  <c r="V1312" s="1"/>
  <c r="U1313" l="1"/>
  <c r="V1313" s="1"/>
  <c r="U1314" l="1"/>
  <c r="V1314" s="1"/>
  <c r="U1315" l="1"/>
  <c r="V1315" s="1"/>
  <c r="U1316" l="1"/>
  <c r="V1316" s="1"/>
  <c r="U1317" l="1"/>
  <c r="V1317" s="1"/>
  <c r="U1318" l="1"/>
  <c r="V1318" s="1"/>
  <c r="U1319" l="1"/>
  <c r="V1319" s="1"/>
  <c r="U1320" l="1"/>
  <c r="V1320" s="1"/>
  <c r="U1321" l="1"/>
  <c r="V1321" s="1"/>
  <c r="U1322" l="1"/>
  <c r="V1322" s="1"/>
  <c r="U1323" l="1"/>
  <c r="V1323" s="1"/>
  <c r="U1324" l="1"/>
  <c r="V1324" s="1"/>
  <c r="U1325" l="1"/>
  <c r="V1325" s="1"/>
  <c r="U1326" l="1"/>
  <c r="V1326" s="1"/>
  <c r="U1327" l="1"/>
  <c r="V1327" s="1"/>
  <c r="U1328" l="1"/>
  <c r="V1328" s="1"/>
  <c r="U1329" l="1"/>
  <c r="V1329" s="1"/>
  <c r="U1330" l="1"/>
  <c r="V1330" s="1"/>
  <c r="U1331" l="1"/>
  <c r="V1331" s="1"/>
  <c r="U1332" l="1"/>
  <c r="V1332" s="1"/>
  <c r="U1333" l="1"/>
  <c r="V1333" s="1"/>
  <c r="U1334" l="1"/>
  <c r="V1334" s="1"/>
  <c r="U1335" l="1"/>
  <c r="V1335" s="1"/>
  <c r="U1336" l="1"/>
  <c r="V1336" s="1"/>
  <c r="U1337" l="1"/>
  <c r="V1337" s="1"/>
  <c r="U1338" l="1"/>
  <c r="V1338" s="1"/>
  <c r="U1339" l="1"/>
  <c r="V1339" s="1"/>
  <c r="U1340" l="1"/>
  <c r="V1340" s="1"/>
  <c r="U1341" l="1"/>
  <c r="V1341" s="1"/>
  <c r="U1342" l="1"/>
  <c r="V1342" s="1"/>
  <c r="U1343" l="1"/>
  <c r="V1343" s="1"/>
  <c r="U1344" l="1"/>
  <c r="V1344" s="1"/>
  <c r="U1345" l="1"/>
  <c r="V1345" s="1"/>
  <c r="U1346" l="1"/>
  <c r="V1346" s="1"/>
  <c r="U1347" l="1"/>
  <c r="V1347" s="1"/>
  <c r="U1348" l="1"/>
  <c r="V1348" s="1"/>
  <c r="U1349" l="1"/>
  <c r="V1349" s="1"/>
  <c r="U1350" l="1"/>
  <c r="V1350" s="1"/>
  <c r="U1351" l="1"/>
  <c r="V1351" s="1"/>
  <c r="U1352" l="1"/>
  <c r="V1352" s="1"/>
  <c r="U1353" l="1"/>
  <c r="V1353" s="1"/>
  <c r="U1354" l="1"/>
  <c r="V1354" s="1"/>
  <c r="U1355" l="1"/>
  <c r="V1355" s="1"/>
  <c r="U1356" l="1"/>
  <c r="V1356" s="1"/>
  <c r="U1357" l="1"/>
  <c r="V1357" s="1"/>
  <c r="U1358" l="1"/>
  <c r="V1358" s="1"/>
  <c r="U1359" l="1"/>
  <c r="V1359" s="1"/>
  <c r="U1360" l="1"/>
  <c r="V1360" s="1"/>
  <c r="U1361" l="1"/>
  <c r="V1361" s="1"/>
  <c r="U1362" l="1"/>
  <c r="V1362" s="1"/>
  <c r="U1363" l="1"/>
  <c r="V1363" s="1"/>
  <c r="U1364" l="1"/>
  <c r="V1364" s="1"/>
  <c r="U1365" l="1"/>
  <c r="V1365" s="1"/>
  <c r="U1366" l="1"/>
  <c r="V1366" s="1"/>
  <c r="U1367" l="1"/>
  <c r="V1367" s="1"/>
  <c r="U1368" l="1"/>
  <c r="V1368" s="1"/>
  <c r="U1369" l="1"/>
  <c r="V1369" s="1"/>
  <c r="U1370" l="1"/>
  <c r="V1370" s="1"/>
  <c r="U1371" l="1"/>
  <c r="V1371" s="1"/>
  <c r="U1372" l="1"/>
  <c r="V1372" s="1"/>
  <c r="U1373" l="1"/>
  <c r="V1373" s="1"/>
  <c r="U1374" l="1"/>
  <c r="V1374" s="1"/>
  <c r="U1375" l="1"/>
  <c r="V1375" s="1"/>
  <c r="U1376" l="1"/>
  <c r="V1376" s="1"/>
  <c r="U1377" l="1"/>
  <c r="V1377" s="1"/>
  <c r="U1378" l="1"/>
  <c r="V1378" s="1"/>
  <c r="U1379" l="1"/>
  <c r="V1379" s="1"/>
  <c r="U1380" l="1"/>
  <c r="V1380" s="1"/>
  <c r="U1381" l="1"/>
  <c r="V1381" s="1"/>
  <c r="U1382" l="1"/>
  <c r="V1382" s="1"/>
  <c r="U1383" l="1"/>
  <c r="V1383" s="1"/>
  <c r="U1384" l="1"/>
  <c r="V1384" s="1"/>
  <c r="U1385" l="1"/>
  <c r="V1385" s="1"/>
  <c r="U1386" l="1"/>
  <c r="V1386" s="1"/>
  <c r="U1387" l="1"/>
  <c r="V1387" s="1"/>
  <c r="U1388" l="1"/>
  <c r="V1388" s="1"/>
  <c r="U1389" l="1"/>
  <c r="V1389" s="1"/>
  <c r="U1390" l="1"/>
  <c r="V1390" s="1"/>
  <c r="U1391" l="1"/>
  <c r="V1391" s="1"/>
  <c r="U1392" l="1"/>
  <c r="V1392" s="1"/>
  <c r="U1393" l="1"/>
  <c r="V1393" s="1"/>
  <c r="U1394" l="1"/>
  <c r="V1394" s="1"/>
  <c r="U1395" l="1"/>
  <c r="V1395" s="1"/>
  <c r="U1396" l="1"/>
  <c r="V1396" s="1"/>
  <c r="U1397" l="1"/>
  <c r="V1397" s="1"/>
  <c r="U1398" l="1"/>
  <c r="V1398" s="1"/>
  <c r="U1399" l="1"/>
  <c r="V1399" s="1"/>
  <c r="U1400" l="1"/>
  <c r="V1400" s="1"/>
  <c r="U1401" l="1"/>
  <c r="V1401" s="1"/>
  <c r="U1402" l="1"/>
  <c r="V1402" s="1"/>
  <c r="U1403" l="1"/>
  <c r="V1403" s="1"/>
  <c r="U1404" l="1"/>
  <c r="V1404" s="1"/>
  <c r="U1405" l="1"/>
  <c r="V1405" s="1"/>
  <c r="U1406" l="1"/>
  <c r="V1406" s="1"/>
  <c r="U1407" l="1"/>
  <c r="V1407" s="1"/>
  <c r="U1408" l="1"/>
  <c r="V1408" s="1"/>
  <c r="U1409" l="1"/>
  <c r="V1409" s="1"/>
  <c r="U1410" l="1"/>
  <c r="V1410" s="1"/>
  <c r="U1411" l="1"/>
  <c r="V1411" s="1"/>
  <c r="U1412" l="1"/>
  <c r="V1412" s="1"/>
  <c r="U1413" l="1"/>
  <c r="V1413" s="1"/>
  <c r="U1414" l="1"/>
  <c r="V1414" s="1"/>
  <c r="U1415" l="1"/>
  <c r="V1415" s="1"/>
  <c r="U1416" l="1"/>
  <c r="V1416" s="1"/>
  <c r="U1417" l="1"/>
  <c r="V1417" s="1"/>
  <c r="U1418" l="1"/>
  <c r="V1418" s="1"/>
  <c r="U1419" l="1"/>
  <c r="V1419" s="1"/>
  <c r="U1420" l="1"/>
  <c r="V1420" s="1"/>
  <c r="U1421" l="1"/>
  <c r="V1421" s="1"/>
  <c r="U1422" l="1"/>
  <c r="V1422" s="1"/>
  <c r="U1423" l="1"/>
  <c r="V1423" s="1"/>
  <c r="U1424" l="1"/>
  <c r="V1424" s="1"/>
  <c r="U1425" l="1"/>
  <c r="V1425" s="1"/>
  <c r="U1426" l="1"/>
  <c r="V1426" s="1"/>
  <c r="U1427" l="1"/>
  <c r="V1427" s="1"/>
  <c r="U1428" l="1"/>
  <c r="V1428" s="1"/>
  <c r="U1429" l="1"/>
  <c r="V1429" s="1"/>
  <c r="U1430" l="1"/>
  <c r="V1430" s="1"/>
  <c r="U1431" l="1"/>
  <c r="V1431" s="1"/>
  <c r="U1432" l="1"/>
  <c r="V1432" s="1"/>
  <c r="U1433" l="1"/>
  <c r="V1433" s="1"/>
  <c r="U1434" l="1"/>
  <c r="V1434" s="1"/>
  <c r="U1435" l="1"/>
  <c r="V1435" s="1"/>
  <c r="U1436" l="1"/>
  <c r="V1436" s="1"/>
  <c r="U1437" l="1"/>
  <c r="V1437" s="1"/>
  <c r="U1438" l="1"/>
  <c r="V1438" s="1"/>
  <c r="U1439" l="1"/>
  <c r="V1439" s="1"/>
  <c r="U1440" l="1"/>
  <c r="V1440" s="1"/>
  <c r="U1441" l="1"/>
  <c r="V1441" s="1"/>
  <c r="U1442" l="1"/>
  <c r="V1442" s="1"/>
  <c r="U1443" l="1"/>
  <c r="V1443" s="1"/>
  <c r="U1444" l="1"/>
  <c r="V1444" s="1"/>
  <c r="U1445" l="1"/>
  <c r="V1445" s="1"/>
  <c r="U1446" l="1"/>
  <c r="V1446" s="1"/>
  <c r="U1447" l="1"/>
  <c r="V1447" s="1"/>
  <c r="U1448" l="1"/>
  <c r="V1448" s="1"/>
  <c r="U1449" l="1"/>
  <c r="V1449" s="1"/>
  <c r="U1450" l="1"/>
  <c r="V1450" s="1"/>
  <c r="U1451" l="1"/>
  <c r="V1451" s="1"/>
  <c r="U1452" l="1"/>
  <c r="V1452" s="1"/>
  <c r="U1453" l="1"/>
  <c r="V1453" s="1"/>
  <c r="U1454" l="1"/>
  <c r="V1454" s="1"/>
  <c r="U1455" l="1"/>
  <c r="V1455" s="1"/>
  <c r="U1456" l="1"/>
  <c r="V1456" s="1"/>
  <c r="U1457" l="1"/>
  <c r="V1457" s="1"/>
  <c r="U1458" l="1"/>
  <c r="V1458" s="1"/>
  <c r="U1459" l="1"/>
  <c r="V1459" s="1"/>
  <c r="U1460" l="1"/>
  <c r="V1460" s="1"/>
  <c r="U1461" l="1"/>
  <c r="V1461" s="1"/>
  <c r="U1462" l="1"/>
  <c r="V1462" s="1"/>
  <c r="U1463" l="1"/>
  <c r="V1463" s="1"/>
  <c r="U1464" l="1"/>
  <c r="V1464" s="1"/>
  <c r="U1465" l="1"/>
  <c r="V1465" s="1"/>
  <c r="U1466" l="1"/>
  <c r="V1466" s="1"/>
  <c r="U1467" l="1"/>
  <c r="V1467" s="1"/>
  <c r="U1468" l="1"/>
  <c r="V1468" s="1"/>
  <c r="U1469" l="1"/>
  <c r="V1469" s="1"/>
  <c r="U1470" l="1"/>
  <c r="V1470" s="1"/>
  <c r="U1471" l="1"/>
  <c r="V1471" s="1"/>
  <c r="U1472" l="1"/>
  <c r="V1472" s="1"/>
  <c r="U1473" l="1"/>
  <c r="V1473" s="1"/>
  <c r="U1474" l="1"/>
  <c r="V1474" s="1"/>
  <c r="U1475" l="1"/>
  <c r="V1475" s="1"/>
  <c r="U1476" l="1"/>
  <c r="V1476" s="1"/>
  <c r="U1477" l="1"/>
  <c r="V1477" s="1"/>
  <c r="U1478" l="1"/>
  <c r="V1478" s="1"/>
  <c r="U1479" l="1"/>
  <c r="V1479" s="1"/>
  <c r="U1480" l="1"/>
  <c r="V1480" s="1"/>
  <c r="U1481" l="1"/>
  <c r="V1481" s="1"/>
  <c r="U1482" l="1"/>
  <c r="V1482" s="1"/>
  <c r="U1483" l="1"/>
  <c r="V1483" s="1"/>
  <c r="U1484" l="1"/>
  <c r="V1484" s="1"/>
  <c r="U1485" l="1"/>
  <c r="V1485" s="1"/>
  <c r="U1486" l="1"/>
  <c r="V1486" s="1"/>
  <c r="U1487" l="1"/>
  <c r="V1487" s="1"/>
  <c r="U1488" l="1"/>
  <c r="V1488" s="1"/>
  <c r="U1489" l="1"/>
  <c r="V1489" s="1"/>
  <c r="U1490" l="1"/>
  <c r="V1490" s="1"/>
  <c r="U1491" l="1"/>
  <c r="V1491" s="1"/>
  <c r="U1492" l="1"/>
  <c r="V1492" s="1"/>
  <c r="U1493" l="1"/>
  <c r="V1493" s="1"/>
  <c r="U1494" l="1"/>
  <c r="V1494" s="1"/>
  <c r="U1495" l="1"/>
  <c r="V1495" s="1"/>
  <c r="U1496" l="1"/>
  <c r="V1496" s="1"/>
  <c r="U1497" l="1"/>
  <c r="V1497" s="1"/>
  <c r="U1498" l="1"/>
  <c r="V1498" s="1"/>
  <c r="U1499" l="1"/>
  <c r="V1499" s="1"/>
  <c r="U1500" l="1"/>
  <c r="V1500" s="1"/>
  <c r="U1501" l="1"/>
  <c r="V1501" s="1"/>
  <c r="U1502" l="1"/>
  <c r="V1502" s="1"/>
  <c r="U1503" l="1"/>
  <c r="V1503" s="1"/>
  <c r="U1504" l="1"/>
  <c r="V1504" s="1"/>
  <c r="U1505" l="1"/>
  <c r="V1505" s="1"/>
  <c r="U1506" l="1"/>
  <c r="V1506" s="1"/>
  <c r="U1507" l="1"/>
  <c r="V1507" s="1"/>
  <c r="U1508" l="1"/>
  <c r="V1508" s="1"/>
  <c r="U1509" l="1"/>
  <c r="V1509" s="1"/>
  <c r="U1510" l="1"/>
  <c r="V1510" s="1"/>
  <c r="U1511" l="1"/>
  <c r="V1511" s="1"/>
  <c r="U1512" l="1"/>
  <c r="V1512" l="1"/>
  <c r="U1513"/>
  <c r="V1513" l="1"/>
  <c r="U1514"/>
  <c r="V1514" l="1"/>
  <c r="U1515"/>
  <c r="V1515" l="1"/>
  <c r="U1516"/>
  <c r="V1516" l="1"/>
  <c r="U1517"/>
  <c r="V1517" l="1"/>
  <c r="U1518"/>
  <c r="V1518" l="1"/>
  <c r="U1519"/>
  <c r="V1519" l="1"/>
  <c r="U1520"/>
  <c r="V1520" s="1"/>
  <c r="U1521" l="1"/>
  <c r="V1521" l="1"/>
  <c r="U1522"/>
  <c r="V1522" l="1"/>
  <c r="U1523"/>
  <c r="V1523" l="1"/>
  <c r="U1524"/>
  <c r="V1524" l="1"/>
  <c r="U1525"/>
  <c r="V1525" l="1"/>
  <c r="U1526"/>
  <c r="V1526" s="1"/>
  <c r="U1527" l="1"/>
  <c r="V1527" l="1"/>
  <c r="U1528"/>
  <c r="V1528" s="1"/>
  <c r="U1529" l="1"/>
  <c r="V1529" l="1"/>
  <c r="U1530"/>
  <c r="V1530" s="1"/>
  <c r="U1531" l="1"/>
  <c r="V1531" l="1"/>
  <c r="U1532"/>
  <c r="V1532" s="1"/>
  <c r="U1533" l="1"/>
  <c r="V1533" l="1"/>
  <c r="U1534"/>
  <c r="V1534" s="1"/>
  <c r="U1535" l="1"/>
  <c r="V1535" l="1"/>
  <c r="U1536"/>
  <c r="V1536" s="1"/>
  <c r="U1537" l="1"/>
  <c r="V1537" s="1"/>
  <c r="U1538" l="1"/>
  <c r="V1538" s="1"/>
  <c r="U1539" l="1"/>
  <c r="V1539" s="1"/>
  <c r="U1540" l="1"/>
  <c r="V1540" s="1"/>
  <c r="U1541" l="1"/>
  <c r="V1541" s="1"/>
  <c r="U1542" l="1"/>
  <c r="V1542" s="1"/>
  <c r="U1543" l="1"/>
  <c r="V1543" s="1"/>
  <c r="U1544" l="1"/>
  <c r="V1544" s="1"/>
  <c r="U1545" l="1"/>
  <c r="V1545" s="1"/>
  <c r="U1546" l="1"/>
  <c r="V1546" s="1"/>
  <c r="U1547" l="1"/>
  <c r="V1547" s="1"/>
  <c r="U1548" l="1"/>
  <c r="V1548" s="1"/>
  <c r="U1549" l="1"/>
  <c r="V1549" s="1"/>
  <c r="U1550" l="1"/>
  <c r="V1550" s="1"/>
  <c r="U1551" l="1"/>
  <c r="V1551" s="1"/>
  <c r="U1552" l="1"/>
  <c r="V1552" s="1"/>
  <c r="U1553" l="1"/>
  <c r="V1553" s="1"/>
  <c r="U1554" l="1"/>
  <c r="V1554" s="1"/>
  <c r="U1555" l="1"/>
  <c r="V1555" s="1"/>
  <c r="U1556" l="1"/>
  <c r="V1556" s="1"/>
  <c r="U1557" l="1"/>
  <c r="V1557" s="1"/>
  <c r="U1558" l="1"/>
  <c r="V1558" s="1"/>
  <c r="U1559" l="1"/>
  <c r="V1559" s="1"/>
  <c r="U1560" l="1"/>
  <c r="V1560" s="1"/>
  <c r="U1561" l="1"/>
  <c r="V1561" s="1"/>
  <c r="U1562" l="1"/>
  <c r="V1562" s="1"/>
  <c r="U1563" l="1"/>
  <c r="V1563" s="1"/>
  <c r="U1564" l="1"/>
  <c r="V1564" s="1"/>
  <c r="U1565" l="1"/>
  <c r="V1565" s="1"/>
  <c r="U1566" l="1"/>
  <c r="V1566" s="1"/>
  <c r="U1567" l="1"/>
  <c r="V1567" s="1"/>
  <c r="U1568" l="1"/>
  <c r="V1568" s="1"/>
  <c r="U1569" l="1"/>
  <c r="V1569" s="1"/>
  <c r="U1570" l="1"/>
  <c r="V1570" s="1"/>
  <c r="U1571" l="1"/>
  <c r="V1571" s="1"/>
  <c r="U1572" l="1"/>
  <c r="V1572" s="1"/>
  <c r="U1573" l="1"/>
  <c r="V1573" s="1"/>
  <c r="U1574" l="1"/>
  <c r="V1574" l="1"/>
  <c r="U1575" l="1"/>
  <c r="V1575" s="1"/>
  <c r="U1576" l="1"/>
  <c r="V1576" s="1"/>
  <c r="U1577" l="1"/>
  <c r="V1577" s="1"/>
  <c r="U1578" l="1"/>
  <c r="V1578" s="1"/>
  <c r="U1579" l="1"/>
  <c r="V1579" s="1"/>
  <c r="U1580" l="1"/>
  <c r="V1580" s="1"/>
  <c r="U1581" l="1"/>
  <c r="V1581" s="1"/>
  <c r="U1582" l="1"/>
  <c r="V1582" s="1"/>
  <c r="U1583" l="1"/>
  <c r="V1583" s="1"/>
  <c r="U1584" l="1"/>
  <c r="V1584" s="1"/>
  <c r="U1585" l="1"/>
  <c r="V1585" s="1"/>
  <c r="U1586" l="1"/>
  <c r="V1586" s="1"/>
  <c r="U1587" l="1"/>
  <c r="V1587" s="1"/>
  <c r="U1588" l="1"/>
  <c r="V1588" s="1"/>
  <c r="U1589" l="1"/>
  <c r="V1589" s="1"/>
  <c r="U1590" l="1"/>
  <c r="V1590" s="1"/>
  <c r="U1591" l="1"/>
  <c r="V1591" s="1"/>
  <c r="U1592" l="1"/>
  <c r="V1592" s="1"/>
  <c r="U1593" l="1"/>
  <c r="V1593" s="1"/>
  <c r="U1594" l="1"/>
  <c r="V1594" s="1"/>
  <c r="U1595" l="1"/>
  <c r="V1595" s="1"/>
  <c r="U1596" l="1"/>
  <c r="V1596" s="1"/>
  <c r="U1597" l="1"/>
  <c r="V1597" s="1"/>
  <c r="U1598" s="1"/>
  <c r="V1598" s="1"/>
  <c r="U1599" s="1"/>
  <c r="V1599" s="1"/>
  <c r="U1600" l="1"/>
  <c r="V1600" s="1"/>
  <c r="U1601" l="1"/>
  <c r="V1601" l="1"/>
  <c r="U1602" l="1"/>
  <c r="V1602" s="1"/>
  <c r="U1603" l="1"/>
  <c r="V1603" s="1"/>
  <c r="U1604" l="1"/>
  <c r="V1604" s="1"/>
  <c r="U1605" l="1"/>
  <c r="V1605" s="1"/>
  <c r="U1606" l="1"/>
  <c r="V1606" s="1"/>
  <c r="U1607" l="1"/>
  <c r="V1607" s="1"/>
  <c r="U1608" l="1"/>
  <c r="V1608" s="1"/>
  <c r="U1609" l="1"/>
  <c r="V1609" s="1"/>
  <c r="U1610" l="1"/>
  <c r="V1610" s="1"/>
  <c r="U1611" l="1"/>
  <c r="V1611" s="1"/>
  <c r="U1612" l="1"/>
  <c r="V1612" s="1"/>
  <c r="U1613" s="1"/>
  <c r="V1613" s="1"/>
  <c r="U1614" l="1"/>
  <c r="V1614" s="1"/>
  <c r="U1615" l="1"/>
  <c r="V1615" s="1"/>
  <c r="U1616" l="1"/>
  <c r="V1616" s="1"/>
  <c r="U1617" s="1"/>
  <c r="V1617" s="1"/>
  <c r="U1618" s="1"/>
  <c r="V1618" s="1"/>
  <c r="U1619" l="1"/>
  <c r="V1619" s="1"/>
  <c r="U1620" l="1"/>
  <c r="V1620" s="1"/>
  <c r="U1621" s="1"/>
  <c r="V1621" l="1"/>
  <c r="U1622" l="1"/>
  <c r="V1622" l="1"/>
  <c r="U1623" l="1"/>
  <c r="V1623" s="1"/>
  <c r="U1624" l="1"/>
  <c r="V1624" s="1"/>
  <c r="U1625" l="1"/>
  <c r="V1625" s="1"/>
  <c r="U1626" l="1"/>
  <c r="V1626" s="1"/>
  <c r="U1627" l="1"/>
  <c r="V1627" s="1"/>
  <c r="U1628" l="1"/>
  <c r="V1628" l="1"/>
  <c r="U1629" l="1"/>
  <c r="V1629" s="1"/>
  <c r="U1630" l="1"/>
  <c r="V1630" s="1"/>
  <c r="U1631" s="1"/>
  <c r="V1631" s="1"/>
  <c r="U1632" l="1"/>
  <c r="V1632" s="1"/>
  <c r="U1633" s="1"/>
  <c r="V1633" s="1"/>
  <c r="U1634" l="1"/>
  <c r="V1634" s="1"/>
  <c r="U1635" s="1"/>
  <c r="V1635" s="1"/>
  <c r="U1636" l="1"/>
  <c r="V1636" s="1"/>
  <c r="U1637" l="1"/>
  <c r="V1637" s="1"/>
  <c r="U1638" l="1"/>
  <c r="V1638" s="1"/>
  <c r="U1639" s="1"/>
  <c r="V1639" s="1"/>
  <c r="U1640" s="1"/>
  <c r="V1640" s="1"/>
  <c r="U1641" l="1"/>
  <c r="V1641" s="1"/>
  <c r="U1642" l="1"/>
  <c r="AF4" l="1"/>
  <c r="AH4" s="1"/>
  <c r="V1642"/>
  <c r="U1643" s="1"/>
  <c r="V1643" s="1"/>
  <c r="U1644" l="1"/>
  <c r="V1644" s="1"/>
  <c r="U1645" l="1"/>
  <c r="V1645" s="1"/>
  <c r="U1646" l="1"/>
  <c r="V1646" s="1"/>
  <c r="U1647" s="1"/>
  <c r="V1647" s="1"/>
  <c r="U1648" l="1"/>
  <c r="V1648" s="1"/>
  <c r="U1649" l="1"/>
  <c r="AF12"/>
  <c r="V1649" l="1"/>
  <c r="AH12"/>
  <c r="U1650" l="1"/>
  <c r="V1650" l="1"/>
  <c r="U1651" l="1"/>
  <c r="AB8" s="1"/>
  <c r="AD8" s="1"/>
  <c r="V1651" l="1"/>
  <c r="U1652"/>
  <c r="V1652" l="1"/>
  <c r="U1653" l="1"/>
  <c r="V1653" l="1"/>
  <c r="U1654" l="1"/>
  <c r="V1654" l="1"/>
  <c r="U1655" l="1"/>
  <c r="V1655" l="1"/>
  <c r="U1656" l="1"/>
  <c r="V1656" l="1"/>
  <c r="U1657" s="1"/>
  <c r="V1657" l="1"/>
  <c r="U1658" l="1"/>
  <c r="V1658" l="1"/>
  <c r="U1659" l="1"/>
  <c r="AJ4" s="1"/>
  <c r="AL4" s="1"/>
  <c r="V1659" l="1"/>
  <c r="U1660" l="1"/>
  <c r="V1660" l="1"/>
  <c r="U1661" l="1"/>
  <c r="V1661" l="1"/>
  <c r="U1662" l="1"/>
  <c r="V1662" l="1"/>
  <c r="U1663" l="1"/>
  <c r="V1663" l="1"/>
  <c r="U1664" l="1"/>
  <c r="V1664" l="1"/>
  <c r="U1665" l="1"/>
  <c r="V1665" s="1"/>
  <c r="U1666" l="1"/>
  <c r="V1666" l="1"/>
  <c r="U1667" l="1"/>
  <c r="V1667" s="1"/>
  <c r="U1668" l="1"/>
  <c r="V1668" s="1"/>
  <c r="AB4"/>
  <c r="U1669" l="1"/>
  <c r="AD4"/>
  <c r="V1669" l="1"/>
  <c r="U1670" l="1"/>
  <c r="V1670" l="1"/>
  <c r="U1671" l="1"/>
  <c r="V1671" l="1"/>
  <c r="U1672" l="1"/>
  <c r="AB36" l="1"/>
  <c r="AD36" s="1"/>
  <c r="V1672"/>
  <c r="U1673" l="1"/>
  <c r="V1673" l="1"/>
  <c r="U1674"/>
  <c r="AB32" s="1"/>
  <c r="AD32" s="1"/>
  <c r="V1674" l="1"/>
  <c r="U1675" l="1"/>
  <c r="AF8" l="1"/>
  <c r="AH8" s="1"/>
  <c r="V1675"/>
  <c r="U1676" l="1"/>
  <c r="V1676" l="1"/>
  <c r="U1677"/>
  <c r="V1677" l="1"/>
  <c r="U1678" l="1"/>
  <c r="V1678" l="1"/>
  <c r="U1679" l="1"/>
  <c r="V1679" l="1"/>
  <c r="U1680" l="1"/>
  <c r="V1680" l="1"/>
  <c r="U1681" l="1"/>
  <c r="V1681" s="1"/>
  <c r="U1682" l="1"/>
  <c r="V1682" l="1"/>
  <c r="U1683" l="1"/>
  <c r="V1683" l="1"/>
  <c r="U1684" l="1"/>
  <c r="V1684" l="1"/>
  <c r="V1685" s="1"/>
  <c r="V1686" s="1"/>
  <c r="V1687" s="1"/>
  <c r="V1688" s="1"/>
  <c r="V1690" s="1"/>
  <c r="V1691" s="1"/>
  <c r="T1692" l="1"/>
  <c r="U1692" s="1"/>
  <c r="V1692" s="1"/>
  <c r="T1693" l="1"/>
  <c r="U1693" s="1"/>
  <c r="V1693" s="1"/>
  <c r="T1694" l="1"/>
  <c r="U1694" s="1"/>
  <c r="V1694" s="1"/>
  <c r="V1695" l="1"/>
  <c r="T1695"/>
  <c r="U1695" s="1"/>
  <c r="T1696" l="1"/>
  <c r="U1696" s="1"/>
  <c r="V1696" s="1"/>
  <c r="T1697" l="1"/>
  <c r="U1697" s="1"/>
  <c r="V1697" s="1"/>
  <c r="T1698" l="1"/>
  <c r="U1698" s="1"/>
  <c r="V1698" s="1"/>
  <c r="V1699" l="1"/>
  <c r="T1699"/>
  <c r="U1699" s="1"/>
  <c r="T1700" l="1"/>
  <c r="U1700" s="1"/>
  <c r="V1700" s="1"/>
  <c r="T1701" l="1"/>
  <c r="U1701" s="1"/>
  <c r="V1701" s="1"/>
  <c r="T1702" l="1"/>
  <c r="U1702" s="1"/>
  <c r="V1702" s="1"/>
  <c r="T1703" l="1"/>
  <c r="U1703" s="1"/>
  <c r="V1703" s="1"/>
  <c r="T1704" l="1"/>
  <c r="U1704" s="1"/>
  <c r="V1704" s="1"/>
  <c r="T1705" l="1"/>
  <c r="U1705" s="1"/>
  <c r="V1705" s="1"/>
  <c r="T1706" l="1"/>
  <c r="U1706" s="1"/>
  <c r="V1706" s="1"/>
  <c r="T1707" l="1"/>
  <c r="U1707" s="1"/>
  <c r="V1707" s="1"/>
  <c r="T1708" l="1"/>
  <c r="U1708" s="1"/>
  <c r="V1708" s="1"/>
  <c r="T1709" l="1"/>
  <c r="U1709" s="1"/>
  <c r="V1709" s="1"/>
  <c r="T1710" l="1"/>
  <c r="U1710" s="1"/>
  <c r="V1710" s="1"/>
  <c r="T1711" l="1"/>
  <c r="U1711" s="1"/>
  <c r="V1711" s="1"/>
  <c r="V1712" l="1"/>
  <c r="T1712"/>
  <c r="U1712" s="1"/>
  <c r="V1713" l="1"/>
  <c r="T1713"/>
  <c r="U1713" s="1"/>
  <c r="V1714" l="1"/>
  <c r="T1714"/>
  <c r="U1714" s="1"/>
  <c r="AB16" s="1"/>
  <c r="AD16" s="1"/>
  <c r="T1715" l="1"/>
  <c r="U1715" s="1"/>
  <c r="V1715" s="1"/>
  <c r="V1716" l="1"/>
  <c r="T1716"/>
  <c r="U1716" s="1"/>
  <c r="T1717" l="1"/>
  <c r="U1717" s="1"/>
  <c r="V1717" s="1"/>
  <c r="T1718" l="1"/>
  <c r="U1718" s="1"/>
  <c r="V1718" s="1"/>
  <c r="V1719" l="1"/>
  <c r="T1719"/>
  <c r="U1719" s="1"/>
  <c r="V1720" l="1"/>
  <c r="T1720"/>
  <c r="U1720" s="1"/>
  <c r="V1721" l="1"/>
  <c r="T1721"/>
  <c r="U1721" s="1"/>
  <c r="T1722" l="1"/>
  <c r="U1722" s="1"/>
  <c r="V1722" s="1"/>
  <c r="V1723" l="1"/>
  <c r="T1723"/>
  <c r="U1723" s="1"/>
  <c r="V1724" l="1"/>
  <c r="T1724"/>
  <c r="U1724" s="1"/>
  <c r="V1725" l="1"/>
  <c r="T1725"/>
  <c r="U1725" s="1"/>
  <c r="V1726" l="1"/>
  <c r="T1726"/>
  <c r="U1726" s="1"/>
  <c r="AJ8" s="1"/>
  <c r="T1727" l="1"/>
  <c r="U1727" s="1"/>
  <c r="V1727" s="1"/>
  <c r="AL8"/>
  <c r="T1728" l="1"/>
  <c r="U1728" s="1"/>
  <c r="V1728" s="1"/>
  <c r="T1729" l="1"/>
  <c r="U1729" s="1"/>
  <c r="V1729" s="1"/>
  <c r="V1730" l="1"/>
  <c r="T1730"/>
  <c r="U1730" s="1"/>
  <c r="AJ36" s="1"/>
  <c r="AL36" s="1"/>
  <c r="V1731" l="1"/>
  <c r="T1731"/>
  <c r="U1731" s="1"/>
  <c r="AF25" s="1"/>
  <c r="AH25" s="1"/>
  <c r="T1732" l="1"/>
  <c r="U1732" s="1"/>
  <c r="V1732" s="1"/>
  <c r="V1733" l="1"/>
  <c r="T1733"/>
  <c r="U1733" s="1"/>
  <c r="V1734" l="1"/>
  <c r="T1734"/>
  <c r="U1734" s="1"/>
  <c r="V1735" l="1"/>
  <c r="T1735"/>
  <c r="U1735" s="1"/>
  <c r="V1736" l="1"/>
  <c r="T1736"/>
  <c r="U1736" s="1"/>
  <c r="AB28" s="1"/>
  <c r="AD28" s="1"/>
  <c r="T1737" l="1"/>
  <c r="U1737" s="1"/>
  <c r="V1737" s="1"/>
  <c r="V1738" l="1"/>
  <c r="T1738"/>
  <c r="U1738" s="1"/>
  <c r="V1739" l="1"/>
  <c r="T1739"/>
  <c r="U1739" s="1"/>
  <c r="V1740" l="1"/>
  <c r="T1740"/>
  <c r="U1740" s="1"/>
  <c r="V1741" l="1"/>
  <c r="T1741"/>
  <c r="U1741" s="1"/>
  <c r="V1742" l="1"/>
  <c r="T1742"/>
  <c r="U1742" s="1"/>
  <c r="V1743" l="1"/>
  <c r="T1743"/>
  <c r="U1743" s="1"/>
  <c r="AF33" s="1"/>
  <c r="AH33" s="1"/>
  <c r="V1744" l="1"/>
  <c r="T1744"/>
  <c r="U1744" s="1"/>
  <c r="V1745" l="1"/>
  <c r="T1745"/>
  <c r="U1745" s="1"/>
  <c r="V1746" l="1"/>
  <c r="T1746"/>
  <c r="U1746" s="1"/>
  <c r="AJ24" s="1"/>
  <c r="T1747" l="1"/>
  <c r="U1747" s="1"/>
  <c r="AJ28" s="1"/>
  <c r="AL24"/>
  <c r="AL28" l="1"/>
  <c r="V1747"/>
  <c r="V1748" l="1"/>
  <c r="T1748"/>
  <c r="U1748" s="1"/>
  <c r="V1749" l="1"/>
  <c r="T1749"/>
  <c r="U1749" s="1"/>
  <c r="V1750" l="1"/>
  <c r="T1750"/>
  <c r="U1750" s="1"/>
  <c r="V1751" l="1"/>
  <c r="T1751"/>
  <c r="U1751" s="1"/>
  <c r="AB12" l="1"/>
  <c r="AF40"/>
  <c r="AH40" s="1"/>
  <c r="AJ40"/>
  <c r="AL40" s="1"/>
  <c r="AJ20"/>
  <c r="AF16"/>
  <c r="AB20"/>
  <c r="AD20" s="1"/>
  <c r="AB40"/>
  <c r="AD40" s="1"/>
  <c r="AF20" l="1"/>
  <c r="AH20" s="1"/>
  <c r="AH16"/>
  <c r="AF29"/>
  <c r="AD12"/>
  <c r="AP12"/>
  <c r="AL20"/>
  <c r="AJ32"/>
  <c r="AL32" s="1"/>
  <c r="AJ49" l="1"/>
  <c r="AL49" s="1"/>
  <c r="AJ44"/>
  <c r="AH29"/>
  <c r="AL44" l="1"/>
  <c r="U1754"/>
  <c r="V1754" s="1"/>
  <c r="AJ12"/>
  <c r="AJ16" s="1"/>
  <c r="T1755" l="1"/>
  <c r="V1755"/>
  <c r="AJ54"/>
  <c r="AL16"/>
  <c r="Z9"/>
  <c r="AL12"/>
  <c r="AJ57" l="1"/>
  <c r="AL5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<sst xmlns="http://schemas.openxmlformats.org/spreadsheetml/2006/main" count="26364" uniqueCount="953">
  <si>
    <t>Filter Name</t>
  </si>
  <si>
    <t>Country</t>
  </si>
  <si>
    <t>League</t>
  </si>
  <si>
    <t>Date</t>
  </si>
  <si>
    <t>Home</t>
  </si>
  <si>
    <t>Away</t>
  </si>
  <si>
    <t>England</t>
  </si>
  <si>
    <t>League Two</t>
  </si>
  <si>
    <t>Notts County</t>
  </si>
  <si>
    <t>Morecambe</t>
  </si>
  <si>
    <t>*BACK H2 GOALS</t>
  </si>
  <si>
    <t>League One</t>
  </si>
  <si>
    <t>Peterborough</t>
  </si>
  <si>
    <t>Scotland</t>
  </si>
  <si>
    <t>Championship</t>
  </si>
  <si>
    <t>Dundee Utd</t>
  </si>
  <si>
    <t>Partick</t>
  </si>
  <si>
    <t>Middlesbrough</t>
  </si>
  <si>
    <t>Stockport</t>
  </si>
  <si>
    <t>*FT 0-0 B</t>
  </si>
  <si>
    <t>Italy</t>
  </si>
  <si>
    <t>Serie A</t>
  </si>
  <si>
    <t>Napoli</t>
  </si>
  <si>
    <t>Monza</t>
  </si>
  <si>
    <t>Genoa</t>
  </si>
  <si>
    <t>Inter</t>
  </si>
  <si>
    <t>AFC Wimbledon</t>
  </si>
  <si>
    <t>Colchester</t>
  </si>
  <si>
    <t>*FT 0-0 LAY@46  A</t>
  </si>
  <si>
    <t>Raith</t>
  </si>
  <si>
    <t>Arbroath</t>
  </si>
  <si>
    <t>Northern Ireland</t>
  </si>
  <si>
    <t>Nifl Premiership</t>
  </si>
  <si>
    <t>Crusaders</t>
  </si>
  <si>
    <t>C. Rangers</t>
  </si>
  <si>
    <t>*H2 GOALS &amp; OVER 0.5</t>
  </si>
  <si>
    <t>Isthmian League Premier Division</t>
  </si>
  <si>
    <t>Premiership</t>
  </si>
  <si>
    <t>Motherwell</t>
  </si>
  <si>
    <t>Livingston</t>
  </si>
  <si>
    <t>National League</t>
  </si>
  <si>
    <t>Chesterfield</t>
  </si>
  <si>
    <t>Solihull</t>
  </si>
  <si>
    <t>*H2 V H1 GOALS</t>
  </si>
  <si>
    <t>Australia</t>
  </si>
  <si>
    <t>A-league</t>
  </si>
  <si>
    <t>Sydney FC</t>
  </si>
  <si>
    <t>Wellington Phoenix</t>
  </si>
  <si>
    <t>India</t>
  </si>
  <si>
    <t>Isl</t>
  </si>
  <si>
    <t>North East Utd</t>
  </si>
  <si>
    <t>Goa</t>
  </si>
  <si>
    <t>Newcastle Jets</t>
  </si>
  <si>
    <t>Western United</t>
  </si>
  <si>
    <t>Milton Keynes Dons</t>
  </si>
  <si>
    <t>Crawley Town</t>
  </si>
  <si>
    <t>Southampton</t>
  </si>
  <si>
    <t>Plymouth</t>
  </si>
  <si>
    <t>Portugal</t>
  </si>
  <si>
    <t>Liga Portugal</t>
  </si>
  <si>
    <t>Benfica</t>
  </si>
  <si>
    <t>Famalicao</t>
  </si>
  <si>
    <t>Premier League</t>
  </si>
  <si>
    <t>Brentford</t>
  </si>
  <si>
    <t>Wolves</t>
  </si>
  <si>
    <t>Chelsea</t>
  </si>
  <si>
    <t>Crystal Palace</t>
  </si>
  <si>
    <t>Belgium</t>
  </si>
  <si>
    <t>Jupiler Pro League</t>
  </si>
  <si>
    <t>Charleroi</t>
  </si>
  <si>
    <t>KV Mechelen</t>
  </si>
  <si>
    <t>Everton</t>
  </si>
  <si>
    <t>Manchester City</t>
  </si>
  <si>
    <t>Arsenal</t>
  </si>
  <si>
    <t>West Ham</t>
  </si>
  <si>
    <t>Estrela</t>
  </si>
  <si>
    <t>Arouca</t>
  </si>
  <si>
    <t>Germany</t>
  </si>
  <si>
    <t>Super League</t>
  </si>
  <si>
    <t>Rangers</t>
  </si>
  <si>
    <t>Turkey</t>
  </si>
  <si>
    <t>Super Lig</t>
  </si>
  <si>
    <t>Konyaspor</t>
  </si>
  <si>
    <t>Kayserispor</t>
  </si>
  <si>
    <t>Sutton</t>
  </si>
  <si>
    <t>Sheffield Utd</t>
  </si>
  <si>
    <t>Luton</t>
  </si>
  <si>
    <t>Leuven</t>
  </si>
  <si>
    <t>Eupen</t>
  </si>
  <si>
    <t>Wales</t>
  </si>
  <si>
    <t>Cymru Premier</t>
  </si>
  <si>
    <t>TNS</t>
  </si>
  <si>
    <t>Caernarfon</t>
  </si>
  <si>
    <t>Gateshead</t>
  </si>
  <si>
    <t>York</t>
  </si>
  <si>
    <t>WON</t>
  </si>
  <si>
    <t>LOST</t>
  </si>
  <si>
    <t>Atalanta</t>
  </si>
  <si>
    <t>Lecce</t>
  </si>
  <si>
    <t>Celtic</t>
  </si>
  <si>
    <t>Udinese</t>
  </si>
  <si>
    <t>Bologna</t>
  </si>
  <si>
    <t>Aston Villa</t>
  </si>
  <si>
    <t>Burnley</t>
  </si>
  <si>
    <t>Queen of South</t>
  </si>
  <si>
    <t>Estoril</t>
  </si>
  <si>
    <t>SC Farense</t>
  </si>
  <si>
    <t>Gil Vicente</t>
  </si>
  <si>
    <t>Boavista</t>
  </si>
  <si>
    <t>AC Milan</t>
  </si>
  <si>
    <t>Salernitana</t>
  </si>
  <si>
    <t>Casa Pia</t>
  </si>
  <si>
    <t>Braga</t>
  </si>
  <si>
    <t>Grimsby Town</t>
  </si>
  <si>
    <t>Walsall</t>
  </si>
  <si>
    <t>Fulham</t>
  </si>
  <si>
    <t>Tottenham</t>
  </si>
  <si>
    <t>Bournemouth</t>
  </si>
  <si>
    <t>Queen's Park</t>
  </si>
  <si>
    <t>Spain</t>
  </si>
  <si>
    <t>Laliga</t>
  </si>
  <si>
    <t>Vizela</t>
  </si>
  <si>
    <t>Real Madrid</t>
  </si>
  <si>
    <t>Mallorca</t>
  </si>
  <si>
    <t>Adelaide United</t>
  </si>
  <si>
    <t>Sporting</t>
  </si>
  <si>
    <t>Melbourne City</t>
  </si>
  <si>
    <t>Rio Ave</t>
  </si>
  <si>
    <t>Portimonense</t>
  </si>
  <si>
    <t>Besiktas</t>
  </si>
  <si>
    <t>Dunfermline</t>
  </si>
  <si>
    <t>Perth Glory</t>
  </si>
  <si>
    <t>Melbourne Victory</t>
  </si>
  <si>
    <t>Greece</t>
  </si>
  <si>
    <t>Volos NFC</t>
  </si>
  <si>
    <t>Atromitos</t>
  </si>
  <si>
    <t>Aris</t>
  </si>
  <si>
    <t>PAOK</t>
  </si>
  <si>
    <t>Cove Rangers</t>
  </si>
  <si>
    <t>Kelty Hearts</t>
  </si>
  <si>
    <t>Falkirk</t>
  </si>
  <si>
    <t>Crewe</t>
  </si>
  <si>
    <t>Guimaraes</t>
  </si>
  <si>
    <t>Macarthur FC</t>
  </si>
  <si>
    <t>Galatasaray</t>
  </si>
  <si>
    <t>France</t>
  </si>
  <si>
    <t>National</t>
  </si>
  <si>
    <t>Villefranche</t>
  </si>
  <si>
    <t>Epinal</t>
  </si>
  <si>
    <t>Netherlands</t>
  </si>
  <si>
    <t>Eerste Divisie</t>
  </si>
  <si>
    <t>Cambuur</t>
  </si>
  <si>
    <t>Maastricht</t>
  </si>
  <si>
    <t>Eredivisie</t>
  </si>
  <si>
    <t>Waalwijk</t>
  </si>
  <si>
    <t>Heracles</t>
  </si>
  <si>
    <t>Bundesliga</t>
  </si>
  <si>
    <t>Bayern Munich</t>
  </si>
  <si>
    <t>Hoffenheim</t>
  </si>
  <si>
    <t>Mexico</t>
  </si>
  <si>
    <t>1. FSV Mainz 05</t>
  </si>
  <si>
    <t>Wolfsburg</t>
  </si>
  <si>
    <t>Charlton</t>
  </si>
  <si>
    <t>Swindon</t>
  </si>
  <si>
    <t>Newcastle Utd</t>
  </si>
  <si>
    <t>Chaves</t>
  </si>
  <si>
    <t>Laliga2</t>
  </si>
  <si>
    <t>B. Monchengladbach</t>
  </si>
  <si>
    <t>VfB Stuttgart</t>
  </si>
  <si>
    <t>Challenger Pro League</t>
  </si>
  <si>
    <t>Genk U23</t>
  </si>
  <si>
    <t>Deinze</t>
  </si>
  <si>
    <t>FC Porto</t>
  </si>
  <si>
    <t>Costa Rica</t>
  </si>
  <si>
    <t>Primera Division</t>
  </si>
  <si>
    <t>Herediano</t>
  </si>
  <si>
    <t>Zeledon</t>
  </si>
  <si>
    <t>* over2.5 goals</t>
  </si>
  <si>
    <t>Den Haag</t>
  </si>
  <si>
    <t>Graafschap</t>
  </si>
  <si>
    <t>Central Coast Mariners</t>
  </si>
  <si>
    <t>RB Leipzig</t>
  </si>
  <si>
    <t>Eintracht Frankfurt</t>
  </si>
  <si>
    <t>NPL Premier Division</t>
  </si>
  <si>
    <t>Atherton</t>
  </si>
  <si>
    <t>Matlock</t>
  </si>
  <si>
    <t>Glenavon</t>
  </si>
  <si>
    <t>Telstar</t>
  </si>
  <si>
    <t>PSV</t>
  </si>
  <si>
    <t>Altrincham</t>
  </si>
  <si>
    <t>Ligue 1</t>
  </si>
  <si>
    <t>Marseille</t>
  </si>
  <si>
    <t>Strasbourg</t>
  </si>
  <si>
    <t>0-1</t>
  </si>
  <si>
    <t>4-0</t>
  </si>
  <si>
    <t>5-0</t>
  </si>
  <si>
    <t>4-1</t>
  </si>
  <si>
    <t>5-1</t>
  </si>
  <si>
    <t>Blackpool</t>
  </si>
  <si>
    <t>Exeter</t>
  </si>
  <si>
    <t>Preston</t>
  </si>
  <si>
    <t>Bristol City</t>
  </si>
  <si>
    <t>Sheffield Wed</t>
  </si>
  <si>
    <t>Club Brugge KV U23</t>
  </si>
  <si>
    <t>Lommel Utd</t>
  </si>
  <si>
    <t>Zwolle</t>
  </si>
  <si>
    <t>Heerenveen</t>
  </si>
  <si>
    <t>3-0</t>
  </si>
  <si>
    <t>5-2</t>
  </si>
  <si>
    <t>3-2</t>
  </si>
  <si>
    <t>2-2</t>
  </si>
  <si>
    <t>1-3</t>
  </si>
  <si>
    <t>4-3</t>
  </si>
  <si>
    <t>2-3</t>
  </si>
  <si>
    <t>1-0</t>
  </si>
  <si>
    <t>3-1</t>
  </si>
  <si>
    <t>1-1</t>
  </si>
  <si>
    <t>0-2</t>
  </si>
  <si>
    <t>0-3</t>
  </si>
  <si>
    <t>5-3</t>
  </si>
  <si>
    <t>2-0</t>
  </si>
  <si>
    <t>0-0</t>
  </si>
  <si>
    <t>2-1</t>
  </si>
  <si>
    <t>1-2</t>
  </si>
  <si>
    <t>5-5</t>
  </si>
  <si>
    <t>1-4</t>
  </si>
  <si>
    <t>Lille</t>
  </si>
  <si>
    <t>Lorient</t>
  </si>
  <si>
    <t>Liga de Expansion MX</t>
  </si>
  <si>
    <t>Dorados de Sinaloa</t>
  </si>
  <si>
    <t>Cimarrones de Sonora</t>
  </si>
  <si>
    <t>Derby</t>
  </si>
  <si>
    <t>Burton</t>
  </si>
  <si>
    <t>Brisbane Roar</t>
  </si>
  <si>
    <t>2. Bundesliga</t>
  </si>
  <si>
    <t>Holstein Kiel</t>
  </si>
  <si>
    <t>Willem II</t>
  </si>
  <si>
    <t>Jong Ajax</t>
  </si>
  <si>
    <t>Albacete</t>
  </si>
  <si>
    <t>Bochum</t>
  </si>
  <si>
    <t>Tranmere</t>
  </si>
  <si>
    <t>Nijmegen</t>
  </si>
  <si>
    <t>Twente</t>
  </si>
  <si>
    <t>Pendikspor</t>
  </si>
  <si>
    <t>Volendam</t>
  </si>
  <si>
    <t>AZ Alkmaar</t>
  </si>
  <si>
    <t>Schalke</t>
  </si>
  <si>
    <t>Hamburger SV</t>
  </si>
  <si>
    <t>Almere City</t>
  </si>
  <si>
    <t>Sittard</t>
  </si>
  <si>
    <t>Utrecht</t>
  </si>
  <si>
    <t>3. Liga</t>
  </si>
  <si>
    <t>Preussen Munster</t>
  </si>
  <si>
    <t>Antalyaspor</t>
  </si>
  <si>
    <t>SV Werder Bremen</t>
  </si>
  <si>
    <t>Waasland-Beveren</t>
  </si>
  <si>
    <t>Jong Utrecht</t>
  </si>
  <si>
    <t>Gent</t>
  </si>
  <si>
    <t>Lubeck</t>
  </si>
  <si>
    <t>Mannheim</t>
  </si>
  <si>
    <t>Heidenheim</t>
  </si>
  <si>
    <t>Coleraine</t>
  </si>
  <si>
    <t>Rotherham</t>
  </si>
  <si>
    <t>Shrewsbury</t>
  </si>
  <si>
    <t>Nottingham</t>
  </si>
  <si>
    <t>Club Brugge KV</t>
  </si>
  <si>
    <t>Westerlo</t>
  </si>
  <si>
    <t>Brighton</t>
  </si>
  <si>
    <t>Ligue 2</t>
  </si>
  <si>
    <t>Paris FC</t>
  </si>
  <si>
    <t>FT 0-0 B</t>
  </si>
  <si>
    <t>H2 GOALS &amp; OVER 0.5</t>
  </si>
  <si>
    <t>BACK H2 GOALS</t>
  </si>
  <si>
    <t>H2 V H1 GOALS</t>
  </si>
  <si>
    <t>FT 0-0 LAY@46 A</t>
  </si>
  <si>
    <t>PHF HOME</t>
  </si>
  <si>
    <t>OVER 2.5 GOALS</t>
  </si>
  <si>
    <t>4-2</t>
  </si>
  <si>
    <t>4-4</t>
  </si>
  <si>
    <t>3-3</t>
  </si>
  <si>
    <t>Leeds</t>
  </si>
  <si>
    <t>Vitesse</t>
  </si>
  <si>
    <t>Feyenoord</t>
  </si>
  <si>
    <t>St. Liege U23</t>
  </si>
  <si>
    <t>FC Augsburg</t>
  </si>
  <si>
    <t>Liverpool</t>
  </si>
  <si>
    <t>Northampton</t>
  </si>
  <si>
    <t>1-5</t>
  </si>
  <si>
    <t>0-4</t>
  </si>
  <si>
    <t>Liga Portugal 2</t>
  </si>
  <si>
    <t>Leicester</t>
  </si>
  <si>
    <t>Ipswich</t>
  </si>
  <si>
    <t>Hatayspor</t>
  </si>
  <si>
    <t>Alanyaspor</t>
  </si>
  <si>
    <t>RW Essen</t>
  </si>
  <si>
    <t>Viktoria Koln</t>
  </si>
  <si>
    <t>Switzerland</t>
  </si>
  <si>
    <t>Winterthur</t>
  </si>
  <si>
    <t>Servette</t>
  </si>
  <si>
    <t>Luzern</t>
  </si>
  <si>
    <t>Bolton</t>
  </si>
  <si>
    <t>Cheltenham</t>
  </si>
  <si>
    <t>Salford</t>
  </si>
  <si>
    <t>Bristol Rovers</t>
  </si>
  <si>
    <t>Dunkerque</t>
  </si>
  <si>
    <t>Hearts</t>
  </si>
  <si>
    <t>Dundee FC</t>
  </si>
  <si>
    <t>Mansfield</t>
  </si>
  <si>
    <t>Oxford Utd</t>
  </si>
  <si>
    <t>Wycombe</t>
  </si>
  <si>
    <t>Istanbulspor AS</t>
  </si>
  <si>
    <t>Ankaragucu</t>
  </si>
  <si>
    <t>Gaziantep</t>
  </si>
  <si>
    <t>Basaksehir</t>
  </si>
  <si>
    <t>Fenerbahce</t>
  </si>
  <si>
    <t>Union Berlin</t>
  </si>
  <si>
    <t>Hibernian</t>
  </si>
  <si>
    <t>Norwich</t>
  </si>
  <si>
    <t>St Johnstone</t>
  </si>
  <si>
    <t>Aberdeen</t>
  </si>
  <si>
    <t>Samsunspor</t>
  </si>
  <si>
    <t>WS Wanderers</t>
  </si>
  <si>
    <t>Serie B</t>
  </si>
  <si>
    <t>Ross County</t>
  </si>
  <si>
    <t>Kilmarnock</t>
  </si>
  <si>
    <t>Bayer Leverkusen</t>
  </si>
  <si>
    <t>Leganes</t>
  </si>
  <si>
    <t>Tenerife</t>
  </si>
  <si>
    <t>Nurnberg</t>
  </si>
  <si>
    <t>FC Emmen</t>
  </si>
  <si>
    <t>Eindhoven FC</t>
  </si>
  <si>
    <t>Venlo</t>
  </si>
  <si>
    <t>Den Bosch</t>
  </si>
  <si>
    <t>Catanzaro</t>
  </si>
  <si>
    <t>Palermo</t>
  </si>
  <si>
    <t>Cagliari</t>
  </si>
  <si>
    <t>Torino</t>
  </si>
  <si>
    <t>Cercle Brugge KSV</t>
  </si>
  <si>
    <t>St. Liege</t>
  </si>
  <si>
    <t>Rennes</t>
  </si>
  <si>
    <t>Venezia</t>
  </si>
  <si>
    <t>Ternana</t>
  </si>
  <si>
    <t>St. Truiden</t>
  </si>
  <si>
    <t>Genk</t>
  </si>
  <si>
    <t>Nantes</t>
  </si>
  <si>
    <t>Darmstadt</t>
  </si>
  <si>
    <t>Lausanne</t>
  </si>
  <si>
    <t>Sevilla</t>
  </si>
  <si>
    <t>Osasuna</t>
  </si>
  <si>
    <t>Atl. Madrid</t>
  </si>
  <si>
    <t>Valencia</t>
  </si>
  <si>
    <t>St. Mirren</t>
  </si>
  <si>
    <t>Croatia</t>
  </si>
  <si>
    <t>HNL</t>
  </si>
  <si>
    <t>Osijek</t>
  </si>
  <si>
    <t>Rudes</t>
  </si>
  <si>
    <t>FeralpiSalo</t>
  </si>
  <si>
    <t>Lecco</t>
  </si>
  <si>
    <t>Juventus</t>
  </si>
  <si>
    <t>Empoli</t>
  </si>
  <si>
    <t>Lausanne Ouchy</t>
  </si>
  <si>
    <t>Barcelona</t>
  </si>
  <si>
    <t>Villarreal</t>
  </si>
  <si>
    <t>Ajax</t>
  </si>
  <si>
    <t>Monaco</t>
  </si>
  <si>
    <t>2-4</t>
  </si>
  <si>
    <t>3-5</t>
  </si>
  <si>
    <t>St. Gallen</t>
  </si>
  <si>
    <t>Lugano</t>
  </si>
  <si>
    <t>G.A. Eagles</t>
  </si>
  <si>
    <t>Sassuolo</t>
  </si>
  <si>
    <t>Antwerp</t>
  </si>
  <si>
    <t>RFC Liege</t>
  </si>
  <si>
    <t>Waregem</t>
  </si>
  <si>
    <t>Asteras Tripolis</t>
  </si>
  <si>
    <t>Anderlecht</t>
  </si>
  <si>
    <t>Coventry</t>
  </si>
  <si>
    <t>Swansea</t>
  </si>
  <si>
    <t>Harrogate</t>
  </si>
  <si>
    <t>`1-1</t>
  </si>
  <si>
    <t>AS Roma</t>
  </si>
  <si>
    <t>8-0</t>
  </si>
  <si>
    <t>Zurich</t>
  </si>
  <si>
    <t>Manchester United</t>
  </si>
  <si>
    <t>Ath Bilbao</t>
  </si>
  <si>
    <t>Hyderabad</t>
  </si>
  <si>
    <t>Forest Green</t>
  </si>
  <si>
    <t>Hull City</t>
  </si>
  <si>
    <t>Granada CF</t>
  </si>
  <si>
    <t>Las Palmas</t>
  </si>
  <si>
    <t>Montpellier</t>
  </si>
  <si>
    <t>Grasshoppers</t>
  </si>
  <si>
    <t>Basel</t>
  </si>
  <si>
    <t>Seraing Utd</t>
  </si>
  <si>
    <t>Lamia</t>
  </si>
  <si>
    <t>Sparta Rotterdam</t>
  </si>
  <si>
    <t>Beerschot VA</t>
  </si>
  <si>
    <t>Newport</t>
  </si>
  <si>
    <t>Ulm</t>
  </si>
  <si>
    <t>Parma</t>
  </si>
  <si>
    <t>Edinburgh City</t>
  </si>
  <si>
    <t>Stevenage</t>
  </si>
  <si>
    <t>Frosinone</t>
  </si>
  <si>
    <t>Argentina</t>
  </si>
  <si>
    <t>total goal O/U</t>
  </si>
  <si>
    <t>Fleetwood Town</t>
  </si>
  <si>
    <t>* phf home</t>
  </si>
  <si>
    <t>Wehen</t>
  </si>
  <si>
    <t>Kortrijk</t>
  </si>
  <si>
    <t>Delhi Dynamos</t>
  </si>
  <si>
    <t>Poland</t>
  </si>
  <si>
    <t>Ekstraklasa</t>
  </si>
  <si>
    <t>Austria</t>
  </si>
  <si>
    <t>Magdeburg</t>
  </si>
  <si>
    <t>West Brom</t>
  </si>
  <si>
    <t>Cittadella</t>
  </si>
  <si>
    <t>Nacional</t>
  </si>
  <si>
    <t>Vilaverdense</t>
  </si>
  <si>
    <t>Barrow</t>
  </si>
  <si>
    <t>Cliftonville</t>
  </si>
  <si>
    <t>Accrington</t>
  </si>
  <si>
    <t>Huddersfield</t>
  </si>
  <si>
    <t>Ascoli</t>
  </si>
  <si>
    <t>Panetolikos</t>
  </si>
  <si>
    <t>Paderborn</t>
  </si>
  <si>
    <t>Wattens</t>
  </si>
  <si>
    <t>A. Lustenau</t>
  </si>
  <si>
    <t>Kifisias</t>
  </si>
  <si>
    <t>Blackburn</t>
  </si>
  <si>
    <t>Gillingham FC</t>
  </si>
  <si>
    <t>QPR</t>
  </si>
  <si>
    <t>Watford</t>
  </si>
  <si>
    <t>lay 0-0 1st half</t>
  </si>
  <si>
    <t>LAY 0-0 1ST HALF</t>
  </si>
  <si>
    <t>Denmark</t>
  </si>
  <si>
    <t>Superliga</t>
  </si>
  <si>
    <t>Brondby</t>
  </si>
  <si>
    <t>Midtjylland</t>
  </si>
  <si>
    <t>FC Koln</t>
  </si>
  <si>
    <t>RWDM</t>
  </si>
  <si>
    <t>Loughgall</t>
  </si>
  <si>
    <t>Thailand</t>
  </si>
  <si>
    <t>Thai League 1</t>
  </si>
  <si>
    <t>Muang Thong Utd</t>
  </si>
  <si>
    <t>Bangkok Glass</t>
  </si>
  <si>
    <t>Uthai Thani</t>
  </si>
  <si>
    <t>Nakhon Pathom</t>
  </si>
  <si>
    <t>AEK Athens FC</t>
  </si>
  <si>
    <t>LAY 0-0 1ST HALF B</t>
  </si>
  <si>
    <t>Regionalliga Bayern</t>
  </si>
  <si>
    <t>Bayern II</t>
  </si>
  <si>
    <t>Furth II</t>
  </si>
  <si>
    <t>AVS</t>
  </si>
  <si>
    <t>Girona</t>
  </si>
  <si>
    <t>Cremonese</t>
  </si>
  <si>
    <t>National League South</t>
  </si>
  <si>
    <t>Eastbourne Borough</t>
  </si>
  <si>
    <t>Havant &amp; Waterlooville</t>
  </si>
  <si>
    <t>UNDER 2.5 GOALS</t>
  </si>
  <si>
    <t>Pogon Szczecin</t>
  </si>
  <si>
    <t>LKS Lodz</t>
  </si>
  <si>
    <t>1-7</t>
  </si>
  <si>
    <t>A. Klagenfurt</t>
  </si>
  <si>
    <t>BW Linz</t>
  </si>
  <si>
    <t>Aarhus</t>
  </si>
  <si>
    <t>St. Gilloise</t>
  </si>
  <si>
    <t>Panathinaikos</t>
  </si>
  <si>
    <t>Freiburg II</t>
  </si>
  <si>
    <t>Bari</t>
  </si>
  <si>
    <t>Kingstonian</t>
  </si>
  <si>
    <t>Cheshunt</t>
  </si>
  <si>
    <t>6-0</t>
  </si>
  <si>
    <t>7-1</t>
  </si>
  <si>
    <t>SPLIT20</t>
  </si>
  <si>
    <t>SPLIT30</t>
  </si>
  <si>
    <t>Hertha Berlin</t>
  </si>
  <si>
    <t>FC Copenhagen</t>
  </si>
  <si>
    <t>SC Freiburg</t>
  </si>
  <si>
    <t>Newtown</t>
  </si>
  <si>
    <t>Celta Vigo</t>
  </si>
  <si>
    <t>Almeria</t>
  </si>
  <si>
    <t>Gijon</t>
  </si>
  <si>
    <t>2-5</t>
  </si>
  <si>
    <t>Cardiff Metropolitan</t>
  </si>
  <si>
    <t>Pau</t>
  </si>
  <si>
    <t>Caen</t>
  </si>
  <si>
    <t>Chennaiyin</t>
  </si>
  <si>
    <t>Sampdoria</t>
  </si>
  <si>
    <t>Olympiakos Piraeus</t>
  </si>
  <si>
    <t>Israel</t>
  </si>
  <si>
    <t>Leumit League</t>
  </si>
  <si>
    <t>Ihud Bnei Shfaram</t>
  </si>
  <si>
    <t>Ironi Tiberias</t>
  </si>
  <si>
    <t>Jong PSV</t>
  </si>
  <si>
    <t>Bulgaria</t>
  </si>
  <si>
    <t>Parva Liga</t>
  </si>
  <si>
    <t>CSKA Sofia</t>
  </si>
  <si>
    <t>Beroe</t>
  </si>
  <si>
    <t>split10</t>
  </si>
  <si>
    <t>Elversberg</t>
  </si>
  <si>
    <t>Salzburg</t>
  </si>
  <si>
    <t>Yehuda</t>
  </si>
  <si>
    <t>Ramat Hasharon</t>
  </si>
  <si>
    <t>Sunderland</t>
  </si>
  <si>
    <t>Farnborough</t>
  </si>
  <si>
    <t>Welling</t>
  </si>
  <si>
    <t>aosAWAY</t>
  </si>
  <si>
    <t>6-2</t>
  </si>
  <si>
    <t>8-1</t>
  </si>
  <si>
    <t>SPLIT10</t>
  </si>
  <si>
    <t>AOS HOME</t>
  </si>
  <si>
    <t>AOS AWAY</t>
  </si>
  <si>
    <t>AOSHOME</t>
  </si>
  <si>
    <t>Stoke City</t>
  </si>
  <si>
    <t>BETFAIR ANYOTHER</t>
  </si>
  <si>
    <t>H2 HIGH SCORERS</t>
  </si>
  <si>
    <t>China</t>
  </si>
  <si>
    <t>Qingdao Jonoon</t>
  </si>
  <si>
    <t>Changchun Yatai</t>
  </si>
  <si>
    <t>H1 &amp; H2 % SPLIT</t>
  </si>
  <si>
    <t>Hapoel Umm al-Fahm</t>
  </si>
  <si>
    <t>H1&lt;2 GOALS, H2&gt; 1 GOAL</t>
  </si>
  <si>
    <t>H2 goals%</t>
  </si>
  <si>
    <t>Martigues</t>
  </si>
  <si>
    <t>Rouen</t>
  </si>
  <si>
    <t>Challenge League</t>
  </si>
  <si>
    <t>Schaffhausen</t>
  </si>
  <si>
    <t>Aarau</t>
  </si>
  <si>
    <t>Xamax</t>
  </si>
  <si>
    <t>Sion</t>
  </si>
  <si>
    <t>Rizespor</t>
  </si>
  <si>
    <t>AOSAWAY</t>
  </si>
  <si>
    <t>Hvidovre</t>
  </si>
  <si>
    <t>Nordsjaelland</t>
  </si>
  <si>
    <t>South Korea</t>
  </si>
  <si>
    <t>K League 1</t>
  </si>
  <si>
    <t>Suwon City</t>
  </si>
  <si>
    <t>Meizhou Hakka</t>
  </si>
  <si>
    <t>Shanghai SIPG</t>
  </si>
  <si>
    <t>H1&lt;2 GOALS,H1&gt;1 GOAL</t>
  </si>
  <si>
    <t xml:space="preserve">H2 GOALS% </t>
  </si>
  <si>
    <t>South Africa</t>
  </si>
  <si>
    <t>Alloa</t>
  </si>
  <si>
    <t>Hamilton</t>
  </si>
  <si>
    <t>Division 2</t>
  </si>
  <si>
    <t>Olsztyn</t>
  </si>
  <si>
    <t>S. Wola</t>
  </si>
  <si>
    <t>Maccabi</t>
  </si>
  <si>
    <t>Sekhukhune</t>
  </si>
  <si>
    <t>Hallescher</t>
  </si>
  <si>
    <t>Trabzonspor</t>
  </si>
  <si>
    <t>Karagumruk</t>
  </si>
  <si>
    <t>Dortmund</t>
  </si>
  <si>
    <t>Paris SG</t>
  </si>
  <si>
    <t>Reims</t>
  </si>
  <si>
    <t>St. Pauli</t>
  </si>
  <si>
    <t>Lyngby</t>
  </si>
  <si>
    <t>Rijeka</t>
  </si>
  <si>
    <t>Zaglebie</t>
  </si>
  <si>
    <t>Dordrecht</t>
  </si>
  <si>
    <t>Racing Santander</t>
  </si>
  <si>
    <t>Amorebieta</t>
  </si>
  <si>
    <t>Oss</t>
  </si>
  <si>
    <t>Pogon Siedlce</t>
  </si>
  <si>
    <t>Ireland</t>
  </si>
  <si>
    <t>Premier Division</t>
  </si>
  <si>
    <t>St. Patricks</t>
  </si>
  <si>
    <t>Shelbourne</t>
  </si>
  <si>
    <t>Real Sociedad</t>
  </si>
  <si>
    <t>Cadiz CF</t>
  </si>
  <si>
    <t>Toulouse</t>
  </si>
  <si>
    <t>Lyon</t>
  </si>
  <si>
    <t>Japan</t>
  </si>
  <si>
    <t>3. Lig Group 1</t>
  </si>
  <si>
    <t>Yeni Orduspor</t>
  </si>
  <si>
    <t>Edirnespor</t>
  </si>
  <si>
    <t>1st Division</t>
  </si>
  <si>
    <t>B.93</t>
  </si>
  <si>
    <t>Horsens</t>
  </si>
  <si>
    <t>Cosenza</t>
  </si>
  <si>
    <t>Jagiellonia</t>
  </si>
  <si>
    <t>Azerbaijan</t>
  </si>
  <si>
    <t>Araz</t>
  </si>
  <si>
    <t>Gabala</t>
  </si>
  <si>
    <t>Dungannon</t>
  </si>
  <si>
    <t>Carlisle</t>
  </si>
  <si>
    <t>Malta</t>
  </si>
  <si>
    <t>Santa Lucia</t>
  </si>
  <si>
    <t>Valletta</t>
  </si>
  <si>
    <t>Baden</t>
  </si>
  <si>
    <t>Lazio</t>
  </si>
  <si>
    <t>Polonia Bytom</t>
  </si>
  <si>
    <t>Hungary</t>
  </si>
  <si>
    <t>Otp Bank Liga</t>
  </si>
  <si>
    <t>Debrecen</t>
  </si>
  <si>
    <t>Zalaegerszegi</t>
  </si>
  <si>
    <t>Vaduz</t>
  </si>
  <si>
    <t>Stade Nyonnais</t>
  </si>
  <si>
    <t>Verona</t>
  </si>
  <si>
    <t>Viborg</t>
  </si>
  <si>
    <t>1. Lig</t>
  </si>
  <si>
    <t>Sakaryaspor</t>
  </si>
  <si>
    <t>Altay</t>
  </si>
  <si>
    <t>Andorra</t>
  </si>
  <si>
    <t>Stirling</t>
  </si>
  <si>
    <t>Aue</t>
  </si>
  <si>
    <t>Huesca</t>
  </si>
  <si>
    <t>Roda</t>
  </si>
  <si>
    <t>Dortmund II</t>
  </si>
  <si>
    <t>Kasimpasa</t>
  </si>
  <si>
    <t>Millwall</t>
  </si>
  <si>
    <t>Clermont</t>
  </si>
  <si>
    <t>Le Havre</t>
  </si>
  <si>
    <t>3-4</t>
  </si>
  <si>
    <t>Wrexham</t>
  </si>
  <si>
    <t>Annan</t>
  </si>
  <si>
    <t>USA</t>
  </si>
  <si>
    <t>Mls</t>
  </si>
  <si>
    <t>Portland Timbers</t>
  </si>
  <si>
    <t>Bradford</t>
  </si>
  <si>
    <t>Ballymena</t>
  </si>
  <si>
    <t>TOTAL</t>
  </si>
  <si>
    <t>H1</t>
  </si>
  <si>
    <t>Aoshome</t>
  </si>
  <si>
    <t>Ferreira</t>
  </si>
  <si>
    <t>Oliveirense</t>
  </si>
  <si>
    <t>Serbia</t>
  </si>
  <si>
    <t>Super Liga</t>
  </si>
  <si>
    <t>FK Vozdovac</t>
  </si>
  <si>
    <t>Zeleznicar Pancevo</t>
  </si>
  <si>
    <t>Dender</t>
  </si>
  <si>
    <t>Kaiserslautern</t>
  </si>
  <si>
    <t>Dusseldorf</t>
  </si>
  <si>
    <t>Greuther Furth</t>
  </si>
  <si>
    <t>Portsmouth</t>
  </si>
  <si>
    <t>Radnicki Nis</t>
  </si>
  <si>
    <t>Mladost</t>
  </si>
  <si>
    <t>Zaragoza</t>
  </si>
  <si>
    <t>Troyes</t>
  </si>
  <si>
    <t>Rodez</t>
  </si>
  <si>
    <t>Norway</t>
  </si>
  <si>
    <t>Eliteserien</t>
  </si>
  <si>
    <t>Fredrikstad</t>
  </si>
  <si>
    <t>Bodo/Glimt</t>
  </si>
  <si>
    <t>Polokwane</t>
  </si>
  <si>
    <t>Chippa Utd.</t>
  </si>
  <si>
    <t>Hansa Rostock</t>
  </si>
  <si>
    <t>Excelsior</t>
  </si>
  <si>
    <t>Buriram</t>
  </si>
  <si>
    <t>Chiangrai Utd</t>
  </si>
  <si>
    <t>VfL Osnabruck</t>
  </si>
  <si>
    <t>Alcorcon</t>
  </si>
  <si>
    <t>Young Boys</t>
  </si>
  <si>
    <t>Partizan</t>
  </si>
  <si>
    <t>H2</t>
  </si>
  <si>
    <t>H1%</t>
  </si>
  <si>
    <t>* PHF HOME</t>
  </si>
  <si>
    <t>H2%</t>
  </si>
  <si>
    <t>BETS</t>
  </si>
  <si>
    <t>H1 % 0-0</t>
  </si>
  <si>
    <t>H2% 0-0</t>
  </si>
  <si>
    <t>FT %0-0</t>
  </si>
  <si>
    <t>%WON</t>
  </si>
  <si>
    <t>H1   0 - 0</t>
  </si>
  <si>
    <t>H2 0-0</t>
  </si>
  <si>
    <t>FT 0-0</t>
  </si>
  <si>
    <t xml:space="preserve">AV. GOALS PER MATCH </t>
  </si>
  <si>
    <t>PROFIT</t>
  </si>
  <si>
    <t>£PPB</t>
  </si>
  <si>
    <t>TO LEVEL STAKES</t>
  </si>
  <si>
    <t>J1 League</t>
  </si>
  <si>
    <t>Kashiwa</t>
  </si>
  <si>
    <t>C-Osaka</t>
  </si>
  <si>
    <t>Shanghai Shenhua</t>
  </si>
  <si>
    <t>Nantong Zhiyun</t>
  </si>
  <si>
    <t>Cracovia</t>
  </si>
  <si>
    <t>Adana Demirspor</t>
  </si>
  <si>
    <t>Penafiel</t>
  </si>
  <si>
    <t>Os Belenenses</t>
  </si>
  <si>
    <t>Connahs Q.</t>
  </si>
  <si>
    <t>Birmingham</t>
  </si>
  <si>
    <t>Lierse K.</t>
  </si>
  <si>
    <t>Ayr</t>
  </si>
  <si>
    <t>Como</t>
  </si>
  <si>
    <t>Wil</t>
  </si>
  <si>
    <t>Bellinzona</t>
  </si>
  <si>
    <t>AC Ajaccio</t>
  </si>
  <si>
    <t>Braunschweig</t>
  </si>
  <si>
    <t>Leixoes</t>
  </si>
  <si>
    <t>Leiria</t>
  </si>
  <si>
    <t>Linfield</t>
  </si>
  <si>
    <t>Sarpsborg 08</t>
  </si>
  <si>
    <t>`1</t>
  </si>
  <si>
    <t>Modena</t>
  </si>
  <si>
    <t>Cambridge Utd</t>
  </si>
  <si>
    <t>Albirex Niigata</t>
  </si>
  <si>
    <t>Lamphun Warrior</t>
  </si>
  <si>
    <t>BEC Tero Sasana</t>
  </si>
  <si>
    <t>Sliema</t>
  </si>
  <si>
    <t>Hibernians</t>
  </si>
  <si>
    <t>Jong AZ</t>
  </si>
  <si>
    <t xml:space="preserve"> +2.5 bfm + h2 +0.5</t>
  </si>
  <si>
    <t>Silkeborg</t>
  </si>
  <si>
    <t>Auxerre</t>
  </si>
  <si>
    <t>Reading</t>
  </si>
  <si>
    <t>Doncaster</t>
  </si>
  <si>
    <t>Aberystwyth</t>
  </si>
  <si>
    <t>Duisburg</t>
  </si>
  <si>
    <t>Bohemians</t>
  </si>
  <si>
    <t>Helmond</t>
  </si>
  <si>
    <t>Port Vale</t>
  </si>
  <si>
    <t>Bala</t>
  </si>
  <si>
    <t>Haverfordwest</t>
  </si>
  <si>
    <t>Colwyn Bay</t>
  </si>
  <si>
    <t>Barry</t>
  </si>
  <si>
    <t>Leyton Orient</t>
  </si>
  <si>
    <t>Benfica B</t>
  </si>
  <si>
    <t>San Jose Earthquakes</t>
  </si>
  <si>
    <t>Chengdu Rongcheng</t>
  </si>
  <si>
    <t>Eibar</t>
  </si>
  <si>
    <t>FK Crvena zvezda</t>
  </si>
  <si>
    <t>Haugesund</t>
  </si>
  <si>
    <t>Cukaricki</t>
  </si>
  <si>
    <t>Ferrol</t>
  </si>
  <si>
    <t>Sp. Subotica</t>
  </si>
  <si>
    <t>Javor</t>
  </si>
  <si>
    <t>0.5+ h2</t>
  </si>
  <si>
    <t>Avispa Fukuoka</t>
  </si>
  <si>
    <t>Hiroshima</t>
  </si>
  <si>
    <t>Karlsruher</t>
  </si>
  <si>
    <t>Sudtirol</t>
  </si>
  <si>
    <t>Thun</t>
  </si>
  <si>
    <t>Groningen</t>
  </si>
  <si>
    <t>Oostende</t>
  </si>
  <si>
    <t>0-5</t>
  </si>
  <si>
    <t>4-5</t>
  </si>
  <si>
    <t>Lincoln City</t>
  </si>
  <si>
    <t>Wigan</t>
  </si>
  <si>
    <t>0-8</t>
  </si>
  <si>
    <t>7-2</t>
  </si>
  <si>
    <t>0-6</t>
  </si>
  <si>
    <t>Bangkok Utd</t>
  </si>
  <si>
    <t>Barnsley</t>
  </si>
  <si>
    <t>Derry City</t>
  </si>
  <si>
    <t>Shamrock Rovers</t>
  </si>
  <si>
    <t>Molde</t>
  </si>
  <si>
    <t>Breda</t>
  </si>
  <si>
    <t>B4 BACK FT +1.5.EXIT AFTER GOAL</t>
  </si>
  <si>
    <t>HT IF 0-0 BACK +1.5 GOALS</t>
  </si>
  <si>
    <t>Reggiana</t>
  </si>
  <si>
    <t>Liga Mx</t>
  </si>
  <si>
    <t>Mazatlan FC</t>
  </si>
  <si>
    <t>Juarez</t>
  </si>
  <si>
    <t>Club Tijuana</t>
  </si>
  <si>
    <t>Puebla</t>
  </si>
  <si>
    <t>Cardiff</t>
  </si>
  <si>
    <t>IMT Novi Beograd</t>
  </si>
  <si>
    <t>Santos Laguna</t>
  </si>
  <si>
    <t>Pachuca</t>
  </si>
  <si>
    <t>Sirens</t>
  </si>
  <si>
    <t>Gudja</t>
  </si>
  <si>
    <t>Rosenborg</t>
  </si>
  <si>
    <t>K. Oslo</t>
  </si>
  <si>
    <t>10M 0-0 BACK +1.5 X AFTER GOAL</t>
  </si>
  <si>
    <t>15 M 0-0 BACK +1.5 X AFTER GOAL</t>
  </si>
  <si>
    <t>20M 0-0 BACK +1.5 X AFTER GOAL</t>
  </si>
  <si>
    <r>
      <t>H1 &lt;2.5 - (x by ht</t>
    </r>
    <r>
      <rPr>
        <b/>
        <sz val="11"/>
        <color rgb="FFFF0000"/>
        <rFont val="Aptos Narrow"/>
        <family val="2"/>
        <scheme val="minor"/>
      </rPr>
      <t>(40)</t>
    </r>
  </si>
  <si>
    <t>Lens</t>
  </si>
  <si>
    <t>Nagoya</t>
  </si>
  <si>
    <t>Penybont</t>
  </si>
  <si>
    <t>San Carlos</t>
  </si>
  <si>
    <t>Sivasspor</t>
  </si>
  <si>
    <t>Nes Tziona</t>
  </si>
  <si>
    <t>Inverness</t>
  </si>
  <si>
    <t>Radnik</t>
  </si>
  <si>
    <t>Novi Pazar</t>
  </si>
  <si>
    <t>Verl</t>
  </si>
  <si>
    <t>Larne</t>
  </si>
  <si>
    <t>Brazil</t>
  </si>
  <si>
    <t>Bahia</t>
  </si>
  <si>
    <t>Gremio</t>
  </si>
  <si>
    <t>Randers FC</t>
  </si>
  <si>
    <t>Sturm Graz</t>
  </si>
  <si>
    <t>Brest</t>
  </si>
  <si>
    <t>Fiorentina</t>
  </si>
  <si>
    <t>Qingdao West Coast</t>
  </si>
  <si>
    <t>Amazulu</t>
  </si>
  <si>
    <t>Amiens</t>
  </si>
  <si>
    <t>Ingolstadt</t>
  </si>
  <si>
    <t>Panserraikos</t>
  </si>
  <si>
    <t>Eldense</t>
  </si>
  <si>
    <t>`1-4</t>
  </si>
  <si>
    <t>*back h2 goals</t>
  </si>
  <si>
    <r>
      <t xml:space="preserve">h1&lt;2.5, (x by ht), </t>
    </r>
    <r>
      <rPr>
        <b/>
        <u/>
        <sz val="11"/>
        <color rgb="FF00B050"/>
        <rFont val="Aptos Narrow"/>
        <family val="2"/>
        <scheme val="minor"/>
      </rPr>
      <t>&amp;(bfm)ft+1.5</t>
    </r>
  </si>
  <si>
    <t>Mirandes</t>
  </si>
  <si>
    <t>Seoul</t>
  </si>
  <si>
    <t>Pisa</t>
  </si>
  <si>
    <t>Gornik Z.</t>
  </si>
  <si>
    <t>Backa Topola</t>
  </si>
  <si>
    <t>Gangwon</t>
  </si>
  <si>
    <t>FC Porto B</t>
  </si>
  <si>
    <t>Academico Viseu</t>
  </si>
  <si>
    <t>Sweden</t>
  </si>
  <si>
    <t>Superettan</t>
  </si>
  <si>
    <t>Varbergs</t>
  </si>
  <si>
    <t>Trelleborg</t>
  </si>
  <si>
    <t>H/TIME</t>
  </si>
  <si>
    <t>F/TIME</t>
  </si>
  <si>
    <t>% WIN</t>
  </si>
  <si>
    <t>BET STRATEGY</t>
  </si>
  <si>
    <t>FILTERS</t>
  </si>
  <si>
    <t>Waterford</t>
  </si>
  <si>
    <t>Dundalk</t>
  </si>
  <si>
    <t>Incheon</t>
  </si>
  <si>
    <t>Unterhaching</t>
  </si>
  <si>
    <t>SG Dynamo Dresden</t>
  </si>
  <si>
    <t>Regensburg</t>
  </si>
  <si>
    <t>Sundsvall</t>
  </si>
  <si>
    <t>Landskrona</t>
  </si>
  <si>
    <t>Sandhausen</t>
  </si>
  <si>
    <t>H. Nazareth</t>
  </si>
  <si>
    <t>Machida</t>
  </si>
  <si>
    <t>Gefle</t>
  </si>
  <si>
    <t>Skovde AIK</t>
  </si>
  <si>
    <t>Kristiansund</t>
  </si>
  <si>
    <t>Grecia</t>
  </si>
  <si>
    <t>PSG</t>
  </si>
  <si>
    <t>Beijing Guoan</t>
  </si>
  <si>
    <t>Pohang</t>
  </si>
  <si>
    <t>Jeju Utd</t>
  </si>
  <si>
    <t>Cape Town City</t>
  </si>
  <si>
    <t>TS Galaxy</t>
  </si>
  <si>
    <t>LASK Linz</t>
  </si>
  <si>
    <t>Hartberg</t>
  </si>
  <si>
    <t>Betis</t>
  </si>
  <si>
    <t>Alaves</t>
  </si>
  <si>
    <t>Henan Jianye</t>
  </si>
  <si>
    <t>Wuhan Three Towns</t>
  </si>
  <si>
    <t>B + 0.5 at 1.2+ or @ 40 mins</t>
  </si>
  <si>
    <t>h2  +0.5 BET @ 40 MINS</t>
  </si>
  <si>
    <t>h1 +0.5.  X @ 40M</t>
  </si>
  <si>
    <t>Burgos CF</t>
  </si>
  <si>
    <t>Kashima</t>
  </si>
  <si>
    <t>Kobe</t>
  </si>
  <si>
    <t>Angers</t>
  </si>
  <si>
    <t>Concarneau</t>
  </si>
  <si>
    <t>Bordeaux</t>
  </si>
  <si>
    <t>Valenciennes</t>
  </si>
  <si>
    <t>Quevilly Rouen</t>
  </si>
  <si>
    <t>St Etienne</t>
  </si>
  <si>
    <t>Valladolid</t>
  </si>
  <si>
    <t>FC Cartagena SAD</t>
  </si>
  <si>
    <t>Rayo Vallecano</t>
  </si>
  <si>
    <t>Metz</t>
  </si>
  <si>
    <t>Liga Profesional</t>
  </si>
  <si>
    <t>San Lorenzo</t>
  </si>
  <si>
    <t>Lanus</t>
  </si>
  <si>
    <t>Hangzhou Greentown</t>
  </si>
  <si>
    <t>Maccabi Jaffa</t>
  </si>
  <si>
    <t>total SPLITS</t>
  </si>
  <si>
    <t>total AOS</t>
  </si>
  <si>
    <t xml:space="preserve">TOTAL H2 goals </t>
  </si>
  <si>
    <t>Shijiazhuang</t>
  </si>
  <si>
    <t>Velez Sarsfield</t>
  </si>
  <si>
    <t>Newells Old Boys</t>
  </si>
  <si>
    <t>compound staking</t>
  </si>
  <si>
    <t>level staking</t>
  </si>
  <si>
    <t>TOTALS</t>
  </si>
  <si>
    <t>Shandong Luneng</t>
  </si>
  <si>
    <t>Urawa</t>
  </si>
  <si>
    <t>Tianjin Teda</t>
  </si>
  <si>
    <t>M. Herzliya</t>
  </si>
  <si>
    <t>Degerfors</t>
  </si>
  <si>
    <t>Varberg</t>
  </si>
  <si>
    <t>B4 match BACK FT +1.5 goals. X AFTER  GOAL</t>
  </si>
  <si>
    <t>B4 MATCH bet H1 'under 2.5goals'- X at 40 minutes</t>
  </si>
  <si>
    <t>SH H2 HIGH SCORERS</t>
  </si>
  <si>
    <t>SH BACK H2 GOALS</t>
  </si>
  <si>
    <t>Singapore</t>
  </si>
  <si>
    <t>Geylang</t>
  </si>
  <si>
    <t>Young Lions</t>
  </si>
  <si>
    <t>Colorado Rapids</t>
  </si>
  <si>
    <t>Minnesota</t>
  </si>
  <si>
    <t>Tanjong Pagar</t>
  </si>
  <si>
    <t>Hougang</t>
  </si>
  <si>
    <t>SH 0.5+ H2</t>
  </si>
  <si>
    <t>Khonkaen Utd.</t>
  </si>
  <si>
    <t>Vietnam</t>
  </si>
  <si>
    <t>V.League 1</t>
  </si>
  <si>
    <t>Thanh Hoa</t>
  </si>
  <si>
    <t>Nam Dinh</t>
  </si>
  <si>
    <t>Peru</t>
  </si>
  <si>
    <t>Liga 1</t>
  </si>
  <si>
    <t>Union Comercio</t>
  </si>
  <si>
    <t>Cienciano</t>
  </si>
  <si>
    <t>Villarreal B</t>
  </si>
  <si>
    <t>Gwangju FC</t>
  </si>
  <si>
    <t>Ulsan Hyundai</t>
  </si>
  <si>
    <t>8-2</t>
  </si>
  <si>
    <t>total 40 min bang</t>
  </si>
  <si>
    <t>pre match</t>
  </si>
  <si>
    <t>in play</t>
  </si>
  <si>
    <t>8 systems</t>
  </si>
  <si>
    <t>7 systems</t>
  </si>
  <si>
    <t>6 systems</t>
  </si>
  <si>
    <t>Austin FC</t>
  </si>
  <si>
    <t>Los Angeles FC</t>
  </si>
  <si>
    <t>SH 0.5+ h2</t>
  </si>
  <si>
    <t>Yokohama M.</t>
  </si>
  <si>
    <t>SH LAY 0-0 1ST HALF B</t>
  </si>
  <si>
    <t>United Arab Emirates</t>
  </si>
  <si>
    <t>Uae League</t>
  </si>
  <si>
    <t>Al Ain</t>
  </si>
  <si>
    <t>Al Wasl</t>
  </si>
  <si>
    <t>Iwata</t>
  </si>
  <si>
    <t>Chile</t>
  </si>
  <si>
    <t>U. Espanola</t>
  </si>
  <si>
    <t>Deportes Iquique</t>
  </si>
  <si>
    <t>B4 Match, lay HT 0-0 or BACK H1 +0.5 GOALS</t>
  </si>
  <si>
    <t>B4 MATCH back over 2.5 goals.X after goal OR let run</t>
  </si>
  <si>
    <t>20mins if  0-0, BACK over 1.5 goals X after goal OR LET RUN</t>
  </si>
  <si>
    <t>15mins if  0-0, BACK over 1.5 goals X after goal OR LET RUN</t>
  </si>
  <si>
    <t>10mins if  0-0, BACK over 1.5 goals X after goal OR LET RUN</t>
  </si>
  <si>
    <t>AT HT IF 0-0 BACK +0.5 GOALS</t>
  </si>
  <si>
    <r>
      <t xml:space="preserve">40 mins </t>
    </r>
    <r>
      <rPr>
        <sz val="11"/>
        <color rgb="FFFF0000"/>
        <rFont val="Aptos Narrow"/>
        <family val="2"/>
        <scheme val="minor"/>
      </rPr>
      <t>B</t>
    </r>
    <r>
      <rPr>
        <sz val="11"/>
        <rFont val="Aptos Narrow"/>
        <family val="2"/>
        <scheme val="minor"/>
      </rPr>
      <t>ack</t>
    </r>
    <r>
      <rPr>
        <sz val="11"/>
        <color rgb="FFFF0000"/>
        <rFont val="Aptos Narrow"/>
        <family val="2"/>
        <scheme val="minor"/>
      </rPr>
      <t xml:space="preserve"> AN</t>
    </r>
    <r>
      <rPr>
        <sz val="11"/>
        <rFont val="Aptos Narrow"/>
        <family val="2"/>
        <scheme val="minor"/>
      </rPr>
      <t xml:space="preserve">other </t>
    </r>
    <r>
      <rPr>
        <sz val="11"/>
        <color rgb="FFFF0000"/>
        <rFont val="Aptos Narrow"/>
        <family val="2"/>
        <scheme val="minor"/>
      </rPr>
      <t>G</t>
    </r>
    <r>
      <rPr>
        <sz val="11"/>
        <rFont val="Aptos Narrow"/>
        <family val="2"/>
        <scheme val="minor"/>
      </rPr>
      <t>oal</t>
    </r>
  </si>
  <si>
    <t xml:space="preserve">  BANG</t>
  </si>
  <si>
    <t>IP</t>
  </si>
  <si>
    <t xml:space="preserve">BFM </t>
  </si>
  <si>
    <r>
      <t xml:space="preserve">40 mins </t>
    </r>
    <r>
      <rPr>
        <sz val="11"/>
        <color rgb="FFFF0000"/>
        <rFont val="Aptos Narrow"/>
        <family val="2"/>
        <scheme val="minor"/>
      </rPr>
      <t>B</t>
    </r>
    <r>
      <rPr>
        <sz val="11"/>
        <rFont val="Aptos Narrow"/>
        <family val="2"/>
        <scheme val="minor"/>
      </rPr>
      <t>ack</t>
    </r>
    <r>
      <rPr>
        <sz val="11"/>
        <color rgb="FFFF0000"/>
        <rFont val="Aptos Narrow"/>
        <family val="2"/>
        <scheme val="minor"/>
      </rPr>
      <t xml:space="preserve"> AN</t>
    </r>
    <r>
      <rPr>
        <sz val="11"/>
        <rFont val="Aptos Narrow"/>
        <family val="2"/>
        <scheme val="minor"/>
      </rPr>
      <t xml:space="preserve">other </t>
    </r>
    <r>
      <rPr>
        <b/>
        <u/>
        <sz val="11"/>
        <color rgb="FFFF0000"/>
        <rFont val="Aptos Narrow"/>
        <family val="2"/>
        <scheme val="minor"/>
      </rPr>
      <t>G</t>
    </r>
    <r>
      <rPr>
        <sz val="11"/>
        <rFont val="Aptos Narrow"/>
        <family val="2"/>
        <scheme val="minor"/>
      </rPr>
      <t>oal</t>
    </r>
  </si>
  <si>
    <r>
      <rPr>
        <b/>
        <sz val="11"/>
        <color rgb="FFFF0000"/>
        <rFont val="Aptos Narrow"/>
        <family val="2"/>
        <scheme val="minor"/>
      </rPr>
      <t xml:space="preserve">if 0-0, </t>
    </r>
    <r>
      <rPr>
        <sz val="11"/>
        <rFont val="Aptos Narrow"/>
        <family val="2"/>
        <scheme val="minor"/>
      </rPr>
      <t>BACK+ 0.5 GOALS  @ 1.15+odds.  or @ 40 mins</t>
    </r>
  </si>
  <si>
    <t>X</t>
  </si>
  <si>
    <t>Y</t>
  </si>
  <si>
    <t>Sandefjord</t>
  </si>
  <si>
    <t>Atletico-MG</t>
  </si>
  <si>
    <t>Inter Miami CF</t>
  </si>
  <si>
    <t>St. Louis City</t>
  </si>
  <si>
    <t>Daejeon</t>
  </si>
  <si>
    <t>Daegu</t>
  </si>
  <si>
    <t>Sarmiento Junin</t>
  </si>
  <si>
    <t>Estudiantes L.P.</t>
  </si>
  <si>
    <t>Godoy Cruz</t>
  </si>
  <si>
    <t>Banfield</t>
  </si>
  <si>
    <t>SH FT 0-0 B</t>
  </si>
  <si>
    <t>Paraguay</t>
  </si>
  <si>
    <t>Ameliano</t>
  </si>
  <si>
    <t>Tacuary</t>
  </si>
  <si>
    <t>SH SPLIT 20</t>
  </si>
  <si>
    <t>America MG</t>
  </si>
  <si>
    <t>Ponte Preta</t>
  </si>
  <si>
    <t>no bet</t>
  </si>
  <si>
    <t>UAE`</t>
  </si>
  <si>
    <t xml:space="preserve">Al Ain </t>
  </si>
  <si>
    <t>Al Bataeh</t>
  </si>
</sst>
</file>

<file path=xl/styles.xml><?xml version="1.0" encoding="utf-8"?>
<styleSheet xmlns="http://schemas.openxmlformats.org/spreadsheetml/2006/main">
  <numFmts count="5">
    <numFmt numFmtId="6" formatCode="&quot;£&quot;#,##0;[Red]\-&quot;£&quot;#,##0"/>
    <numFmt numFmtId="8" formatCode="&quot;£&quot;#,##0.00;[Red]\-&quot;£&quot;#,##0.00"/>
    <numFmt numFmtId="164" formatCode="0.0_ ;[Red]\-0.0\ "/>
    <numFmt numFmtId="165" formatCode="0.0%"/>
    <numFmt numFmtId="166" formatCode="0.0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rgb="FF0000FF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rgb="FF00B05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rgb="FF0000FF"/>
      </right>
      <top style="medium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indexed="64"/>
      </right>
      <top style="medium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indexed="64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medium">
        <color indexed="64"/>
      </top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 style="medium">
        <color rgb="FF0000FF"/>
      </bottom>
      <diagonal/>
    </border>
    <border>
      <left style="medium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indexed="64"/>
      </right>
      <top/>
      <bottom style="medium">
        <color rgb="FF0000FF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/>
    <xf numFmtId="0" fontId="18" fillId="0" borderId="17" xfId="0" applyFont="1" applyBorder="1" applyAlignment="1">
      <alignment horizontal="center"/>
    </xf>
    <xf numFmtId="9" fontId="18" fillId="0" borderId="17" xfId="1" applyFont="1" applyBorder="1"/>
    <xf numFmtId="0" fontId="18" fillId="33" borderId="19" xfId="0" applyFont="1" applyFill="1" applyBorder="1" applyAlignment="1">
      <alignment horizontal="center"/>
    </xf>
    <xf numFmtId="0" fontId="18" fillId="33" borderId="17" xfId="0" applyFont="1" applyFill="1" applyBorder="1"/>
    <xf numFmtId="0" fontId="18" fillId="33" borderId="0" xfId="0" applyFont="1" applyFill="1"/>
    <xf numFmtId="6" fontId="21" fillId="33" borderId="17" xfId="0" applyNumberFormat="1" applyFont="1" applyFill="1" applyBorder="1" applyAlignment="1">
      <alignment horizontal="center"/>
    </xf>
    <xf numFmtId="9" fontId="18" fillId="34" borderId="17" xfId="1" applyFont="1" applyFill="1" applyBorder="1"/>
    <xf numFmtId="22" fontId="18" fillId="0" borderId="10" xfId="0" applyNumberFormat="1" applyFont="1" applyBorder="1" applyAlignment="1">
      <alignment horizontal="center"/>
    </xf>
    <xf numFmtId="9" fontId="21" fillId="0" borderId="17" xfId="1" applyFont="1" applyBorder="1" applyAlignment="1">
      <alignment horizontal="center"/>
    </xf>
    <xf numFmtId="0" fontId="17" fillId="36" borderId="25" xfId="0" applyFont="1" applyFill="1" applyBorder="1" applyAlignment="1">
      <alignment horizontal="center"/>
    </xf>
    <xf numFmtId="0" fontId="17" fillId="36" borderId="26" xfId="0" applyFont="1" applyFill="1" applyBorder="1" applyAlignment="1">
      <alignment horizontal="center"/>
    </xf>
    <xf numFmtId="6" fontId="13" fillId="36" borderId="27" xfId="0" applyNumberFormat="1" applyFont="1" applyFill="1" applyBorder="1" applyAlignment="1">
      <alignment horizontal="center"/>
    </xf>
    <xf numFmtId="0" fontId="0" fillId="0" borderId="10" xfId="0" applyBorder="1"/>
    <xf numFmtId="0" fontId="13" fillId="37" borderId="21" xfId="0" applyFont="1" applyFill="1" applyBorder="1" applyAlignment="1">
      <alignment horizontal="center"/>
    </xf>
    <xf numFmtId="9" fontId="13" fillId="37" borderId="23" xfId="1" applyFont="1" applyFill="1" applyBorder="1" applyAlignment="1">
      <alignment horizontal="center"/>
    </xf>
    <xf numFmtId="22" fontId="0" fillId="0" borderId="15" xfId="0" applyNumberFormat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0" fillId="0" borderId="0" xfId="0" applyNumberFormat="1"/>
    <xf numFmtId="0" fontId="0" fillId="35" borderId="10" xfId="0" applyFill="1" applyBorder="1" applyAlignment="1">
      <alignment horizontal="center"/>
    </xf>
    <xf numFmtId="22" fontId="0" fillId="35" borderId="10" xfId="0" applyNumberFormat="1" applyFill="1" applyBorder="1" applyAlignment="1">
      <alignment horizontal="center"/>
    </xf>
    <xf numFmtId="49" fontId="20" fillId="35" borderId="10" xfId="0" applyNumberFormat="1" applyFont="1" applyFill="1" applyBorder="1" applyAlignment="1">
      <alignment horizontal="center"/>
    </xf>
    <xf numFmtId="0" fontId="0" fillId="35" borderId="0" xfId="0" applyFill="1"/>
    <xf numFmtId="0" fontId="18" fillId="35" borderId="0" xfId="0" applyFont="1" applyFill="1"/>
    <xf numFmtId="0" fontId="0" fillId="33" borderId="10" xfId="0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0" fontId="18" fillId="0" borderId="0" xfId="0" applyFont="1" applyAlignment="1">
      <alignment horizontal="center"/>
    </xf>
    <xf numFmtId="6" fontId="0" fillId="0" borderId="0" xfId="0" applyNumberFormat="1"/>
    <xf numFmtId="0" fontId="0" fillId="35" borderId="14" xfId="0" applyFill="1" applyBorder="1" applyAlignment="1">
      <alignment horizontal="center"/>
    </xf>
    <xf numFmtId="0" fontId="16" fillId="0" borderId="0" xfId="0" applyFont="1"/>
    <xf numFmtId="0" fontId="18" fillId="43" borderId="37" xfId="0" applyFont="1" applyFill="1" applyBorder="1" applyAlignment="1">
      <alignment horizontal="center"/>
    </xf>
    <xf numFmtId="1" fontId="0" fillId="43" borderId="42" xfId="0" applyNumberFormat="1" applyFill="1" applyBorder="1" applyAlignment="1">
      <alignment horizontal="center"/>
    </xf>
    <xf numFmtId="165" fontId="0" fillId="43" borderId="42" xfId="1" applyNumberFormat="1" applyFont="1" applyFill="1" applyBorder="1"/>
    <xf numFmtId="1" fontId="0" fillId="43" borderId="10" xfId="0" applyNumberFormat="1" applyFill="1" applyBorder="1" applyAlignment="1">
      <alignment horizontal="center"/>
    </xf>
    <xf numFmtId="165" fontId="0" fillId="43" borderId="10" xfId="1" applyNumberFormat="1" applyFont="1" applyFill="1" applyBorder="1"/>
    <xf numFmtId="0" fontId="0" fillId="43" borderId="10" xfId="0" applyFill="1" applyBorder="1"/>
    <xf numFmtId="165" fontId="0" fillId="43" borderId="35" xfId="1" applyNumberFormat="1" applyFont="1" applyFill="1" applyBorder="1"/>
    <xf numFmtId="2" fontId="0" fillId="43" borderId="35" xfId="1" applyNumberFormat="1" applyFont="1" applyFill="1" applyBorder="1"/>
    <xf numFmtId="0" fontId="21" fillId="33" borderId="13" xfId="0" applyFont="1" applyFill="1" applyBorder="1" applyAlignment="1">
      <alignment horizontal="center"/>
    </xf>
    <xf numFmtId="0" fontId="16" fillId="33" borderId="49" xfId="0" applyFont="1" applyFill="1" applyBorder="1" applyAlignment="1">
      <alignment horizontal="center"/>
    </xf>
    <xf numFmtId="0" fontId="16" fillId="33" borderId="50" xfId="0" applyFont="1" applyFill="1" applyBorder="1" applyAlignment="1">
      <alignment horizontal="center"/>
    </xf>
    <xf numFmtId="0" fontId="16" fillId="33" borderId="50" xfId="0" applyFont="1" applyFill="1" applyBorder="1"/>
    <xf numFmtId="0" fontId="16" fillId="33" borderId="51" xfId="0" applyFont="1" applyFill="1" applyBorder="1"/>
    <xf numFmtId="0" fontId="16" fillId="43" borderId="10" xfId="0" applyFont="1" applyFill="1" applyBorder="1"/>
    <xf numFmtId="2" fontId="16" fillId="43" borderId="10" xfId="0" applyNumberFormat="1" applyFont="1" applyFill="1" applyBorder="1" applyAlignment="1">
      <alignment horizontal="center"/>
    </xf>
    <xf numFmtId="2" fontId="16" fillId="43" borderId="42" xfId="0" applyNumberFormat="1" applyFont="1" applyFill="1" applyBorder="1" applyAlignment="1">
      <alignment horizontal="center"/>
    </xf>
    <xf numFmtId="0" fontId="18" fillId="43" borderId="34" xfId="0" applyFont="1" applyFill="1" applyBorder="1" applyAlignment="1">
      <alignment horizontal="center"/>
    </xf>
    <xf numFmtId="0" fontId="16" fillId="43" borderId="35" xfId="0" applyFont="1" applyFill="1" applyBorder="1"/>
    <xf numFmtId="0" fontId="18" fillId="44" borderId="34" xfId="0" applyFont="1" applyFill="1" applyBorder="1" applyAlignment="1">
      <alignment horizontal="center"/>
    </xf>
    <xf numFmtId="2" fontId="16" fillId="44" borderId="42" xfId="0" applyNumberFormat="1" applyFont="1" applyFill="1" applyBorder="1" applyAlignment="1">
      <alignment horizontal="center"/>
    </xf>
    <xf numFmtId="2" fontId="16" fillId="44" borderId="10" xfId="0" applyNumberFormat="1" applyFont="1" applyFill="1" applyBorder="1" applyAlignment="1">
      <alignment horizontal="center"/>
    </xf>
    <xf numFmtId="0" fontId="16" fillId="44" borderId="10" xfId="0" applyFont="1" applyFill="1" applyBorder="1"/>
    <xf numFmtId="0" fontId="16" fillId="44" borderId="35" xfId="0" applyFont="1" applyFill="1" applyBorder="1"/>
    <xf numFmtId="0" fontId="21" fillId="44" borderId="36" xfId="0" applyFont="1" applyFill="1" applyBorder="1" applyAlignment="1">
      <alignment horizontal="left"/>
    </xf>
    <xf numFmtId="0" fontId="21" fillId="44" borderId="52" xfId="0" applyFont="1" applyFill="1" applyBorder="1" applyAlignment="1">
      <alignment horizontal="center"/>
    </xf>
    <xf numFmtId="0" fontId="18" fillId="0" borderId="52" xfId="0" applyFont="1" applyBorder="1"/>
    <xf numFmtId="0" fontId="18" fillId="44" borderId="45" xfId="0" applyFont="1" applyFill="1" applyBorder="1" applyAlignment="1">
      <alignment horizontal="center"/>
    </xf>
    <xf numFmtId="1" fontId="0" fillId="44" borderId="46" xfId="0" applyNumberFormat="1" applyFill="1" applyBorder="1" applyAlignment="1">
      <alignment horizontal="center"/>
    </xf>
    <xf numFmtId="1" fontId="0" fillId="44" borderId="47" xfId="0" applyNumberFormat="1" applyFill="1" applyBorder="1" applyAlignment="1">
      <alignment horizontal="center"/>
    </xf>
    <xf numFmtId="0" fontId="0" fillId="44" borderId="47" xfId="0" applyFill="1" applyBorder="1"/>
    <xf numFmtId="0" fontId="18" fillId="44" borderId="37" xfId="0" applyFont="1" applyFill="1" applyBorder="1" applyAlignment="1">
      <alignment horizontal="center"/>
    </xf>
    <xf numFmtId="165" fontId="0" fillId="44" borderId="42" xfId="1" applyNumberFormat="1" applyFont="1" applyFill="1" applyBorder="1" applyAlignment="1">
      <alignment horizontal="center"/>
    </xf>
    <xf numFmtId="165" fontId="0" fillId="44" borderId="10" xfId="1" applyNumberFormat="1" applyFont="1" applyFill="1" applyBorder="1" applyAlignment="1">
      <alignment horizontal="center"/>
    </xf>
    <xf numFmtId="0" fontId="0" fillId="44" borderId="10" xfId="0" applyFill="1" applyBorder="1"/>
    <xf numFmtId="165" fontId="0" fillId="44" borderId="35" xfId="1" applyNumberFormat="1" applyFont="1" applyFill="1" applyBorder="1" applyAlignment="1">
      <alignment horizontal="center"/>
    </xf>
    <xf numFmtId="0" fontId="18" fillId="45" borderId="34" xfId="0" applyFont="1" applyFill="1" applyBorder="1" applyAlignment="1">
      <alignment horizontal="center"/>
    </xf>
    <xf numFmtId="2" fontId="16" fillId="45" borderId="46" xfId="0" applyNumberFormat="1" applyFont="1" applyFill="1" applyBorder="1" applyAlignment="1">
      <alignment horizontal="center"/>
    </xf>
    <xf numFmtId="0" fontId="16" fillId="45" borderId="47" xfId="0" applyFont="1" applyFill="1" applyBorder="1"/>
    <xf numFmtId="0" fontId="16" fillId="45" borderId="48" xfId="0" applyFont="1" applyFill="1" applyBorder="1"/>
    <xf numFmtId="0" fontId="0" fillId="45" borderId="37" xfId="0" applyFill="1" applyBorder="1" applyAlignment="1">
      <alignment horizontal="center"/>
    </xf>
    <xf numFmtId="1" fontId="0" fillId="45" borderId="42" xfId="0" applyNumberFormat="1" applyFill="1" applyBorder="1" applyAlignment="1">
      <alignment horizontal="center"/>
    </xf>
    <xf numFmtId="1" fontId="0" fillId="45" borderId="10" xfId="0" applyNumberFormat="1" applyFill="1" applyBorder="1" applyAlignment="1">
      <alignment horizontal="center"/>
    </xf>
    <xf numFmtId="0" fontId="0" fillId="45" borderId="10" xfId="0" applyFill="1" applyBorder="1"/>
    <xf numFmtId="1" fontId="0" fillId="44" borderId="48" xfId="0" applyNumberFormat="1" applyFill="1" applyBorder="1" applyAlignment="1">
      <alignment horizontal="center"/>
    </xf>
    <xf numFmtId="1" fontId="0" fillId="43" borderId="35" xfId="0" applyNumberFormat="1" applyFill="1" applyBorder="1" applyAlignment="1">
      <alignment horizontal="center"/>
    </xf>
    <xf numFmtId="1" fontId="0" fillId="45" borderId="35" xfId="0" applyNumberFormat="1" applyFill="1" applyBorder="1" applyAlignment="1">
      <alignment horizontal="center"/>
    </xf>
    <xf numFmtId="0" fontId="18" fillId="44" borderId="36" xfId="0" applyFont="1" applyFill="1" applyBorder="1" applyAlignment="1">
      <alignment horizontal="center"/>
    </xf>
    <xf numFmtId="1" fontId="0" fillId="44" borderId="41" xfId="0" applyNumberFormat="1" applyFill="1" applyBorder="1" applyAlignment="1">
      <alignment horizontal="center"/>
    </xf>
    <xf numFmtId="1" fontId="0" fillId="44" borderId="30" xfId="0" applyNumberFormat="1" applyFill="1" applyBorder="1" applyAlignment="1">
      <alignment horizontal="center"/>
    </xf>
    <xf numFmtId="0" fontId="0" fillId="44" borderId="30" xfId="0" applyFill="1" applyBorder="1"/>
    <xf numFmtId="165" fontId="0" fillId="44" borderId="30" xfId="1" applyNumberFormat="1" applyFont="1" applyFill="1" applyBorder="1" applyAlignment="1">
      <alignment horizontal="center"/>
    </xf>
    <xf numFmtId="1" fontId="0" fillId="44" borderId="32" xfId="1" applyNumberFormat="1" applyFont="1" applyFill="1" applyBorder="1" applyAlignment="1">
      <alignment horizontal="center"/>
    </xf>
    <xf numFmtId="9" fontId="0" fillId="44" borderId="42" xfId="1" applyFont="1" applyFill="1" applyBorder="1" applyAlignment="1">
      <alignment horizontal="center"/>
    </xf>
    <xf numFmtId="9" fontId="0" fillId="44" borderId="10" xfId="1" applyFont="1" applyFill="1" applyBorder="1" applyAlignment="1">
      <alignment horizontal="center"/>
    </xf>
    <xf numFmtId="0" fontId="18" fillId="40" borderId="37" xfId="0" applyFont="1" applyFill="1" applyBorder="1" applyAlignment="1">
      <alignment horizontal="center"/>
    </xf>
    <xf numFmtId="1" fontId="0" fillId="40" borderId="42" xfId="0" applyNumberFormat="1" applyFill="1" applyBorder="1" applyAlignment="1">
      <alignment horizontal="center"/>
    </xf>
    <xf numFmtId="1" fontId="0" fillId="40" borderId="10" xfId="0" applyNumberFormat="1" applyFill="1" applyBorder="1" applyAlignment="1">
      <alignment horizontal="center"/>
    </xf>
    <xf numFmtId="0" fontId="0" fillId="40" borderId="10" xfId="0" applyFill="1" applyBorder="1"/>
    <xf numFmtId="165" fontId="0" fillId="40" borderId="10" xfId="1" applyNumberFormat="1" applyFont="1" applyFill="1" applyBorder="1" applyAlignment="1">
      <alignment horizontal="center"/>
    </xf>
    <xf numFmtId="1" fontId="0" fillId="40" borderId="35" xfId="1" applyNumberFormat="1" applyFont="1" applyFill="1" applyBorder="1" applyAlignment="1">
      <alignment horizontal="center"/>
    </xf>
    <xf numFmtId="9" fontId="0" fillId="40" borderId="42" xfId="1" applyFont="1" applyFill="1" applyBorder="1" applyAlignment="1">
      <alignment horizontal="center"/>
    </xf>
    <xf numFmtId="9" fontId="0" fillId="40" borderId="10" xfId="1" applyFont="1" applyFill="1" applyBorder="1" applyAlignment="1">
      <alignment horizontal="center"/>
    </xf>
    <xf numFmtId="0" fontId="21" fillId="45" borderId="40" xfId="0" applyFont="1" applyFill="1" applyBorder="1" applyAlignment="1">
      <alignment horizontal="center"/>
    </xf>
    <xf numFmtId="1" fontId="16" fillId="45" borderId="43" xfId="0" applyNumberFormat="1" applyFont="1" applyFill="1" applyBorder="1" applyAlignment="1">
      <alignment horizontal="center"/>
    </xf>
    <xf numFmtId="1" fontId="16" fillId="45" borderId="14" xfId="0" applyNumberFormat="1" applyFont="1" applyFill="1" applyBorder="1" applyAlignment="1">
      <alignment horizontal="center"/>
    </xf>
    <xf numFmtId="0" fontId="16" fillId="45" borderId="14" xfId="0" applyFont="1" applyFill="1" applyBorder="1"/>
    <xf numFmtId="0" fontId="16" fillId="45" borderId="14" xfId="0" applyFont="1" applyFill="1" applyBorder="1" applyAlignment="1">
      <alignment horizontal="center"/>
    </xf>
    <xf numFmtId="1" fontId="16" fillId="45" borderId="39" xfId="1" applyNumberFormat="1" applyFont="1" applyFill="1" applyBorder="1" applyAlignment="1">
      <alignment horizontal="center"/>
    </xf>
    <xf numFmtId="0" fontId="18" fillId="45" borderId="38" xfId="0" applyFont="1" applyFill="1" applyBorder="1" applyAlignment="1">
      <alignment horizontal="center"/>
    </xf>
    <xf numFmtId="1" fontId="0" fillId="45" borderId="44" xfId="0" applyNumberFormat="1" applyFill="1" applyBorder="1" applyAlignment="1">
      <alignment horizontal="center"/>
    </xf>
    <xf numFmtId="1" fontId="0" fillId="45" borderId="31" xfId="0" applyNumberFormat="1" applyFill="1" applyBorder="1" applyAlignment="1">
      <alignment horizontal="center"/>
    </xf>
    <xf numFmtId="0" fontId="0" fillId="45" borderId="31" xfId="0" applyFill="1" applyBorder="1"/>
    <xf numFmtId="165" fontId="0" fillId="45" borderId="31" xfId="1" applyNumberFormat="1" applyFont="1" applyFill="1" applyBorder="1" applyAlignment="1">
      <alignment horizontal="center"/>
    </xf>
    <xf numFmtId="1" fontId="0" fillId="45" borderId="33" xfId="1" applyNumberFormat="1" applyFont="1" applyFill="1" applyBorder="1" applyAlignment="1">
      <alignment horizontal="center"/>
    </xf>
    <xf numFmtId="0" fontId="20" fillId="45" borderId="45" xfId="0" applyFont="1" applyFill="1" applyBorder="1" applyAlignment="1">
      <alignment horizontal="center"/>
    </xf>
    <xf numFmtId="0" fontId="20" fillId="45" borderId="37" xfId="0" applyFont="1" applyFill="1" applyBorder="1" applyAlignment="1">
      <alignment horizontal="center"/>
    </xf>
    <xf numFmtId="1" fontId="20" fillId="45" borderId="46" xfId="0" applyNumberFormat="1" applyFont="1" applyFill="1" applyBorder="1" applyAlignment="1">
      <alignment horizontal="center"/>
    </xf>
    <xf numFmtId="165" fontId="20" fillId="45" borderId="42" xfId="1" applyNumberFormat="1" applyFont="1" applyFill="1" applyBorder="1" applyAlignment="1">
      <alignment horizontal="center"/>
    </xf>
    <xf numFmtId="1" fontId="20" fillId="45" borderId="47" xfId="0" applyNumberFormat="1" applyFont="1" applyFill="1" applyBorder="1" applyAlignment="1">
      <alignment horizontal="center"/>
    </xf>
    <xf numFmtId="0" fontId="20" fillId="45" borderId="47" xfId="0" applyFont="1" applyFill="1" applyBorder="1"/>
    <xf numFmtId="0" fontId="20" fillId="45" borderId="10" xfId="0" applyFont="1" applyFill="1" applyBorder="1"/>
    <xf numFmtId="165" fontId="20" fillId="45" borderId="47" xfId="1" applyNumberFormat="1" applyFont="1" applyFill="1" applyBorder="1" applyAlignment="1">
      <alignment horizontal="center"/>
    </xf>
    <xf numFmtId="165" fontId="20" fillId="45" borderId="10" xfId="1" applyNumberFormat="1" applyFont="1" applyFill="1" applyBorder="1" applyAlignment="1">
      <alignment horizontal="center"/>
    </xf>
    <xf numFmtId="1" fontId="20" fillId="45" borderId="48" xfId="0" applyNumberFormat="1" applyFont="1" applyFill="1" applyBorder="1" applyAlignment="1">
      <alignment horizontal="center"/>
    </xf>
    <xf numFmtId="1" fontId="20" fillId="45" borderId="35" xfId="0" applyNumberFormat="1" applyFont="1" applyFill="1" applyBorder="1" applyAlignment="1">
      <alignment horizontal="center"/>
    </xf>
    <xf numFmtId="0" fontId="18" fillId="45" borderId="40" xfId="0" applyFont="1" applyFill="1" applyBorder="1" applyAlignment="1">
      <alignment horizontal="center"/>
    </xf>
    <xf numFmtId="9" fontId="0" fillId="45" borderId="43" xfId="1" applyFont="1" applyFill="1" applyBorder="1" applyAlignment="1">
      <alignment horizontal="center"/>
    </xf>
    <xf numFmtId="9" fontId="0" fillId="45" borderId="14" xfId="1" applyFont="1" applyFill="1" applyBorder="1" applyAlignment="1">
      <alignment horizontal="center"/>
    </xf>
    <xf numFmtId="0" fontId="0" fillId="45" borderId="14" xfId="0" applyFill="1" applyBorder="1"/>
    <xf numFmtId="0" fontId="0" fillId="45" borderId="39" xfId="0" applyFill="1" applyBorder="1"/>
    <xf numFmtId="0" fontId="16" fillId="46" borderId="28" xfId="0" applyFont="1" applyFill="1" applyBorder="1"/>
    <xf numFmtId="0" fontId="16" fillId="46" borderId="29" xfId="0" applyFont="1" applyFill="1" applyBorder="1"/>
    <xf numFmtId="0" fontId="16" fillId="46" borderId="30" xfId="0" applyFont="1" applyFill="1" applyBorder="1"/>
    <xf numFmtId="0" fontId="16" fillId="46" borderId="31" xfId="0" applyFont="1" applyFill="1" applyBorder="1"/>
    <xf numFmtId="6" fontId="16" fillId="46" borderId="30" xfId="0" applyNumberFormat="1" applyFont="1" applyFill="1" applyBorder="1" applyAlignment="1">
      <alignment horizontal="center"/>
    </xf>
    <xf numFmtId="8" fontId="16" fillId="46" borderId="31" xfId="0" applyNumberFormat="1" applyFont="1" applyFill="1" applyBorder="1" applyAlignment="1">
      <alignment horizontal="center"/>
    </xf>
    <xf numFmtId="0" fontId="16" fillId="46" borderId="30" xfId="0" applyFont="1" applyFill="1" applyBorder="1" applyAlignment="1">
      <alignment horizontal="center"/>
    </xf>
    <xf numFmtId="0" fontId="16" fillId="46" borderId="31" xfId="0" applyFont="1" applyFill="1" applyBorder="1" applyAlignment="1">
      <alignment horizontal="center"/>
    </xf>
    <xf numFmtId="6" fontId="16" fillId="46" borderId="32" xfId="0" applyNumberFormat="1" applyFont="1" applyFill="1" applyBorder="1" applyAlignment="1">
      <alignment horizontal="center"/>
    </xf>
    <xf numFmtId="8" fontId="16" fillId="46" borderId="33" xfId="0" applyNumberFormat="1" applyFont="1" applyFill="1" applyBorder="1" applyAlignment="1">
      <alignment horizontal="center"/>
    </xf>
    <xf numFmtId="9" fontId="0" fillId="44" borderId="35" xfId="0" applyNumberFormat="1" applyFill="1" applyBorder="1" applyAlignment="1">
      <alignment horizontal="center"/>
    </xf>
    <xf numFmtId="165" fontId="18" fillId="34" borderId="18" xfId="1" applyNumberFormat="1" applyFont="1" applyFill="1" applyBorder="1" applyAlignment="1">
      <alignment horizontal="center"/>
    </xf>
    <xf numFmtId="165" fontId="18" fillId="34" borderId="17" xfId="1" applyNumberFormat="1" applyFont="1" applyFill="1" applyBorder="1"/>
    <xf numFmtId="165" fontId="21" fillId="34" borderId="17" xfId="1" applyNumberFormat="1" applyFont="1" applyFill="1" applyBorder="1" applyAlignment="1">
      <alignment horizontal="center"/>
    </xf>
    <xf numFmtId="165" fontId="13" fillId="37" borderId="22" xfId="1" applyNumberFormat="1" applyFont="1" applyFill="1" applyBorder="1" applyAlignment="1">
      <alignment horizontal="center"/>
    </xf>
    <xf numFmtId="0" fontId="20" fillId="40" borderId="10" xfId="0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22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49" fontId="20" fillId="35" borderId="0" xfId="0" applyNumberFormat="1" applyFont="1" applyFill="1" applyAlignment="1">
      <alignment horizontal="center"/>
    </xf>
    <xf numFmtId="0" fontId="18" fillId="39" borderId="0" xfId="0" applyFont="1" applyFill="1"/>
    <xf numFmtId="14" fontId="20" fillId="0" borderId="0" xfId="0" applyNumberFormat="1" applyFont="1" applyAlignment="1">
      <alignment horizontal="center"/>
    </xf>
    <xf numFmtId="0" fontId="18" fillId="0" borderId="10" xfId="0" applyFont="1" applyBorder="1"/>
    <xf numFmtId="165" fontId="27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left"/>
    </xf>
    <xf numFmtId="0" fontId="0" fillId="35" borderId="47" xfId="0" applyFill="1" applyBorder="1" applyAlignment="1">
      <alignment horizontal="center"/>
    </xf>
    <xf numFmtId="0" fontId="0" fillId="33" borderId="47" xfId="0" applyFill="1" applyBorder="1" applyAlignment="1">
      <alignment horizontal="center"/>
    </xf>
    <xf numFmtId="0" fontId="0" fillId="40" borderId="47" xfId="0" applyFill="1" applyBorder="1" applyAlignment="1">
      <alignment horizontal="center"/>
    </xf>
    <xf numFmtId="0" fontId="18" fillId="0" borderId="47" xfId="0" applyFont="1" applyBorder="1"/>
    <xf numFmtId="0" fontId="0" fillId="0" borderId="18" xfId="0" applyBorder="1" applyAlignment="1">
      <alignment horizontal="center"/>
    </xf>
    <xf numFmtId="165" fontId="20" fillId="42" borderId="10" xfId="0" applyNumberFormat="1" applyFont="1" applyFill="1" applyBorder="1" applyAlignment="1">
      <alignment horizontal="center"/>
    </xf>
    <xf numFmtId="165" fontId="26" fillId="42" borderId="10" xfId="0" applyNumberFormat="1" applyFont="1" applyFill="1" applyBorder="1" applyAlignment="1">
      <alignment horizontal="left"/>
    </xf>
    <xf numFmtId="0" fontId="20" fillId="42" borderId="47" xfId="0" applyFont="1" applyFill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20" fillId="42" borderId="15" xfId="0" applyFont="1" applyFill="1" applyBorder="1" applyAlignment="1">
      <alignment horizontal="center"/>
    </xf>
    <xf numFmtId="0" fontId="20" fillId="42" borderId="0" xfId="0" applyFont="1" applyFill="1" applyAlignment="1">
      <alignment horizontal="center"/>
    </xf>
    <xf numFmtId="164" fontId="20" fillId="42" borderId="0" xfId="0" applyNumberFormat="1" applyFont="1" applyFill="1" applyAlignment="1">
      <alignment horizontal="center"/>
    </xf>
    <xf numFmtId="0" fontId="20" fillId="40" borderId="10" xfId="0" applyFont="1" applyFill="1" applyBorder="1" applyAlignment="1">
      <alignment horizontal="left"/>
    </xf>
    <xf numFmtId="0" fontId="26" fillId="40" borderId="10" xfId="0" applyFont="1" applyFill="1" applyBorder="1" applyAlignment="1">
      <alignment horizontal="center"/>
    </xf>
    <xf numFmtId="0" fontId="26" fillId="39" borderId="10" xfId="0" applyFont="1" applyFill="1" applyBorder="1" applyAlignment="1">
      <alignment horizontal="center"/>
    </xf>
    <xf numFmtId="0" fontId="23" fillId="40" borderId="0" xfId="0" applyFont="1" applyFill="1"/>
    <xf numFmtId="0" fontId="21" fillId="47" borderId="10" xfId="0" applyFont="1" applyFill="1" applyBorder="1" applyAlignment="1">
      <alignment horizontal="center"/>
    </xf>
    <xf numFmtId="0" fontId="18" fillId="47" borderId="0" xfId="0" applyFont="1" applyFill="1"/>
    <xf numFmtId="0" fontId="21" fillId="47" borderId="47" xfId="0" applyFont="1" applyFill="1" applyBorder="1" applyAlignment="1">
      <alignment horizontal="center"/>
    </xf>
    <xf numFmtId="0" fontId="21" fillId="47" borderId="0" xfId="0" applyFont="1" applyFill="1" applyAlignment="1">
      <alignment horizontal="center"/>
    </xf>
    <xf numFmtId="0" fontId="21" fillId="47" borderId="0" xfId="0" applyFont="1" applyFill="1"/>
    <xf numFmtId="0" fontId="25" fillId="47" borderId="10" xfId="0" applyFont="1" applyFill="1" applyBorder="1" applyAlignment="1">
      <alignment horizontal="center"/>
    </xf>
    <xf numFmtId="0" fontId="21" fillId="47" borderId="10" xfId="0" applyFont="1" applyFill="1" applyBorder="1"/>
    <xf numFmtId="166" fontId="0" fillId="0" borderId="0" xfId="0" applyNumberFormat="1" applyAlignment="1">
      <alignment horizontal="center"/>
    </xf>
    <xf numFmtId="9" fontId="16" fillId="33" borderId="56" xfId="1" applyFont="1" applyFill="1" applyBorder="1" applyAlignment="1">
      <alignment horizontal="center"/>
    </xf>
    <xf numFmtId="9" fontId="16" fillId="33" borderId="55" xfId="1" applyFont="1" applyFill="1" applyBorder="1" applyAlignment="1">
      <alignment horizontal="center"/>
    </xf>
    <xf numFmtId="0" fontId="16" fillId="33" borderId="57" xfId="0" applyFont="1" applyFill="1" applyBorder="1" applyAlignment="1">
      <alignment horizontal="center"/>
    </xf>
    <xf numFmtId="165" fontId="18" fillId="34" borderId="58" xfId="1" applyNumberFormat="1" applyFont="1" applyFill="1" applyBorder="1"/>
    <xf numFmtId="165" fontId="18" fillId="34" borderId="60" xfId="1" applyNumberFormat="1" applyFont="1" applyFill="1" applyBorder="1" applyAlignment="1">
      <alignment horizontal="center"/>
    </xf>
    <xf numFmtId="9" fontId="18" fillId="0" borderId="23" xfId="1" applyFont="1" applyBorder="1" applyAlignment="1">
      <alignment horizontal="center"/>
    </xf>
    <xf numFmtId="0" fontId="18" fillId="0" borderId="54" xfId="0" applyFont="1" applyBorder="1"/>
    <xf numFmtId="6" fontId="21" fillId="47" borderId="27" xfId="0" applyNumberFormat="1" applyFont="1" applyFill="1" applyBorder="1" applyAlignment="1">
      <alignment horizontal="center"/>
    </xf>
    <xf numFmtId="0" fontId="25" fillId="39" borderId="20" xfId="0" applyFont="1" applyFill="1" applyBorder="1"/>
    <xf numFmtId="0" fontId="25" fillId="40" borderId="20" xfId="0" applyFont="1" applyFill="1" applyBorder="1"/>
    <xf numFmtId="0" fontId="18" fillId="39" borderId="20" xfId="0" applyFont="1" applyFill="1" applyBorder="1"/>
    <xf numFmtId="165" fontId="18" fillId="34" borderId="22" xfId="1" applyNumberFormat="1" applyFont="1" applyFill="1" applyBorder="1"/>
    <xf numFmtId="0" fontId="18" fillId="39" borderId="61" xfId="0" applyFont="1" applyFill="1" applyBorder="1"/>
    <xf numFmtId="9" fontId="18" fillId="0" borderId="23" xfId="1" applyFont="1" applyBorder="1"/>
    <xf numFmtId="6" fontId="13" fillId="36" borderId="63" xfId="0" applyNumberFormat="1" applyFont="1" applyFill="1" applyBorder="1" applyAlignment="1">
      <alignment horizontal="center"/>
    </xf>
    <xf numFmtId="6" fontId="21" fillId="47" borderId="63" xfId="0" applyNumberFormat="1" applyFont="1" applyFill="1" applyBorder="1" applyAlignment="1">
      <alignment horizontal="center"/>
    </xf>
    <xf numFmtId="0" fontId="18" fillId="0" borderId="53" xfId="0" applyFont="1" applyBorder="1"/>
    <xf numFmtId="165" fontId="18" fillId="34" borderId="23" xfId="1" applyNumberFormat="1" applyFont="1" applyFill="1" applyBorder="1"/>
    <xf numFmtId="0" fontId="0" fillId="0" borderId="53" xfId="0" applyBorder="1"/>
    <xf numFmtId="6" fontId="21" fillId="47" borderId="64" xfId="0" applyNumberFormat="1" applyFont="1" applyFill="1" applyBorder="1" applyAlignment="1">
      <alignment horizontal="center"/>
    </xf>
    <xf numFmtId="0" fontId="0" fillId="0" borderId="54" xfId="0" applyBorder="1"/>
    <xf numFmtId="0" fontId="18" fillId="40" borderId="20" xfId="0" applyFont="1" applyFill="1" applyBorder="1"/>
    <xf numFmtId="9" fontId="18" fillId="34" borderId="22" xfId="1" applyFont="1" applyFill="1" applyBorder="1"/>
    <xf numFmtId="0" fontId="18" fillId="40" borderId="61" xfId="0" applyFont="1" applyFill="1" applyBorder="1"/>
    <xf numFmtId="0" fontId="25" fillId="42" borderId="20" xfId="0" applyFont="1" applyFill="1" applyBorder="1"/>
    <xf numFmtId="0" fontId="13" fillId="41" borderId="20" xfId="0" applyFont="1" applyFill="1" applyBorder="1" applyAlignment="1">
      <alignment horizontal="center"/>
    </xf>
    <xf numFmtId="0" fontId="18" fillId="41" borderId="59" xfId="0" applyFont="1" applyFill="1" applyBorder="1" applyAlignment="1">
      <alignment horizontal="center"/>
    </xf>
    <xf numFmtId="0" fontId="13" fillId="41" borderId="61" xfId="0" applyFont="1" applyFill="1" applyBorder="1" applyAlignment="1">
      <alignment horizontal="center"/>
    </xf>
    <xf numFmtId="0" fontId="18" fillId="41" borderId="17" xfId="0" applyFont="1" applyFill="1" applyBorder="1" applyAlignment="1">
      <alignment horizontal="center"/>
    </xf>
    <xf numFmtId="0" fontId="13" fillId="41" borderId="58" xfId="0" applyFont="1" applyFill="1" applyBorder="1"/>
    <xf numFmtId="0" fontId="13" fillId="41" borderId="17" xfId="0" applyFont="1" applyFill="1" applyBorder="1"/>
    <xf numFmtId="0" fontId="17" fillId="41" borderId="10" xfId="0" applyFont="1" applyFill="1" applyBorder="1" applyAlignment="1">
      <alignment horizontal="center"/>
    </xf>
    <xf numFmtId="0" fontId="22" fillId="41" borderId="20" xfId="0" applyFont="1" applyFill="1" applyBorder="1"/>
    <xf numFmtId="0" fontId="22" fillId="48" borderId="20" xfId="0" applyFont="1" applyFill="1" applyBorder="1"/>
    <xf numFmtId="0" fontId="13" fillId="48" borderId="21" xfId="0" applyFont="1" applyFill="1" applyBorder="1" applyAlignment="1">
      <alignment horizontal="center"/>
    </xf>
    <xf numFmtId="0" fontId="13" fillId="48" borderId="17" xfId="0" applyFont="1" applyFill="1" applyBorder="1" applyAlignment="1">
      <alignment horizontal="center"/>
    </xf>
    <xf numFmtId="0" fontId="22" fillId="49" borderId="20" xfId="0" applyFont="1" applyFill="1" applyBorder="1"/>
    <xf numFmtId="0" fontId="13" fillId="49" borderId="21" xfId="0" applyFont="1" applyFill="1" applyBorder="1" applyAlignment="1">
      <alignment horizontal="center"/>
    </xf>
    <xf numFmtId="0" fontId="13" fillId="49" borderId="17" xfId="0" applyFont="1" applyFill="1" applyBorder="1" applyAlignment="1">
      <alignment horizontal="center"/>
    </xf>
    <xf numFmtId="0" fontId="21" fillId="42" borderId="20" xfId="0" applyFont="1" applyFill="1" applyBorder="1"/>
    <xf numFmtId="165" fontId="18" fillId="35" borderId="22" xfId="1" applyNumberFormat="1" applyFont="1" applyFill="1" applyBorder="1"/>
    <xf numFmtId="0" fontId="21" fillId="42" borderId="61" xfId="0" applyFont="1" applyFill="1" applyBorder="1"/>
    <xf numFmtId="9" fontId="18" fillId="35" borderId="23" xfId="1" applyFont="1" applyFill="1" applyBorder="1"/>
    <xf numFmtId="8" fontId="20" fillId="33" borderId="62" xfId="0" applyNumberFormat="1" applyFont="1" applyFill="1" applyBorder="1" applyAlignment="1">
      <alignment horizontal="center"/>
    </xf>
    <xf numFmtId="1" fontId="16" fillId="44" borderId="0" xfId="0" applyNumberFormat="1" applyFont="1" applyFill="1" applyAlignment="1">
      <alignment horizontal="center"/>
    </xf>
    <xf numFmtId="1" fontId="17" fillId="36" borderId="0" xfId="0" applyNumberFormat="1" applyFont="1" applyFill="1" applyAlignment="1">
      <alignment horizontal="center"/>
    </xf>
    <xf numFmtId="1" fontId="17" fillId="36" borderId="16" xfId="0" applyNumberFormat="1" applyFont="1" applyFill="1" applyBorder="1" applyAlignment="1">
      <alignment horizontal="center"/>
    </xf>
    <xf numFmtId="0" fontId="20" fillId="42" borderId="0" xfId="0" applyFont="1" applyFill="1" applyAlignment="1">
      <alignment horizontal="left"/>
    </xf>
    <xf numFmtId="1" fontId="13" fillId="36" borderId="0" xfId="0" applyNumberFormat="1" applyFont="1" applyFill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41" borderId="58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165" fontId="18" fillId="34" borderId="17" xfId="1" applyNumberFormat="1" applyFont="1" applyFill="1" applyBorder="1" applyAlignment="1">
      <alignment horizontal="center"/>
    </xf>
    <xf numFmtId="165" fontId="18" fillId="35" borderId="17" xfId="1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0" fontId="18" fillId="35" borderId="0" xfId="0" applyFont="1" applyFill="1" applyAlignment="1">
      <alignment horizontal="center"/>
    </xf>
    <xf numFmtId="0" fontId="18" fillId="42" borderId="21" xfId="0" applyFont="1" applyFill="1" applyBorder="1" applyAlignment="1">
      <alignment horizontal="center"/>
    </xf>
    <xf numFmtId="0" fontId="18" fillId="42" borderId="17" xfId="0" applyFont="1" applyFill="1" applyBorder="1" applyAlignment="1">
      <alignment horizontal="center"/>
    </xf>
    <xf numFmtId="0" fontId="13" fillId="37" borderId="24" xfId="0" applyFont="1" applyFill="1" applyBorder="1" applyAlignment="1">
      <alignment horizontal="center"/>
    </xf>
    <xf numFmtId="0" fontId="18" fillId="39" borderId="21" xfId="0" applyFont="1" applyFill="1" applyBorder="1" applyAlignment="1">
      <alignment horizontal="center"/>
    </xf>
    <xf numFmtId="0" fontId="18" fillId="39" borderId="17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18" fillId="40" borderId="21" xfId="0" applyFont="1" applyFill="1" applyBorder="1" applyAlignment="1">
      <alignment horizontal="center"/>
    </xf>
    <xf numFmtId="0" fontId="18" fillId="40" borderId="17" xfId="0" applyFont="1" applyFill="1" applyBorder="1" applyAlignment="1">
      <alignment horizontal="center"/>
    </xf>
    <xf numFmtId="0" fontId="21" fillId="42" borderId="21" xfId="0" applyFont="1" applyFill="1" applyBorder="1" applyAlignment="1">
      <alignment horizontal="center"/>
    </xf>
    <xf numFmtId="0" fontId="0" fillId="33" borderId="52" xfId="0" applyFill="1" applyBorder="1"/>
    <xf numFmtId="166" fontId="16" fillId="33" borderId="0" xfId="0" applyNumberFormat="1" applyFont="1" applyFill="1" applyAlignment="1">
      <alignment horizontal="center"/>
    </xf>
    <xf numFmtId="0" fontId="0" fillId="0" borderId="42" xfId="0" applyBorder="1" applyAlignment="1">
      <alignment horizontal="center"/>
    </xf>
    <xf numFmtId="0" fontId="21" fillId="50" borderId="56" xfId="0" applyFont="1" applyFill="1" applyBorder="1" applyAlignment="1">
      <alignment horizontal="center"/>
    </xf>
    <xf numFmtId="165" fontId="21" fillId="50" borderId="22" xfId="1" applyNumberFormat="1" applyFont="1" applyFill="1" applyBorder="1" applyAlignment="1">
      <alignment horizontal="center"/>
    </xf>
    <xf numFmtId="0" fontId="21" fillId="50" borderId="0" xfId="0" applyFont="1" applyFill="1" applyAlignment="1">
      <alignment horizontal="center"/>
    </xf>
    <xf numFmtId="0" fontId="21" fillId="50" borderId="55" xfId="0" applyFont="1" applyFill="1" applyBorder="1" applyAlignment="1">
      <alignment horizontal="center"/>
    </xf>
    <xf numFmtId="0" fontId="21" fillId="50" borderId="54" xfId="0" applyFont="1" applyFill="1" applyBorder="1"/>
    <xf numFmtId="0" fontId="25" fillId="51" borderId="0" xfId="0" applyFont="1" applyFill="1"/>
    <xf numFmtId="0" fontId="25" fillId="51" borderId="17" xfId="0" applyFont="1" applyFill="1" applyBorder="1" applyAlignment="1">
      <alignment horizontal="center"/>
    </xf>
    <xf numFmtId="0" fontId="25" fillId="51" borderId="17" xfId="0" applyFont="1" applyFill="1" applyBorder="1"/>
    <xf numFmtId="0" fontId="25" fillId="51" borderId="10" xfId="0" applyFont="1" applyFill="1" applyBorder="1" applyAlignment="1">
      <alignment horizontal="center"/>
    </xf>
    <xf numFmtId="22" fontId="0" fillId="0" borderId="10" xfId="0" applyNumberFormat="1" applyBorder="1" applyAlignment="1">
      <alignment horizontal="left"/>
    </xf>
    <xf numFmtId="0" fontId="0" fillId="35" borderId="0" xfId="0" applyFill="1" applyAlignment="1">
      <alignment horizontal="center"/>
    </xf>
    <xf numFmtId="165" fontId="26" fillId="42" borderId="47" xfId="0" applyNumberFormat="1" applyFont="1" applyFill="1" applyBorder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27" fillId="0" borderId="14" xfId="0" applyNumberFormat="1" applyFont="1" applyBorder="1" applyAlignment="1">
      <alignment horizontal="center"/>
    </xf>
    <xf numFmtId="22" fontId="0" fillId="0" borderId="10" xfId="0" applyNumberFormat="1" applyBorder="1"/>
    <xf numFmtId="0" fontId="25" fillId="40" borderId="59" xfId="0" applyFont="1" applyFill="1" applyBorder="1"/>
    <xf numFmtId="6" fontId="21" fillId="47" borderId="65" xfId="0" applyNumberFormat="1" applyFont="1" applyFill="1" applyBorder="1" applyAlignment="1">
      <alignment horizontal="center"/>
    </xf>
    <xf numFmtId="6" fontId="21" fillId="44" borderId="27" xfId="0" applyNumberFormat="1" applyFont="1" applyFill="1" applyBorder="1" applyAlignment="1">
      <alignment horizontal="center"/>
    </xf>
    <xf numFmtId="6" fontId="21" fillId="50" borderId="56" xfId="0" applyNumberFormat="1" applyFont="1" applyFill="1" applyBorder="1"/>
    <xf numFmtId="6" fontId="21" fillId="50" borderId="0" xfId="0" applyNumberFormat="1" applyFont="1" applyFill="1" applyBorder="1"/>
    <xf numFmtId="0" fontId="21" fillId="50" borderId="55" xfId="0" applyFont="1" applyFill="1" applyBorder="1"/>
    <xf numFmtId="6" fontId="21" fillId="47" borderId="66" xfId="0" applyNumberFormat="1" applyFont="1" applyFill="1" applyBorder="1" applyAlignment="1">
      <alignment horizontal="center"/>
    </xf>
    <xf numFmtId="165" fontId="18" fillId="34" borderId="10" xfId="1" applyNumberFormat="1" applyFont="1" applyFill="1" applyBorder="1" applyAlignment="1">
      <alignment horizontal="center"/>
    </xf>
    <xf numFmtId="165" fontId="21" fillId="34" borderId="10" xfId="1" applyNumberFormat="1" applyFont="1" applyFill="1" applyBorder="1" applyAlignment="1">
      <alignment horizontal="center"/>
    </xf>
    <xf numFmtId="165" fontId="18" fillId="35" borderId="10" xfId="1" applyNumberFormat="1" applyFont="1" applyFill="1" applyBorder="1" applyAlignment="1">
      <alignment horizontal="center"/>
    </xf>
    <xf numFmtId="165" fontId="13" fillId="37" borderId="10" xfId="1" applyNumberFormat="1" applyFont="1" applyFill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165" fontId="20" fillId="46" borderId="10" xfId="0" applyNumberFormat="1" applyFont="1" applyFill="1" applyBorder="1" applyAlignment="1">
      <alignment horizontal="center"/>
    </xf>
    <xf numFmtId="165" fontId="27" fillId="46" borderId="10" xfId="0" applyNumberFormat="1" applyFont="1" applyFill="1" applyBorder="1" applyAlignment="1">
      <alignment horizontal="left"/>
    </xf>
    <xf numFmtId="165" fontId="27" fillId="46" borderId="10" xfId="0" applyNumberFormat="1" applyFont="1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22" fontId="0" fillId="46" borderId="10" xfId="0" applyNumberFormat="1" applyFill="1" applyBorder="1" applyAlignment="1">
      <alignment horizontal="center"/>
    </xf>
    <xf numFmtId="49" fontId="20" fillId="46" borderId="0" xfId="0" applyNumberFormat="1" applyFont="1" applyFill="1" applyAlignment="1">
      <alignment horizontal="center"/>
    </xf>
    <xf numFmtId="166" fontId="0" fillId="46" borderId="0" xfId="0" applyNumberFormat="1" applyFill="1" applyAlignment="1">
      <alignment horizontal="center"/>
    </xf>
    <xf numFmtId="164" fontId="0" fillId="46" borderId="0" xfId="0" applyNumberFormat="1" applyFill="1" applyAlignment="1">
      <alignment horizontal="center"/>
    </xf>
    <xf numFmtId="1" fontId="17" fillId="46" borderId="0" xfId="0" applyNumberFormat="1" applyFont="1" applyFill="1" applyAlignment="1">
      <alignment horizontal="center"/>
    </xf>
    <xf numFmtId="1" fontId="0" fillId="46" borderId="0" xfId="0" applyNumberFormat="1" applyFill="1" applyAlignment="1">
      <alignment horizontal="center"/>
    </xf>
    <xf numFmtId="1" fontId="16" fillId="46" borderId="0" xfId="0" applyNumberFormat="1" applyFont="1" applyFill="1" applyAlignment="1">
      <alignment horizontal="center"/>
    </xf>
    <xf numFmtId="0" fontId="0" fillId="46" borderId="0" xfId="0" applyFill="1"/>
    <xf numFmtId="0" fontId="18" fillId="46" borderId="0" xfId="0" applyFont="1" applyFill="1"/>
    <xf numFmtId="0" fontId="18" fillId="46" borderId="0" xfId="0" applyFont="1" applyFill="1" applyAlignment="1">
      <alignment horizontal="center"/>
    </xf>
    <xf numFmtId="0" fontId="0" fillId="46" borderId="0" xfId="0" applyFill="1" applyAlignment="1">
      <alignment horizontal="center"/>
    </xf>
    <xf numFmtId="165" fontId="27" fillId="0" borderId="43" xfId="0" applyNumberFormat="1" applyFont="1" applyBorder="1" applyAlignment="1">
      <alignment horizontal="center"/>
    </xf>
    <xf numFmtId="22" fontId="0" fillId="0" borderId="42" xfId="0" applyNumberFormat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33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33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33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FF99CC"/>
      <color rgb="FF0000FF"/>
      <color rgb="FF3333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552450</xdr:colOff>
      <xdr:row>475</xdr:row>
      <xdr:rowOff>19050</xdr:rowOff>
    </xdr:from>
    <xdr:to>
      <xdr:col>29</xdr:col>
      <xdr:colOff>675801</xdr:colOff>
      <xdr:row>486</xdr:row>
      <xdr:rowOff>180693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1864986-923F-4ED0-B6D0-E5B0A2042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11725" y="91068525"/>
          <a:ext cx="3790476" cy="2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509</xdr:row>
      <xdr:rowOff>95250</xdr:rowOff>
    </xdr:from>
    <xdr:to>
      <xdr:col>29</xdr:col>
      <xdr:colOff>294801</xdr:colOff>
      <xdr:row>521</xdr:row>
      <xdr:rowOff>66393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9EE3C76-79AD-4CEA-ADC8-EF943E3A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58975" y="101822250"/>
          <a:ext cx="3790476" cy="22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552450</xdr:colOff>
      <xdr:row>475</xdr:row>
      <xdr:rowOff>19050</xdr:rowOff>
    </xdr:from>
    <xdr:to>
      <xdr:col>31</xdr:col>
      <xdr:colOff>713901</xdr:colOff>
      <xdr:row>486</xdr:row>
      <xdr:rowOff>180693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451DCE5-0CD8-5071-02C5-06D56CE6F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01625" y="98593275"/>
          <a:ext cx="3790476" cy="2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18"/>
  <sheetViews>
    <sheetView topLeftCell="A31" zoomScaleNormal="100" workbookViewId="0">
      <selection activeCell="F29" sqref="F29:F65"/>
    </sheetView>
  </sheetViews>
  <sheetFormatPr defaultRowHeight="15"/>
  <cols>
    <col min="1" max="1" width="9.125" style="156"/>
    <col min="2" max="2" width="29.125" style="161" customWidth="1"/>
    <col min="3" max="3" width="21.375" style="1" bestFit="1" customWidth="1"/>
    <col min="4" max="4" width="15.75" style="1" bestFit="1" customWidth="1"/>
    <col min="5" max="5" width="23.125" style="1" customWidth="1"/>
    <col min="6" max="6" width="15.75" style="1" bestFit="1" customWidth="1"/>
    <col min="7" max="7" width="22" style="1" bestFit="1" customWidth="1"/>
    <col min="8" max="8" width="18.125" style="1" bestFit="1" customWidth="1"/>
    <col min="9" max="12" width="5.125" style="1" bestFit="1" customWidth="1"/>
    <col min="13" max="13" width="4" style="1" bestFit="1" customWidth="1"/>
    <col min="14" max="14" width="5" style="1" bestFit="1" customWidth="1"/>
    <col min="15" max="15" width="7.75" style="1" customWidth="1"/>
    <col min="16" max="16" width="10.375" style="9" bestFit="1" customWidth="1"/>
    <col min="17" max="17" width="7" style="9" bestFit="1" customWidth="1"/>
    <col min="18" max="18" width="8" style="1" customWidth="1"/>
    <col min="19" max="19" width="10.125" style="8" customWidth="1"/>
    <col min="20" max="23" width="7.125" style="15" customWidth="1"/>
    <col min="24" max="24" width="10.25" customWidth="1"/>
    <col min="25" max="25" width="4.625" bestFit="1" customWidth="1"/>
    <col min="26" max="26" width="22.125" style="16" customWidth="1"/>
    <col min="27" max="27" width="7.625" style="43" customWidth="1"/>
    <col min="28" max="28" width="7.375" style="16" bestFit="1" customWidth="1"/>
    <col min="29" max="29" width="3" style="16" customWidth="1"/>
    <col min="30" max="30" width="18.125" style="16" customWidth="1"/>
    <col min="31" max="31" width="8.375" style="43" customWidth="1"/>
    <col min="32" max="32" width="7.125" style="16" bestFit="1" customWidth="1"/>
    <col min="34" max="34" width="17.625" customWidth="1"/>
    <col min="35" max="35" width="7.25" style="1" customWidth="1"/>
  </cols>
  <sheetData>
    <row r="1" spans="1:40" ht="15.75" thickBot="1">
      <c r="A1" s="170" t="s">
        <v>808</v>
      </c>
      <c r="B1" s="171" t="s">
        <v>809</v>
      </c>
      <c r="C1" s="172" t="s">
        <v>0</v>
      </c>
      <c r="D1" s="173" t="s">
        <v>1</v>
      </c>
      <c r="E1" s="173" t="s">
        <v>2</v>
      </c>
      <c r="F1" s="173" t="s">
        <v>3</v>
      </c>
      <c r="G1" s="173" t="s">
        <v>4</v>
      </c>
      <c r="H1" s="173" t="s">
        <v>5</v>
      </c>
      <c r="I1" s="177" t="s">
        <v>810</v>
      </c>
      <c r="J1" s="152"/>
      <c r="K1" s="152" t="s">
        <v>810</v>
      </c>
      <c r="L1" s="152"/>
      <c r="M1" s="152" t="s">
        <v>810</v>
      </c>
      <c r="N1" s="152"/>
      <c r="O1" s="174"/>
      <c r="P1" s="175" t="s">
        <v>806</v>
      </c>
      <c r="Q1" s="175" t="s">
        <v>807</v>
      </c>
      <c r="R1" s="236" t="s">
        <v>865</v>
      </c>
      <c r="S1" s="176"/>
      <c r="T1" s="237">
        <v>500</v>
      </c>
      <c r="U1" s="236" t="s">
        <v>866</v>
      </c>
      <c r="V1" s="236"/>
      <c r="W1" s="233">
        <v>500</v>
      </c>
      <c r="X1" s="6" t="s">
        <v>867</v>
      </c>
      <c r="Y1" s="255"/>
    </row>
    <row r="2" spans="1:40" ht="15.75" thickBot="1">
      <c r="A2" s="156" cm="1">
        <f t="array" ref="A2">_xlfn.IFS(C2=$Z$42,$AA$42,C2=$Z$43,$AA$43,C2=$Z$44,$AA$44,C2=$Z$45,$AA$45,C2=$Z$46,$AA$46,C2=$Z$47,$AA$47,C2=$Z$48,$AA$48,C2=$Z$49,$AA$49,C2=$Z$50,$AA$50,C2=$Z$51,$AA$51,C2=$Z$52,$AA$52,C2=$Z$53,$AA$53,C2=$Z$54,$AA$54,C2=$Z$55,$AA$55,C2=$Z$56,$AA$56,C2=$Z$57,$AA$57,C2=$Z$58,$AA$58,C2=$Z$59,$AA$59,C2=$Z$60,$AA$60,C2=$Z$61,$AA$61,C2=$Z$62,$AA$62,TRUE,"0")</f>
        <v>1</v>
      </c>
      <c r="B2" s="161" t="str" cm="1">
        <f t="array" ref="B2">_xlfn.IFS(C2=$Z$42,$AD$42,C2=$Z$43,$AD$43,C2=$Z$44,$AD$44,C2=$Z$45,$AD$45,C2=$Z$46,$AD$46,C2=$Z$47,$AD$47,C2=$Z$48,$AD$48,C2=$Z$49,$AD$49,C2=$Z$50,$AD$50,C2=$Z$51,$AD$51,C2=$Z$52,$AD$52,C2=$Z$53,$AD$53,C2=$Z$54,$AD$54,C2=$Z$55,$AD$55,C2=$Z$56,$AD$56,C2=$Z$57,$AD$57,C2=$Z$58,$AD$58,C2=$Z$59,$AD$59,C2=$Z$60,$AD$60,C2=$Z$61,$AD$61,C2=$Z$62,$AD$62,TRUE,"0")</f>
        <v>H1 &lt;2.5 - (x by ht(40)</v>
      </c>
      <c r="C2" s="163" t="s">
        <v>458</v>
      </c>
      <c r="D2" s="2" t="s">
        <v>403</v>
      </c>
      <c r="E2" s="2" t="s">
        <v>854</v>
      </c>
      <c r="F2" s="3">
        <v>45432.958333333336</v>
      </c>
      <c r="G2" s="2" t="s">
        <v>855</v>
      </c>
      <c r="H2" s="2" t="s">
        <v>856</v>
      </c>
      <c r="I2" s="2">
        <v>20</v>
      </c>
      <c r="J2" s="2">
        <v>90</v>
      </c>
      <c r="K2" s="2">
        <v>95</v>
      </c>
      <c r="L2" s="2">
        <v>48</v>
      </c>
      <c r="M2" s="2">
        <v>1.7</v>
      </c>
      <c r="N2" s="11"/>
      <c r="O2" s="2" t="s">
        <v>95</v>
      </c>
      <c r="P2" s="14" t="s">
        <v>193</v>
      </c>
      <c r="Q2" s="14" t="s">
        <v>216</v>
      </c>
      <c r="R2" s="188">
        <f>SUM(T1*0.05)</f>
        <v>25</v>
      </c>
      <c r="S2" s="8">
        <f>IF(O2="won",R2*0.18,-R2)</f>
        <v>4.5</v>
      </c>
      <c r="T2" s="234">
        <f t="shared" ref="T2:T65" si="0">SUM(T1,S2)</f>
        <v>504.5</v>
      </c>
      <c r="U2" s="15">
        <v>25</v>
      </c>
      <c r="V2" s="8">
        <f>IF(O2="won",U2*0.18,-U2)</f>
        <v>4.5</v>
      </c>
      <c r="W2" s="233">
        <f>SUM(W1,V2)</f>
        <v>504.5</v>
      </c>
      <c r="X2" s="4">
        <f>COUNTIF(O:O,"WON")</f>
        <v>63</v>
      </c>
      <c r="Y2" s="189">
        <f>SUM(X2/X4)</f>
        <v>0.984375</v>
      </c>
      <c r="Z2" s="214" t="s">
        <v>274</v>
      </c>
      <c r="AA2" s="215">
        <f>COUNTIFS(C:C,"*FT 0-0 LAY@46  A",O:O,"WON")</f>
        <v>5</v>
      </c>
      <c r="AB2" s="193">
        <f>AA2/AA4</f>
        <v>1</v>
      </c>
      <c r="AD2" s="228" t="s">
        <v>276</v>
      </c>
      <c r="AE2" s="246">
        <f>COUNTIFS(C:C,"* OVER2.5 GOALS",O:O,"WON")</f>
        <v>0</v>
      </c>
      <c r="AF2" s="229" t="e">
        <f>AE2/AE4</f>
        <v>#DIV/0!</v>
      </c>
      <c r="AH2" s="199" t="s">
        <v>509</v>
      </c>
      <c r="AI2" s="249">
        <f>COUNTIFS(C:C,"SPLIT10",O:O,"WON")</f>
        <v>1</v>
      </c>
      <c r="AJ2" s="200">
        <f>AI2/AI4</f>
        <v>1</v>
      </c>
    </row>
    <row r="3" spans="1:40" ht="15.75" thickBot="1">
      <c r="A3" s="156" cm="1">
        <f t="array" ref="A3">_xlfn.IFS(C3=$Z$42,$AA$42,C3=$Z$43,$AA$43,C3=$Z$44,$AA$44,C3=$Z$45,$AA$45,C3=$Z$46,$AA$46,C3=$Z$47,$AA$47,C3=$Z$48,$AA$48,C3=$Z$49,$AA$49,C3=$Z$50,$AA$50,C3=$Z$51,$AA$51,C3=$Z$52,$AA$52,C3=$Z$53,$AA$53,C3=$Z$54,$AA$54,C3=$Z$55,$AA$55,C3=$Z$56,$AA$56,C3=$Z$57,$AA$57,C3=$Z$58,$AA$58,C3=$Z$59,$AA$59,C3=$Z$60,$AA$60,C3=$Z$61,$AA$61,C3=$Z$62,$AA$62,TRUE,"0")</f>
        <v>1</v>
      </c>
      <c r="B3" s="161" t="str" cm="1">
        <f t="array" ref="B3">_xlfn.IFS(C3=$Z$42,$AD$42,C3=$Z$43,$AD$43,C3=$Z$44,$AD$44,C3=$Z$45,$AD$45,C3=$Z$46,$AD$46,C3=$Z$47,$AD$47,C3=$Z$48,$AD$48,C3=$Z$49,$AD$49,C3=$Z$50,$AD$50,C3=$Z$51,$AD$51,C3=$Z$52,$AD$52,C3=$Z$53,$AD$53,C3=$Z$54,$AD$54,C3=$Z$55,$AD$55,C3=$Z$56,$AD$56,C3=$Z$57,$AD$57,C3=$Z$58,$AD$58,C3=$Z$59,$AD$59,C3=$Z$60,$AD$60,C3=$Z$61,$AD$61,C3=$Z$62,$AD$62,TRUE,"0")</f>
        <v>h1 +0.5.  X @ 40M</v>
      </c>
      <c r="C3" s="163" t="s">
        <v>432</v>
      </c>
      <c r="D3" s="2" t="s">
        <v>44</v>
      </c>
      <c r="E3" s="2" t="s">
        <v>45</v>
      </c>
      <c r="F3" s="3">
        <v>45289.364583333336</v>
      </c>
      <c r="G3" s="2" t="s">
        <v>46</v>
      </c>
      <c r="H3" s="2" t="s">
        <v>47</v>
      </c>
      <c r="I3" s="2">
        <v>85</v>
      </c>
      <c r="J3" s="2">
        <v>24</v>
      </c>
      <c r="K3" s="2">
        <v>48</v>
      </c>
      <c r="L3" s="2"/>
      <c r="M3" s="2"/>
      <c r="N3" s="11"/>
      <c r="O3" s="2" t="s">
        <v>95</v>
      </c>
      <c r="P3" s="14" t="s">
        <v>214</v>
      </c>
      <c r="Q3" s="13" t="s">
        <v>215</v>
      </c>
      <c r="R3" s="188">
        <f t="shared" ref="R3:R66" si="1">SUM(T2*0.05)</f>
        <v>25.225000000000001</v>
      </c>
      <c r="S3" s="8">
        <f t="shared" ref="S3:S66" si="2">IF(O3="won",R3*0.18,-R3)</f>
        <v>4.5404999999999998</v>
      </c>
      <c r="T3" s="234">
        <f t="shared" si="0"/>
        <v>509.04050000000001</v>
      </c>
      <c r="U3" s="15">
        <v>25</v>
      </c>
      <c r="V3" s="8">
        <f t="shared" ref="V3:V66" si="3">IF(O3="won",U3*0.18,-U3)</f>
        <v>4.5</v>
      </c>
      <c r="W3" s="233">
        <f t="shared" ref="W3:W66" si="4">SUM(W2,V3)</f>
        <v>509</v>
      </c>
      <c r="X3" s="5">
        <f>COUNTIF(O:O,"LOST")</f>
        <v>1</v>
      </c>
      <c r="Y3" s="190">
        <f>SUM(X3/X4)</f>
        <v>1.5625E-2</v>
      </c>
      <c r="Z3" s="216" t="s">
        <v>274</v>
      </c>
      <c r="AA3" s="217">
        <f>COUNTIFS(C:C,"*FT 0-0 LAY@46  A",O:O,"LOST")</f>
        <v>0</v>
      </c>
      <c r="AB3" s="194">
        <f>AA3/AA4</f>
        <v>0</v>
      </c>
      <c r="AD3" s="230" t="s">
        <v>276</v>
      </c>
      <c r="AE3" s="247">
        <f>COUNTIFS(C:C,"* OVER2.5 GOALS",O:O,"LOST")</f>
        <v>0</v>
      </c>
      <c r="AF3" s="231" t="e">
        <f>AE3/AE4</f>
        <v>#DIV/0!</v>
      </c>
      <c r="AH3" s="201" t="s">
        <v>509</v>
      </c>
      <c r="AI3" s="250">
        <f>COUNTIFS(C:C,"SPLIT10",O:O,"LOST")</f>
        <v>0</v>
      </c>
      <c r="AJ3" s="202">
        <f>AI3/AI4</f>
        <v>0</v>
      </c>
    </row>
    <row r="4" spans="1:40" ht="15.75" thickBot="1">
      <c r="A4" s="156" cm="1">
        <f t="array" ref="A4">_xlfn.IFS(C4=$Z$42,$AA$42,C4=$Z$43,$AA$43,C4=$Z$44,$AA$44,C4=$Z$45,$AA$45,C4=$Z$46,$AA$46,C4=$Z$47,$AA$47,C4=$Z$48,$AA$48,C4=$Z$49,$AA$49,C4=$Z$50,$AA$50,C4=$Z$51,$AA$51,C4=$Z$52,$AA$52,C4=$Z$53,$AA$53,C4=$Z$54,$AA$54,C4=$Z$55,$AA$55,C4=$Z$56,$AA$56,C4=$Z$57,$AA$57,C4=$Z$58,$AA$58,C4=$Z$59,$AA$59,C4=$Z$60,$AA$60,C4=$Z$61,$AA$61,C4=$Z$62,$AA$62,TRUE,"0")</f>
        <v>1</v>
      </c>
      <c r="B4" s="161" t="str" cm="1">
        <f t="array" ref="B4">_xlfn.IFS(C4=$Z$42,$AD$42,C4=$Z$43,$AD$43,C4=$Z$44,$AD$44,C4=$Z$45,$AD$45,C4=$Z$46,$AD$46,C4=$Z$47,$AD$47,C4=$Z$48,$AD$48,C4=$Z$49,$AD$49,C4=$Z$50,$AD$50,C4=$Z$51,$AD$51,C4=$Z$52,$AD$52,C4=$Z$53,$AD$53,C4=$Z$54,$AD$54,C4=$Z$55,$AD$55,C4=$Z$56,$AD$56,C4=$Z$57,$AD$57,C4=$Z$58,$AD$58,C4=$Z$59,$AD$59,C4=$Z$60,$AD$60,C4=$Z$61,$AD$61,C4=$Z$62,$AD$62,TRUE,"0")</f>
        <v>h2  +0.5 BET @ 40 MINS</v>
      </c>
      <c r="C4" s="163" t="s">
        <v>35</v>
      </c>
      <c r="D4" s="2" t="s">
        <v>412</v>
      </c>
      <c r="E4" s="2" t="s">
        <v>156</v>
      </c>
      <c r="F4" s="3">
        <v>45333.5625</v>
      </c>
      <c r="G4" s="2" t="s">
        <v>425</v>
      </c>
      <c r="H4" s="2" t="s">
        <v>426</v>
      </c>
      <c r="I4" s="2">
        <v>69</v>
      </c>
      <c r="J4" s="2">
        <v>88</v>
      </c>
      <c r="K4" s="2">
        <v>63</v>
      </c>
      <c r="L4" s="2">
        <v>38</v>
      </c>
      <c r="M4" s="2">
        <v>16</v>
      </c>
      <c r="N4" s="11">
        <v>0.99</v>
      </c>
      <c r="O4" s="2" t="s">
        <v>95</v>
      </c>
      <c r="P4" s="14" t="s">
        <v>221</v>
      </c>
      <c r="Q4" s="13" t="s">
        <v>217</v>
      </c>
      <c r="R4" s="188">
        <f t="shared" si="1"/>
        <v>25.452025000000003</v>
      </c>
      <c r="S4" s="8">
        <f t="shared" si="2"/>
        <v>4.5813645000000003</v>
      </c>
      <c r="T4" s="234">
        <f t="shared" si="0"/>
        <v>513.62186450000002</v>
      </c>
      <c r="U4" s="15">
        <v>25</v>
      </c>
      <c r="V4" s="8">
        <f t="shared" si="3"/>
        <v>4.5</v>
      </c>
      <c r="W4" s="233">
        <f t="shared" si="4"/>
        <v>513.5</v>
      </c>
      <c r="X4" s="6">
        <f>SUM(X2:X3)</f>
        <v>64</v>
      </c>
      <c r="Y4" s="191"/>
      <c r="Z4" s="28">
        <f>SUMIF(C:C,"*FT 0-0 LAY@46  A",S:S)</f>
        <v>29.54196554938477</v>
      </c>
      <c r="AA4" s="19">
        <f>SUM(AA2:AA3)</f>
        <v>5</v>
      </c>
      <c r="AB4" s="232">
        <f>SUM(Z4/AA4)</f>
        <v>5.908393109876954</v>
      </c>
      <c r="AC4" s="21"/>
      <c r="AD4" s="203">
        <f>SUMIF(C:C,"* OVER2.5 GOALS",S:S)</f>
        <v>0</v>
      </c>
      <c r="AE4" s="240">
        <f>SUM(AE2:AE3)</f>
        <v>0</v>
      </c>
      <c r="AF4" s="232" t="e">
        <f>SUM(AD4/AE4)</f>
        <v>#DIV/0!</v>
      </c>
      <c r="AH4" s="203">
        <f>SUMIF(C:C,"SPLIT10",S:S)</f>
        <v>6.9976185065503929</v>
      </c>
      <c r="AI4" s="240">
        <f>SUM(AI2:AI3)</f>
        <v>1</v>
      </c>
      <c r="AJ4" s="232">
        <f>SUM(AH4/AI4)</f>
        <v>6.9976185065503929</v>
      </c>
    </row>
    <row r="5" spans="1:40" ht="15.75" thickBot="1">
      <c r="A5" s="156" cm="1">
        <f t="array" ref="A5">_xlfn.IFS(C5=$Z$42,$AA$42,C5=$Z$43,$AA$43,C5=$Z$44,$AA$44,C5=$Z$45,$AA$45,C5=$Z$46,$AA$46,C5=$Z$47,$AA$47,C5=$Z$48,$AA$48,C5=$Z$49,$AA$49,C5=$Z$50,$AA$50,C5=$Z$51,$AA$51,C5=$Z$52,$AA$52,C5=$Z$53,$AA$53,C5=$Z$54,$AA$54,C5=$Z$55,$AA$55,C5=$Z$56,$AA$56,C5=$Z$57,$AA$57,C5=$Z$58,$AA$58,C5=$Z$59,$AA$59,C5=$Z$60,$AA$60,C5=$Z$61,$AA$61,C5=$Z$62,$AA$62,TRUE,"0")</f>
        <v>1</v>
      </c>
      <c r="B5" s="161" t="str" cm="1">
        <f t="array" ref="B5">_xlfn.IFS(C5=$Z$42,$AD$42,C5=$Z$43,$AD$43,C5=$Z$44,$AD$44,C5=$Z$45,$AD$45,C5=$Z$46,$AD$46,C5=$Z$47,$AD$47,C5=$Z$48,$AD$48,C5=$Z$49,$AD$49,C5=$Z$50,$AD$50,C5=$Z$51,$AD$51,C5=$Z$52,$AD$52,C5=$Z$53,$AD$53,C5=$Z$54,$AD$54,C5=$Z$55,$AD$55,C5=$Z$56,$AD$56,C5=$Z$57,$AD$57,C5=$Z$58,$AD$58,C5=$Z$59,$AD$59,C5=$Z$60,$AD$60,C5=$Z$61,$AD$61,C5=$Z$62,$AD$62,TRUE,"0")</f>
        <v>h2  +0.5 BET @ 40 MINS</v>
      </c>
      <c r="C5" s="163" t="s">
        <v>519</v>
      </c>
      <c r="D5" s="2" t="s">
        <v>581</v>
      </c>
      <c r="E5" s="2" t="s">
        <v>62</v>
      </c>
      <c r="F5" s="3">
        <v>45367.604166666664</v>
      </c>
      <c r="G5" s="2" t="s">
        <v>582</v>
      </c>
      <c r="H5" s="2" t="s">
        <v>583</v>
      </c>
      <c r="I5" s="2">
        <v>20</v>
      </c>
      <c r="J5" s="2">
        <v>90</v>
      </c>
      <c r="K5" s="2">
        <v>90</v>
      </c>
      <c r="L5" s="2"/>
      <c r="M5" s="2"/>
      <c r="N5" s="11"/>
      <c r="O5" s="2" t="s">
        <v>95</v>
      </c>
      <c r="P5" s="14" t="s">
        <v>193</v>
      </c>
      <c r="Q5" s="14" t="s">
        <v>216</v>
      </c>
      <c r="R5" s="188">
        <f t="shared" si="1"/>
        <v>25.681093225000001</v>
      </c>
      <c r="S5" s="8">
        <f t="shared" si="2"/>
        <v>4.6225967805000003</v>
      </c>
      <c r="T5" s="234">
        <f t="shared" si="0"/>
        <v>518.24446128049999</v>
      </c>
      <c r="U5" s="15">
        <v>25</v>
      </c>
      <c r="V5" s="8">
        <f t="shared" si="3"/>
        <v>4.5</v>
      </c>
      <c r="W5" s="233">
        <f t="shared" si="4"/>
        <v>518</v>
      </c>
      <c r="Z5" s="196">
        <f>SUMIF(C:C,"*FT 0-0 LAY@46  A",V:V)</f>
        <v>22.5</v>
      </c>
      <c r="AA5" s="238"/>
      <c r="AB5" s="195"/>
      <c r="AD5" s="208">
        <f>SUMIF(C:C,"* OVER2.5 GOALS",V:V)</f>
        <v>0</v>
      </c>
      <c r="AE5" s="238"/>
      <c r="AF5" s="195"/>
      <c r="AH5" s="204">
        <f>SUMIF(C:C,"SPLIT10",V:V)</f>
        <v>4.5</v>
      </c>
      <c r="AI5" s="43"/>
      <c r="AJ5" s="205"/>
    </row>
    <row r="6" spans="1:40" ht="15.75" thickBot="1">
      <c r="A6" s="156" cm="1">
        <f t="array" ref="A6">_xlfn.IFS(C6=$Z$42,$AA$42,C6=$Z$43,$AA$43,C6=$Z$44,$AA$44,C6=$Z$45,$AA$45,C6=$Z$46,$AA$46,C6=$Z$47,$AA$47,C6=$Z$48,$AA$48,C6=$Z$49,$AA$49,C6=$Z$50,$AA$50,C6=$Z$51,$AA$51,C6=$Z$52,$AA$52,C6=$Z$53,$AA$53,C6=$Z$54,$AA$54,C6=$Z$55,$AA$55,C6=$Z$56,$AA$56,C6=$Z$57,$AA$57,C6=$Z$58,$AA$58,C6=$Z$59,$AA$59,C6=$Z$60,$AA$60,C6=$Z$61,$AA$61,C6=$Z$62,$AA$62,TRUE,"0")</f>
        <v>0.93333333333333335</v>
      </c>
      <c r="B6" s="161" t="str" cm="1">
        <f t="array" ref="B6">_xlfn.IFS(C6=$Z$42,$AD$42,C6=$Z$43,$AD$43,C6=$Z$44,$AD$44,C6=$Z$45,$AD$45,C6=$Z$46,$AD$46,C6=$Z$47,$AD$47,C6=$Z$48,$AD$48,C6=$Z$49,$AD$49,C6=$Z$50,$AD$50,C6=$Z$51,$AD$51,C6=$Z$52,$AD$52,C6=$Z$53,$AD$53,C6=$Z$54,$AD$54,C6=$Z$55,$AD$55,C6=$Z$56,$AD$56,C6=$Z$57,$AD$57,C6=$Z$58,$AD$58,C6=$Z$59,$AD$59,C6=$Z$60,$AD$60,C6=$Z$61,$AD$61,C6=$Z$62,$AD$62,TRUE,"0")</f>
        <v>B + 0.5 at 1.2+ or @ 40 mins</v>
      </c>
      <c r="C6" s="163" t="s">
        <v>270</v>
      </c>
      <c r="D6" s="2" t="s">
        <v>67</v>
      </c>
      <c r="E6" s="2" t="s">
        <v>169</v>
      </c>
      <c r="F6" s="3">
        <v>45305.760416666664</v>
      </c>
      <c r="G6" s="2" t="s">
        <v>170</v>
      </c>
      <c r="H6" s="2" t="s">
        <v>171</v>
      </c>
      <c r="I6" s="2">
        <v>63</v>
      </c>
      <c r="J6" s="2">
        <v>0</v>
      </c>
      <c r="K6" s="2">
        <v>20</v>
      </c>
      <c r="L6" s="2"/>
      <c r="M6" s="2"/>
      <c r="N6" s="11"/>
      <c r="O6" s="2" t="s">
        <v>95</v>
      </c>
      <c r="P6" s="14" t="s">
        <v>214</v>
      </c>
      <c r="Q6" s="13" t="s">
        <v>209</v>
      </c>
      <c r="R6" s="188">
        <f t="shared" si="1"/>
        <v>25.912223064025</v>
      </c>
      <c r="S6" s="8">
        <f t="shared" si="2"/>
        <v>4.6642001515244997</v>
      </c>
      <c r="T6" s="234">
        <f t="shared" si="0"/>
        <v>522.90866143202447</v>
      </c>
      <c r="U6" s="15">
        <v>25</v>
      </c>
      <c r="V6" s="8">
        <f t="shared" si="3"/>
        <v>4.5</v>
      </c>
      <c r="W6" s="233">
        <f t="shared" si="4"/>
        <v>522.5</v>
      </c>
      <c r="X6" s="26">
        <f>SUM(AA2,AA6,AA10,AA14,AE31,AE2,AE6,AE10,AE23,AE14,AA18,AI6,AI10,AI2,AI18,AI22,AI26,AA22,AA26,AA30,AA34,)</f>
        <v>63</v>
      </c>
      <c r="Z6" s="218" t="s">
        <v>271</v>
      </c>
      <c r="AA6" s="239">
        <f>COUNTIFS(C:C,"*H2 GOALS &amp; OVER 0.5",O:O, "WON")</f>
        <v>5</v>
      </c>
      <c r="AB6" s="192">
        <f>AA6/AA8</f>
        <v>1</v>
      </c>
      <c r="AD6" s="228" t="s">
        <v>433</v>
      </c>
      <c r="AE6" s="246">
        <f>COUNTIFS(C:C,"LAY 0-0 1ST HALF",O:O,"WON")</f>
        <v>8</v>
      </c>
      <c r="AF6" s="229">
        <f>AE6/AE8</f>
        <v>1</v>
      </c>
      <c r="AH6" s="201" t="s">
        <v>473</v>
      </c>
      <c r="AI6" s="250">
        <f>COUNTIFS(C:C,"SPLIT20",O:O,"WON")</f>
        <v>4</v>
      </c>
      <c r="AJ6" s="206">
        <f>AI6/AI8</f>
        <v>1</v>
      </c>
    </row>
    <row r="7" spans="1:40" ht="15.75" thickBot="1">
      <c r="A7" s="156" cm="1">
        <f t="array" ref="A7">_xlfn.IFS(C7=$Z$42,$AA$42,C7=$Z$43,$AA$43,C7=$Z$44,$AA$44,C7=$Z$45,$AA$45,C7=$Z$46,$AA$46,C7=$Z$47,$AA$47,C7=$Z$48,$AA$48,C7=$Z$49,$AA$49,C7=$Z$50,$AA$50,C7=$Z$51,$AA$51,C7=$Z$52,$AA$52,C7=$Z$53,$AA$53,C7=$Z$54,$AA$54,C7=$Z$55,$AA$55,C7=$Z$56,$AA$56,C7=$Z$57,$AA$57,C7=$Z$58,$AA$58,C7=$Z$59,$AA$59,C7=$Z$60,$AA$60,C7=$Z$61,$AA$61,C7=$Z$62,$AA$62,TRUE,"0")</f>
        <v>0.93333333333333335</v>
      </c>
      <c r="B7" s="161" t="str" cm="1">
        <f t="array" ref="B7">_xlfn.IFS(C7=$Z$42,$AD$42,C7=$Z$43,$AD$43,C7=$Z$44,$AD$44,C7=$Z$45,$AD$45,C7=$Z$46,$AD$46,C7=$Z$47,$AD$47,C7=$Z$48,$AD$48,C7=$Z$49,$AD$49,C7=$Z$50,$AD$50,C7=$Z$51,$AD$51,C7=$Z$52,$AD$52,C7=$Z$53,$AD$53,C7=$Z$54,$AD$54,C7=$Z$55,$AD$55,C7=$Z$56,$AD$56,C7=$Z$57,$AD$57,C7=$Z$58,$AD$58,C7=$Z$59,$AD$59,C7=$Z$60,$AD$60,C7=$Z$61,$AD$61,C7=$Z$62,$AD$62,TRUE,"0")</f>
        <v>B + 0.5 at 1.2+ or @ 40 mins</v>
      </c>
      <c r="C7" s="163" t="s">
        <v>270</v>
      </c>
      <c r="D7" s="2" t="s">
        <v>67</v>
      </c>
      <c r="E7" s="2" t="s">
        <v>68</v>
      </c>
      <c r="F7" s="3">
        <v>45286.625</v>
      </c>
      <c r="G7" s="2" t="s">
        <v>87</v>
      </c>
      <c r="H7" s="2" t="s">
        <v>88</v>
      </c>
      <c r="I7" s="2">
        <v>60</v>
      </c>
      <c r="J7" s="2">
        <v>0</v>
      </c>
      <c r="K7" s="2">
        <v>20</v>
      </c>
      <c r="L7" s="2"/>
      <c r="M7" s="2"/>
      <c r="N7" s="11"/>
      <c r="O7" s="2" t="s">
        <v>95</v>
      </c>
      <c r="P7" s="14" t="s">
        <v>220</v>
      </c>
      <c r="Q7" s="13" t="s">
        <v>207</v>
      </c>
      <c r="R7" s="188">
        <f t="shared" si="1"/>
        <v>26.145433071601225</v>
      </c>
      <c r="S7" s="8">
        <f t="shared" si="2"/>
        <v>4.7061779528882202</v>
      </c>
      <c r="T7" s="234">
        <f t="shared" si="0"/>
        <v>527.61483938491267</v>
      </c>
      <c r="U7" s="15">
        <v>25</v>
      </c>
      <c r="V7" s="8">
        <f t="shared" si="3"/>
        <v>4.5</v>
      </c>
      <c r="W7" s="233">
        <f t="shared" si="4"/>
        <v>527</v>
      </c>
      <c r="X7" s="26">
        <f>SUM(AA3,AA7,AA11,AA15,AE32,AE3,AE7,AE11,AE24,AE15,AA19,AI7,AI11,AI3,AI19,AI23,AI27,AA23,AA27,AA31,AA35,)</f>
        <v>1</v>
      </c>
      <c r="Z7" s="219" t="s">
        <v>271</v>
      </c>
      <c r="AA7" s="217">
        <f>COUNTIFS(C:C,"*H2 GOALS &amp; OVER 0.5",O:O, "LOST")</f>
        <v>0</v>
      </c>
      <c r="AB7" s="18">
        <f>AA7/AA8</f>
        <v>0</v>
      </c>
      <c r="AD7" s="230" t="s">
        <v>433</v>
      </c>
      <c r="AE7" s="247">
        <f>COUNTIFS(C:C,"LAY 0-0 1ST HALF",O:O,"LOST")</f>
        <v>0</v>
      </c>
      <c r="AF7" s="231">
        <f>AE7/AE8</f>
        <v>0</v>
      </c>
      <c r="AH7" s="201" t="s">
        <v>473</v>
      </c>
      <c r="AI7" s="250">
        <f>COUNTIFS(C:C,"SPLIT20",O:O,"LOST")</f>
        <v>0</v>
      </c>
      <c r="AJ7" s="202">
        <f>AI7/AI8</f>
        <v>0</v>
      </c>
    </row>
    <row r="8" spans="1:40" ht="15.75" thickBot="1">
      <c r="A8" s="156" cm="1">
        <f t="array" ref="A8">_xlfn.IFS(C8=$Z$42,$AA$42,C8=$Z$43,$AA$43,C8=$Z$44,$AA$44,C8=$Z$45,$AA$45,C8=$Z$46,$AA$46,C8=$Z$47,$AA$47,C8=$Z$48,$AA$48,C8=$Z$49,$AA$49,C8=$Z$50,$AA$50,C8=$Z$51,$AA$51,C8=$Z$52,$AA$52,C8=$Z$53,$AA$53,C8=$Z$54,$AA$54,C8=$Z$55,$AA$55,C8=$Z$56,$AA$56,C8=$Z$57,$AA$57,C8=$Z$58,$AA$58,C8=$Z$59,$AA$59,C8=$Z$60,$AA$60,C8=$Z$61,$AA$61,C8=$Z$62,$AA$62,TRUE,"0")</f>
        <v>1</v>
      </c>
      <c r="B8" s="161" t="str" cm="1">
        <f t="array" ref="B8">_xlfn.IFS(C8=$Z$42,$AD$42,C8=$Z$43,$AD$43,C8=$Z$44,$AD$44,C8=$Z$45,$AD$45,C8=$Z$46,$AD$46,C8=$Z$47,$AD$47,C8=$Z$48,$AD$48,C8=$Z$49,$AD$49,C8=$Z$50,$AD$50,C8=$Z$51,$AD$51,C8=$Z$52,$AD$52,C8=$Z$53,$AD$53,C8=$Z$54,$AD$54,C8=$Z$55,$AD$55,C8=$Z$56,$AD$56,C8=$Z$57,$AD$57,C8=$Z$58,$AD$58,C8=$Z$59,$AD$59,C8=$Z$60,$AD$60,C8=$Z$61,$AD$61,C8=$Z$62,$AD$62,TRUE,"0")</f>
        <v>15 M 0-0 BACK +1.5 X AFTER GOAL</v>
      </c>
      <c r="C8" s="163" t="s">
        <v>473</v>
      </c>
      <c r="D8" s="2" t="s">
        <v>778</v>
      </c>
      <c r="E8" s="2" t="s">
        <v>21</v>
      </c>
      <c r="F8" s="3">
        <v>45410.041666666664</v>
      </c>
      <c r="G8" s="2" t="s">
        <v>779</v>
      </c>
      <c r="H8" s="2" t="s">
        <v>780</v>
      </c>
      <c r="I8" s="2">
        <v>65</v>
      </c>
      <c r="J8" s="2">
        <v>85</v>
      </c>
      <c r="K8" s="2">
        <v>20</v>
      </c>
      <c r="L8" s="2">
        <v>3.45</v>
      </c>
      <c r="M8" s="2"/>
      <c r="N8" s="11"/>
      <c r="O8" s="2" t="s">
        <v>95</v>
      </c>
      <c r="P8" s="14" t="s">
        <v>214</v>
      </c>
      <c r="Q8" s="14" t="s">
        <v>214</v>
      </c>
      <c r="R8" s="188">
        <f t="shared" si="1"/>
        <v>26.380741969245634</v>
      </c>
      <c r="S8" s="8">
        <f t="shared" si="2"/>
        <v>4.7485335544642142</v>
      </c>
      <c r="T8" s="234">
        <f t="shared" si="0"/>
        <v>532.36337293937686</v>
      </c>
      <c r="U8" s="15">
        <v>25</v>
      </c>
      <c r="V8" s="8">
        <f t="shared" si="3"/>
        <v>4.5</v>
      </c>
      <c r="W8" s="233">
        <f t="shared" si="4"/>
        <v>531.5</v>
      </c>
      <c r="X8" s="27">
        <f>SUM(X6:X7)</f>
        <v>64</v>
      </c>
      <c r="Z8" s="28">
        <f>SUMIF(C:C,"*H2 GOALS &amp; OVER 0.5",S:S)</f>
        <v>30.461976926214842</v>
      </c>
      <c r="AA8" s="240">
        <f>SUM(AA6:AA7)</f>
        <v>5</v>
      </c>
      <c r="AB8" s="232">
        <f>SUM(Z8/AA8)</f>
        <v>6.092395385242968</v>
      </c>
      <c r="AC8" s="21"/>
      <c r="AD8" s="203">
        <f>SUMIF(C:C,"LAY 0-0 1ST HALF",S:S)</f>
        <v>46.252473520349028</v>
      </c>
      <c r="AE8" s="240">
        <f>SUM(AE6:AE7)</f>
        <v>8</v>
      </c>
      <c r="AF8" s="232">
        <f>SUM(AD8/AE8)</f>
        <v>5.7815591900436285</v>
      </c>
      <c r="AH8" s="203">
        <f>SUMIF(C:C,"SPLIT20",S:S)</f>
        <v>22.9578113805089</v>
      </c>
      <c r="AI8" s="240">
        <f>SUM(AI6:AI7)</f>
        <v>4</v>
      </c>
      <c r="AJ8" s="232">
        <f>SUM(AH8/AI8)</f>
        <v>5.7394528451272251</v>
      </c>
    </row>
    <row r="9" spans="1:40" ht="15.75" thickBot="1">
      <c r="A9" s="156" cm="1">
        <f t="array" ref="A9">_xlfn.IFS(C9=$Z$42,$AA$42,C9=$Z$43,$AA$43,C9=$Z$44,$AA$44,C9=$Z$45,$AA$45,C9=$Z$46,$AA$46,C9=$Z$47,$AA$47,C9=$Z$48,$AA$48,C9=$Z$49,$AA$49,C9=$Z$50,$AA$50,C9=$Z$51,$AA$51,C9=$Z$52,$AA$52,C9=$Z$53,$AA$53,C9=$Z$54,$AA$54,C9=$Z$55,$AA$55,C9=$Z$56,$AA$56,C9=$Z$57,$AA$57,C9=$Z$58,$AA$58,C9=$Z$59,$AA$59,C9=$Z$60,$AA$60,C9=$Z$61,$AA$61,C9=$Z$62,$AA$62,TRUE,"0")</f>
        <v>1</v>
      </c>
      <c r="B9" s="161" t="str" cm="1">
        <f t="array" ref="B9">_xlfn.IFS(C9=$Z$42,$AD$42,C9=$Z$43,$AD$43,C9=$Z$44,$AD$44,C9=$Z$45,$AD$45,C9=$Z$46,$AD$46,C9=$Z$47,$AD$47,C9=$Z$48,$AD$48,C9=$Z$49,$AD$49,C9=$Z$50,$AD$50,C9=$Z$51,$AD$51,C9=$Z$52,$AD$52,C9=$Z$53,$AD$53,C9=$Z$54,$AD$54,C9=$Z$55,$AD$55,C9=$Z$56,$AD$56,C9=$Z$57,$AD$57,C9=$Z$58,$AD$58,C9=$Z$59,$AD$59,C9=$Z$60,$AD$60,C9=$Z$61,$AD$61,C9=$Z$62,$AD$62,TRUE,"0")</f>
        <v>B4 BACK FT +1.5.EXIT AFTER GOAL</v>
      </c>
      <c r="C9" s="163" t="s">
        <v>512</v>
      </c>
      <c r="D9" s="2" t="s">
        <v>494</v>
      </c>
      <c r="E9" s="2" t="s">
        <v>495</v>
      </c>
      <c r="F9" s="3">
        <v>45354.520833333336</v>
      </c>
      <c r="G9" s="2" t="s">
        <v>496</v>
      </c>
      <c r="H9" s="2" t="s">
        <v>497</v>
      </c>
      <c r="I9" s="2">
        <v>6</v>
      </c>
      <c r="J9" s="2">
        <v>0</v>
      </c>
      <c r="K9" s="2">
        <v>980</v>
      </c>
      <c r="L9" s="2">
        <v>20</v>
      </c>
      <c r="M9" s="2">
        <v>2.25</v>
      </c>
      <c r="N9" s="11"/>
      <c r="O9" s="2" t="s">
        <v>95</v>
      </c>
      <c r="P9" s="14" t="s">
        <v>220</v>
      </c>
      <c r="Q9" s="14" t="s">
        <v>207</v>
      </c>
      <c r="R9" s="188">
        <f t="shared" si="1"/>
        <v>26.618168646968844</v>
      </c>
      <c r="S9" s="8">
        <f t="shared" si="2"/>
        <v>4.7912703564543913</v>
      </c>
      <c r="T9" s="235">
        <f t="shared" si="0"/>
        <v>537.15464329583131</v>
      </c>
      <c r="U9" s="15">
        <v>25</v>
      </c>
      <c r="V9" s="8">
        <f t="shared" si="3"/>
        <v>4.5</v>
      </c>
      <c r="W9" s="233">
        <f t="shared" si="4"/>
        <v>536</v>
      </c>
      <c r="X9" s="28">
        <f>SUM(AD29,AD33,AD20,AD25,AH32,AH16)</f>
        <v>335.28961617919651</v>
      </c>
      <c r="Z9" s="196">
        <f>SUMIF(C:C,"*H2 GOALS &amp; OVER 0.5",V:V)</f>
        <v>22.5</v>
      </c>
      <c r="AD9" s="208">
        <f>SUMIF(C:C,"LAY 0-0 1ST HALF",V:V)</f>
        <v>36</v>
      </c>
      <c r="AE9" s="238"/>
      <c r="AF9" s="195"/>
      <c r="AH9" s="204">
        <f>SUMIF(C:C,"SPLIT20",V:V)</f>
        <v>18</v>
      </c>
      <c r="AI9" s="43"/>
      <c r="AJ9" s="205"/>
    </row>
    <row r="10" spans="1:40" ht="15.75" thickBot="1">
      <c r="A10" s="156" cm="1">
        <f t="array" ref="A10">_xlfn.IFS(C10=$Z$42,$AA$42,C10=$Z$43,$AA$43,C10=$Z$44,$AA$44,C10=$Z$45,$AA$45,C10=$Z$46,$AA$46,C10=$Z$47,$AA$47,C10=$Z$48,$AA$48,C10=$Z$49,$AA$49,C10=$Z$50,$AA$50,C10=$Z$51,$AA$51,C10=$Z$52,$AA$52,C10=$Z$53,$AA$53,C10=$Z$54,$AA$54,C10=$Z$55,$AA$55,C10=$Z$56,$AA$56,C10=$Z$57,$AA$57,C10=$Z$58,$AA$58,C10=$Z$59,$AA$59,C10=$Z$60,$AA$60,C10=$Z$61,$AA$61,C10=$Z$62,$AA$62,TRUE,"0")</f>
        <v>0.95454545454545459</v>
      </c>
      <c r="B10" s="161" t="str" cm="1">
        <f t="array" ref="B10">_xlfn.IFS(C10=$Z$42,$AD$42,C10=$Z$43,$AD$43,C10=$Z$44,$AD$44,C10=$Z$45,$AD$45,C10=$Z$46,$AD$46,C10=$Z$47,$AD$47,C10=$Z$48,$AD$48,C10=$Z$49,$AD$49,C10=$Z$50,$AD$50,C10=$Z$51,$AD$51,C10=$Z$52,$AD$52,C10=$Z$53,$AD$53,C10=$Z$54,$AD$54,C10=$Z$55,$AD$55,C10=$Z$56,$AD$56,C10=$Z$57,$AD$57,C10=$Z$58,$AD$58,C10=$Z$59,$AD$59,C10=$Z$60,$AD$60,C10=$Z$61,$AD$61,C10=$Z$62,$AD$62,TRUE,"0")</f>
        <v>h2  +0.5 BET @ 40 MINS</v>
      </c>
      <c r="C10" s="163" t="s">
        <v>515</v>
      </c>
      <c r="D10" s="2" t="s">
        <v>516</v>
      </c>
      <c r="E10" s="2" t="s">
        <v>78</v>
      </c>
      <c r="F10" s="3">
        <v>45359.482638888891</v>
      </c>
      <c r="G10" s="2" t="s">
        <v>517</v>
      </c>
      <c r="H10" s="2" t="s">
        <v>518</v>
      </c>
      <c r="I10" s="2">
        <v>20</v>
      </c>
      <c r="J10" s="2">
        <v>70</v>
      </c>
      <c r="K10" s="2">
        <v>2.1</v>
      </c>
      <c r="L10" s="2"/>
      <c r="M10" s="2"/>
      <c r="N10" s="11"/>
      <c r="O10" s="2" t="s">
        <v>95</v>
      </c>
      <c r="P10" s="14" t="s">
        <v>221</v>
      </c>
      <c r="Q10" s="14" t="s">
        <v>193</v>
      </c>
      <c r="R10" s="188">
        <f t="shared" si="1"/>
        <v>26.857732164791567</v>
      </c>
      <c r="S10" s="8">
        <f t="shared" si="2"/>
        <v>4.8343917896624822</v>
      </c>
      <c r="T10" s="234">
        <f t="shared" si="0"/>
        <v>541.98903508549381</v>
      </c>
      <c r="U10" s="15">
        <v>25</v>
      </c>
      <c r="V10" s="8">
        <f t="shared" si="3"/>
        <v>4.5</v>
      </c>
      <c r="W10" s="233">
        <f t="shared" si="4"/>
        <v>540.5</v>
      </c>
      <c r="X10" s="196">
        <f>SUM(AD30,AD34,AD21,AD26,AH33,AH17)</f>
        <v>258.5</v>
      </c>
      <c r="Z10" s="219" t="s">
        <v>272</v>
      </c>
      <c r="AA10" s="217">
        <f>COUNTIFS(C:C,"*BACK H2 GOALS",O:O,"WON")</f>
        <v>3</v>
      </c>
      <c r="AB10" s="149">
        <f>AA10/AA12</f>
        <v>1</v>
      </c>
      <c r="AD10" s="228" t="s">
        <v>448</v>
      </c>
      <c r="AE10" s="246">
        <f>COUNTIFS(C:C,"LAY 0-0 1ST HALF B",O:O,"WON")</f>
        <v>2</v>
      </c>
      <c r="AF10" s="229">
        <f>AE10/AE12</f>
        <v>1</v>
      </c>
      <c r="AH10" s="201" t="s">
        <v>474</v>
      </c>
      <c r="AI10" s="250">
        <f>COUNTIFS(C:C,"SPLIT30",O:O,"WON")</f>
        <v>1</v>
      </c>
      <c r="AJ10" s="206">
        <f>AI10/AI12</f>
        <v>1</v>
      </c>
    </row>
    <row r="11" spans="1:40" ht="15.75" thickBot="1">
      <c r="A11" s="156" cm="1">
        <f t="array" ref="A11">_xlfn.IFS(C11=$Z$42,$AA$42,C11=$Z$43,$AA$43,C11=$Z$44,$AA$44,C11=$Z$45,$AA$45,C11=$Z$46,$AA$46,C11=$Z$47,$AA$47,C11=$Z$48,$AA$48,C11=$Z$49,$AA$49,C11=$Z$50,$AA$50,C11=$Z$51,$AA$51,C11=$Z$52,$AA$52,C11=$Z$53,$AA$53,C11=$Z$54,$AA$54,C11=$Z$55,$AA$55,C11=$Z$56,$AA$56,C11=$Z$57,$AA$57,C11=$Z$58,$AA$58,C11=$Z$59,$AA$59,C11=$Z$60,$AA$60,C11=$Z$61,$AA$61,C11=$Z$62,$AA$62,TRUE,"0")</f>
        <v>1</v>
      </c>
      <c r="B11" s="161" t="str" cm="1">
        <f t="array" ref="B11">_xlfn.IFS(C11=$Z$42,$AD$42,C11=$Z$43,$AD$43,C11=$Z$44,$AD$44,C11=$Z$45,$AD$45,C11=$Z$46,$AD$46,C11=$Z$47,$AD$47,C11=$Z$48,$AD$48,C11=$Z$49,$AD$49,C11=$Z$50,$AD$50,C11=$Z$51,$AD$51,C11=$Z$52,$AD$52,C11=$Z$53,$AD$53,C11=$Z$54,$AD$54,C11=$Z$55,$AD$55,C11=$Z$56,$AD$56,C11=$Z$57,$AD$57,C11=$Z$58,$AD$58,C11=$Z$59,$AD$59,C11=$Z$60,$AD$60,C11=$Z$61,$AD$61,C11=$Z$62,$AD$62,TRUE,"0")</f>
        <v>h2  +0.5 BET @ 40 MINS</v>
      </c>
      <c r="C11" s="163" t="s">
        <v>28</v>
      </c>
      <c r="D11" s="2" t="s">
        <v>173</v>
      </c>
      <c r="E11" s="2" t="s">
        <v>174</v>
      </c>
      <c r="F11" s="3">
        <v>45305.916666666664</v>
      </c>
      <c r="G11" s="2" t="s">
        <v>175</v>
      </c>
      <c r="H11" s="2" t="s">
        <v>176</v>
      </c>
      <c r="I11" s="2">
        <v>1.95</v>
      </c>
      <c r="J11" s="2">
        <v>4.54</v>
      </c>
      <c r="K11" s="2">
        <v>63</v>
      </c>
      <c r="L11" s="2">
        <v>0</v>
      </c>
      <c r="M11" s="2">
        <v>20</v>
      </c>
      <c r="N11" s="11"/>
      <c r="O11" s="2" t="s">
        <v>95</v>
      </c>
      <c r="P11" s="14" t="s">
        <v>221</v>
      </c>
      <c r="Q11" s="13" t="s">
        <v>214</v>
      </c>
      <c r="R11" s="188">
        <f t="shared" si="1"/>
        <v>27.099451754274693</v>
      </c>
      <c r="S11" s="8">
        <f t="shared" si="2"/>
        <v>4.8779013157694449</v>
      </c>
      <c r="T11" s="234">
        <f t="shared" si="0"/>
        <v>546.86693640126327</v>
      </c>
      <c r="U11" s="15">
        <v>25</v>
      </c>
      <c r="V11" s="8">
        <f t="shared" si="3"/>
        <v>4.5</v>
      </c>
      <c r="W11" s="233">
        <f t="shared" si="4"/>
        <v>545</v>
      </c>
      <c r="Z11" s="219" t="s">
        <v>272</v>
      </c>
      <c r="AA11" s="217">
        <f>COUNTIFS(C:C,"*BACK H2 GOALS",O:O,"LOST")</f>
        <v>0</v>
      </c>
      <c r="AB11" s="18">
        <f>AA11/AA12</f>
        <v>0</v>
      </c>
      <c r="AD11" s="230" t="s">
        <v>448</v>
      </c>
      <c r="AE11" s="247">
        <f>COUNTIFS(C:C,"LAY 0-0 1ST HALF B",O:O,"LOST")</f>
        <v>0</v>
      </c>
      <c r="AF11" s="231">
        <f>AE11/AE12</f>
        <v>0</v>
      </c>
      <c r="AH11" s="201" t="s">
        <v>474</v>
      </c>
      <c r="AI11" s="250">
        <f>COUNTIFS(C:C,"SPLIT30",O:O,"LOST")</f>
        <v>0</v>
      </c>
      <c r="AJ11" s="202">
        <f>AI11/AI12</f>
        <v>0</v>
      </c>
    </row>
    <row r="12" spans="1:40" ht="15.75" thickBot="1">
      <c r="A12" s="156" cm="1">
        <f t="array" ref="A12">_xlfn.IFS(C12=$Z$42,$AA$42,C12=$Z$43,$AA$43,C12=$Z$44,$AA$44,C12=$Z$45,$AA$45,C12=$Z$46,$AA$46,C12=$Z$47,$AA$47,C12=$Z$48,$AA$48,C12=$Z$49,$AA$49,C12=$Z$50,$AA$50,C12=$Z$51,$AA$51,C12=$Z$52,$AA$52,C12=$Z$53,$AA$53,C12=$Z$54,$AA$54,C12=$Z$55,$AA$55,C12=$Z$56,$AA$56,C12=$Z$57,$AA$57,C12=$Z$58,$AA$58,C12=$Z$59,$AA$59,C12=$Z$60,$AA$60,C12=$Z$61,$AA$61,C12=$Z$62,$AA$62,TRUE,"0")</f>
        <v>1</v>
      </c>
      <c r="B12" s="161" t="str" cm="1">
        <f t="array" ref="B12">_xlfn.IFS(C12=$Z$42,$AD$42,C12=$Z$43,$AD$43,C12=$Z$44,$AD$44,C12=$Z$45,$AD$45,C12=$Z$46,$AD$46,C12=$Z$47,$AD$47,C12=$Z$48,$AD$48,C12=$Z$49,$AD$49,C12=$Z$50,$AD$50,C12=$Z$51,$AD$51,C12=$Z$52,$AD$52,C12=$Z$53,$AD$53,C12=$Z$54,$AD$54,C12=$Z$55,$AD$55,C12=$Z$56,$AD$56,C12=$Z$57,$AD$57,C12=$Z$58,$AD$58,C12=$Z$59,$AD$59,C12=$Z$60,$AD$60,C12=$Z$61,$AD$61,C12=$Z$62,$AD$62,TRUE,"0")</f>
        <v>h1&lt;2.5, (x by ht), &amp;(bfm)ft+1.5</v>
      </c>
      <c r="C12" s="163" t="s">
        <v>406</v>
      </c>
      <c r="D12" s="7" t="s">
        <v>352</v>
      </c>
      <c r="E12" s="7" t="s">
        <v>353</v>
      </c>
      <c r="F12" s="24">
        <v>45318.576388888891</v>
      </c>
      <c r="G12" s="7" t="s">
        <v>354</v>
      </c>
      <c r="H12" s="7" t="s">
        <v>355</v>
      </c>
      <c r="I12" s="7">
        <v>1.3</v>
      </c>
      <c r="J12" s="7">
        <v>11.5</v>
      </c>
      <c r="K12" s="7">
        <v>2.65</v>
      </c>
      <c r="L12" s="7">
        <v>4.9000000000000004</v>
      </c>
      <c r="M12" s="7">
        <v>0.77</v>
      </c>
      <c r="N12" s="34"/>
      <c r="O12" s="2" t="s">
        <v>95</v>
      </c>
      <c r="P12" s="14" t="s">
        <v>220</v>
      </c>
      <c r="Q12" s="13" t="s">
        <v>220</v>
      </c>
      <c r="R12" s="188">
        <f t="shared" si="1"/>
        <v>27.343346820063164</v>
      </c>
      <c r="S12" s="8">
        <f t="shared" si="2"/>
        <v>4.921802427611369</v>
      </c>
      <c r="T12" s="234">
        <f t="shared" si="0"/>
        <v>551.78873882887467</v>
      </c>
      <c r="U12" s="15">
        <v>25</v>
      </c>
      <c r="V12" s="8">
        <f t="shared" si="3"/>
        <v>4.5</v>
      </c>
      <c r="W12" s="233">
        <f t="shared" si="4"/>
        <v>549.5</v>
      </c>
      <c r="Z12" s="28">
        <f>SUMIF(C:C,"*BACK H2 GOALS",S:S)</f>
        <v>17.290687132999704</v>
      </c>
      <c r="AA12" s="240">
        <f>SUM(AA10:AA11)</f>
        <v>3</v>
      </c>
      <c r="AB12" s="232">
        <f>SUM(Z12/AA12)</f>
        <v>5.7635623776665676</v>
      </c>
      <c r="AD12" s="203">
        <f>SUMIF(C:C,"LAY 0-0 1ST HALF B",S:S)</f>
        <v>12.015866007197204</v>
      </c>
      <c r="AE12" s="240">
        <f>SUM(AE10:AE11)</f>
        <v>2</v>
      </c>
      <c r="AF12" s="232">
        <f>SUM(AD12/AE12)</f>
        <v>6.0079330035986018</v>
      </c>
      <c r="AH12" s="203">
        <f>SUMIF(C:C,"SPLIT30",S:S)</f>
        <v>5.9941807324274965</v>
      </c>
      <c r="AI12" s="240">
        <f>SUM(AI10:AI11)</f>
        <v>1</v>
      </c>
      <c r="AJ12" s="232">
        <f>SUM(AH12/AI12)</f>
        <v>5.9941807324274965</v>
      </c>
      <c r="AN12" s="44">
        <f>SUM(AH20,AH24,AH28)</f>
        <v>4.7912703564543913</v>
      </c>
    </row>
    <row r="13" spans="1:40" ht="15.75" thickBot="1">
      <c r="A13" s="156" cm="1">
        <f t="array" ref="A13">_xlfn.IFS(C13=$Z$42,$AA$42,C13=$Z$43,$AA$43,C13=$Z$44,$AA$44,C13=$Z$45,$AA$45,C13=$Z$46,$AA$46,C13=$Z$47,$AA$47,C13=$Z$48,$AA$48,C13=$Z$49,$AA$49,C13=$Z$50,$AA$50,C13=$Z$51,$AA$51,C13=$Z$52,$AA$52,C13=$Z$53,$AA$53,C13=$Z$54,$AA$54,C13=$Z$55,$AA$55,C13=$Z$56,$AA$56,C13=$Z$57,$AA$57,C13=$Z$58,$AA$58,C13=$Z$59,$AA$59,C13=$Z$60,$AA$60,C13=$Z$61,$AA$61,C13=$Z$62,$AA$62,TRUE,"0")</f>
        <v>0.95454545454545459</v>
      </c>
      <c r="B13" s="161" t="str" cm="1">
        <f t="array" ref="B13">_xlfn.IFS(C13=$Z$42,$AD$42,C13=$Z$43,$AD$43,C13=$Z$44,$AD$44,C13=$Z$45,$AD$45,C13=$Z$46,$AD$46,C13=$Z$47,$AD$47,C13=$Z$48,$AD$48,C13=$Z$49,$AD$49,C13=$Z$50,$AD$50,C13=$Z$51,$AD$51,C13=$Z$52,$AD$52,C13=$Z$53,$AD$53,C13=$Z$54,$AD$54,C13=$Z$55,$AD$55,C13=$Z$56,$AD$56,C13=$Z$57,$AD$57,C13=$Z$58,$AD$58,C13=$Z$59,$AD$59,C13=$Z$60,$AD$60,C13=$Z$61,$AD$61,C13=$Z$62,$AD$62,TRUE,"0")</f>
        <v>h2  +0.5 BET @ 40 MINS</v>
      </c>
      <c r="C13" s="163" t="s">
        <v>515</v>
      </c>
      <c r="D13" s="2" t="s">
        <v>434</v>
      </c>
      <c r="E13" s="2" t="s">
        <v>576</v>
      </c>
      <c r="F13" s="3">
        <v>45367.5</v>
      </c>
      <c r="G13" s="2" t="s">
        <v>577</v>
      </c>
      <c r="H13" s="2" t="s">
        <v>578</v>
      </c>
      <c r="I13" s="2">
        <v>20</v>
      </c>
      <c r="J13" s="2">
        <v>70</v>
      </c>
      <c r="K13" s="2">
        <v>1.95</v>
      </c>
      <c r="L13" s="2"/>
      <c r="M13" s="2"/>
      <c r="N13" s="11"/>
      <c r="O13" s="2" t="s">
        <v>95</v>
      </c>
      <c r="P13" s="14" t="s">
        <v>216</v>
      </c>
      <c r="Q13" s="14" t="s">
        <v>215</v>
      </c>
      <c r="R13" s="188">
        <f t="shared" si="1"/>
        <v>27.589436941443736</v>
      </c>
      <c r="S13" s="8">
        <f t="shared" si="2"/>
        <v>4.9660986494598722</v>
      </c>
      <c r="T13" s="234">
        <f t="shared" si="0"/>
        <v>556.75483747833459</v>
      </c>
      <c r="U13" s="15">
        <v>25</v>
      </c>
      <c r="V13" s="8">
        <f t="shared" si="3"/>
        <v>4.5</v>
      </c>
      <c r="W13" s="233">
        <f t="shared" si="4"/>
        <v>554</v>
      </c>
      <c r="Z13" s="196">
        <f>SUMIF(C:C,"*BACK H2 GOALS",V:V)</f>
        <v>13.5</v>
      </c>
      <c r="AD13" s="208">
        <f>SUMIF(C:C,"LAY 0-0 1ST HALF B",V:V)</f>
        <v>9</v>
      </c>
      <c r="AE13" s="238"/>
      <c r="AF13" s="195"/>
      <c r="AH13" s="204">
        <f>SUMIF(C:C,"SPLIT30",V:V)</f>
        <v>4.5</v>
      </c>
      <c r="AJ13" s="207"/>
    </row>
    <row r="14" spans="1:40" ht="15.75" thickBot="1">
      <c r="A14" s="156" cm="1">
        <f t="array" ref="A14">_xlfn.IFS(C14=$Z$42,$AA$42,C14=$Z$43,$AA$43,C14=$Z$44,$AA$44,C14=$Z$45,$AA$45,C14=$Z$46,$AA$46,C14=$Z$47,$AA$47,C14=$Z$48,$AA$48,C14=$Z$49,$AA$49,C14=$Z$50,$AA$50,C14=$Z$51,$AA$51,C14=$Z$52,$AA$52,C14=$Z$53,$AA$53,C14=$Z$54,$AA$54,C14=$Z$55,$AA$55,C14=$Z$56,$AA$56,C14=$Z$57,$AA$57,C14=$Z$58,$AA$58,C14=$Z$59,$AA$59,C14=$Z$60,$AA$60,C14=$Z$61,$AA$61,C14=$Z$62,$AA$62,TRUE,"0")</f>
        <v>0.93333333333333335</v>
      </c>
      <c r="B14" s="161" t="str" cm="1">
        <f t="array" ref="B14">_xlfn.IFS(C14=$Z$42,$AD$42,C14=$Z$43,$AD$43,C14=$Z$44,$AD$44,C14=$Z$45,$AD$45,C14=$Z$46,$AD$46,C14=$Z$47,$AD$47,C14=$Z$48,$AD$48,C14=$Z$49,$AD$49,C14=$Z$50,$AD$50,C14=$Z$51,$AD$51,C14=$Z$52,$AD$52,C14=$Z$53,$AD$53,C14=$Z$54,$AD$54,C14=$Z$55,$AD$55,C14=$Z$56,$AD$56,C14=$Z$57,$AD$57,C14=$Z$58,$AD$58,C14=$Z$59,$AD$59,C14=$Z$60,$AD$60,C14=$Z$61,$AD$61,C14=$Z$62,$AD$62,TRUE,"0")</f>
        <v>B + 0.5 at 1.2+ or @ 40 mins</v>
      </c>
      <c r="C14" s="163" t="s">
        <v>270</v>
      </c>
      <c r="D14" s="2" t="s">
        <v>434</v>
      </c>
      <c r="E14" s="2" t="s">
        <v>435</v>
      </c>
      <c r="F14" s="3">
        <v>45340.708333333336</v>
      </c>
      <c r="G14" s="2" t="s">
        <v>436</v>
      </c>
      <c r="H14" s="2" t="s">
        <v>437</v>
      </c>
      <c r="I14" s="2">
        <v>64</v>
      </c>
      <c r="J14" s="2">
        <v>0</v>
      </c>
      <c r="K14" s="2">
        <v>20</v>
      </c>
      <c r="L14" s="2">
        <v>1.4</v>
      </c>
      <c r="M14" s="2"/>
      <c r="N14" s="11"/>
      <c r="O14" s="2" t="s">
        <v>95</v>
      </c>
      <c r="P14" s="14" t="s">
        <v>214</v>
      </c>
      <c r="Q14" s="14" t="s">
        <v>214</v>
      </c>
      <c r="R14" s="188">
        <f t="shared" si="1"/>
        <v>27.83774187391673</v>
      </c>
      <c r="S14" s="8">
        <f t="shared" si="2"/>
        <v>5.0107935373050116</v>
      </c>
      <c r="T14" s="234">
        <f t="shared" si="0"/>
        <v>561.76563101563966</v>
      </c>
      <c r="U14" s="15">
        <v>25</v>
      </c>
      <c r="V14" s="8">
        <f t="shared" si="3"/>
        <v>4.5</v>
      </c>
      <c r="W14" s="233">
        <f t="shared" si="4"/>
        <v>558.5</v>
      </c>
      <c r="Z14" s="219" t="s">
        <v>273</v>
      </c>
      <c r="AA14" s="217">
        <f>COUNTIFS(C:C,"*H2 V H1 GOALS",O:O,"WON")</f>
        <v>2</v>
      </c>
      <c r="AB14" s="150">
        <f>AA14/AA16</f>
        <v>1</v>
      </c>
      <c r="AD14" s="228" t="s">
        <v>458</v>
      </c>
      <c r="AE14" s="246">
        <f>COUNTIFS(C:C,"UNDER 2.5 GOALS",O:O,"WON")</f>
        <v>6</v>
      </c>
      <c r="AF14" s="229">
        <f>AE14/AE16</f>
        <v>1</v>
      </c>
      <c r="AH14" s="197" t="s">
        <v>859</v>
      </c>
      <c r="AI14" s="30">
        <f>SUM(AI6,AI10,AI2)</f>
        <v>6</v>
      </c>
      <c r="AJ14" s="151">
        <f>AI14/AI16</f>
        <v>1</v>
      </c>
    </row>
    <row r="15" spans="1:40" ht="15.75" thickBot="1">
      <c r="A15" s="156" cm="1">
        <f t="array" ref="A15">_xlfn.IFS(C15=$Z$42,$AA$42,C15=$Z$43,$AA$43,C15=$Z$44,$AA$44,C15=$Z$45,$AA$45,C15=$Z$46,$AA$46,C15=$Z$47,$AA$47,C15=$Z$48,$AA$48,C15=$Z$49,$AA$49,C15=$Z$50,$AA$50,C15=$Z$51,$AA$51,C15=$Z$52,$AA$52,C15=$Z$53,$AA$53,C15=$Z$54,$AA$54,C15=$Z$55,$AA$55,C15=$Z$56,$AA$56,C15=$Z$57,$AA$57,C15=$Z$58,$AA$58,C15=$Z$59,$AA$59,C15=$Z$60,$AA$60,C15=$Z$61,$AA$61,C15=$Z$62,$AA$62,TRUE,"0")</f>
        <v>1</v>
      </c>
      <c r="B15" s="161" t="str" cm="1">
        <f t="array" ref="B15">_xlfn.IFS(C15=$Z$42,$AD$42,C15=$Z$43,$AD$43,C15=$Z$44,$AD$44,C15=$Z$45,$AD$45,C15=$Z$46,$AD$46,C15=$Z$47,$AD$47,C15=$Z$48,$AD$48,C15=$Z$49,$AD$49,C15=$Z$50,$AD$50,C15=$Z$51,$AD$51,C15=$Z$52,$AD$52,C15=$Z$53,$AD$53,C15=$Z$54,$AD$54,C15=$Z$55,$AD$55,C15=$Z$56,$AD$56,C15=$Z$57,$AD$57,C15=$Z$58,$AD$58,C15=$Z$59,$AD$59,C15=$Z$60,$AD$60,C15=$Z$61,$AD$61,C15=$Z$62,$AD$62,TRUE,"0")</f>
        <v>h2  +0.5 BET @ 40 MINS</v>
      </c>
      <c r="C15" s="163" t="s">
        <v>43</v>
      </c>
      <c r="D15" s="2" t="s">
        <v>6</v>
      </c>
      <c r="E15" s="2" t="s">
        <v>14</v>
      </c>
      <c r="F15" s="3">
        <v>45304.625</v>
      </c>
      <c r="G15" s="2" t="s">
        <v>200</v>
      </c>
      <c r="H15" s="2" t="s">
        <v>201</v>
      </c>
      <c r="I15" s="2">
        <v>67</v>
      </c>
      <c r="J15" s="2">
        <v>67</v>
      </c>
      <c r="K15" s="2">
        <v>58</v>
      </c>
      <c r="L15" s="2">
        <v>1.75</v>
      </c>
      <c r="M15" s="2">
        <v>1.5</v>
      </c>
      <c r="N15" s="11"/>
      <c r="O15" s="2" t="s">
        <v>95</v>
      </c>
      <c r="P15" s="13" t="s">
        <v>221</v>
      </c>
      <c r="Q15" s="13" t="s">
        <v>220</v>
      </c>
      <c r="R15" s="188">
        <f t="shared" si="1"/>
        <v>28.088281550781986</v>
      </c>
      <c r="S15" s="8">
        <f t="shared" si="2"/>
        <v>5.0558906791407576</v>
      </c>
      <c r="T15" s="234">
        <f t="shared" si="0"/>
        <v>566.82152169478036</v>
      </c>
      <c r="U15" s="15">
        <v>25</v>
      </c>
      <c r="V15" s="8">
        <f t="shared" si="3"/>
        <v>4.5</v>
      </c>
      <c r="W15" s="233">
        <f t="shared" si="4"/>
        <v>563</v>
      </c>
      <c r="Z15" s="219" t="s">
        <v>273</v>
      </c>
      <c r="AA15" s="217">
        <f>COUNTIFS(C:C,"*H2 V H1 GOALS",O:O,"LOST")</f>
        <v>0</v>
      </c>
      <c r="AB15" s="25">
        <f>AA15/AA16</f>
        <v>0</v>
      </c>
      <c r="AD15" s="230" t="s">
        <v>458</v>
      </c>
      <c r="AE15" s="247">
        <f>COUNTIFS(C:C,"UNDER 2.5 GOALS",O:O,"LOST")</f>
        <v>0</v>
      </c>
      <c r="AF15" s="231">
        <f>AE15/AE16</f>
        <v>0</v>
      </c>
      <c r="AH15" s="197" t="s">
        <v>859</v>
      </c>
      <c r="AI15" s="30">
        <f>SUM(AI7,AI11,AI3)</f>
        <v>0</v>
      </c>
      <c r="AJ15" s="31">
        <f>AI15/AI16</f>
        <v>0</v>
      </c>
    </row>
    <row r="16" spans="1:40" ht="15.75" thickBot="1">
      <c r="A16" s="156" cm="1">
        <f t="array" ref="A16">_xlfn.IFS(C16=$Z$42,$AA$42,C16=$Z$43,$AA$43,C16=$Z$44,$AA$44,C16=$Z$45,$AA$45,C16=$Z$46,$AA$46,C16=$Z$47,$AA$47,C16=$Z$48,$AA$48,C16=$Z$49,$AA$49,C16=$Z$50,$AA$50,C16=$Z$51,$AA$51,C16=$Z$52,$AA$52,C16=$Z$53,$AA$53,C16=$Z$54,$AA$54,C16=$Z$55,$AA$55,C16=$Z$56,$AA$56,C16=$Z$57,$AA$57,C16=$Z$58,$AA$58,C16=$Z$59,$AA$59,C16=$Z$60,$AA$60,C16=$Z$61,$AA$61,C16=$Z$62,$AA$62,TRUE,"0")</f>
        <v>1</v>
      </c>
      <c r="B16" s="161" t="str" cm="1">
        <f t="array" ref="B16">_xlfn.IFS(C16=$Z$42,$AD$42,C16=$Z$43,$AD$43,C16=$Z$44,$AD$44,C16=$Z$45,$AD$45,C16=$Z$46,$AD$46,C16=$Z$47,$AD$47,C16=$Z$48,$AD$48,C16=$Z$49,$AD$49,C16=$Z$50,$AD$50,C16=$Z$51,$AD$51,C16=$Z$52,$AD$52,C16=$Z$53,$AD$53,C16=$Z$54,$AD$54,C16=$Z$55,$AD$55,C16=$Z$56,$AD$56,C16=$Z$57,$AD$57,C16=$Z$58,$AD$58,C16=$Z$59,$AD$59,C16=$Z$60,$AD$60,C16=$Z$61,$AD$61,C16=$Z$62,$AD$62,TRUE,"0")</f>
        <v>15 M 0-0 BACK +1.5 X AFTER GOAL</v>
      </c>
      <c r="C16" s="163" t="s">
        <v>473</v>
      </c>
      <c r="D16" s="2" t="s">
        <v>6</v>
      </c>
      <c r="E16" s="2" t="s">
        <v>36</v>
      </c>
      <c r="F16" s="3">
        <v>45350.822916666664</v>
      </c>
      <c r="G16" s="2" t="s">
        <v>469</v>
      </c>
      <c r="H16" s="2" t="s">
        <v>470</v>
      </c>
      <c r="I16" s="2">
        <v>64</v>
      </c>
      <c r="J16" s="2">
        <v>95</v>
      </c>
      <c r="K16" s="2">
        <v>20</v>
      </c>
      <c r="L16" s="2">
        <v>3.35</v>
      </c>
      <c r="M16" s="2"/>
      <c r="N16" s="11"/>
      <c r="O16" s="2" t="s">
        <v>95</v>
      </c>
      <c r="P16" s="14" t="s">
        <v>193</v>
      </c>
      <c r="Q16" s="14" t="s">
        <v>216</v>
      </c>
      <c r="R16" s="188">
        <f t="shared" si="1"/>
        <v>28.341076084739019</v>
      </c>
      <c r="S16" s="8">
        <f t="shared" si="2"/>
        <v>5.101393695253023</v>
      </c>
      <c r="T16" s="234">
        <f t="shared" si="0"/>
        <v>571.92291539003338</v>
      </c>
      <c r="U16" s="15">
        <v>25</v>
      </c>
      <c r="V16" s="8">
        <f t="shared" si="3"/>
        <v>4.5</v>
      </c>
      <c r="W16" s="233">
        <f t="shared" si="4"/>
        <v>567.5</v>
      </c>
      <c r="Z16" s="28">
        <f>SUMIF(C:C,"*H2 V H1 GOALS",S:S)</f>
        <v>11.929232295918197</v>
      </c>
      <c r="AA16" s="240">
        <f>SUM(AA14:AA15)</f>
        <v>2</v>
      </c>
      <c r="AB16" s="232">
        <f>SUM(Z16/AA16)</f>
        <v>5.9646161479590987</v>
      </c>
      <c r="AD16" s="203">
        <f>SUMIF(C:C,"*UNDER 2.5 GOALS",S:S)</f>
        <v>34.06634853497706</v>
      </c>
      <c r="AE16" s="240">
        <f>SUM(AE14:AE15)</f>
        <v>6</v>
      </c>
      <c r="AF16" s="232">
        <f>SUM(AD16/AE16)</f>
        <v>5.6777247558295096</v>
      </c>
      <c r="AH16" s="203">
        <f>SUM(AH8,AH12,AH4)</f>
        <v>35.949610619486791</v>
      </c>
      <c r="AI16" s="248">
        <f>SUM(AI14:AI15)</f>
        <v>6</v>
      </c>
      <c r="AJ16" s="232">
        <f>SUM(AH16/AI16)</f>
        <v>5.9916017699144648</v>
      </c>
    </row>
    <row r="17" spans="1:36" ht="15.75" thickBot="1">
      <c r="A17" s="156" cm="1">
        <f t="array" ref="A17">_xlfn.IFS(C17=$Z$42,$AA$42,C17=$Z$43,$AA$43,C17=$Z$44,$AA$44,C17=$Z$45,$AA$45,C17=$Z$46,$AA$46,C17=$Z$47,$AA$47,C17=$Z$48,$AA$48,C17=$Z$49,$AA$49,C17=$Z$50,$AA$50,C17=$Z$51,$AA$51,C17=$Z$52,$AA$52,C17=$Z$53,$AA$53,C17=$Z$54,$AA$54,C17=$Z$55,$AA$55,C17=$Z$56,$AA$56,C17=$Z$57,$AA$57,C17=$Z$58,$AA$58,C17=$Z$59,$AA$59,C17=$Z$60,$AA$60,C17=$Z$61,$AA$61,C17=$Z$62,$AA$62,TRUE,"0")</f>
        <v>1</v>
      </c>
      <c r="B17" s="161" t="str" cm="1">
        <f t="array" ref="B17">_xlfn.IFS(C17=$Z$42,$AD$42,C17=$Z$43,$AD$43,C17=$Z$44,$AD$44,C17=$Z$45,$AD$45,C17=$Z$46,$AD$46,C17=$Z$47,$AD$47,C17=$Z$48,$AD$48,C17=$Z$49,$AD$49,C17=$Z$50,$AD$50,C17=$Z$51,$AD$51,C17=$Z$52,$AD$52,C17=$Z$53,$AD$53,C17=$Z$54,$AD$54,C17=$Z$55,$AD$55,C17=$Z$56,$AD$56,C17=$Z$57,$AD$57,C17=$Z$58,$AD$58,C17=$Z$59,$AD$59,C17=$Z$60,$AD$60,C17=$Z$61,$AD$61,C17=$Z$62,$AD$62,TRUE,"0")</f>
        <v>h2  +0.5 BET @ 40 MINS</v>
      </c>
      <c r="C17" s="163" t="s">
        <v>10</v>
      </c>
      <c r="D17" s="2" t="s">
        <v>6</v>
      </c>
      <c r="E17" s="2" t="s">
        <v>11</v>
      </c>
      <c r="F17" s="3">
        <v>45304.625</v>
      </c>
      <c r="G17" s="2" t="s">
        <v>198</v>
      </c>
      <c r="H17" s="2" t="s">
        <v>199</v>
      </c>
      <c r="I17" s="2">
        <v>2.0499999999999998</v>
      </c>
      <c r="J17" s="2">
        <v>95</v>
      </c>
      <c r="K17" s="2">
        <v>65</v>
      </c>
      <c r="L17" s="2">
        <v>20</v>
      </c>
      <c r="M17" s="2">
        <v>67</v>
      </c>
      <c r="N17" s="11">
        <v>20</v>
      </c>
      <c r="O17" s="2" t="s">
        <v>95</v>
      </c>
      <c r="P17" s="14" t="s">
        <v>214</v>
      </c>
      <c r="Q17" s="13" t="s">
        <v>220</v>
      </c>
      <c r="R17" s="188">
        <f t="shared" si="1"/>
        <v>28.596145769501671</v>
      </c>
      <c r="S17" s="8">
        <f t="shared" si="2"/>
        <v>5.1473062385103008</v>
      </c>
      <c r="T17" s="234">
        <f t="shared" si="0"/>
        <v>577.07022162854366</v>
      </c>
      <c r="U17" s="15">
        <v>25</v>
      </c>
      <c r="V17" s="8">
        <f t="shared" si="3"/>
        <v>4.5</v>
      </c>
      <c r="W17" s="233">
        <f t="shared" si="4"/>
        <v>572</v>
      </c>
      <c r="Z17" s="196">
        <f>SUMIF(C:C,"*H2 V H1 GOALS",V:V)</f>
        <v>9</v>
      </c>
      <c r="AD17" s="208">
        <f>SUMIF(C:C,"*UNDER 2.5 GOALS",V:V)</f>
        <v>27</v>
      </c>
      <c r="AE17" s="238"/>
      <c r="AF17" s="195"/>
      <c r="AH17" s="208">
        <f>SUM(AH9,AH13,AH5)</f>
        <v>27</v>
      </c>
      <c r="AI17" s="251"/>
      <c r="AJ17" s="209"/>
    </row>
    <row r="18" spans="1:36" ht="15.75" thickBot="1">
      <c r="A18" s="156" cm="1">
        <f t="array" ref="A18">_xlfn.IFS(C18=$Z$42,$AA$42,C18=$Z$43,$AA$43,C18=$Z$44,$AA$44,C18=$Z$45,$AA$45,C18=$Z$46,$AA$46,C18=$Z$47,$AA$47,C18=$Z$48,$AA$48,C18=$Z$49,$AA$49,C18=$Z$50,$AA$50,C18=$Z$51,$AA$51,C18=$Z$52,$AA$52,C18=$Z$53,$AA$53,C18=$Z$54,$AA$54,C18=$Z$55,$AA$55,C18=$Z$56,$AA$56,C18=$Z$57,$AA$57,C18=$Z$58,$AA$58,C18=$Z$59,$AA$59,C18=$Z$60,$AA$60,C18=$Z$61,$AA$61,C18=$Z$62,$AA$62,TRUE,"0")</f>
        <v>1</v>
      </c>
      <c r="B18" s="161" t="str" cm="1">
        <f t="array" ref="B18">_xlfn.IFS(C18=$Z$42,$AD$42,C18=$Z$43,$AD$43,C18=$Z$44,$AD$44,C18=$Z$45,$AD$45,C18=$Z$46,$AD$46,C18=$Z$47,$AD$47,C18=$Z$48,$AD$48,C18=$Z$49,$AD$49,C18=$Z$50,$AD$50,C18=$Z$51,$AD$51,C18=$Z$52,$AD$52,C18=$Z$53,$AD$53,C18=$Z$54,$AD$54,C18=$Z$55,$AD$55,C18=$Z$56,$AD$56,C18=$Z$57,$AD$57,C18=$Z$58,$AD$58,C18=$Z$59,$AD$59,C18=$Z$60,$AD$60,C18=$Z$61,$AD$61,C18=$Z$62,$AD$62,TRUE,"0")</f>
        <v>h2  +0.5 BET @ 40 MINS</v>
      </c>
      <c r="C18" s="163" t="s">
        <v>28</v>
      </c>
      <c r="D18" s="2" t="s">
        <v>6</v>
      </c>
      <c r="E18" s="2" t="s">
        <v>7</v>
      </c>
      <c r="F18" s="3">
        <v>45286.625</v>
      </c>
      <c r="G18" s="2" t="s">
        <v>26</v>
      </c>
      <c r="H18" s="2" t="s">
        <v>84</v>
      </c>
      <c r="I18" s="2">
        <v>2.4</v>
      </c>
      <c r="J18" s="2">
        <v>5.29</v>
      </c>
      <c r="K18" s="2">
        <v>61</v>
      </c>
      <c r="L18" s="2">
        <v>0</v>
      </c>
      <c r="M18" s="2">
        <v>20</v>
      </c>
      <c r="N18" s="11"/>
      <c r="O18" s="2" t="s">
        <v>95</v>
      </c>
      <c r="P18" s="14" t="s">
        <v>221</v>
      </c>
      <c r="Q18" s="13" t="s">
        <v>193</v>
      </c>
      <c r="R18" s="188">
        <f t="shared" si="1"/>
        <v>28.853511081427186</v>
      </c>
      <c r="S18" s="8">
        <f t="shared" si="2"/>
        <v>5.1936319946568936</v>
      </c>
      <c r="T18" s="234">
        <f t="shared" si="0"/>
        <v>582.26385362320059</v>
      </c>
      <c r="U18" s="15">
        <v>25</v>
      </c>
      <c r="V18" s="8">
        <f t="shared" si="3"/>
        <v>4.5</v>
      </c>
      <c r="W18" s="233">
        <f t="shared" si="4"/>
        <v>576.5</v>
      </c>
      <c r="Z18" s="219" t="s">
        <v>515</v>
      </c>
      <c r="AA18" s="217">
        <f>COUNTIFS(C:C,"H2 HIGH SCORERS",O:O,"WON")</f>
        <v>6</v>
      </c>
      <c r="AB18" s="149">
        <f>AA18/AA20</f>
        <v>1</v>
      </c>
      <c r="AD18" s="213" t="s">
        <v>404</v>
      </c>
      <c r="AE18" s="254">
        <f>SUM(AE2,AE6,AE10,AE14)</f>
        <v>16</v>
      </c>
      <c r="AF18" s="151">
        <f>AE18/AE20</f>
        <v>1</v>
      </c>
      <c r="AH18" s="210" t="s">
        <v>510</v>
      </c>
      <c r="AI18" s="252">
        <f>COUNTIFS(C:C,"AOSHOME",O:O,"WON")</f>
        <v>1</v>
      </c>
      <c r="AJ18" s="211">
        <f>AI18/AI20</f>
        <v>1</v>
      </c>
    </row>
    <row r="19" spans="1:36" ht="15.75" thickBot="1">
      <c r="A19" s="156" cm="1">
        <f t="array" ref="A19">_xlfn.IFS(C19=$Z$42,$AA$42,C19=$Z$43,$AA$43,C19=$Z$44,$AA$44,C19=$Z$45,$AA$45,C19=$Z$46,$AA$46,C19=$Z$47,$AA$47,C19=$Z$48,$AA$48,C19=$Z$49,$AA$49,C19=$Z$50,$AA$50,C19=$Z$51,$AA$51,C19=$Z$52,$AA$52,C19=$Z$53,$AA$53,C19=$Z$54,$AA$54,C19=$Z$55,$AA$55,C19=$Z$56,$AA$56,C19=$Z$57,$AA$57,C19=$Z$58,$AA$58,C19=$Z$59,$AA$59,C19=$Z$60,$AA$60,C19=$Z$61,$AA$61,C19=$Z$62,$AA$62,TRUE,"0")</f>
        <v>1</v>
      </c>
      <c r="B19" s="161" t="str" cm="1">
        <f t="array" ref="B19">_xlfn.IFS(C19=$Z$42,$AD$42,C19=$Z$43,$AD$43,C19=$Z$44,$AD$44,C19=$Z$45,$AD$45,C19=$Z$46,$AD$46,C19=$Z$47,$AD$47,C19=$Z$48,$AD$48,C19=$Z$49,$AD$49,C19=$Z$50,$AD$50,C19=$Z$51,$AD$51,C19=$Z$52,$AD$52,C19=$Z$53,$AD$53,C19=$Z$54,$AD$54,C19=$Z$55,$AD$55,C19=$Z$56,$AD$56,C19=$Z$57,$AD$57,C19=$Z$58,$AD$58,C19=$Z$59,$AD$59,C19=$Z$60,$AD$60,C19=$Z$61,$AD$61,C19=$Z$62,$AD$62,TRUE,"0")</f>
        <v>h2  +0.5 BET @ 40 MINS</v>
      </c>
      <c r="C19" s="163" t="s">
        <v>35</v>
      </c>
      <c r="D19" s="2" t="s">
        <v>6</v>
      </c>
      <c r="E19" s="2" t="s">
        <v>40</v>
      </c>
      <c r="F19" s="3">
        <v>45286.625</v>
      </c>
      <c r="G19" s="2" t="s">
        <v>93</v>
      </c>
      <c r="H19" s="2" t="s">
        <v>94</v>
      </c>
      <c r="I19" s="7">
        <v>68</v>
      </c>
      <c r="J19" s="2">
        <v>90</v>
      </c>
      <c r="K19" s="2">
        <v>70</v>
      </c>
      <c r="L19" s="2">
        <v>45</v>
      </c>
      <c r="M19" s="2">
        <v>20</v>
      </c>
      <c r="N19" s="11"/>
      <c r="O19" s="2" t="s">
        <v>95</v>
      </c>
      <c r="P19" s="14" t="s">
        <v>193</v>
      </c>
      <c r="Q19" s="13" t="s">
        <v>216</v>
      </c>
      <c r="R19" s="188">
        <f t="shared" si="1"/>
        <v>29.113192681160029</v>
      </c>
      <c r="S19" s="8">
        <f t="shared" si="2"/>
        <v>5.2403746826088051</v>
      </c>
      <c r="T19" s="234">
        <f t="shared" si="0"/>
        <v>587.50422830580942</v>
      </c>
      <c r="U19" s="15">
        <v>25</v>
      </c>
      <c r="V19" s="8">
        <f t="shared" si="3"/>
        <v>4.5</v>
      </c>
      <c r="W19" s="233">
        <f t="shared" si="4"/>
        <v>581</v>
      </c>
      <c r="Z19" s="219" t="s">
        <v>515</v>
      </c>
      <c r="AA19" s="217">
        <f>COUNTIFS(C:C,"H2 HIGH SCORERS",O:O,"LOST")</f>
        <v>0</v>
      </c>
      <c r="AB19" s="18">
        <f>AA19/AA20</f>
        <v>0</v>
      </c>
      <c r="AD19" s="213" t="s">
        <v>404</v>
      </c>
      <c r="AE19" s="254">
        <f>SUM(AE3,AE7,AE11,AE15)</f>
        <v>0</v>
      </c>
      <c r="AF19" s="31">
        <f>AE19/AE20</f>
        <v>0</v>
      </c>
      <c r="AH19" s="212" t="s">
        <v>510</v>
      </c>
      <c r="AI19" s="253">
        <f>COUNTIFS(C:C,"AOSHOME",O:O,"LOST")</f>
        <v>0</v>
      </c>
      <c r="AJ19" s="202">
        <f>AI19/AI20</f>
        <v>0</v>
      </c>
    </row>
    <row r="20" spans="1:36" ht="15.75" thickBot="1">
      <c r="A20" s="156" cm="1">
        <f t="array" ref="A20">_xlfn.IFS(C20=$Z$42,$AA$42,C20=$Z$43,$AA$43,C20=$Z$44,$AA$44,C20=$Z$45,$AA$45,C20=$Z$46,$AA$46,C20=$Z$47,$AA$47,C20=$Z$48,$AA$48,C20=$Z$49,$AA$49,C20=$Z$50,$AA$50,C20=$Z$51,$AA$51,C20=$Z$52,$AA$52,C20=$Z$53,$AA$53,C20=$Z$54,$AA$54,C20=$Z$55,$AA$55,C20=$Z$56,$AA$56,C20=$Z$57,$AA$57,C20=$Z$58,$AA$58,C20=$Z$59,$AA$59,C20=$Z$60,$AA$60,C20=$Z$61,$AA$61,C20=$Z$62,$AA$62,TRUE,"0")</f>
        <v>1</v>
      </c>
      <c r="B20" s="161" t="str" cm="1">
        <f t="array" ref="B20">_xlfn.IFS(C20=$Z$42,$AD$42,C20=$Z$43,$AD$43,C20=$Z$44,$AD$44,C20=$Z$45,$AD$45,C20=$Z$46,$AD$46,C20=$Z$47,$AD$47,C20=$Z$48,$AD$48,C20=$Z$49,$AD$49,C20=$Z$50,$AD$50,C20=$Z$51,$AD$51,C20=$Z$52,$AD$52,C20=$Z$53,$AD$53,C20=$Z$54,$AD$54,C20=$Z$55,$AD$55,C20=$Z$56,$AD$56,C20=$Z$57,$AD$57,C20=$Z$58,$AD$58,C20=$Z$59,$AD$59,C20=$Z$60,$AD$60,C20=$Z$61,$AD$61,C20=$Z$62,$AD$62,TRUE,"0")</f>
        <v>H1 &lt;2.5 - (x by ht(40)</v>
      </c>
      <c r="C20" s="164" t="s">
        <v>458</v>
      </c>
      <c r="D20" s="2" t="s">
        <v>6</v>
      </c>
      <c r="E20" s="2" t="s">
        <v>455</v>
      </c>
      <c r="F20" s="3">
        <v>45342.822916666664</v>
      </c>
      <c r="G20" s="2" t="s">
        <v>456</v>
      </c>
      <c r="H20" s="2" t="s">
        <v>457</v>
      </c>
      <c r="I20" s="2">
        <v>20</v>
      </c>
      <c r="J20" s="2">
        <v>20</v>
      </c>
      <c r="K20" s="2">
        <v>27</v>
      </c>
      <c r="L20" s="2">
        <v>3.3</v>
      </c>
      <c r="M20" s="2"/>
      <c r="N20" s="11"/>
      <c r="O20" s="2" t="s">
        <v>95</v>
      </c>
      <c r="P20" s="14" t="s">
        <v>216</v>
      </c>
      <c r="Q20" s="14" t="s">
        <v>222</v>
      </c>
      <c r="R20" s="188">
        <f t="shared" si="1"/>
        <v>29.375211415290472</v>
      </c>
      <c r="S20" s="8">
        <f t="shared" si="2"/>
        <v>5.287538054752285</v>
      </c>
      <c r="T20" s="234">
        <f t="shared" si="0"/>
        <v>592.79176636056172</v>
      </c>
      <c r="U20" s="15">
        <v>25</v>
      </c>
      <c r="V20" s="8">
        <f t="shared" si="3"/>
        <v>4.5</v>
      </c>
      <c r="W20" s="233">
        <f t="shared" si="4"/>
        <v>585.5</v>
      </c>
      <c r="Z20" s="28">
        <f>SUMIF(C:C,"H2 HIGH SCORERS",S:S)</f>
        <v>36.271294352943464</v>
      </c>
      <c r="AA20" s="240">
        <f>SUM(AA18:AA19)</f>
        <v>6</v>
      </c>
      <c r="AB20" s="232">
        <f>SUM(Z20/AA20)</f>
        <v>6.0452157254905776</v>
      </c>
      <c r="AD20" s="203">
        <f>SUM(AD4,AD8,AD12,AD16)</f>
        <v>92.334688062523298</v>
      </c>
      <c r="AE20" s="248">
        <f>SUM(AE18:AE19)</f>
        <v>16</v>
      </c>
      <c r="AF20" s="232">
        <f>SUM(AD20/AE20)</f>
        <v>5.7709180039077062</v>
      </c>
      <c r="AH20" s="203">
        <f>SUMIF(C:C,"AOSHOME",S:S)</f>
        <v>4.7912703564543913</v>
      </c>
      <c r="AI20" s="240">
        <f>SUM(AI18:AI19)</f>
        <v>1</v>
      </c>
      <c r="AJ20" s="232">
        <f>SUM(AH20/AI20)</f>
        <v>4.7912703564543913</v>
      </c>
    </row>
    <row r="21" spans="1:36" ht="15.75" thickBot="1">
      <c r="A21" s="156" cm="1">
        <f t="array" ref="A21">_xlfn.IFS(C21=$Z$42,$AA$42,C21=$Z$43,$AA$43,C21=$Z$44,$AA$44,C21=$Z$45,$AA$45,C21=$Z$46,$AA$46,C21=$Z$47,$AA$47,C21=$Z$48,$AA$48,C21=$Z$49,$AA$49,C21=$Z$50,$AA$50,C21=$Z$51,$AA$51,C21=$Z$52,$AA$52,C21=$Z$53,$AA$53,C21=$Z$54,$AA$54,C21=$Z$55,$AA$55,C21=$Z$56,$AA$56,C21=$Z$57,$AA$57,C21=$Z$58,$AA$58,C21=$Z$59,$AA$59,C21=$Z$60,$AA$60,C21=$Z$61,$AA$61,C21=$Z$62,$AA$62,TRUE,"0")</f>
        <v>1</v>
      </c>
      <c r="B21" s="161" t="str" cm="1">
        <f t="array" ref="B21">_xlfn.IFS(C21=$Z$42,$AD$42,C21=$Z$43,$AD$43,C21=$Z$44,$AD$44,C21=$Z$45,$AD$45,C21=$Z$46,$AD$46,C21=$Z$47,$AD$47,C21=$Z$48,$AD$48,C21=$Z$49,$AD$49,C21=$Z$50,$AD$50,C21=$Z$51,$AD$51,C21=$Z$52,$AD$52,C21=$Z$53,$AD$53,C21=$Z$54,$AD$54,C21=$Z$55,$AD$55,C21=$Z$56,$AD$56,C21=$Z$57,$AD$57,C21=$Z$58,$AD$58,C21=$Z$59,$AD$59,C21=$Z$60,$AD$60,C21=$Z$61,$AD$61,C21=$Z$62,$AD$62,TRUE,"0")</f>
        <v>h1 +0.5.  X @ 40M</v>
      </c>
      <c r="C21" s="163" t="s">
        <v>432</v>
      </c>
      <c r="D21" s="2" t="s">
        <v>6</v>
      </c>
      <c r="E21" s="2" t="s">
        <v>183</v>
      </c>
      <c r="F21" s="3">
        <v>45304.625</v>
      </c>
      <c r="G21" s="2" t="s">
        <v>184</v>
      </c>
      <c r="H21" s="2" t="s">
        <v>185</v>
      </c>
      <c r="I21" s="2">
        <v>95</v>
      </c>
      <c r="J21" s="2">
        <v>19</v>
      </c>
      <c r="K21" s="2">
        <v>50</v>
      </c>
      <c r="L21" s="2"/>
      <c r="M21" s="2"/>
      <c r="N21" s="11"/>
      <c r="O21" s="2" t="s">
        <v>95</v>
      </c>
      <c r="P21" s="14" t="s">
        <v>216</v>
      </c>
      <c r="Q21" s="13" t="s">
        <v>211</v>
      </c>
      <c r="R21" s="188">
        <f t="shared" si="1"/>
        <v>29.639588318028089</v>
      </c>
      <c r="S21" s="8">
        <f t="shared" si="2"/>
        <v>5.3351258972450557</v>
      </c>
      <c r="T21" s="234">
        <f t="shared" si="0"/>
        <v>598.12689225780673</v>
      </c>
      <c r="U21" s="15">
        <v>25</v>
      </c>
      <c r="V21" s="8">
        <f t="shared" si="3"/>
        <v>4.5</v>
      </c>
      <c r="W21" s="233">
        <f t="shared" si="4"/>
        <v>590</v>
      </c>
      <c r="Z21" s="196">
        <f>SUMIF(C:C,"H2 HIGH SCORERS",V:V)</f>
        <v>27</v>
      </c>
      <c r="AD21" s="208">
        <f>SUM(AD5,AD9,AD13,AD17)</f>
        <v>72</v>
      </c>
      <c r="AE21" s="238"/>
      <c r="AF21" s="195"/>
      <c r="AH21" s="204">
        <f>SUMIF(C:C,"AOSHOME",V:V)</f>
        <v>4.5</v>
      </c>
      <c r="AJ21" s="207"/>
    </row>
    <row r="22" spans="1:36" ht="15.75" thickBot="1">
      <c r="A22" s="156" cm="1">
        <f t="array" ref="A22">_xlfn.IFS(C22=$Z$42,$AA$42,C22=$Z$43,$AA$43,C22=$Z$44,$AA$44,C22=$Z$45,$AA$45,C22=$Z$46,$AA$46,C22=$Z$47,$AA$47,C22=$Z$48,$AA$48,C22=$Z$49,$AA$49,C22=$Z$50,$AA$50,C22=$Z$51,$AA$51,C22=$Z$52,$AA$52,C22=$Z$53,$AA$53,C22=$Z$54,$AA$54,C22=$Z$55,$AA$55,C22=$Z$56,$AA$56,C22=$Z$57,$AA$57,C22=$Z$58,$AA$58,C22=$Z$59,$AA$59,C22=$Z$60,$AA$60,C22=$Z$61,$AA$61,C22=$Z$62,$AA$62,TRUE,"0")</f>
        <v>0.93333333333333335</v>
      </c>
      <c r="B22" s="161" t="str" cm="1">
        <f t="array" ref="B22">_xlfn.IFS(C22=$Z$42,$AD$42,C22=$Z$43,$AD$43,C22=$Z$44,$AD$44,C22=$Z$45,$AD$45,C22=$Z$46,$AD$46,C22=$Z$47,$AD$47,C22=$Z$48,$AD$48,C22=$Z$49,$AD$49,C22=$Z$50,$AD$50,C22=$Z$51,$AD$51,C22=$Z$52,$AD$52,C22=$Z$53,$AD$53,C22=$Z$54,$AD$54,C22=$Z$55,$AD$55,C22=$Z$56,$AD$56,C22=$Z$57,$AD$57,C22=$Z$58,$AD$58,C22=$Z$59,$AD$59,C22=$Z$60,$AD$60,C22=$Z$61,$AD$61,C22=$Z$62,$AD$62,TRUE,"0")</f>
        <v>B + 0.5 at 1.2+ or @ 40 mins</v>
      </c>
      <c r="C22" s="163" t="s">
        <v>270</v>
      </c>
      <c r="D22" s="2" t="s">
        <v>6</v>
      </c>
      <c r="E22" s="2" t="s">
        <v>62</v>
      </c>
      <c r="F22" s="3">
        <v>45286.625</v>
      </c>
      <c r="G22" s="2" t="s">
        <v>85</v>
      </c>
      <c r="H22" s="2" t="s">
        <v>86</v>
      </c>
      <c r="I22" s="2">
        <v>66</v>
      </c>
      <c r="J22" s="2">
        <v>0</v>
      </c>
      <c r="K22" s="2">
        <v>20</v>
      </c>
      <c r="L22" s="2"/>
      <c r="M22" s="2"/>
      <c r="N22" s="11"/>
      <c r="O22" s="2" t="s">
        <v>95</v>
      </c>
      <c r="P22" s="13" t="s">
        <v>193</v>
      </c>
      <c r="Q22" s="13" t="s">
        <v>213</v>
      </c>
      <c r="R22" s="188">
        <f t="shared" si="1"/>
        <v>29.906344612890337</v>
      </c>
      <c r="S22" s="8">
        <f t="shared" si="2"/>
        <v>5.3831420303202604</v>
      </c>
      <c r="T22" s="234">
        <f t="shared" si="0"/>
        <v>603.51003428812703</v>
      </c>
      <c r="U22" s="15">
        <v>25</v>
      </c>
      <c r="V22" s="8">
        <f t="shared" si="3"/>
        <v>4.5</v>
      </c>
      <c r="W22" s="233">
        <f t="shared" si="4"/>
        <v>594.5</v>
      </c>
      <c r="Z22" s="219" t="s">
        <v>539</v>
      </c>
      <c r="AA22" s="217">
        <f>COUNTIFS(C:C,"H1&lt;2 GOALS, H2&gt; 1 GOAL",O:O,"WON")</f>
        <v>0</v>
      </c>
      <c r="AB22" s="23"/>
      <c r="AH22" s="212" t="s">
        <v>511</v>
      </c>
      <c r="AI22" s="253">
        <f>COUNTIFS(C:C,"AOSAWAY",O:O,"WON")</f>
        <v>0</v>
      </c>
      <c r="AJ22" s="206" t="e">
        <f>AI22/AI24</f>
        <v>#DIV/0!</v>
      </c>
    </row>
    <row r="23" spans="1:36" ht="15.75" thickBot="1">
      <c r="A23" s="156" cm="1">
        <f t="array" ref="A23">_xlfn.IFS(C23=$Z$42,$AA$42,C23=$Z$43,$AA$43,C23=$Z$44,$AA$44,C23=$Z$45,$AA$45,C23=$Z$46,$AA$46,C23=$Z$47,$AA$47,C23=$Z$48,$AA$48,C23=$Z$49,$AA$49,C23=$Z$50,$AA$50,C23=$Z$51,$AA$51,C23=$Z$52,$AA$52,C23=$Z$53,$AA$53,C23=$Z$54,$AA$54,C23=$Z$55,$AA$55,C23=$Z$56,$AA$56,C23=$Z$57,$AA$57,C23=$Z$58,$AA$58,C23=$Z$59,$AA$59,C23=$Z$60,$AA$60,C23=$Z$61,$AA$61,C23=$Z$62,$AA$62,TRUE,"0")</f>
        <v>1</v>
      </c>
      <c r="B23" s="161" t="str" cm="1">
        <f t="array" ref="B23">_xlfn.IFS(C23=$Z$42,$AD$42,C23=$Z$43,$AD$43,C23=$Z$44,$AD$44,C23=$Z$45,$AD$45,C23=$Z$46,$AD$46,C23=$Z$47,$AD$47,C23=$Z$48,$AD$48,C23=$Z$49,$AD$49,C23=$Z$50,$AD$50,C23=$Z$51,$AD$51,C23=$Z$52,$AD$52,C23=$Z$53,$AD$53,C23=$Z$54,$AD$54,C23=$Z$55,$AD$55,C23=$Z$56,$AD$56,C23=$Z$57,$AD$57,C23=$Z$58,$AD$58,C23=$Z$59,$AD$59,C23=$Z$60,$AD$60,C23=$Z$61,$AD$61,C23=$Z$62,$AD$62,TRUE,"0")</f>
        <v>h1 +0.5.  X @ 40M</v>
      </c>
      <c r="C23" s="163" t="s">
        <v>432</v>
      </c>
      <c r="D23" s="2" t="s">
        <v>145</v>
      </c>
      <c r="E23" s="2" t="s">
        <v>190</v>
      </c>
      <c r="F23" s="3">
        <v>45303.833333333336</v>
      </c>
      <c r="G23" s="2" t="s">
        <v>191</v>
      </c>
      <c r="H23" s="2" t="s">
        <v>192</v>
      </c>
      <c r="I23" s="2">
        <v>85</v>
      </c>
      <c r="J23" s="2">
        <v>24</v>
      </c>
      <c r="K23" s="2">
        <v>50</v>
      </c>
      <c r="L23" s="2"/>
      <c r="M23" s="2"/>
      <c r="N23" s="11"/>
      <c r="O23" s="2" t="s">
        <v>95</v>
      </c>
      <c r="P23" s="14" t="s">
        <v>214</v>
      </c>
      <c r="Q23" s="13" t="s">
        <v>216</v>
      </c>
      <c r="R23" s="188">
        <f t="shared" si="1"/>
        <v>30.175501714406352</v>
      </c>
      <c r="S23" s="8">
        <f t="shared" si="2"/>
        <v>5.431590308593143</v>
      </c>
      <c r="T23" s="234">
        <f t="shared" si="0"/>
        <v>608.9416245967202</v>
      </c>
      <c r="U23" s="15">
        <v>25</v>
      </c>
      <c r="V23" s="8">
        <f t="shared" si="3"/>
        <v>4.5</v>
      </c>
      <c r="W23" s="233">
        <f t="shared" si="4"/>
        <v>599</v>
      </c>
      <c r="Z23" s="219" t="s">
        <v>539</v>
      </c>
      <c r="AA23" s="217">
        <f>COUNTIFS(C:C,"H1&lt;2 GOALS, H2&gt; 1 GOAL",O:O,"LOST")</f>
        <v>0</v>
      </c>
      <c r="AB23" s="18"/>
      <c r="AD23" s="222" t="s">
        <v>275</v>
      </c>
      <c r="AE23" s="223">
        <f>COUNTIFS(C:C,"*PHF HOME",O:O,"WON")</f>
        <v>2</v>
      </c>
      <c r="AF23" s="151">
        <f>AE23/AE25</f>
        <v>1</v>
      </c>
      <c r="AH23" s="212" t="s">
        <v>511</v>
      </c>
      <c r="AI23" s="253">
        <f>COUNTIFS(C:C,"AOSAWAY",O:O,"LOST")</f>
        <v>0</v>
      </c>
      <c r="AJ23" s="202" t="e">
        <f>AI23/AI24</f>
        <v>#DIV/0!</v>
      </c>
    </row>
    <row r="24" spans="1:36" ht="15.75" thickBot="1">
      <c r="A24" s="156" cm="1">
        <f t="array" ref="A24">_xlfn.IFS(C24=$Z$42,$AA$42,C24=$Z$43,$AA$43,C24=$Z$44,$AA$44,C24=$Z$45,$AA$45,C24=$Z$46,$AA$46,C24=$Z$47,$AA$47,C24=$Z$48,$AA$48,C24=$Z$49,$AA$49,C24=$Z$50,$AA$50,C24=$Z$51,$AA$51,C24=$Z$52,$AA$52,C24=$Z$53,$AA$53,C24=$Z$54,$AA$54,C24=$Z$55,$AA$55,C24=$Z$56,$AA$56,C24=$Z$57,$AA$57,C24=$Z$58,$AA$58,C24=$Z$59,$AA$59,C24=$Z$60,$AA$60,C24=$Z$61,$AA$61,C24=$Z$62,$AA$62,TRUE,"0")</f>
        <v>0.93333333333333335</v>
      </c>
      <c r="B24" s="161" t="str" cm="1">
        <f t="array" ref="B24">_xlfn.IFS(C24=$Z$42,$AD$42,C24=$Z$43,$AD$43,C24=$Z$44,$AD$44,C24=$Z$45,$AD$45,C24=$Z$46,$AD$46,C24=$Z$47,$AD$47,C24=$Z$48,$AD$48,C24=$Z$49,$AD$49,C24=$Z$50,$AD$50,C24=$Z$51,$AD$51,C24=$Z$52,$AD$52,C24=$Z$53,$AD$53,C24=$Z$54,$AD$54,C24=$Z$55,$AD$55,C24=$Z$56,$AD$56,C24=$Z$57,$AD$57,C24=$Z$58,$AD$58,C24=$Z$59,$AD$59,C24=$Z$60,$AD$60,C24=$Z$61,$AD$61,C24=$Z$62,$AD$62,TRUE,"0")</f>
        <v>B + 0.5 at 1.2+ or @ 40 mins</v>
      </c>
      <c r="C24" s="163" t="s">
        <v>270</v>
      </c>
      <c r="D24" s="7" t="s">
        <v>145</v>
      </c>
      <c r="E24" s="7" t="s">
        <v>268</v>
      </c>
      <c r="F24" s="24">
        <v>45318.75</v>
      </c>
      <c r="G24" s="7" t="s">
        <v>269</v>
      </c>
      <c r="H24" s="7" t="s">
        <v>304</v>
      </c>
      <c r="I24" s="7">
        <v>65</v>
      </c>
      <c r="J24" s="7">
        <v>0</v>
      </c>
      <c r="K24" s="7">
        <v>20</v>
      </c>
      <c r="L24" s="7">
        <v>1.1499999999999999</v>
      </c>
      <c r="M24" s="7"/>
      <c r="N24" s="34"/>
      <c r="O24" s="2" t="s">
        <v>95</v>
      </c>
      <c r="P24" s="14" t="s">
        <v>193</v>
      </c>
      <c r="Q24" s="13" t="s">
        <v>223</v>
      </c>
      <c r="R24" s="188">
        <f t="shared" si="1"/>
        <v>30.447081229836012</v>
      </c>
      <c r="S24" s="8">
        <f t="shared" si="2"/>
        <v>5.4804746213704822</v>
      </c>
      <c r="T24" s="234">
        <f t="shared" si="0"/>
        <v>614.42209921809069</v>
      </c>
      <c r="U24" s="15">
        <v>25</v>
      </c>
      <c r="V24" s="8">
        <f t="shared" si="3"/>
        <v>4.5</v>
      </c>
      <c r="W24" s="233">
        <f t="shared" si="4"/>
        <v>603.5</v>
      </c>
      <c r="Z24" s="28">
        <f>SUMIF(C:C,"H1&lt;2 goals, h2&gt; 1 goal",S:S)</f>
        <v>0</v>
      </c>
      <c r="AA24" s="240">
        <f>SUM(AA22:AA23)</f>
        <v>0</v>
      </c>
      <c r="AB24" s="232" t="e">
        <f>SUM(Z24/AA24)</f>
        <v>#DIV/0!</v>
      </c>
      <c r="AD24" s="222" t="s">
        <v>275</v>
      </c>
      <c r="AE24" s="224">
        <f>COUNTIFS(C:C,"*PHF HOME",O:O,"LOST")</f>
        <v>0</v>
      </c>
      <c r="AF24" s="151">
        <f>AE24/AE25</f>
        <v>0</v>
      </c>
      <c r="AH24" s="203">
        <f>SUMIF(C:C,"AOSAWAY",S:S)</f>
        <v>0</v>
      </c>
      <c r="AI24" s="240">
        <f>SUM(AI22:AI23)</f>
        <v>0</v>
      </c>
      <c r="AJ24" s="232" t="e">
        <f>SUM(AH24/AI24)</f>
        <v>#DIV/0!</v>
      </c>
    </row>
    <row r="25" spans="1:36" ht="15.75" thickBot="1">
      <c r="A25" s="156" cm="1">
        <f t="array" ref="A25">_xlfn.IFS(C25=$Z$42,$AA$42,C25=$Z$43,$AA$43,C25=$Z$44,$AA$44,C25=$Z$45,$AA$45,C25=$Z$46,$AA$46,C25=$Z$47,$AA$47,C25=$Z$48,$AA$48,C25=$Z$49,$AA$49,C25=$Z$50,$AA$50,C25=$Z$51,$AA$51,C25=$Z$52,$AA$52,C25=$Z$53,$AA$53,C25=$Z$54,$AA$54,C25=$Z$55,$AA$55,C25=$Z$56,$AA$56,C25=$Z$57,$AA$57,C25=$Z$58,$AA$58,C25=$Z$59,$AA$59,C25=$Z$60,$AA$60,C25=$Z$61,$AA$61,C25=$Z$62,$AA$62,TRUE,"0")</f>
        <v>1</v>
      </c>
      <c r="B25" s="161" t="str" cm="1">
        <f t="array" ref="B25">_xlfn.IFS(C25=$Z$42,$AD$42,C25=$Z$43,$AD$43,C25=$Z$44,$AD$44,C25=$Z$45,$AD$45,C25=$Z$46,$AD$46,C25=$Z$47,$AD$47,C25=$Z$48,$AD$48,C25=$Z$49,$AD$49,C25=$Z$50,$AD$50,C25=$Z$51,$AD$51,C25=$Z$52,$AD$52,C25=$Z$53,$AD$53,C25=$Z$54,$AD$54,C25=$Z$55,$AD$55,C25=$Z$56,$AD$56,C25=$Z$57,$AD$57,C25=$Z$58,$AD$58,C25=$Z$59,$AD$59,C25=$Z$60,$AD$60,C25=$Z$61,$AD$61,C25=$Z$62,$AD$62,TRUE,"0")</f>
        <v>h1 +0.5.  X @ 40M</v>
      </c>
      <c r="C25" s="163" t="s">
        <v>432</v>
      </c>
      <c r="D25" s="2" t="s">
        <v>145</v>
      </c>
      <c r="E25" s="2" t="s">
        <v>146</v>
      </c>
      <c r="F25" s="3">
        <v>45303.770833333336</v>
      </c>
      <c r="G25" s="2" t="s">
        <v>147</v>
      </c>
      <c r="H25" s="2" t="s">
        <v>148</v>
      </c>
      <c r="I25" s="2">
        <v>100</v>
      </c>
      <c r="J25" s="2">
        <v>16</v>
      </c>
      <c r="K25" s="2">
        <v>56</v>
      </c>
      <c r="L25" s="2"/>
      <c r="M25" s="2"/>
      <c r="N25" s="11"/>
      <c r="O25" s="2" t="s">
        <v>95</v>
      </c>
      <c r="P25" s="14" t="s">
        <v>214</v>
      </c>
      <c r="Q25" s="13" t="s">
        <v>214</v>
      </c>
      <c r="R25" s="188">
        <f t="shared" si="1"/>
        <v>30.721104960904537</v>
      </c>
      <c r="S25" s="8">
        <f t="shared" si="2"/>
        <v>5.5297988929628161</v>
      </c>
      <c r="T25" s="234">
        <f t="shared" si="0"/>
        <v>619.95189811105354</v>
      </c>
      <c r="U25" s="15">
        <v>25</v>
      </c>
      <c r="V25" s="8">
        <f t="shared" si="3"/>
        <v>4.5</v>
      </c>
      <c r="W25" s="233">
        <f t="shared" si="4"/>
        <v>608</v>
      </c>
      <c r="Z25" s="196">
        <f>SUMIF(C:C,"H1&lt;2 goals, h2&gt; 1 goal",S:S)</f>
        <v>0</v>
      </c>
      <c r="AD25" s="203">
        <f>SUMIF(C:C,"*PHF HOME",S:S)</f>
        <v>11.733835744536483</v>
      </c>
      <c r="AE25" s="248">
        <f>SUM(AE23:AE24)</f>
        <v>2</v>
      </c>
      <c r="AF25" s="232">
        <f>SUM(AD25/AE25)</f>
        <v>5.8669178722682416</v>
      </c>
      <c r="AH25" s="204">
        <f>SUMIF(C:C,"AOSAWAY",V:V)</f>
        <v>0</v>
      </c>
      <c r="AJ25" s="207"/>
    </row>
    <row r="26" spans="1:36" ht="15.75" thickBot="1">
      <c r="A26" s="156" cm="1">
        <f t="array" ref="A26">_xlfn.IFS(C26=$Z$42,$AA$42,C26=$Z$43,$AA$43,C26=$Z$44,$AA$44,C26=$Z$45,$AA$45,C26=$Z$46,$AA$46,C26=$Z$47,$AA$47,C26=$Z$48,$AA$48,C26=$Z$49,$AA$49,C26=$Z$50,$AA$50,C26=$Z$51,$AA$51,C26=$Z$52,$AA$52,C26=$Z$53,$AA$53,C26=$Z$54,$AA$54,C26=$Z$55,$AA$55,C26=$Z$56,$AA$56,C26=$Z$57,$AA$57,C26=$Z$58,$AA$58,C26=$Z$59,$AA$59,C26=$Z$60,$AA$60,C26=$Z$61,$AA$61,C26=$Z$62,$AA$62,TRUE,"0")</f>
        <v>0.93333333333333335</v>
      </c>
      <c r="B26" s="161" t="str" cm="1">
        <f t="array" ref="B26">_xlfn.IFS(C26=$Z$42,$AD$42,C26=$Z$43,$AD$43,C26=$Z$44,$AD$44,C26=$Z$45,$AD$45,C26=$Z$46,$AD$46,C26=$Z$47,$AD$47,C26=$Z$48,$AD$48,C26=$Z$49,$AD$49,C26=$Z$50,$AD$50,C26=$Z$51,$AD$51,C26=$Z$52,$AD$52,C26=$Z$53,$AD$53,C26=$Z$54,$AD$54,C26=$Z$55,$AD$55,C26=$Z$56,$AD$56,C26=$Z$57,$AD$57,C26=$Z$58,$AD$58,C26=$Z$59,$AD$59,C26=$Z$60,$AD$60,C26=$Z$61,$AD$61,C26=$Z$62,$AD$62,TRUE,"0")</f>
        <v>B + 0.5 at 1.2+ or @ 40 mins</v>
      </c>
      <c r="C26" s="163" t="s">
        <v>270</v>
      </c>
      <c r="D26" s="2" t="s">
        <v>77</v>
      </c>
      <c r="E26" s="2" t="s">
        <v>234</v>
      </c>
      <c r="F26" s="3">
        <v>45311.8125</v>
      </c>
      <c r="G26" s="2" t="s">
        <v>246</v>
      </c>
      <c r="H26" s="2" t="s">
        <v>247</v>
      </c>
      <c r="I26" s="2">
        <v>63</v>
      </c>
      <c r="J26" s="2">
        <v>0</v>
      </c>
      <c r="K26" s="2">
        <v>20</v>
      </c>
      <c r="L26" s="2"/>
      <c r="M26" s="2"/>
      <c r="N26" s="11"/>
      <c r="O26" s="2" t="s">
        <v>95</v>
      </c>
      <c r="P26" s="14" t="s">
        <v>217</v>
      </c>
      <c r="Q26" s="13" t="s">
        <v>217</v>
      </c>
      <c r="R26" s="188">
        <f t="shared" si="1"/>
        <v>30.997594905552678</v>
      </c>
      <c r="S26" s="8">
        <f t="shared" si="2"/>
        <v>5.5795670829994819</v>
      </c>
      <c r="T26" s="234">
        <f t="shared" si="0"/>
        <v>625.531465194053</v>
      </c>
      <c r="U26" s="15">
        <v>25</v>
      </c>
      <c r="V26" s="8">
        <f t="shared" si="3"/>
        <v>4.5</v>
      </c>
      <c r="W26" s="233">
        <f t="shared" si="4"/>
        <v>612.5</v>
      </c>
      <c r="Z26" s="219" t="s">
        <v>519</v>
      </c>
      <c r="AA26" s="217">
        <f>COUNTIFS(C:C,"H1 &amp; H2 % SPLIT",O:O,"WON")</f>
        <v>3</v>
      </c>
      <c r="AB26" s="149">
        <f>AA26/AA28</f>
        <v>1</v>
      </c>
      <c r="AD26" s="208">
        <f>SUMIF(C:C,"*PHF HOME",V:V)</f>
        <v>9</v>
      </c>
      <c r="AE26" s="238"/>
      <c r="AF26" s="195"/>
      <c r="AH26" s="212" t="s">
        <v>514</v>
      </c>
      <c r="AI26" s="253">
        <f>COUNTIFS(C:C,"BETFAIR ANYOTHER",O:O,"WON")</f>
        <v>0</v>
      </c>
      <c r="AJ26" s="206" t="e">
        <f>AI26/AI28</f>
        <v>#DIV/0!</v>
      </c>
    </row>
    <row r="27" spans="1:36" ht="15.75" thickBot="1">
      <c r="A27" s="156" cm="1">
        <f t="array" ref="A27">_xlfn.IFS(C27=$Z$42,$AA$42,C27=$Z$43,$AA$43,C27=$Z$44,$AA$44,C27=$Z$45,$AA$45,C27=$Z$46,$AA$46,C27=$Z$47,$AA$47,C27=$Z$48,$AA$48,C27=$Z$49,$AA$49,C27=$Z$50,$AA$50,C27=$Z$51,$AA$51,C27=$Z$52,$AA$52,C27=$Z$53,$AA$53,C27=$Z$54,$AA$54,C27=$Z$55,$AA$55,C27=$Z$56,$AA$56,C27=$Z$57,$AA$57,C27=$Z$58,$AA$58,C27=$Z$59,$AA$59,C27=$Z$60,$AA$60,C27=$Z$61,$AA$61,C27=$Z$62,$AA$62,TRUE,"0")</f>
        <v>1</v>
      </c>
      <c r="B27" s="161" t="str" cm="1">
        <f t="array" ref="B27">_xlfn.IFS(C27=$Z$42,$AD$42,C27=$Z$43,$AD$43,C27=$Z$44,$AD$44,C27=$Z$45,$AD$45,C27=$Z$46,$AD$46,C27=$Z$47,$AD$47,C27=$Z$48,$AD$48,C27=$Z$49,$AD$49,C27=$Z$50,$AD$50,C27=$Z$51,$AD$51,C27=$Z$52,$AD$52,C27=$Z$53,$AD$53,C27=$Z$54,$AD$54,C27=$Z$55,$AD$55,C27=$Z$56,$AD$56,C27=$Z$57,$AD$57,C27=$Z$58,$AD$58,C27=$Z$59,$AD$59,C27=$Z$60,$AD$60,C27=$Z$61,$AD$61,C27=$Z$62,$AD$62,TRUE,"0")</f>
        <v>h2  +0.5 BET @ 40 MINS</v>
      </c>
      <c r="C27" s="163" t="s">
        <v>10</v>
      </c>
      <c r="D27" s="2" t="s">
        <v>77</v>
      </c>
      <c r="E27" s="2" t="s">
        <v>251</v>
      </c>
      <c r="F27" s="3">
        <v>45311.541666666664</v>
      </c>
      <c r="G27" s="2" t="s">
        <v>258</v>
      </c>
      <c r="H27" s="2" t="s">
        <v>259</v>
      </c>
      <c r="I27" s="2">
        <v>1.78</v>
      </c>
      <c r="J27" s="2">
        <v>89</v>
      </c>
      <c r="K27" s="2">
        <v>61</v>
      </c>
      <c r="L27" s="2">
        <v>22</v>
      </c>
      <c r="M27" s="2">
        <v>64</v>
      </c>
      <c r="N27" s="11">
        <v>18</v>
      </c>
      <c r="O27" s="2" t="s">
        <v>95</v>
      </c>
      <c r="P27" s="14" t="s">
        <v>221</v>
      </c>
      <c r="Q27" s="13" t="s">
        <v>222</v>
      </c>
      <c r="R27" s="188">
        <f t="shared" si="1"/>
        <v>31.276573259702651</v>
      </c>
      <c r="S27" s="8">
        <f t="shared" si="2"/>
        <v>5.6297831867464767</v>
      </c>
      <c r="T27" s="234">
        <f t="shared" si="0"/>
        <v>631.16124838079952</v>
      </c>
      <c r="U27" s="15">
        <v>25</v>
      </c>
      <c r="V27" s="8">
        <f t="shared" si="3"/>
        <v>4.5</v>
      </c>
      <c r="W27" s="233">
        <f t="shared" si="4"/>
        <v>617</v>
      </c>
      <c r="Z27" s="219" t="s">
        <v>519</v>
      </c>
      <c r="AA27" s="217">
        <f>COUNTIFS(C:C,"H1 &amp; H2 % SPLIT",O:O,"LOST")</f>
        <v>0</v>
      </c>
      <c r="AB27" s="18">
        <f>AA27/AA28</f>
        <v>0</v>
      </c>
      <c r="AD27" s="221" t="s">
        <v>861</v>
      </c>
      <c r="AE27" s="30">
        <f>SUM(AA2,AA10,AA6,AA14,AA18,AA22,AA26,AA30,AA34)</f>
        <v>24</v>
      </c>
      <c r="AF27" s="151">
        <f>AE27/AE29</f>
        <v>1</v>
      </c>
      <c r="AH27" s="212" t="s">
        <v>514</v>
      </c>
      <c r="AI27" s="253">
        <f>COUNTIFS(C:C,"BETFAIR ANYOTHER",O:O,"LOST")</f>
        <v>0</v>
      </c>
      <c r="AJ27" s="202" t="e">
        <f>AI27/AI28</f>
        <v>#DIV/0!</v>
      </c>
    </row>
    <row r="28" spans="1:36" ht="15.75" thickBot="1">
      <c r="A28" s="156" cm="1">
        <f t="array" ref="A28">_xlfn.IFS(C28=$Z$42,$AA$42,C28=$Z$43,$AA$43,C28=$Z$44,$AA$44,C28=$Z$45,$AA$45,C28=$Z$46,$AA$46,C28=$Z$47,$AA$47,C28=$Z$48,$AA$48,C28=$Z$49,$AA$49,C28=$Z$50,$AA$50,C28=$Z$51,$AA$51,C28=$Z$52,$AA$52,C28=$Z$53,$AA$53,C28=$Z$54,$AA$54,C28=$Z$55,$AA$55,C28=$Z$56,$AA$56,C28=$Z$57,$AA$57,C28=$Z$58,$AA$58,C28=$Z$59,$AA$59,C28=$Z$60,$AA$60,C28=$Z$61,$AA$61,C28=$Z$62,$AA$62,TRUE,"0")</f>
        <v>0.93333333333333335</v>
      </c>
      <c r="B28" s="161" t="str" cm="1">
        <f t="array" ref="B28">_xlfn.IFS(C28=$Z$42,$AD$42,C28=$Z$43,$AD$43,C28=$Z$44,$AD$44,C28=$Z$45,$AD$45,C28=$Z$46,$AD$46,C28=$Z$47,$AD$47,C28=$Z$48,$AD$48,C28=$Z$49,$AD$49,C28=$Z$50,$AD$50,C28=$Z$51,$AD$51,C28=$Z$52,$AD$52,C28=$Z$53,$AD$53,C28=$Z$54,$AD$54,C28=$Z$55,$AD$55,C28=$Z$56,$AD$56,C28=$Z$57,$AD$57,C28=$Z$58,$AD$58,C28=$Z$59,$AD$59,C28=$Z$60,$AD$60,C28=$Z$61,$AD$61,C28=$Z$62,$AD$62,TRUE,"0")</f>
        <v>B + 0.5 at 1.2+ or @ 40 mins</v>
      </c>
      <c r="C28" s="163" t="s">
        <v>270</v>
      </c>
      <c r="D28" s="2" t="s">
        <v>77</v>
      </c>
      <c r="E28" s="2" t="s">
        <v>156</v>
      </c>
      <c r="F28" s="3">
        <v>45303.8125</v>
      </c>
      <c r="G28" s="2" t="s">
        <v>157</v>
      </c>
      <c r="H28" s="2" t="s">
        <v>158</v>
      </c>
      <c r="I28" s="2">
        <v>63</v>
      </c>
      <c r="J28" s="2">
        <v>0</v>
      </c>
      <c r="K28" s="2">
        <v>20</v>
      </c>
      <c r="L28" s="2"/>
      <c r="M28" s="2"/>
      <c r="N28" s="11"/>
      <c r="O28" s="2" t="s">
        <v>95</v>
      </c>
      <c r="P28" s="14" t="s">
        <v>214</v>
      </c>
      <c r="Q28" s="13" t="s">
        <v>207</v>
      </c>
      <c r="R28" s="188">
        <f t="shared" si="1"/>
        <v>31.558062419039977</v>
      </c>
      <c r="S28" s="8">
        <f t="shared" si="2"/>
        <v>5.6804512354271957</v>
      </c>
      <c r="T28" s="234">
        <f t="shared" si="0"/>
        <v>636.84169961622672</v>
      </c>
      <c r="U28" s="15">
        <v>25</v>
      </c>
      <c r="V28" s="8">
        <f t="shared" si="3"/>
        <v>4.5</v>
      </c>
      <c r="W28" s="233">
        <f t="shared" si="4"/>
        <v>621.5</v>
      </c>
      <c r="Z28" s="28">
        <f>SUMIF(C:C,"h1 &amp; h2 % split",S:S)</f>
        <v>18.039093090706636</v>
      </c>
      <c r="AA28" s="240">
        <f>SUM(AA26:AA27)</f>
        <v>3</v>
      </c>
      <c r="AB28" s="232">
        <f>SUM(Z28/AA28)</f>
        <v>6.0130310302355454</v>
      </c>
      <c r="AD28" s="221" t="s">
        <v>861</v>
      </c>
      <c r="AE28" s="30">
        <f>SUM(AA3,AA11,AA7,AA15,AA19,AA23,AA27,AA31,AA35)</f>
        <v>0</v>
      </c>
      <c r="AF28" s="31">
        <f>AE28/AE29</f>
        <v>0</v>
      </c>
      <c r="AH28" s="203">
        <f>SUMIF(C:C,"BETFAIR ANYOTHER",S:S)</f>
        <v>0</v>
      </c>
      <c r="AI28" s="240">
        <f>SUM(AI26:AI27)</f>
        <v>0</v>
      </c>
      <c r="AJ28" s="232" t="e">
        <f>SUM(AH28/AI28)</f>
        <v>#DIV/0!</v>
      </c>
    </row>
    <row r="29" spans="1:36" ht="15.75" thickBot="1">
      <c r="A29" s="156" cm="1">
        <f t="array" ref="A29">_xlfn.IFS(C29=$Z$42,$AA$42,C29=$Z$43,$AA$43,C29=$Z$44,$AA$44,C29=$Z$45,$AA$45,C29=$Z$46,$AA$46,C29=$Z$47,$AA$47,C29=$Z$48,$AA$48,C29=$Z$49,$AA$49,C29=$Z$50,$AA$50,C29=$Z$51,$AA$51,C29=$Z$52,$AA$52,C29=$Z$53,$AA$53,C29=$Z$54,$AA$54,C29=$Z$55,$AA$55,C29=$Z$56,$AA$56,C29=$Z$57,$AA$57,C29=$Z$58,$AA$58,C29=$Z$59,$AA$59,C29=$Z$60,$AA$60,C29=$Z$61,$AA$61,C29=$Z$62,$AA$62,TRUE,"0")</f>
        <v>1</v>
      </c>
      <c r="B29" s="161" t="str" cm="1">
        <f t="array" ref="B29">_xlfn.IFS(C29=$Z$42,$AD$42,C29=$Z$43,$AD$43,C29=$Z$44,$AD$44,C29=$Z$45,$AD$45,C29=$Z$46,$AD$46,C29=$Z$47,$AD$47,C29=$Z$48,$AD$48,C29=$Z$49,$AD$49,C29=$Z$50,$AD$50,C29=$Z$51,$AD$51,C29=$Z$52,$AD$52,C29=$Z$53,$AD$53,C29=$Z$54,$AD$54,C29=$Z$55,$AD$55,C29=$Z$56,$AD$56,C29=$Z$57,$AD$57,C29=$Z$58,$AD$58,C29=$Z$59,$AD$59,C29=$Z$60,$AD$60,C29=$Z$61,$AD$61,C29=$Z$62,$AD$62,TRUE,"0")</f>
        <v>h1 +0.5.  X @ 40M</v>
      </c>
      <c r="C29" s="163" t="s">
        <v>448</v>
      </c>
      <c r="D29" s="2" t="s">
        <v>77</v>
      </c>
      <c r="E29" s="2" t="s">
        <v>449</v>
      </c>
      <c r="F29" s="3">
        <v>45341.708333333336</v>
      </c>
      <c r="G29" s="2" t="s">
        <v>450</v>
      </c>
      <c r="H29" s="2" t="s">
        <v>451</v>
      </c>
      <c r="I29" s="2">
        <v>20</v>
      </c>
      <c r="J29" s="2">
        <v>10</v>
      </c>
      <c r="K29" s="2">
        <v>43</v>
      </c>
      <c r="L29" s="2">
        <v>6</v>
      </c>
      <c r="M29" s="2">
        <v>12</v>
      </c>
      <c r="N29" s="11">
        <v>8</v>
      </c>
      <c r="O29" s="2" t="s">
        <v>95</v>
      </c>
      <c r="P29" s="14" t="s">
        <v>193</v>
      </c>
      <c r="Q29" s="14" t="s">
        <v>193</v>
      </c>
      <c r="R29" s="188">
        <f t="shared" si="1"/>
        <v>31.842084980811336</v>
      </c>
      <c r="S29" s="8">
        <f t="shared" si="2"/>
        <v>5.7315752965460405</v>
      </c>
      <c r="T29" s="234">
        <f t="shared" si="0"/>
        <v>642.57327491277272</v>
      </c>
      <c r="U29" s="15">
        <v>25</v>
      </c>
      <c r="V29" s="8">
        <f t="shared" si="3"/>
        <v>4.5</v>
      </c>
      <c r="W29" s="233">
        <f t="shared" si="4"/>
        <v>626</v>
      </c>
      <c r="Z29" s="196">
        <f>SUMIF(C:C,"h1 &amp; h2 % split",V:V)</f>
        <v>13.5</v>
      </c>
      <c r="AD29" s="203">
        <f>SUM(Z4,Z8,Z12,Z16,Z20,Z24,Z28,Z32,Z36)</f>
        <v>143.53424934816763</v>
      </c>
      <c r="AE29" s="248">
        <f>SUM(AE27:AE28)</f>
        <v>24</v>
      </c>
      <c r="AF29" s="232">
        <f>SUM(AD29/AE29)</f>
        <v>5.9805937228403181</v>
      </c>
      <c r="AH29" s="204">
        <f>SUMIF(C:C,"BETFAIR ANYOTHER",V:V)</f>
        <v>0</v>
      </c>
      <c r="AJ29" s="207"/>
    </row>
    <row r="30" spans="1:36" ht="15.75" thickBot="1">
      <c r="A30" s="156" cm="1">
        <f t="array" ref="A30">_xlfn.IFS(C30=$Z$42,$AA$42,C30=$Z$43,$AA$43,C30=$Z$44,$AA$44,C30=$Z$45,$AA$45,C30=$Z$46,$AA$46,C30=$Z$47,$AA$47,C30=$Z$48,$AA$48,C30=$Z$49,$AA$49,C30=$Z$50,$AA$50,C30=$Z$51,$AA$51,C30=$Z$52,$AA$52,C30=$Z$53,$AA$53,C30=$Z$54,$AA$54,C30=$Z$55,$AA$55,C30=$Z$56,$AA$56,C30=$Z$57,$AA$57,C30=$Z$58,$AA$58,C30=$Z$59,$AA$59,C30=$Z$60,$AA$60,C30=$Z$61,$AA$61,C30=$Z$62,$AA$62,TRUE,"0")</f>
        <v>0.93333333333333335</v>
      </c>
      <c r="B30" s="161" t="str" cm="1">
        <f t="array" ref="B30">_xlfn.IFS(C30=$Z$42,$AD$42,C30=$Z$43,$AD$43,C30=$Z$44,$AD$44,C30=$Z$45,$AD$45,C30=$Z$46,$AD$46,C30=$Z$47,$AD$47,C30=$Z$48,$AD$48,C30=$Z$49,$AD$49,C30=$Z$50,$AD$50,C30=$Z$51,$AD$51,C30=$Z$52,$AD$52,C30=$Z$53,$AD$53,C30=$Z$54,$AD$54,C30=$Z$55,$AD$55,C30=$Z$56,$AD$56,C30=$Z$57,$AD$57,C30=$Z$58,$AD$58,C30=$Z$59,$AD$59,C30=$Z$60,$AD$60,C30=$Z$61,$AD$61,C30=$Z$62,$AD$62,TRUE,"0")</f>
        <v>B + 0.5 at 1.2+ or @ 40 mins</v>
      </c>
      <c r="C30" s="163" t="s">
        <v>270</v>
      </c>
      <c r="D30" s="2" t="s">
        <v>133</v>
      </c>
      <c r="E30" s="2" t="s">
        <v>78</v>
      </c>
      <c r="F30" s="3">
        <v>45298.541666666664</v>
      </c>
      <c r="G30" s="2" t="s">
        <v>134</v>
      </c>
      <c r="H30" s="2" t="s">
        <v>135</v>
      </c>
      <c r="I30" s="2">
        <v>59</v>
      </c>
      <c r="J30" s="2">
        <v>0</v>
      </c>
      <c r="K30" s="2">
        <v>20</v>
      </c>
      <c r="L30" s="2"/>
      <c r="M30" s="2"/>
      <c r="N30" s="11"/>
      <c r="O30" s="2" t="s">
        <v>95</v>
      </c>
      <c r="P30" s="13" t="s">
        <v>193</v>
      </c>
      <c r="Q30" s="13" t="s">
        <v>223</v>
      </c>
      <c r="R30" s="188">
        <f t="shared" si="1"/>
        <v>32.12866374563864</v>
      </c>
      <c r="S30" s="8">
        <f t="shared" si="2"/>
        <v>5.7831594742149548</v>
      </c>
      <c r="T30" s="234">
        <f t="shared" si="0"/>
        <v>648.35643438698764</v>
      </c>
      <c r="U30" s="15">
        <v>25</v>
      </c>
      <c r="V30" s="8">
        <f t="shared" si="3"/>
        <v>4.5</v>
      </c>
      <c r="W30" s="233">
        <f t="shared" si="4"/>
        <v>630.5</v>
      </c>
      <c r="Z30" s="219" t="s">
        <v>540</v>
      </c>
      <c r="AA30" s="217">
        <f>COUNTIFS(C:C,"H2 GOALS%",O:O,"WON")</f>
        <v>0</v>
      </c>
      <c r="AB30" s="149" t="e">
        <f>AA30/AA32</f>
        <v>#DIV/0!</v>
      </c>
      <c r="AD30" s="208">
        <f>SUM(Z5,Z9,Z13,Z17,Z21,Z25,Z29,Z33,Z37)</f>
        <v>108</v>
      </c>
      <c r="AE30" s="238"/>
      <c r="AF30" s="195"/>
      <c r="AH30" s="198" t="s">
        <v>860</v>
      </c>
      <c r="AI30" s="30">
        <f>SUM(AI18,AI22,AI26)</f>
        <v>1</v>
      </c>
      <c r="AJ30" s="151">
        <f>AI30/AI32</f>
        <v>1</v>
      </c>
    </row>
    <row r="31" spans="1:36" ht="15.75" thickBot="1">
      <c r="A31" s="156" cm="1">
        <f t="array" ref="A31">_xlfn.IFS(C31=$Z$42,$AA$42,C31=$Z$43,$AA$43,C31=$Z$44,$AA$44,C31=$Z$45,$AA$45,C31=$Z$46,$AA$46,C31=$Z$47,$AA$47,C31=$Z$48,$AA$48,C31=$Z$49,$AA$49,C31=$Z$50,$AA$50,C31=$Z$51,$AA$51,C31=$Z$52,$AA$52,C31=$Z$53,$AA$53,C31=$Z$54,$AA$54,C31=$Z$55,$AA$55,C31=$Z$56,$AA$56,C31=$Z$57,$AA$57,C31=$Z$58,$AA$58,C31=$Z$59,$AA$59,C31=$Z$60,$AA$60,C31=$Z$61,$AA$61,C31=$Z$62,$AA$62,TRUE,"0")</f>
        <v>0.95454545454545459</v>
      </c>
      <c r="B31" s="161" t="str" cm="1">
        <f t="array" ref="B31">_xlfn.IFS(C31=$Z$42,$AD$42,C31=$Z$43,$AD$43,C31=$Z$44,$AD$44,C31=$Z$45,$AD$45,C31=$Z$46,$AD$46,C31=$Z$47,$AD$47,C31=$Z$48,$AD$48,C31=$Z$49,$AD$49,C31=$Z$50,$AD$50,C31=$Z$51,$AD$51,C31=$Z$52,$AD$52,C31=$Z$53,$AD$53,C31=$Z$54,$AD$54,C31=$Z$55,$AD$55,C31=$Z$56,$AD$56,C31=$Z$57,$AD$57,C31=$Z$58,$AD$58,C31=$Z$59,$AD$59,C31=$Z$60,$AD$60,C31=$Z$61,$AD$61,C31=$Z$62,$AD$62,TRUE,"0")</f>
        <v>h2  +0.5 BET @ 40 MINS</v>
      </c>
      <c r="C31" s="163" t="s">
        <v>515</v>
      </c>
      <c r="D31" s="2" t="s">
        <v>592</v>
      </c>
      <c r="E31" s="2" t="s">
        <v>593</v>
      </c>
      <c r="F31" s="3">
        <v>45368.479166666664</v>
      </c>
      <c r="G31" s="2" t="s">
        <v>594</v>
      </c>
      <c r="H31" s="2" t="s">
        <v>595</v>
      </c>
      <c r="I31" s="2">
        <v>20</v>
      </c>
      <c r="J31" s="2">
        <v>71</v>
      </c>
      <c r="K31" s="2">
        <v>2.1</v>
      </c>
      <c r="L31" s="2"/>
      <c r="M31" s="2"/>
      <c r="N31" s="11"/>
      <c r="O31" s="2" t="s">
        <v>95</v>
      </c>
      <c r="P31" s="14" t="s">
        <v>194</v>
      </c>
      <c r="Q31" s="14" t="s">
        <v>197</v>
      </c>
      <c r="R31" s="188">
        <f t="shared" si="1"/>
        <v>32.417821719349384</v>
      </c>
      <c r="S31" s="8">
        <f t="shared" si="2"/>
        <v>5.8352079094828886</v>
      </c>
      <c r="T31" s="234">
        <f t="shared" si="0"/>
        <v>654.19164229647049</v>
      </c>
      <c r="U31" s="15">
        <v>25</v>
      </c>
      <c r="V31" s="8">
        <f t="shared" si="3"/>
        <v>4.5</v>
      </c>
      <c r="W31" s="233">
        <f t="shared" si="4"/>
        <v>635</v>
      </c>
      <c r="Z31" s="219" t="s">
        <v>540</v>
      </c>
      <c r="AA31" s="217">
        <f>COUNTIFS(C:C,"H2 GOALS%",O:O,"LOST")</f>
        <v>0</v>
      </c>
      <c r="AB31" s="18" t="e">
        <f>AA31/AA32</f>
        <v>#DIV/0!</v>
      </c>
      <c r="AD31" s="225" t="s">
        <v>270</v>
      </c>
      <c r="AE31" s="226">
        <f>COUNTIFS(C:C,"*ft 0-0 B",O:O, "won")</f>
        <v>14</v>
      </c>
      <c r="AF31" s="151">
        <f>AE31/AE33</f>
        <v>0.93333333333333335</v>
      </c>
      <c r="AH31" s="198" t="s">
        <v>860</v>
      </c>
      <c r="AI31" s="30">
        <f>SUM(AI19,AI23,AI27)</f>
        <v>0</v>
      </c>
      <c r="AJ31" s="31">
        <f>AI31/AI32</f>
        <v>0</v>
      </c>
    </row>
    <row r="32" spans="1:36" ht="15.75" thickBot="1">
      <c r="A32" s="156" cm="1">
        <f t="array" ref="A32">_xlfn.IFS(C32=$Z$42,$AA$42,C32=$Z$43,$AA$43,C32=$Z$44,$AA$44,C32=$Z$45,$AA$45,C32=$Z$46,$AA$46,C32=$Z$47,$AA$47,C32=$Z$48,$AA$48,C32=$Z$49,$AA$49,C32=$Z$50,$AA$50,C32=$Z$51,$AA$51,C32=$Z$52,$AA$52,C32=$Z$53,$AA$53,C32=$Z$54,$AA$54,C32=$Z$55,$AA$55,C32=$Z$56,$AA$56,C32=$Z$57,$AA$57,C32=$Z$58,$AA$58,C32=$Z$59,$AA$59,C32=$Z$60,$AA$60,C32=$Z$61,$AA$61,C32=$Z$62,$AA$62,TRUE,"0")</f>
        <v>1</v>
      </c>
      <c r="B32" s="161" t="str" cm="1">
        <f t="array" ref="B32">_xlfn.IFS(C32=$Z$42,$AD$42,C32=$Z$43,$AD$43,C32=$Z$44,$AD$44,C32=$Z$45,$AD$45,C32=$Z$46,$AD$46,C32=$Z$47,$AD$47,C32=$Z$48,$AD$48,C32=$Z$49,$AD$49,C32=$Z$50,$AD$50,C32=$Z$51,$AD$51,C32=$Z$52,$AD$52,C32=$Z$53,$AD$53,C32=$Z$54,$AD$54,C32=$Z$55,$AD$55,C32=$Z$56,$AD$56,C32=$Z$57,$AD$57,C32=$Z$58,$AD$58,C32=$Z$59,$AD$59,C32=$Z$60,$AD$60,C32=$Z$61,$AD$61,C32=$Z$62,$AD$62,TRUE,"0")</f>
        <v>h1 +0.5.  X @ 40M</v>
      </c>
      <c r="C32" s="163" t="s">
        <v>432</v>
      </c>
      <c r="D32" s="2" t="s">
        <v>48</v>
      </c>
      <c r="E32" s="2" t="s">
        <v>49</v>
      </c>
      <c r="F32" s="3">
        <v>45289.604166666664</v>
      </c>
      <c r="G32" s="2" t="s">
        <v>50</v>
      </c>
      <c r="H32" s="2" t="s">
        <v>51</v>
      </c>
      <c r="I32" s="2">
        <v>85</v>
      </c>
      <c r="J32" s="2">
        <v>25</v>
      </c>
      <c r="K32" s="2">
        <v>53</v>
      </c>
      <c r="L32" s="2"/>
      <c r="M32" s="2"/>
      <c r="N32" s="11"/>
      <c r="O32" s="2" t="s">
        <v>95</v>
      </c>
      <c r="P32" s="14" t="s">
        <v>216</v>
      </c>
      <c r="Q32" s="13" t="s">
        <v>216</v>
      </c>
      <c r="R32" s="188">
        <f t="shared" si="1"/>
        <v>32.709582114823526</v>
      </c>
      <c r="S32" s="8">
        <f t="shared" si="2"/>
        <v>5.8877247806682345</v>
      </c>
      <c r="T32" s="234">
        <f t="shared" si="0"/>
        <v>660.07936707713873</v>
      </c>
      <c r="U32" s="15">
        <v>25</v>
      </c>
      <c r="V32" s="8">
        <f t="shared" si="3"/>
        <v>4.5</v>
      </c>
      <c r="W32" s="233">
        <f t="shared" si="4"/>
        <v>639.5</v>
      </c>
      <c r="Z32" s="28">
        <f>SUMIF(C:C,"H2 goals%",S:S)</f>
        <v>0</v>
      </c>
      <c r="AA32" s="240">
        <f>SUM(AA30:AA31)</f>
        <v>0</v>
      </c>
      <c r="AB32" s="232" t="e">
        <f>SUM(Z32/AA32)</f>
        <v>#DIV/0!</v>
      </c>
      <c r="AD32" s="225" t="s">
        <v>270</v>
      </c>
      <c r="AE32" s="227">
        <f>COUNTIFS(C:C,"*ft 0-0 B",O:O, "lost")</f>
        <v>1</v>
      </c>
      <c r="AF32" s="31">
        <f>AE32/AE33</f>
        <v>6.6666666666666666E-2</v>
      </c>
      <c r="AH32" s="203">
        <f>SUM(AH24,AH28,AH20)</f>
        <v>4.7912703564543913</v>
      </c>
      <c r="AI32" s="248">
        <f>SUM(AI30:AI31)</f>
        <v>1</v>
      </c>
      <c r="AJ32" s="232">
        <f>SUM(AH32/AI32)</f>
        <v>4.7912703564543913</v>
      </c>
    </row>
    <row r="33" spans="1:36" ht="15.75" thickBot="1">
      <c r="A33" s="156" cm="1">
        <f t="array" ref="A33">_xlfn.IFS(C33=$Z$42,$AA$42,C33=$Z$43,$AA$43,C33=$Z$44,$AA$44,C33=$Z$45,$AA$45,C33=$Z$46,$AA$46,C33=$Z$47,$AA$47,C33=$Z$48,$AA$48,C33=$Z$49,$AA$49,C33=$Z$50,$AA$50,C33=$Z$51,$AA$51,C33=$Z$52,$AA$52,C33=$Z$53,$AA$53,C33=$Z$54,$AA$54,C33=$Z$55,$AA$55,C33=$Z$56,$AA$56,C33=$Z$57,$AA$57,C33=$Z$58,$AA$58,C33=$Z$59,$AA$59,C33=$Z$60,$AA$60,C33=$Z$61,$AA$61,C33=$Z$62,$AA$62,TRUE,"0")</f>
        <v>1</v>
      </c>
      <c r="B33" s="161" t="str" cm="1">
        <f t="array" ref="B33">_xlfn.IFS(C33=$Z$42,$AD$42,C33=$Z$43,$AD$43,C33=$Z$44,$AD$44,C33=$Z$45,$AD$45,C33=$Z$46,$AD$46,C33=$Z$47,$AD$47,C33=$Z$48,$AD$48,C33=$Z$49,$AD$49,C33=$Z$50,$AD$50,C33=$Z$51,$AD$51,C33=$Z$52,$AD$52,C33=$Z$53,$AD$53,C33=$Z$54,$AD$54,C33=$Z$55,$AD$55,C33=$Z$56,$AD$56,C33=$Z$57,$AD$57,C33=$Z$58,$AD$58,C33=$Z$59,$AD$59,C33=$Z$60,$AD$60,C33=$Z$61,$AD$61,C33=$Z$62,$AD$62,TRUE,"0")</f>
        <v>H1 &lt;2.5 - (x by ht(40)</v>
      </c>
      <c r="C33" s="164" t="s">
        <v>458</v>
      </c>
      <c r="D33" s="2" t="s">
        <v>564</v>
      </c>
      <c r="E33" s="2" t="s">
        <v>565</v>
      </c>
      <c r="F33" s="3">
        <v>45366.822916666664</v>
      </c>
      <c r="G33" s="2" t="s">
        <v>566</v>
      </c>
      <c r="H33" s="2" t="s">
        <v>567</v>
      </c>
      <c r="I33" s="2">
        <v>20</v>
      </c>
      <c r="J33" s="2">
        <v>80</v>
      </c>
      <c r="K33" s="2">
        <v>100</v>
      </c>
      <c r="L33" s="2">
        <v>40</v>
      </c>
      <c r="M33" s="2">
        <v>2.0499999999999998</v>
      </c>
      <c r="N33" s="11"/>
      <c r="O33" s="2" t="s">
        <v>95</v>
      </c>
      <c r="P33" s="14" t="s">
        <v>220</v>
      </c>
      <c r="Q33" s="14" t="s">
        <v>215</v>
      </c>
      <c r="R33" s="188">
        <f t="shared" si="1"/>
        <v>33.003968353856941</v>
      </c>
      <c r="S33" s="8">
        <f t="shared" si="2"/>
        <v>5.9407143036942491</v>
      </c>
      <c r="T33" s="234">
        <f t="shared" si="0"/>
        <v>666.02008138083295</v>
      </c>
      <c r="U33" s="15">
        <v>25</v>
      </c>
      <c r="V33" s="8">
        <f t="shared" si="3"/>
        <v>4.5</v>
      </c>
      <c r="W33" s="233">
        <f t="shared" si="4"/>
        <v>644</v>
      </c>
      <c r="Z33" s="196">
        <f>SUMIF(C:C,"H2 goals%",V:V)</f>
        <v>0</v>
      </c>
      <c r="AD33" s="203">
        <f>SUMIF(C:C,"*FT 0-0 B",S:S)</f>
        <v>46.945962048027909</v>
      </c>
      <c r="AE33" s="248">
        <f>SUM(AE31:AE32)</f>
        <v>15</v>
      </c>
      <c r="AF33" s="232">
        <f>SUM(AD33/AE33)</f>
        <v>3.1297308032018605</v>
      </c>
      <c r="AH33" s="208">
        <f>SUM(AH25,AH29,AH21)</f>
        <v>4.5</v>
      </c>
      <c r="AI33" s="251"/>
      <c r="AJ33" s="209"/>
    </row>
    <row r="34" spans="1:36" ht="15.75" thickBot="1">
      <c r="A34" s="156" cm="1">
        <f t="array" ref="A34">_xlfn.IFS(C34=$Z$42,$AA$42,C34=$Z$43,$AA$43,C34=$Z$44,$AA$44,C34=$Z$45,$AA$45,C34=$Z$46,$AA$46,C34=$Z$47,$AA$47,C34=$Z$48,$AA$48,C34=$Z$49,$AA$49,C34=$Z$50,$AA$50,C34=$Z$51,$AA$51,C34=$Z$52,$AA$52,C34=$Z$53,$AA$53,C34=$Z$54,$AA$54,C34=$Z$55,$AA$55,C34=$Z$56,$AA$56,C34=$Z$57,$AA$57,C34=$Z$58,$AA$58,C34=$Z$59,$AA$59,C34=$Z$60,$AA$60,C34=$Z$61,$AA$61,C34=$Z$62,$AA$62,TRUE,"0")</f>
        <v>1</v>
      </c>
      <c r="B34" s="161" t="str" cm="1">
        <f t="array" ref="B34">_xlfn.IFS(C34=$Z$42,$AD$42,C34=$Z$43,$AD$43,C34=$Z$44,$AD$44,C34=$Z$45,$AD$45,C34=$Z$46,$AD$46,C34=$Z$47,$AD$47,C34=$Z$48,$AD$48,C34=$Z$49,$AD$49,C34=$Z$50,$AD$50,C34=$Z$51,$AD$51,C34=$Z$52,$AD$52,C34=$Z$53,$AD$53,C34=$Z$54,$AD$54,C34=$Z$55,$AD$55,C34=$Z$56,$AD$56,C34=$Z$57,$AD$57,C34=$Z$58,$AD$58,C34=$Z$59,$AD$59,C34=$Z$60,$AD$60,C34=$Z$61,$AD$61,C34=$Z$62,$AD$62,TRUE,"0")</f>
        <v>20M 0-0 BACK +1.5 X AFTER GOAL</v>
      </c>
      <c r="C34" s="163" t="s">
        <v>474</v>
      </c>
      <c r="D34" s="2" t="s">
        <v>489</v>
      </c>
      <c r="E34" s="2" t="s">
        <v>490</v>
      </c>
      <c r="F34" s="3">
        <v>45355.708333333336</v>
      </c>
      <c r="G34" s="2" t="s">
        <v>491</v>
      </c>
      <c r="H34" s="2" t="s">
        <v>492</v>
      </c>
      <c r="I34" s="2">
        <v>54</v>
      </c>
      <c r="J34" s="2">
        <v>3.1</v>
      </c>
      <c r="K34" s="2">
        <v>20</v>
      </c>
      <c r="L34" s="2">
        <v>60</v>
      </c>
      <c r="M34" s="2">
        <v>90</v>
      </c>
      <c r="N34" s="11"/>
      <c r="O34" s="2" t="s">
        <v>95</v>
      </c>
      <c r="P34" s="14" t="s">
        <v>193</v>
      </c>
      <c r="Q34" s="14" t="s">
        <v>223</v>
      </c>
      <c r="R34" s="188">
        <f t="shared" si="1"/>
        <v>33.301004069041646</v>
      </c>
      <c r="S34" s="8">
        <f t="shared" si="2"/>
        <v>5.9941807324274965</v>
      </c>
      <c r="T34" s="234">
        <f t="shared" si="0"/>
        <v>672.01426211326043</v>
      </c>
      <c r="U34" s="15">
        <v>25</v>
      </c>
      <c r="V34" s="8">
        <f t="shared" si="3"/>
        <v>4.5</v>
      </c>
      <c r="W34" s="233">
        <f t="shared" si="4"/>
        <v>648.5</v>
      </c>
      <c r="Z34" s="220" t="s">
        <v>726</v>
      </c>
      <c r="AA34" s="217">
        <f>COUNTIFS(C:C,"0.5+ h2",O:O,"won")</f>
        <v>0</v>
      </c>
      <c r="AB34" s="23" t="e">
        <f>AA34/AA36</f>
        <v>#DIV/0!</v>
      </c>
      <c r="AD34" s="208">
        <f>SUMIF(C:C,"*FT 0-0 B",V:V)</f>
        <v>38</v>
      </c>
      <c r="AE34" s="238"/>
      <c r="AF34" s="195"/>
    </row>
    <row r="35" spans="1:36" ht="15.75" thickBot="1">
      <c r="A35" s="156" cm="1">
        <f t="array" ref="A35">_xlfn.IFS(C35=$Z$42,$AA$42,C35=$Z$43,$AA$43,C35=$Z$44,$AA$44,C35=$Z$45,$AA$45,C35=$Z$46,$AA$46,C35=$Z$47,$AA$47,C35=$Z$48,$AA$48,C35=$Z$49,$AA$49,C35=$Z$50,$AA$50,C35=$Z$51,$AA$51,C35=$Z$52,$AA$52,C35=$Z$53,$AA$53,C35=$Z$54,$AA$54,C35=$Z$55,$AA$55,C35=$Z$56,$AA$56,C35=$Z$57,$AA$57,C35=$Z$58,$AA$58,C35=$Z$59,$AA$59,C35=$Z$60,$AA$60,C35=$Z$61,$AA$61,C35=$Z$62,$AA$62,TRUE,"0")</f>
        <v>0.93333333333333335</v>
      </c>
      <c r="B35" s="161" t="str" cm="1">
        <f t="array" ref="B35">_xlfn.IFS(C35=$Z$42,$AD$42,C35=$Z$43,$AD$43,C35=$Z$44,$AD$44,C35=$Z$45,$AD$45,C35=$Z$46,$AD$46,C35=$Z$47,$AD$47,C35=$Z$48,$AD$48,C35=$Z$49,$AD$49,C35=$Z$50,$AD$50,C35=$Z$51,$AD$51,C35=$Z$52,$AD$52,C35=$Z$53,$AD$53,C35=$Z$54,$AD$54,C35=$Z$55,$AD$55,C35=$Z$56,$AD$56,C35=$Z$57,$AD$57,C35=$Z$58,$AD$58,C35=$Z$59,$AD$59,C35=$Z$60,$AD$60,C35=$Z$61,$AD$61,C35=$Z$62,$AD$62,TRUE,"0")</f>
        <v>B + 0.5 at 1.2+ or @ 40 mins</v>
      </c>
      <c r="C35" s="163" t="s">
        <v>270</v>
      </c>
      <c r="D35" s="2" t="s">
        <v>20</v>
      </c>
      <c r="E35" s="2" t="s">
        <v>21</v>
      </c>
      <c r="F35" s="3">
        <v>45289.729166666664</v>
      </c>
      <c r="G35" s="2" t="s">
        <v>22</v>
      </c>
      <c r="H35" s="2" t="s">
        <v>23</v>
      </c>
      <c r="I35" s="2">
        <v>63</v>
      </c>
      <c r="J35" s="2">
        <v>0</v>
      </c>
      <c r="K35" s="2">
        <v>20</v>
      </c>
      <c r="L35" s="2"/>
      <c r="M35" s="2"/>
      <c r="N35" s="11"/>
      <c r="O35" s="2" t="s">
        <v>96</v>
      </c>
      <c r="P35" s="13" t="s">
        <v>221</v>
      </c>
      <c r="Q35" s="13" t="s">
        <v>221</v>
      </c>
      <c r="R35" s="188">
        <f t="shared" si="1"/>
        <v>33.600713105663026</v>
      </c>
      <c r="S35" s="8">
        <f t="shared" si="2"/>
        <v>-33.600713105663026</v>
      </c>
      <c r="T35" s="234">
        <f t="shared" si="0"/>
        <v>638.41354900759745</v>
      </c>
      <c r="U35" s="15">
        <v>25</v>
      </c>
      <c r="V35" s="8">
        <f t="shared" si="3"/>
        <v>-25</v>
      </c>
      <c r="W35" s="233">
        <f t="shared" si="4"/>
        <v>623.5</v>
      </c>
      <c r="Z35" s="220" t="s">
        <v>726</v>
      </c>
      <c r="AA35" s="217">
        <f>COUNTIFS(C:C,"0.5+ h2",O:O,"LOST")</f>
        <v>0</v>
      </c>
      <c r="AB35" s="18" t="e">
        <f>AA35/AA36</f>
        <v>#DIV/0!</v>
      </c>
    </row>
    <row r="36" spans="1:36" ht="15.75" thickBot="1">
      <c r="A36" s="156" cm="1">
        <f t="array" ref="A36">_xlfn.IFS(C36=$Z$42,$AA$42,C36=$Z$43,$AA$43,C36=$Z$44,$AA$44,C36=$Z$45,$AA$45,C36=$Z$46,$AA$46,C36=$Z$47,$AA$47,C36=$Z$48,$AA$48,C36=$Z$49,$AA$49,C36=$Z$50,$AA$50,C36=$Z$51,$AA$51,C36=$Z$52,$AA$52,C36=$Z$53,$AA$53,C36=$Z$54,$AA$54,C36=$Z$55,$AA$55,C36=$Z$56,$AA$56,C36=$Z$57,$AA$57,C36=$Z$58,$AA$58,C36=$Z$59,$AA$59,C36=$Z$60,$AA$60,C36=$Z$61,$AA$61,C36=$Z$62,$AA$62,TRUE,"0")</f>
        <v>1</v>
      </c>
      <c r="B36" s="161" t="str" cm="1">
        <f t="array" ref="B36">_xlfn.IFS(C36=$Z$42,$AD$42,C36=$Z$43,$AD$43,C36=$Z$44,$AD$44,C36=$Z$45,$AD$45,C36=$Z$46,$AD$46,C36=$Z$47,$AD$47,C36=$Z$48,$AD$48,C36=$Z$49,$AD$49,C36=$Z$50,$AD$50,C36=$Z$51,$AD$51,C36=$Z$52,$AD$52,C36=$Z$53,$AD$53,C36=$Z$54,$AD$54,C36=$Z$55,$AD$55,C36=$Z$56,$AD$56,C36=$Z$57,$AD$57,C36=$Z$58,$AD$58,C36=$Z$59,$AD$59,C36=$Z$60,$AD$60,C36=$Z$61,$AD$61,C36=$Z$62,$AD$62,TRUE,"0")</f>
        <v>h1 +0.5.  X @ 40M</v>
      </c>
      <c r="C36" s="163" t="s">
        <v>432</v>
      </c>
      <c r="D36" s="2" t="s">
        <v>20</v>
      </c>
      <c r="E36" s="2" t="s">
        <v>322</v>
      </c>
      <c r="F36" s="3">
        <v>45317.8125</v>
      </c>
      <c r="G36" s="2" t="s">
        <v>333</v>
      </c>
      <c r="H36" s="2" t="s">
        <v>334</v>
      </c>
      <c r="I36" s="2">
        <v>80</v>
      </c>
      <c r="J36" s="2">
        <v>23</v>
      </c>
      <c r="K36" s="2">
        <v>47</v>
      </c>
      <c r="L36" s="2">
        <v>0.57999999999999996</v>
      </c>
      <c r="M36" s="2"/>
      <c r="N36" s="11"/>
      <c r="O36" s="2" t="s">
        <v>95</v>
      </c>
      <c r="P36" s="14" t="s">
        <v>214</v>
      </c>
      <c r="Q36" s="13" t="s">
        <v>216</v>
      </c>
      <c r="R36" s="188">
        <f t="shared" si="1"/>
        <v>31.920677450379873</v>
      </c>
      <c r="S36" s="8">
        <f t="shared" si="2"/>
        <v>5.7457219410683766</v>
      </c>
      <c r="T36" s="234">
        <f t="shared" si="0"/>
        <v>644.15927094866584</v>
      </c>
      <c r="U36" s="15">
        <v>25</v>
      </c>
      <c r="V36" s="8">
        <f t="shared" si="3"/>
        <v>4.5</v>
      </c>
      <c r="W36" s="233">
        <f t="shared" si="4"/>
        <v>628</v>
      </c>
      <c r="Z36" s="28">
        <f>SUMIF(C:C,"0.5+ h2",S:S)</f>
        <v>0</v>
      </c>
      <c r="AA36" s="240">
        <f>SUM(AA34:AA35)</f>
        <v>0</v>
      </c>
      <c r="AB36" s="232" t="e">
        <f>SUM(Z36/AA36)</f>
        <v>#DIV/0!</v>
      </c>
    </row>
    <row r="37" spans="1:36" ht="15.75" thickBot="1">
      <c r="A37" s="156" cm="1">
        <f t="array" ref="A37">_xlfn.IFS(C37=$Z$42,$AA$42,C37=$Z$43,$AA$43,C37=$Z$44,$AA$44,C37=$Z$45,$AA$45,C37=$Z$46,$AA$46,C37=$Z$47,$AA$47,C37=$Z$48,$AA$48,C37=$Z$49,$AA$49,C37=$Z$50,$AA$50,C37=$Z$51,$AA$51,C37=$Z$52,$AA$52,C37=$Z$53,$AA$53,C37=$Z$54,$AA$54,C37=$Z$55,$AA$55,C37=$Z$56,$AA$56,C37=$Z$57,$AA$57,C37=$Z$58,$AA$58,C37=$Z$59,$AA$59,C37=$Z$60,$AA$60,C37=$Z$61,$AA$61,C37=$Z$62,$AA$62,TRUE,"0")</f>
        <v>1</v>
      </c>
      <c r="B37" s="161" t="str" cm="1">
        <f t="array" ref="B37">_xlfn.IFS(C37=$Z$42,$AD$42,C37=$Z$43,$AD$43,C37=$Z$44,$AD$44,C37=$Z$45,$AD$45,C37=$Z$46,$AD$46,C37=$Z$47,$AD$47,C37=$Z$48,$AD$48,C37=$Z$49,$AD$49,C37=$Z$50,$AD$50,C37=$Z$51,$AD$51,C37=$Z$52,$AD$52,C37=$Z$53,$AD$53,C37=$Z$54,$AD$54,C37=$Z$55,$AD$55,C37=$Z$56,$AD$56,C37=$Z$57,$AD$57,C37=$Z$58,$AD$58,C37=$Z$59,$AD$59,C37=$Z$60,$AD$60,C37=$Z$61,$AD$61,C37=$Z$62,$AD$62,TRUE,"0")</f>
        <v>H1 &lt;2.5 - (x by ht(40)</v>
      </c>
      <c r="C37" s="164" t="s">
        <v>458</v>
      </c>
      <c r="D37" s="2" t="s">
        <v>572</v>
      </c>
      <c r="E37" s="2" t="s">
        <v>670</v>
      </c>
      <c r="F37" s="3">
        <v>45385.458333333336</v>
      </c>
      <c r="G37" s="2" t="s">
        <v>671</v>
      </c>
      <c r="H37" s="2" t="s">
        <v>672</v>
      </c>
      <c r="I37" s="2">
        <v>20</v>
      </c>
      <c r="J37" s="2">
        <v>85</v>
      </c>
      <c r="K37" s="2">
        <v>95</v>
      </c>
      <c r="L37" s="2">
        <v>36</v>
      </c>
      <c r="M37" s="2">
        <v>1.75</v>
      </c>
      <c r="N37" s="11"/>
      <c r="O37" s="2" t="s">
        <v>95</v>
      </c>
      <c r="P37" s="14" t="s">
        <v>216</v>
      </c>
      <c r="Q37" s="14" t="s">
        <v>216</v>
      </c>
      <c r="R37" s="188">
        <f t="shared" si="1"/>
        <v>32.207963547433295</v>
      </c>
      <c r="S37" s="8">
        <f t="shared" si="2"/>
        <v>5.7974334385379924</v>
      </c>
      <c r="T37" s="234">
        <f t="shared" si="0"/>
        <v>649.95670438720379</v>
      </c>
      <c r="U37" s="15">
        <v>25</v>
      </c>
      <c r="V37" s="8">
        <f t="shared" si="3"/>
        <v>4.5</v>
      </c>
      <c r="W37" s="233">
        <f t="shared" si="4"/>
        <v>632.5</v>
      </c>
      <c r="Z37" s="196">
        <f>SUMIF(C:C,"0.5+ h2",V:V)</f>
        <v>0</v>
      </c>
    </row>
    <row r="38" spans="1:36" ht="15.75" thickBot="1">
      <c r="A38" s="156" cm="1">
        <f t="array" ref="A38">_xlfn.IFS(C38=$Z$42,$AA$42,C38=$Z$43,$AA$43,C38=$Z$44,$AA$44,C38=$Z$45,$AA$45,C38=$Z$46,$AA$46,C38=$Z$47,$AA$47,C38=$Z$48,$AA$48,C38=$Z$49,$AA$49,C38=$Z$50,$AA$50,C38=$Z$51,$AA$51,C38=$Z$52,$AA$52,C38=$Z$53,$AA$53,C38=$Z$54,$AA$54,C38=$Z$55,$AA$55,C38=$Z$56,$AA$56,C38=$Z$57,$AA$57,C38=$Z$58,$AA$58,C38=$Z$59,$AA$59,C38=$Z$60,$AA$60,C38=$Z$61,$AA$61,C38=$Z$62,$AA$62,TRUE,"0")</f>
        <v>1</v>
      </c>
      <c r="B38" s="161" t="str" cm="1">
        <f t="array" ref="B38">_xlfn.IFS(C38=$Z$42,$AD$42,C38=$Z$43,$AD$43,C38=$Z$44,$AD$44,C38=$Z$45,$AD$45,C38=$Z$46,$AD$46,C38=$Z$47,$AD$47,C38=$Z$48,$AD$48,C38=$Z$49,$AD$49,C38=$Z$50,$AD$50,C38=$Z$51,$AD$51,C38=$Z$52,$AD$52,C38=$Z$53,$AD$53,C38=$Z$54,$AD$54,C38=$Z$55,$AD$55,C38=$Z$56,$AD$56,C38=$Z$57,$AD$57,C38=$Z$58,$AD$58,C38=$Z$59,$AD$59,C38=$Z$60,$AD$60,C38=$Z$61,$AD$61,C38=$Z$62,$AD$62,TRUE,"0")</f>
        <v>H1 &lt;2.5 - (x by ht(40)</v>
      </c>
      <c r="C38" s="164" t="s">
        <v>458</v>
      </c>
      <c r="D38" s="2" t="s">
        <v>586</v>
      </c>
      <c r="E38" s="2" t="s">
        <v>62</v>
      </c>
      <c r="F38" s="3">
        <v>45367.635416666664</v>
      </c>
      <c r="G38" s="2" t="s">
        <v>587</v>
      </c>
      <c r="H38" s="2" t="s">
        <v>588</v>
      </c>
      <c r="I38" s="2">
        <v>20</v>
      </c>
      <c r="J38" s="2">
        <v>80</v>
      </c>
      <c r="K38" s="2">
        <v>95</v>
      </c>
      <c r="L38" s="2">
        <v>38</v>
      </c>
      <c r="M38" s="2">
        <v>1.7</v>
      </c>
      <c r="N38" s="11"/>
      <c r="O38" s="2" t="s">
        <v>95</v>
      </c>
      <c r="P38" s="14" t="s">
        <v>214</v>
      </c>
      <c r="Q38" s="14" t="s">
        <v>220</v>
      </c>
      <c r="R38" s="188">
        <f t="shared" si="1"/>
        <v>32.497835219360191</v>
      </c>
      <c r="S38" s="8">
        <f t="shared" si="2"/>
        <v>5.8496103394848342</v>
      </c>
      <c r="T38" s="234">
        <f t="shared" si="0"/>
        <v>655.80631472668858</v>
      </c>
      <c r="U38" s="15">
        <v>25</v>
      </c>
      <c r="V38" s="8">
        <f t="shared" si="3"/>
        <v>4.5</v>
      </c>
      <c r="W38" s="233">
        <f t="shared" si="4"/>
        <v>637</v>
      </c>
      <c r="AA38" s="17"/>
      <c r="AB38" s="23"/>
    </row>
    <row r="39" spans="1:36" ht="15.75" thickBot="1">
      <c r="A39" s="156" cm="1">
        <f t="array" ref="A39">_xlfn.IFS(C39=$Z$42,$AA$42,C39=$Z$43,$AA$43,C39=$Z$44,$AA$44,C39=$Z$45,$AA$45,C39=$Z$46,$AA$46,C39=$Z$47,$AA$47,C39=$Z$48,$AA$48,C39=$Z$49,$AA$49,C39=$Z$50,$AA$50,C39=$Z$51,$AA$51,C39=$Z$52,$AA$52,C39=$Z$53,$AA$53,C39=$Z$54,$AA$54,C39=$Z$55,$AA$55,C39=$Z$56,$AA$56,C39=$Z$57,$AA$57,C39=$Z$58,$AA$58,C39=$Z$59,$AA$59,C39=$Z$60,$AA$60,C39=$Z$61,$AA$61,C39=$Z$62,$AA$62,TRUE,"0")</f>
        <v>1</v>
      </c>
      <c r="B39" s="161" t="str" cm="1">
        <f t="array" ref="B39">_xlfn.IFS(C39=$Z$42,$AD$42,C39=$Z$43,$AD$43,C39=$Z$44,$AD$44,C39=$Z$45,$AD$45,C39=$Z$46,$AD$46,C39=$Z$47,$AD$47,C39=$Z$48,$AD$48,C39=$Z$49,$AD$49,C39=$Z$50,$AD$50,C39=$Z$51,$AD$51,C39=$Z$52,$AD$52,C39=$Z$53,$AD$53,C39=$Z$54,$AD$54,C39=$Z$55,$AD$55,C39=$Z$56,$AD$56,C39=$Z$57,$AD$57,C39=$Z$58,$AD$58,C39=$Z$59,$AD$59,C39=$Z$60,$AD$60,C39=$Z$61,$AD$61,C39=$Z$62,$AD$62,TRUE,"0")</f>
        <v>h2  +0.5 BET @ 40 MINS</v>
      </c>
      <c r="C39" s="163" t="s">
        <v>28</v>
      </c>
      <c r="D39" s="2" t="s">
        <v>159</v>
      </c>
      <c r="E39" s="2" t="s">
        <v>228</v>
      </c>
      <c r="F39" s="3">
        <v>45309.128472222219</v>
      </c>
      <c r="G39" s="2" t="s">
        <v>229</v>
      </c>
      <c r="H39" s="2" t="s">
        <v>230</v>
      </c>
      <c r="I39" s="2">
        <v>2.2999999999999998</v>
      </c>
      <c r="J39" s="2">
        <v>5.07</v>
      </c>
      <c r="K39" s="2">
        <v>63</v>
      </c>
      <c r="L39" s="2">
        <v>0</v>
      </c>
      <c r="M39" s="2">
        <v>20</v>
      </c>
      <c r="N39" s="11"/>
      <c r="O39" s="2" t="s">
        <v>95</v>
      </c>
      <c r="P39" s="14" t="s">
        <v>221</v>
      </c>
      <c r="Q39" s="13" t="s">
        <v>216</v>
      </c>
      <c r="R39" s="188">
        <f t="shared" si="1"/>
        <v>32.790315736334428</v>
      </c>
      <c r="S39" s="8">
        <f t="shared" si="2"/>
        <v>5.9022568325401972</v>
      </c>
      <c r="T39" s="234">
        <f t="shared" si="0"/>
        <v>661.70857155922874</v>
      </c>
      <c r="U39" s="15">
        <v>25</v>
      </c>
      <c r="V39" s="8">
        <f t="shared" si="3"/>
        <v>4.5</v>
      </c>
      <c r="W39" s="233">
        <f t="shared" si="4"/>
        <v>641.5</v>
      </c>
      <c r="AA39" s="17"/>
      <c r="AB39" s="18"/>
    </row>
    <row r="40" spans="1:36" ht="15.75" thickBot="1">
      <c r="A40" s="156" cm="1">
        <f t="array" ref="A40">_xlfn.IFS(C40=$Z$42,$AA$42,C40=$Z$43,$AA$43,C40=$Z$44,$AA$44,C40=$Z$45,$AA$45,C40=$Z$46,$AA$46,C40=$Z$47,$AA$47,C40=$Z$48,$AA$48,C40=$Z$49,$AA$49,C40=$Z$50,$AA$50,C40=$Z$51,$AA$51,C40=$Z$52,$AA$52,C40=$Z$53,$AA$53,C40=$Z$54,$AA$54,C40=$Z$55,$AA$55,C40=$Z$56,$AA$56,C40=$Z$57,$AA$57,C40=$Z$58,$AA$58,C40=$Z$59,$AA$59,C40=$Z$60,$AA$60,C40=$Z$61,$AA$61,C40=$Z$62,$AA$62,TRUE,"0")</f>
        <v>0.93333333333333335</v>
      </c>
      <c r="B40" s="161" t="str" cm="1">
        <f t="array" ref="B40">_xlfn.IFS(C40=$Z$42,$AD$42,C40=$Z$43,$AD$43,C40=$Z$44,$AD$44,C40=$Z$45,$AD$45,C40=$Z$46,$AD$46,C40=$Z$47,$AD$47,C40=$Z$48,$AD$48,C40=$Z$49,$AD$49,C40=$Z$50,$AD$50,C40=$Z$51,$AD$51,C40=$Z$52,$AD$52,C40=$Z$53,$AD$53,C40=$Z$54,$AD$54,C40=$Z$55,$AD$55,C40=$Z$56,$AD$56,C40=$Z$57,$AD$57,C40=$Z$58,$AD$58,C40=$Z$59,$AD$59,C40=$Z$60,$AD$60,C40=$Z$61,$AD$61,C40=$Z$62,$AD$62,TRUE,"0")</f>
        <v>B + 0.5 at 1.2+ or @ 40 mins</v>
      </c>
      <c r="C40" s="163" t="s">
        <v>270</v>
      </c>
      <c r="D40" s="2" t="s">
        <v>159</v>
      </c>
      <c r="E40" s="2" t="s">
        <v>750</v>
      </c>
      <c r="F40" s="3">
        <v>45402.083333333336</v>
      </c>
      <c r="G40" s="2" t="s">
        <v>751</v>
      </c>
      <c r="H40" s="2" t="s">
        <v>752</v>
      </c>
      <c r="I40" s="2">
        <v>59</v>
      </c>
      <c r="J40" s="2">
        <v>0</v>
      </c>
      <c r="K40" s="2">
        <v>20</v>
      </c>
      <c r="L40" s="2">
        <v>38</v>
      </c>
      <c r="M40" s="2">
        <v>2.16</v>
      </c>
      <c r="N40" s="11"/>
      <c r="O40" s="2" t="s">
        <v>95</v>
      </c>
      <c r="P40" s="14" t="s">
        <v>221</v>
      </c>
      <c r="Q40" s="14" t="s">
        <v>217</v>
      </c>
      <c r="R40" s="188">
        <f t="shared" si="1"/>
        <v>33.085428577961437</v>
      </c>
      <c r="S40" s="8">
        <f t="shared" si="2"/>
        <v>5.9553771440330587</v>
      </c>
      <c r="T40" s="234">
        <f t="shared" si="0"/>
        <v>667.66394870326178</v>
      </c>
      <c r="U40" s="15">
        <v>25</v>
      </c>
      <c r="V40" s="8">
        <f t="shared" si="3"/>
        <v>4.5</v>
      </c>
      <c r="W40" s="233">
        <f t="shared" si="4"/>
        <v>646</v>
      </c>
      <c r="Z40" s="22"/>
      <c r="AA40" s="240"/>
      <c r="AB40" s="20"/>
    </row>
    <row r="41" spans="1:36" ht="15.75" thickBot="1">
      <c r="A41" s="156" cm="1">
        <f t="array" ref="A41">_xlfn.IFS(C41=$Z$42,$AA$42,C41=$Z$43,$AA$43,C41=$Z$44,$AA$44,C41=$Z$45,$AA$45,C41=$Z$46,$AA$46,C41=$Z$47,$AA$47,C41=$Z$48,$AA$48,C41=$Z$49,$AA$49,C41=$Z$50,$AA$50,C41=$Z$51,$AA$51,C41=$Z$52,$AA$52,C41=$Z$53,$AA$53,C41=$Z$54,$AA$54,C41=$Z$55,$AA$55,C41=$Z$56,$AA$56,C41=$Z$57,$AA$57,C41=$Z$58,$AA$58,C41=$Z$59,$AA$59,C41=$Z$60,$AA$60,C41=$Z$61,$AA$61,C41=$Z$62,$AA$62,TRUE,"0")</f>
        <v>0.93333333333333335</v>
      </c>
      <c r="B41" s="161" t="str" cm="1">
        <f t="array" ref="B41">_xlfn.IFS(C41=$Z$42,$AD$42,C41=$Z$43,$AD$43,C41=$Z$44,$AD$44,C41=$Z$45,$AD$45,C41=$Z$46,$AD$46,C41=$Z$47,$AD$47,C41=$Z$48,$AD$48,C41=$Z$49,$AD$49,C41=$Z$50,$AD$50,C41=$Z$51,$AD$51,C41=$Z$52,$AD$52,C41=$Z$53,$AD$53,C41=$Z$54,$AD$54,C41=$Z$55,$AD$55,C41=$Z$56,$AD$56,C41=$Z$57,$AD$57,C41=$Z$58,$AD$58,C41=$Z$59,$AD$59,C41=$Z$60,$AD$60,C41=$Z$61,$AD$61,C41=$Z$62,$AD$62,TRUE,"0")</f>
        <v>B + 0.5 at 1.2+ or @ 40 mins</v>
      </c>
      <c r="C41" s="163" t="s">
        <v>270</v>
      </c>
      <c r="D41" s="2" t="s">
        <v>149</v>
      </c>
      <c r="E41" s="2" t="s">
        <v>150</v>
      </c>
      <c r="F41" s="3">
        <v>45303.791666666664</v>
      </c>
      <c r="G41" s="2" t="s">
        <v>151</v>
      </c>
      <c r="H41" s="2" t="s">
        <v>152</v>
      </c>
      <c r="I41" s="2">
        <v>59</v>
      </c>
      <c r="J41" s="2">
        <v>0</v>
      </c>
      <c r="K41" s="2">
        <v>20</v>
      </c>
      <c r="L41" s="2"/>
      <c r="M41" s="2"/>
      <c r="N41" s="11"/>
      <c r="O41" s="2" t="s">
        <v>95</v>
      </c>
      <c r="P41" s="14" t="s">
        <v>207</v>
      </c>
      <c r="Q41" s="13" t="s">
        <v>208</v>
      </c>
      <c r="R41" s="188">
        <f t="shared" si="1"/>
        <v>33.38319743516309</v>
      </c>
      <c r="S41" s="8">
        <f t="shared" si="2"/>
        <v>6.0089755383293557</v>
      </c>
      <c r="T41" s="234">
        <f t="shared" si="0"/>
        <v>673.67292424159109</v>
      </c>
      <c r="U41" s="15">
        <v>25</v>
      </c>
      <c r="V41" s="8">
        <f t="shared" si="3"/>
        <v>4.5</v>
      </c>
      <c r="W41" s="233">
        <f t="shared" si="4"/>
        <v>650.5</v>
      </c>
    </row>
    <row r="42" spans="1:36" ht="15.75" thickBot="1">
      <c r="A42" s="156" cm="1">
        <f t="array" ref="A42">_xlfn.IFS(C42=$Z$42,$AA$42,C42=$Z$43,$AA$43,C42=$Z$44,$AA$44,C42=$Z$45,$AA$45,C42=$Z$46,$AA$46,C42=$Z$47,$AA$47,C42=$Z$48,$AA$48,C42=$Z$49,$AA$49,C42=$Z$50,$AA$50,C42=$Z$51,$AA$51,C42=$Z$52,$AA$52,C42=$Z$53,$AA$53,C42=$Z$54,$AA$54,C42=$Z$55,$AA$55,C42=$Z$56,$AA$56,C42=$Z$57,$AA$57,C42=$Z$58,$AA$58,C42=$Z$59,$AA$59,C42=$Z$60,$AA$60,C42=$Z$61,$AA$61,C42=$Z$62,$AA$62,TRUE,"0")</f>
        <v>0.93333333333333335</v>
      </c>
      <c r="B42" s="161" t="str" cm="1">
        <f t="array" ref="B42">_xlfn.IFS(C42=$Z$42,$AD$42,C42=$Z$43,$AD$43,C42=$Z$44,$AD$44,C42=$Z$45,$AD$45,C42=$Z$46,$AD$46,C42=$Z$47,$AD$47,C42=$Z$48,$AD$48,C42=$Z$49,$AD$49,C42=$Z$50,$AD$50,C42=$Z$51,$AD$51,C42=$Z$52,$AD$52,C42=$Z$53,$AD$53,C42=$Z$54,$AD$54,C42=$Z$55,$AD$55,C42=$Z$56,$AD$56,C42=$Z$57,$AD$57,C42=$Z$58,$AD$58,C42=$Z$59,$AD$59,C42=$Z$60,$AD$60,C42=$Z$61,$AD$61,C42=$Z$62,$AD$62,TRUE,"0")</f>
        <v>B + 0.5 at 1.2+ or @ 40 mins</v>
      </c>
      <c r="C42" s="163" t="s">
        <v>270</v>
      </c>
      <c r="D42" s="2" t="s">
        <v>149</v>
      </c>
      <c r="E42" s="2" t="s">
        <v>153</v>
      </c>
      <c r="F42" s="3">
        <v>45303.791666666664</v>
      </c>
      <c r="G42" s="2" t="s">
        <v>154</v>
      </c>
      <c r="H42" s="2" t="s">
        <v>155</v>
      </c>
      <c r="I42" s="2">
        <v>60</v>
      </c>
      <c r="J42" s="2">
        <v>0</v>
      </c>
      <c r="K42" s="2">
        <v>20</v>
      </c>
      <c r="L42" s="2"/>
      <c r="M42" s="2"/>
      <c r="N42" s="11"/>
      <c r="O42" s="2" t="s">
        <v>95</v>
      </c>
      <c r="P42" s="14" t="s">
        <v>193</v>
      </c>
      <c r="Q42" s="13" t="s">
        <v>223</v>
      </c>
      <c r="R42" s="188">
        <f t="shared" si="1"/>
        <v>33.683646212079559</v>
      </c>
      <c r="S42" s="8">
        <f t="shared" si="2"/>
        <v>6.0630563181743202</v>
      </c>
      <c r="T42" s="234">
        <f t="shared" si="0"/>
        <v>679.73598055976538</v>
      </c>
      <c r="U42" s="15">
        <v>25</v>
      </c>
      <c r="V42" s="8">
        <f t="shared" si="3"/>
        <v>4.5</v>
      </c>
      <c r="W42" s="233">
        <f t="shared" si="4"/>
        <v>655</v>
      </c>
      <c r="X42">
        <v>70</v>
      </c>
      <c r="Y42" s="35">
        <v>1.43</v>
      </c>
      <c r="Z42" s="2" t="s">
        <v>28</v>
      </c>
      <c r="AA42" s="148">
        <f>AB2</f>
        <v>1</v>
      </c>
      <c r="AD42" s="16" t="s">
        <v>839</v>
      </c>
    </row>
    <row r="43" spans="1:36" ht="15.75" thickBot="1">
      <c r="A43" s="156" cm="1">
        <f t="array" ref="A43">_xlfn.IFS(C43=$Z$42,$AA$42,C43=$Z$43,$AA$43,C43=$Z$44,$AA$44,C43=$Z$45,$AA$45,C43=$Z$46,$AA$46,C43=$Z$47,$AA$47,C43=$Z$48,$AA$48,C43=$Z$49,$AA$49,C43=$Z$50,$AA$50,C43=$Z$51,$AA$51,C43=$Z$52,$AA$52,C43=$Z$53,$AA$53,C43=$Z$54,$AA$54,C43=$Z$55,$AA$55,C43=$Z$56,$AA$56,C43=$Z$57,$AA$57,C43=$Z$58,$AA$58,C43=$Z$59,$AA$59,C43=$Z$60,$AA$60,C43=$Z$61,$AA$61,C43=$Z$62,$AA$62,TRUE,"0")</f>
        <v>1</v>
      </c>
      <c r="B43" s="161" t="str" cm="1">
        <f t="array" ref="B43">_xlfn.IFS(C43=$Z$42,$AD$42,C43=$Z$43,$AD$43,C43=$Z$44,$AD$44,C43=$Z$45,$AD$45,C43=$Z$46,$AD$46,C43=$Z$47,$AD$47,C43=$Z$48,$AD$48,C43=$Z$49,$AD$49,C43=$Z$50,$AD$50,C43=$Z$51,$AD$51,C43=$Z$52,$AD$52,C43=$Z$53,$AD$53,C43=$Z$54,$AD$54,C43=$Z$55,$AD$55,C43=$Z$56,$AD$56,C43=$Z$57,$AD$57,C43=$Z$58,$AD$58,C43=$Z$59,$AD$59,C43=$Z$60,$AD$60,C43=$Z$61,$AD$61,C43=$Z$62,$AD$62,TRUE,"0")</f>
        <v>h2  +0.5 BET @ 40 MINS</v>
      </c>
      <c r="C43" s="163" t="s">
        <v>28</v>
      </c>
      <c r="D43" s="2" t="s">
        <v>31</v>
      </c>
      <c r="E43" s="2" t="s">
        <v>32</v>
      </c>
      <c r="F43" s="3">
        <v>45290.625</v>
      </c>
      <c r="G43" s="2" t="s">
        <v>33</v>
      </c>
      <c r="H43" s="2" t="s">
        <v>34</v>
      </c>
      <c r="I43" s="2">
        <v>1.9</v>
      </c>
      <c r="J43" s="2">
        <v>4.3899999999999997</v>
      </c>
      <c r="K43" s="2">
        <v>64</v>
      </c>
      <c r="L43" s="2">
        <v>0</v>
      </c>
      <c r="M43" s="2">
        <v>20</v>
      </c>
      <c r="N43" s="11"/>
      <c r="O43" s="2" t="s">
        <v>95</v>
      </c>
      <c r="P43" s="14" t="s">
        <v>221</v>
      </c>
      <c r="Q43" s="13" t="s">
        <v>220</v>
      </c>
      <c r="R43" s="188">
        <f t="shared" si="1"/>
        <v>33.986799027988269</v>
      </c>
      <c r="S43" s="8">
        <f t="shared" si="2"/>
        <v>6.1176238250378878</v>
      </c>
      <c r="T43" s="234">
        <f t="shared" si="0"/>
        <v>685.85360438480325</v>
      </c>
      <c r="U43" s="15">
        <v>25</v>
      </c>
      <c r="V43" s="8">
        <f t="shared" si="3"/>
        <v>4.5</v>
      </c>
      <c r="W43" s="233">
        <f t="shared" si="4"/>
        <v>659.5</v>
      </c>
      <c r="X43">
        <v>72</v>
      </c>
      <c r="Y43" s="35">
        <v>1.39</v>
      </c>
      <c r="Z43" s="2" t="s">
        <v>35</v>
      </c>
      <c r="AA43" s="241">
        <f>AB6</f>
        <v>1</v>
      </c>
      <c r="AD43" s="16" t="s">
        <v>839</v>
      </c>
    </row>
    <row r="44" spans="1:36" ht="15.75" thickBot="1">
      <c r="A44" s="156" cm="1">
        <f t="array" ref="A44">_xlfn.IFS(C44=$Z$42,$AA$42,C44=$Z$43,$AA$43,C44=$Z$44,$AA$44,C44=$Z$45,$AA$45,C44=$Z$46,$AA$46,C44=$Z$47,$AA$47,C44=$Z$48,$AA$48,C44=$Z$49,$AA$49,C44=$Z$50,$AA$50,C44=$Z$51,$AA$51,C44=$Z$52,$AA$52,C44=$Z$53,$AA$53,C44=$Z$54,$AA$54,C44=$Z$55,$AA$55,C44=$Z$56,$AA$56,C44=$Z$57,$AA$57,C44=$Z$58,$AA$58,C44=$Z$59,$AA$59,C44=$Z$60,$AA$60,C44=$Z$61,$AA$61,C44=$Z$62,$AA$62,TRUE,"0")</f>
        <v>1</v>
      </c>
      <c r="B44" s="161" t="str" cm="1">
        <f t="array" ref="B44">_xlfn.IFS(C44=$Z$42,$AD$42,C44=$Z$43,$AD$43,C44=$Z$44,$AD$44,C44=$Z$45,$AD$45,C44=$Z$46,$AD$46,C44=$Z$47,$AD$47,C44=$Z$48,$AD$48,C44=$Z$49,$AD$49,C44=$Z$50,$AD$50,C44=$Z$51,$AD$51,C44=$Z$52,$AD$52,C44=$Z$53,$AD$53,C44=$Z$54,$AD$54,C44=$Z$55,$AD$55,C44=$Z$56,$AD$56,C44=$Z$57,$AD$57,C44=$Z$58,$AD$58,C44=$Z$59,$AD$59,C44=$Z$60,$AD$60,C44=$Z$61,$AD$61,C44=$Z$62,$AD$62,TRUE,"0")</f>
        <v>15 M 0-0 BACK +1.5 X AFTER GOAL</v>
      </c>
      <c r="C44" s="163" t="s">
        <v>473</v>
      </c>
      <c r="D44" s="2" t="s">
        <v>640</v>
      </c>
      <c r="E44" s="2" t="s">
        <v>641</v>
      </c>
      <c r="F44" s="3">
        <v>45383.5625</v>
      </c>
      <c r="G44" s="2" t="s">
        <v>642</v>
      </c>
      <c r="H44" s="2" t="s">
        <v>643</v>
      </c>
      <c r="I44" s="2">
        <v>66</v>
      </c>
      <c r="J44" s="2">
        <v>90</v>
      </c>
      <c r="K44" s="2">
        <v>20</v>
      </c>
      <c r="L44" s="2">
        <v>3.65</v>
      </c>
      <c r="M44" s="2"/>
      <c r="N44" s="11"/>
      <c r="O44" s="2" t="s">
        <v>95</v>
      </c>
      <c r="P44" s="14" t="s">
        <v>221</v>
      </c>
      <c r="Q44" s="14" t="s">
        <v>217</v>
      </c>
      <c r="R44" s="188">
        <f t="shared" si="1"/>
        <v>34.292680219240161</v>
      </c>
      <c r="S44" s="8">
        <f t="shared" si="2"/>
        <v>6.1726824394632285</v>
      </c>
      <c r="T44" s="234">
        <f t="shared" si="0"/>
        <v>692.02628682426644</v>
      </c>
      <c r="U44" s="15">
        <v>25</v>
      </c>
      <c r="V44" s="8">
        <f t="shared" si="3"/>
        <v>4.5</v>
      </c>
      <c r="W44" s="233">
        <f t="shared" si="4"/>
        <v>664</v>
      </c>
      <c r="X44">
        <v>74</v>
      </c>
      <c r="Y44" s="35">
        <v>1.35</v>
      </c>
      <c r="Z44" s="2" t="s">
        <v>10</v>
      </c>
      <c r="AA44" s="241">
        <f>AB10</f>
        <v>1</v>
      </c>
      <c r="AD44" s="16" t="s">
        <v>839</v>
      </c>
    </row>
    <row r="45" spans="1:36" ht="15.75" thickBot="1">
      <c r="A45" s="156" cm="1">
        <f t="array" ref="A45">_xlfn.IFS(C45=$Z$42,$AA$42,C45=$Z$43,$AA$43,C45=$Z$44,$AA$44,C45=$Z$45,$AA$45,C45=$Z$46,$AA$46,C45=$Z$47,$AA$47,C45=$Z$48,$AA$48,C45=$Z$49,$AA$49,C45=$Z$50,$AA$50,C45=$Z$51,$AA$51,C45=$Z$52,$AA$52,C45=$Z$53,$AA$53,C45=$Z$54,$AA$54,C45=$Z$55,$AA$55,C45=$Z$56,$AA$56,C45=$Z$57,$AA$57,C45=$Z$58,$AA$58,C45=$Z$59,$AA$59,C45=$Z$60,$AA$60,C45=$Z$61,$AA$61,C45=$Z$62,$AA$62,TRUE,"0")</f>
        <v>1</v>
      </c>
      <c r="B45" s="161" t="str" cm="1">
        <f t="array" ref="B45">_xlfn.IFS(C45=$Z$42,$AD$42,C45=$Z$43,$AD$43,C45=$Z$44,$AD$44,C45=$Z$45,$AD$45,C45=$Z$46,$AD$46,C45=$Z$47,$AD$47,C45=$Z$48,$AD$48,C45=$Z$49,$AD$49,C45=$Z$50,$AD$50,C45=$Z$51,$AD$51,C45=$Z$52,$AD$52,C45=$Z$53,$AD$53,C45=$Z$54,$AD$54,C45=$Z$55,$AD$55,C45=$Z$56,$AD$56,C45=$Z$57,$AD$57,C45=$Z$58,$AD$58,C45=$Z$59,$AD$59,C45=$Z$60,$AD$60,C45=$Z$61,$AD$61,C45=$Z$62,$AD$62,TRUE,"0")</f>
        <v>h2  +0.5 BET @ 40 MINS</v>
      </c>
      <c r="C45" s="163" t="s">
        <v>519</v>
      </c>
      <c r="D45" s="2" t="s">
        <v>410</v>
      </c>
      <c r="E45" s="2" t="s">
        <v>544</v>
      </c>
      <c r="F45" s="3">
        <v>45360.625</v>
      </c>
      <c r="G45" s="2" t="s">
        <v>545</v>
      </c>
      <c r="H45" s="2" t="s">
        <v>546</v>
      </c>
      <c r="I45" s="2">
        <v>20</v>
      </c>
      <c r="J45" s="2">
        <v>90</v>
      </c>
      <c r="K45" s="2">
        <v>90</v>
      </c>
      <c r="L45" s="2"/>
      <c r="M45" s="2"/>
      <c r="N45" s="11"/>
      <c r="O45" s="2" t="s">
        <v>95</v>
      </c>
      <c r="P45" s="14" t="s">
        <v>221</v>
      </c>
      <c r="Q45" s="14" t="s">
        <v>193</v>
      </c>
      <c r="R45" s="188">
        <f t="shared" si="1"/>
        <v>34.601314341213325</v>
      </c>
      <c r="S45" s="8">
        <f t="shared" si="2"/>
        <v>6.2282365814183986</v>
      </c>
      <c r="T45" s="234">
        <f t="shared" si="0"/>
        <v>698.25452340568484</v>
      </c>
      <c r="U45" s="15">
        <v>25</v>
      </c>
      <c r="V45" s="8">
        <f t="shared" si="3"/>
        <v>4.5</v>
      </c>
      <c r="W45" s="233">
        <f t="shared" si="4"/>
        <v>668.5</v>
      </c>
      <c r="X45">
        <v>76</v>
      </c>
      <c r="Y45" s="35">
        <v>1.31</v>
      </c>
      <c r="Z45" s="2" t="s">
        <v>43</v>
      </c>
      <c r="AA45" s="150">
        <f>AB14</f>
        <v>1</v>
      </c>
      <c r="AD45" s="16" t="s">
        <v>839</v>
      </c>
    </row>
    <row r="46" spans="1:36" ht="15.75" thickBot="1">
      <c r="A46" s="156" cm="1">
        <f t="array" ref="A46">_xlfn.IFS(C46=$Z$42,$AA$42,C46=$Z$43,$AA$43,C46=$Z$44,$AA$44,C46=$Z$45,$AA$45,C46=$Z$46,$AA$46,C46=$Z$47,$AA$47,C46=$Z$48,$AA$48,C46=$Z$49,$AA$49,C46=$Z$50,$AA$50,C46=$Z$51,$AA$51,C46=$Z$52,$AA$52,C46=$Z$53,$AA$53,C46=$Z$54,$AA$54,C46=$Z$55,$AA$55,C46=$Z$56,$AA$56,C46=$Z$57,$AA$57,C46=$Z$58,$AA$58,C46=$Z$59,$AA$59,C46=$Z$60,$AA$60,C46=$Z$61,$AA$61,C46=$Z$62,$AA$62,TRUE,"0")</f>
        <v>1</v>
      </c>
      <c r="B46" s="161" t="str" cm="1">
        <f t="array" ref="B46">_xlfn.IFS(C46=$Z$42,$AD$42,C46=$Z$43,$AD$43,C46=$Z$44,$AD$44,C46=$Z$45,$AD$45,C46=$Z$46,$AD$46,C46=$Z$47,$AD$47,C46=$Z$48,$AD$48,C46=$Z$49,$AD$49,C46=$Z$50,$AD$50,C46=$Z$51,$AD$51,C46=$Z$52,$AD$52,C46=$Z$53,$AD$53,C46=$Z$54,$AD$54,C46=$Z$55,$AD$55,C46=$Z$56,$AD$56,C46=$Z$57,$AD$57,C46=$Z$58,$AD$58,C46=$Z$59,$AD$59,C46=$Z$60,$AD$60,C46=$Z$61,$AD$61,C46=$Z$62,$AD$62,TRUE,"0")</f>
        <v>h1 +0.5.  X @ 40M</v>
      </c>
      <c r="C46" s="163" t="s">
        <v>448</v>
      </c>
      <c r="D46" s="2" t="s">
        <v>410</v>
      </c>
      <c r="E46" s="2" t="s">
        <v>411</v>
      </c>
      <c r="F46" s="3">
        <v>45361.583333333336</v>
      </c>
      <c r="G46" s="2" t="s">
        <v>459</v>
      </c>
      <c r="H46" s="2" t="s">
        <v>558</v>
      </c>
      <c r="I46" s="2">
        <v>20</v>
      </c>
      <c r="J46" s="2">
        <v>5</v>
      </c>
      <c r="K46" s="2">
        <v>35</v>
      </c>
      <c r="L46" s="2">
        <v>8</v>
      </c>
      <c r="M46" s="2">
        <v>4</v>
      </c>
      <c r="N46" s="11">
        <v>9</v>
      </c>
      <c r="O46" s="2" t="s">
        <v>95</v>
      </c>
      <c r="P46" s="14" t="s">
        <v>193</v>
      </c>
      <c r="Q46" s="14" t="s">
        <v>217</v>
      </c>
      <c r="R46" s="188">
        <f t="shared" si="1"/>
        <v>34.912726170284245</v>
      </c>
      <c r="S46" s="8">
        <f t="shared" si="2"/>
        <v>6.2842907106511641</v>
      </c>
      <c r="T46" s="234">
        <f t="shared" si="0"/>
        <v>704.53881411633597</v>
      </c>
      <c r="U46" s="15">
        <v>25</v>
      </c>
      <c r="V46" s="8">
        <f t="shared" si="3"/>
        <v>4.5</v>
      </c>
      <c r="W46" s="233">
        <f t="shared" si="4"/>
        <v>673</v>
      </c>
      <c r="X46">
        <v>78</v>
      </c>
      <c r="Y46" s="35">
        <v>1.28</v>
      </c>
      <c r="Z46" s="2" t="s">
        <v>515</v>
      </c>
      <c r="AA46" s="241">
        <v>0.95454545454545459</v>
      </c>
      <c r="AD46" s="16" t="s">
        <v>839</v>
      </c>
    </row>
    <row r="47" spans="1:36" ht="15.75" thickBot="1">
      <c r="A47" s="156" cm="1">
        <f t="array" ref="A47">_xlfn.IFS(C47=$Z$42,$AA$42,C47=$Z$43,$AA$43,C47=$Z$44,$AA$44,C47=$Z$45,$AA$45,C47=$Z$46,$AA$46,C47=$Z$47,$AA$47,C47=$Z$48,$AA$48,C47=$Z$49,$AA$49,C47=$Z$50,$AA$50,C47=$Z$51,$AA$51,C47=$Z$52,$AA$52,C47=$Z$53,$AA$53,C47=$Z$54,$AA$54,C47=$Z$55,$AA$55,C47=$Z$56,$AA$56,C47=$Z$57,$AA$57,C47=$Z$58,$AA$58,C47=$Z$59,$AA$59,C47=$Z$60,$AA$60,C47=$Z$61,$AA$61,C47=$Z$62,$AA$62,TRUE,"0")</f>
        <v>0.93333333333333335</v>
      </c>
      <c r="B47" s="161" t="str" cm="1">
        <f t="array" ref="B47">_xlfn.IFS(C47=$Z$42,$AD$42,C47=$Z$43,$AD$43,C47=$Z$44,$AD$44,C47=$Z$45,$AD$45,C47=$Z$46,$AD$46,C47=$Z$47,$AD$47,C47=$Z$48,$AD$48,C47=$Z$49,$AD$49,C47=$Z$50,$AD$50,C47=$Z$51,$AD$51,C47=$Z$52,$AD$52,C47=$Z$53,$AD$53,C47=$Z$54,$AD$54,C47=$Z$55,$AD$55,C47=$Z$56,$AD$56,C47=$Z$57,$AD$57,C47=$Z$58,$AD$58,C47=$Z$59,$AD$59,C47=$Z$60,$AD$60,C47=$Z$61,$AD$61,C47=$Z$62,$AD$62,TRUE,"0")</f>
        <v>B + 0.5 at 1.2+ or @ 40 mins</v>
      </c>
      <c r="C47" s="163" t="s">
        <v>270</v>
      </c>
      <c r="D47" s="2" t="s">
        <v>58</v>
      </c>
      <c r="E47" s="2" t="s">
        <v>59</v>
      </c>
      <c r="F47" s="3">
        <v>45288.84375</v>
      </c>
      <c r="G47" s="2" t="s">
        <v>75</v>
      </c>
      <c r="H47" s="2" t="s">
        <v>76</v>
      </c>
      <c r="I47" s="2">
        <v>67</v>
      </c>
      <c r="J47" s="2">
        <v>0</v>
      </c>
      <c r="K47" s="2">
        <v>20</v>
      </c>
      <c r="L47" s="2"/>
      <c r="M47" s="2"/>
      <c r="N47" s="11"/>
      <c r="O47" s="2" t="s">
        <v>95</v>
      </c>
      <c r="P47" s="14" t="s">
        <v>214</v>
      </c>
      <c r="Q47" s="13" t="s">
        <v>225</v>
      </c>
      <c r="R47" s="188">
        <f t="shared" si="1"/>
        <v>35.226940705816801</v>
      </c>
      <c r="S47" s="8">
        <f t="shared" si="2"/>
        <v>6.3408493270470236</v>
      </c>
      <c r="T47" s="234">
        <f t="shared" si="0"/>
        <v>710.87966344338304</v>
      </c>
      <c r="U47" s="15">
        <v>25</v>
      </c>
      <c r="V47" s="8">
        <f t="shared" si="3"/>
        <v>4.5</v>
      </c>
      <c r="W47" s="233">
        <f t="shared" si="4"/>
        <v>677.5</v>
      </c>
      <c r="X47">
        <v>80</v>
      </c>
      <c r="Y47" s="35">
        <v>1.25</v>
      </c>
      <c r="Z47" s="2" t="s">
        <v>519</v>
      </c>
      <c r="AA47" s="241">
        <f>AB26</f>
        <v>1</v>
      </c>
      <c r="AD47" s="16" t="s">
        <v>839</v>
      </c>
    </row>
    <row r="48" spans="1:36" ht="15.75" thickBot="1">
      <c r="A48" s="156" cm="1">
        <f t="array" ref="A48">_xlfn.IFS(C48=$Z$42,$AA$42,C48=$Z$43,$AA$43,C48=$Z$44,$AA$44,C48=$Z$45,$AA$45,C48=$Z$46,$AA$46,C48=$Z$47,$AA$47,C48=$Z$48,$AA$48,C48=$Z$49,$AA$49,C48=$Z$50,$AA$50,C48=$Z$51,$AA$51,C48=$Z$52,$AA$52,C48=$Z$53,$AA$53,C48=$Z$54,$AA$54,C48=$Z$55,$AA$55,C48=$Z$56,$AA$56,C48=$Z$57,$AA$57,C48=$Z$58,$AA$58,C48=$Z$59,$AA$59,C48=$Z$60,$AA$60,C48=$Z$61,$AA$61,C48=$Z$62,$AA$62,TRUE,"0")</f>
        <v>1</v>
      </c>
      <c r="B48" s="161" t="str" cm="1">
        <f t="array" ref="B48">_xlfn.IFS(C48=$Z$42,$AD$42,C48=$Z$43,$AD$43,C48=$Z$44,$AD$44,C48=$Z$45,$AD$45,C48=$Z$46,$AD$46,C48=$Z$47,$AD$47,C48=$Z$48,$AD$48,C48=$Z$49,$AD$49,C48=$Z$50,$AD$50,C48=$Z$51,$AD$51,C48=$Z$52,$AD$52,C48=$Z$53,$AD$53,C48=$Z$54,$AD$54,C48=$Z$55,$AD$55,C48=$Z$56,$AD$56,C48=$Z$57,$AD$57,C48=$Z$58,$AD$58,C48=$Z$59,$AD$59,C48=$Z$60,$AD$60,C48=$Z$61,$AD$61,C48=$Z$62,$AD$62,TRUE,"0")</f>
        <v>h1 +0.5.  X @ 40M</v>
      </c>
      <c r="C48" s="163" t="s">
        <v>432</v>
      </c>
      <c r="D48" s="2" t="s">
        <v>58</v>
      </c>
      <c r="E48" s="2" t="s">
        <v>289</v>
      </c>
      <c r="F48" s="3">
        <v>45332.583333333336</v>
      </c>
      <c r="G48" s="2" t="s">
        <v>416</v>
      </c>
      <c r="H48" s="2" t="s">
        <v>417</v>
      </c>
      <c r="I48" s="2">
        <v>80</v>
      </c>
      <c r="J48" s="2">
        <v>23</v>
      </c>
      <c r="K48" s="2">
        <v>40</v>
      </c>
      <c r="L48" s="2">
        <v>0</v>
      </c>
      <c r="M48" s="2">
        <v>1.3</v>
      </c>
      <c r="N48" s="11">
        <v>20</v>
      </c>
      <c r="O48" s="2" t="s">
        <v>95</v>
      </c>
      <c r="P48" s="14" t="s">
        <v>222</v>
      </c>
      <c r="Q48" s="13" t="s">
        <v>209</v>
      </c>
      <c r="R48" s="188">
        <f t="shared" si="1"/>
        <v>35.543983172169156</v>
      </c>
      <c r="S48" s="8">
        <f t="shared" si="2"/>
        <v>6.3979169709904475</v>
      </c>
      <c r="T48" s="234">
        <f t="shared" si="0"/>
        <v>717.27758041437346</v>
      </c>
      <c r="U48" s="15">
        <v>25</v>
      </c>
      <c r="V48" s="8">
        <f t="shared" si="3"/>
        <v>4.5</v>
      </c>
      <c r="W48" s="233">
        <f t="shared" si="4"/>
        <v>682</v>
      </c>
      <c r="X48">
        <v>82</v>
      </c>
      <c r="Y48" s="35">
        <v>1.21</v>
      </c>
      <c r="Z48" s="2" t="s">
        <v>522</v>
      </c>
      <c r="AA48" s="241" t="e">
        <f>AB30</f>
        <v>#DIV/0!</v>
      </c>
      <c r="AD48" s="16" t="s">
        <v>839</v>
      </c>
    </row>
    <row r="49" spans="1:30" ht="15.75" thickBot="1">
      <c r="A49" s="156" cm="1">
        <f t="array" ref="A49">_xlfn.IFS(C49=$Z$42,$AA$42,C49=$Z$43,$AA$43,C49=$Z$44,$AA$44,C49=$Z$45,$AA$45,C49=$Z$46,$AA$46,C49=$Z$47,$AA$47,C49=$Z$48,$AA$48,C49=$Z$49,$AA$49,C49=$Z$50,$AA$50,C49=$Z$51,$AA$51,C49=$Z$52,$AA$52,C49=$Z$53,$AA$53,C49=$Z$54,$AA$54,C49=$Z$55,$AA$55,C49=$Z$56,$AA$56,C49=$Z$57,$AA$57,C49=$Z$58,$AA$58,C49=$Z$59,$AA$59,C49=$Z$60,$AA$60,C49=$Z$61,$AA$61,C49=$Z$62,$AA$62,TRUE,"0")</f>
        <v>1</v>
      </c>
      <c r="B49" s="161" t="str" cm="1">
        <f t="array" ref="B49">_xlfn.IFS(C49=$Z$42,$AD$42,C49=$Z$43,$AD$43,C49=$Z$44,$AD$44,C49=$Z$45,$AD$45,C49=$Z$46,$AD$46,C49=$Z$47,$AD$47,C49=$Z$48,$AD$48,C49=$Z$49,$AD$49,C49=$Z$50,$AD$50,C49=$Z$51,$AD$51,C49=$Z$52,$AD$52,C49=$Z$53,$AD$53,C49=$Z$54,$AD$54,C49=$Z$55,$AD$55,C49=$Z$56,$AD$56,C49=$Z$57,$AD$57,C49=$Z$58,$AD$58,C49=$Z$59,$AD$59,C49=$Z$60,$AD$60,C49=$Z$61,$AD$61,C49=$Z$62,$AD$62,TRUE,"0")</f>
        <v>h2  +0.5 BET @ 40 MINS</v>
      </c>
      <c r="C49" s="163" t="s">
        <v>35</v>
      </c>
      <c r="D49" s="2" t="s">
        <v>13</v>
      </c>
      <c r="E49" s="2" t="s">
        <v>14</v>
      </c>
      <c r="F49" s="3">
        <v>45289.822916666664</v>
      </c>
      <c r="G49" s="2" t="s">
        <v>15</v>
      </c>
      <c r="H49" s="2" t="s">
        <v>16</v>
      </c>
      <c r="I49" s="2">
        <v>69</v>
      </c>
      <c r="J49" s="2">
        <v>94</v>
      </c>
      <c r="K49" s="2">
        <v>63</v>
      </c>
      <c r="L49" s="2">
        <v>44</v>
      </c>
      <c r="M49" s="2">
        <v>16</v>
      </c>
      <c r="N49" s="11"/>
      <c r="O49" s="2" t="s">
        <v>95</v>
      </c>
      <c r="P49" s="14" t="s">
        <v>214</v>
      </c>
      <c r="Q49" s="13" t="s">
        <v>207</v>
      </c>
      <c r="R49" s="188">
        <f t="shared" si="1"/>
        <v>35.863879020718677</v>
      </c>
      <c r="S49" s="8">
        <f t="shared" si="2"/>
        <v>6.4554982237293617</v>
      </c>
      <c r="T49" s="234">
        <f t="shared" si="0"/>
        <v>723.73307863810282</v>
      </c>
      <c r="U49" s="15">
        <v>25</v>
      </c>
      <c r="V49" s="8">
        <f t="shared" si="3"/>
        <v>4.5</v>
      </c>
      <c r="W49" s="233">
        <f t="shared" si="4"/>
        <v>686.5</v>
      </c>
      <c r="X49">
        <v>84</v>
      </c>
      <c r="Y49" s="35">
        <v>1.19</v>
      </c>
      <c r="Z49" s="2" t="s">
        <v>177</v>
      </c>
      <c r="AA49" s="242" t="e">
        <f>AF2</f>
        <v>#DIV/0!</v>
      </c>
      <c r="AD49" s="16" t="s">
        <v>701</v>
      </c>
    </row>
    <row r="50" spans="1:30" ht="15.75" thickBot="1">
      <c r="A50" s="156" cm="1">
        <f t="array" ref="A50">_xlfn.IFS(C50=$Z$42,$AA$42,C50=$Z$43,$AA$43,C50=$Z$44,$AA$44,C50=$Z$45,$AA$45,C50=$Z$46,$AA$46,C50=$Z$47,$AA$47,C50=$Z$48,$AA$48,C50=$Z$49,$AA$49,C50=$Z$50,$AA$50,C50=$Z$51,$AA$51,C50=$Z$52,$AA$52,C50=$Z$53,$AA$53,C50=$Z$54,$AA$54,C50=$Z$55,$AA$55,C50=$Z$56,$AA$56,C50=$Z$57,$AA$57,C50=$Z$58,$AA$58,C50=$Z$59,$AA$59,C50=$Z$60,$AA$60,C50=$Z$61,$AA$61,C50=$Z$62,$AA$62,TRUE,"0")</f>
        <v>1</v>
      </c>
      <c r="B50" s="161" t="str" cm="1">
        <f t="array" ref="B50">_xlfn.IFS(C50=$Z$42,$AD$42,C50=$Z$43,$AD$43,C50=$Z$44,$AD$44,C50=$Z$45,$AD$45,C50=$Z$46,$AD$46,C50=$Z$47,$AD$47,C50=$Z$48,$AD$48,C50=$Z$49,$AD$49,C50=$Z$50,$AD$50,C50=$Z$51,$AD$51,C50=$Z$52,$AD$52,C50=$Z$53,$AD$53,C50=$Z$54,$AD$54,C50=$Z$55,$AD$55,C50=$Z$56,$AD$56,C50=$Z$57,$AD$57,C50=$Z$58,$AD$58,C50=$Z$59,$AD$59,C50=$Z$60,$AD$60,C50=$Z$61,$AD$61,C50=$Z$62,$AD$62,TRUE,"0")</f>
        <v>h2  +0.5 BET @ 40 MINS</v>
      </c>
      <c r="C50" s="163" t="s">
        <v>10</v>
      </c>
      <c r="D50" s="2" t="s">
        <v>13</v>
      </c>
      <c r="E50" s="2" t="s">
        <v>11</v>
      </c>
      <c r="F50" s="3">
        <v>45297.625</v>
      </c>
      <c r="G50" s="2" t="s">
        <v>138</v>
      </c>
      <c r="H50" s="2" t="s">
        <v>139</v>
      </c>
      <c r="I50" s="2">
        <v>2.06</v>
      </c>
      <c r="J50" s="2">
        <v>94</v>
      </c>
      <c r="K50" s="2">
        <v>67</v>
      </c>
      <c r="L50" s="2">
        <v>22</v>
      </c>
      <c r="M50" s="2">
        <v>63</v>
      </c>
      <c r="N50" s="11">
        <v>18</v>
      </c>
      <c r="O50" s="2" t="s">
        <v>95</v>
      </c>
      <c r="P50" s="14" t="s">
        <v>220</v>
      </c>
      <c r="Q50" s="13" t="s">
        <v>210</v>
      </c>
      <c r="R50" s="188">
        <f t="shared" si="1"/>
        <v>36.186653931905141</v>
      </c>
      <c r="S50" s="8">
        <f t="shared" si="2"/>
        <v>6.5135977077429255</v>
      </c>
      <c r="T50" s="234">
        <f t="shared" si="0"/>
        <v>730.2466763458458</v>
      </c>
      <c r="U50" s="15">
        <v>25</v>
      </c>
      <c r="V50" s="8">
        <f t="shared" si="3"/>
        <v>4.5</v>
      </c>
      <c r="W50" s="233">
        <f t="shared" si="4"/>
        <v>691</v>
      </c>
      <c r="X50">
        <v>86</v>
      </c>
      <c r="Y50" s="35">
        <v>1.17</v>
      </c>
      <c r="Z50" s="2" t="s">
        <v>432</v>
      </c>
      <c r="AA50" s="242">
        <f>AF6</f>
        <v>1</v>
      </c>
      <c r="AD50" s="16" t="s">
        <v>840</v>
      </c>
    </row>
    <row r="51" spans="1:30" ht="15.75" thickBot="1">
      <c r="A51" s="156" cm="1">
        <f t="array" ref="A51">_xlfn.IFS(C51=$Z$42,$AA$42,C51=$Z$43,$AA$43,C51=$Z$44,$AA$44,C51=$Z$45,$AA$45,C51=$Z$46,$AA$46,C51=$Z$47,$AA$47,C51=$Z$48,$AA$48,C51=$Z$49,$AA$49,C51=$Z$50,$AA$50,C51=$Z$51,$AA$51,C51=$Z$52,$AA$52,C51=$Z$53,$AA$53,C51=$Z$54,$AA$54,C51=$Z$55,$AA$55,C51=$Z$56,$AA$56,C51=$Z$57,$AA$57,C51=$Z$58,$AA$58,C51=$Z$59,$AA$59,C51=$Z$60,$AA$60,C51=$Z$61,$AA$61,C51=$Z$62,$AA$62,TRUE,"0")</f>
        <v>0.93333333333333335</v>
      </c>
      <c r="B51" s="161" t="str" cm="1">
        <f t="array" ref="B51">_xlfn.IFS(C51=$Z$42,$AD$42,C51=$Z$43,$AD$43,C51=$Z$44,$AD$44,C51=$Z$45,$AD$45,C51=$Z$46,$AD$46,C51=$Z$47,$AD$47,C51=$Z$48,$AD$48,C51=$Z$49,$AD$49,C51=$Z$50,$AD$50,C51=$Z$51,$AD$51,C51=$Z$52,$AD$52,C51=$Z$53,$AD$53,C51=$Z$54,$AD$54,C51=$Z$55,$AD$55,C51=$Z$56,$AD$56,C51=$Z$57,$AD$57,C51=$Z$58,$AD$58,C51=$Z$59,$AD$59,C51=$Z$60,$AD$60,C51=$Z$61,$AD$61,C51=$Z$62,$AD$62,TRUE,"0")</f>
        <v>B + 0.5 at 1.2+ or @ 40 mins</v>
      </c>
      <c r="C51" s="163" t="s">
        <v>270</v>
      </c>
      <c r="D51" s="2" t="s">
        <v>13</v>
      </c>
      <c r="E51" s="2" t="s">
        <v>37</v>
      </c>
      <c r="F51" s="3">
        <v>45284.5</v>
      </c>
      <c r="G51" s="2" t="s">
        <v>38</v>
      </c>
      <c r="H51" s="2" t="s">
        <v>79</v>
      </c>
      <c r="I51" s="2">
        <v>70</v>
      </c>
      <c r="J51" s="2">
        <v>0</v>
      </c>
      <c r="K51" s="2">
        <v>20</v>
      </c>
      <c r="L51" s="2"/>
      <c r="M51" s="2"/>
      <c r="N51" s="11"/>
      <c r="O51" s="2" t="s">
        <v>95</v>
      </c>
      <c r="P51" s="13" t="s">
        <v>217</v>
      </c>
      <c r="Q51" s="13" t="s">
        <v>217</v>
      </c>
      <c r="R51" s="188">
        <f t="shared" si="1"/>
        <v>36.512333817292294</v>
      </c>
      <c r="S51" s="8">
        <f t="shared" si="2"/>
        <v>6.5722200871126129</v>
      </c>
      <c r="T51" s="234">
        <f t="shared" si="0"/>
        <v>736.81889643295847</v>
      </c>
      <c r="U51" s="15">
        <v>25</v>
      </c>
      <c r="V51" s="8">
        <f t="shared" si="3"/>
        <v>4.5</v>
      </c>
      <c r="W51" s="233">
        <f t="shared" si="4"/>
        <v>695.5</v>
      </c>
      <c r="X51">
        <v>88</v>
      </c>
      <c r="Y51" s="35">
        <v>1.1299999999999999</v>
      </c>
      <c r="Z51" s="2" t="s">
        <v>448</v>
      </c>
      <c r="AA51" s="242">
        <f>AF10</f>
        <v>1</v>
      </c>
      <c r="AD51" s="16" t="s">
        <v>840</v>
      </c>
    </row>
    <row r="52" spans="1:30" ht="15.75" thickBot="1">
      <c r="A52" s="156" cm="1">
        <f t="array" ref="A52">_xlfn.IFS(C52=$Z$42,$AA$42,C52=$Z$43,$AA$43,C52=$Z$44,$AA$44,C52=$Z$45,$AA$45,C52=$Z$46,$AA$46,C52=$Z$47,$AA$47,C52=$Z$48,$AA$48,C52=$Z$49,$AA$49,C52=$Z$50,$AA$50,C52=$Z$51,$AA$51,C52=$Z$52,$AA$52,C52=$Z$53,$AA$53,C52=$Z$54,$AA$54,C52=$Z$55,$AA$55,C52=$Z$56,$AA$56,C52=$Z$57,$AA$57,C52=$Z$58,$AA$58,C52=$Z$59,$AA$59,C52=$Z$60,$AA$60,C52=$Z$61,$AA$61,C52=$Z$62,$AA$62,TRUE,"0")</f>
        <v>0.95454545454545459</v>
      </c>
      <c r="B52" s="161" t="str" cm="1">
        <f t="array" ref="B52">_xlfn.IFS(C52=$Z$42,$AD$42,C52=$Z$43,$AD$43,C52=$Z$44,$AD$44,C52=$Z$45,$AD$45,C52=$Z$46,$AD$46,C52=$Z$47,$AD$47,C52=$Z$48,$AD$48,C52=$Z$49,$AD$49,C52=$Z$50,$AD$50,C52=$Z$51,$AD$51,C52=$Z$52,$AD$52,C52=$Z$53,$AD$53,C52=$Z$54,$AD$54,C52=$Z$55,$AD$55,C52=$Z$56,$AD$56,C52=$Z$57,$AD$57,C52=$Z$58,$AD$58,C52=$Z$59,$AD$59,C52=$Z$60,$AD$60,C52=$Z$61,$AD$61,C52=$Z$62,$AD$62,TRUE,"0")</f>
        <v>h2  +0.5 BET @ 40 MINS</v>
      </c>
      <c r="C52" s="163" t="s">
        <v>515</v>
      </c>
      <c r="D52" s="2" t="s">
        <v>626</v>
      </c>
      <c r="E52" s="2" t="s">
        <v>627</v>
      </c>
      <c r="F52" s="3">
        <v>45381.541666666664</v>
      </c>
      <c r="G52" s="2" t="s">
        <v>635</v>
      </c>
      <c r="H52" s="2" t="s">
        <v>636</v>
      </c>
      <c r="I52" s="2">
        <v>20</v>
      </c>
      <c r="J52" s="2">
        <v>73</v>
      </c>
      <c r="K52" s="2">
        <v>1.6</v>
      </c>
      <c r="L52" s="2"/>
      <c r="M52" s="2"/>
      <c r="N52" s="11"/>
      <c r="O52" s="2" t="s">
        <v>95</v>
      </c>
      <c r="P52" s="14" t="s">
        <v>214</v>
      </c>
      <c r="Q52" s="14" t="s">
        <v>207</v>
      </c>
      <c r="R52" s="188">
        <f t="shared" si="1"/>
        <v>36.840944821647923</v>
      </c>
      <c r="S52" s="8">
        <f t="shared" si="2"/>
        <v>6.6313700678966256</v>
      </c>
      <c r="T52" s="234">
        <f t="shared" si="0"/>
        <v>743.45026650085515</v>
      </c>
      <c r="U52" s="15">
        <v>25</v>
      </c>
      <c r="V52" s="8">
        <f t="shared" si="3"/>
        <v>4.5</v>
      </c>
      <c r="W52" s="233">
        <f t="shared" si="4"/>
        <v>700</v>
      </c>
      <c r="X52">
        <v>90</v>
      </c>
      <c r="Y52" s="35">
        <v>1.1100000000000001</v>
      </c>
      <c r="Z52" s="2" t="s">
        <v>458</v>
      </c>
      <c r="AA52" s="242">
        <f>AF14</f>
        <v>1</v>
      </c>
      <c r="AD52" s="16" t="s">
        <v>766</v>
      </c>
    </row>
    <row r="53" spans="1:30" ht="15.75" thickBot="1">
      <c r="A53" s="156" cm="1">
        <f t="array" ref="A53">_xlfn.IFS(C53=$Z$42,$AA$42,C53=$Z$43,$AA$43,C53=$Z$44,$AA$44,C53=$Z$45,$AA$45,C53=$Z$46,$AA$46,C53=$Z$47,$AA$47,C53=$Z$48,$AA$48,C53=$Z$49,$AA$49,C53=$Z$50,$AA$50,C53=$Z$51,$AA$51,C53=$Z$52,$AA$52,C53=$Z$53,$AA$53,C53=$Z$54,$AA$54,C53=$Z$55,$AA$55,C53=$Z$56,$AA$56,C53=$Z$57,$AA$57,C53=$Z$58,$AA$58,C53=$Z$59,$AA$59,C53=$Z$60,$AA$60,C53=$Z$61,$AA$61,C53=$Z$62,$AA$62,TRUE,"0")</f>
        <v>1</v>
      </c>
      <c r="B53" s="161" t="str" cm="1">
        <f t="array" ref="B53">_xlfn.IFS(C53=$Z$42,$AD$42,C53=$Z$43,$AD$43,C53=$Z$44,$AD$44,C53=$Z$45,$AD$45,C53=$Z$46,$AD$46,C53=$Z$47,$AD$47,C53=$Z$48,$AD$48,C53=$Z$49,$AD$49,C53=$Z$50,$AD$50,C53=$Z$51,$AD$51,C53=$Z$52,$AD$52,C53=$Z$53,$AD$53,C53=$Z$54,$AD$54,C53=$Z$55,$AD$55,C53=$Z$56,$AD$56,C53=$Z$57,$AD$57,C53=$Z$58,$AD$58,C53=$Z$59,$AD$59,C53=$Z$60,$AD$60,C53=$Z$61,$AD$61,C53=$Z$62,$AD$62,TRUE,"0")</f>
        <v>H1 &lt;2.5 - (x by ht(40)</v>
      </c>
      <c r="C53" s="164" t="s">
        <v>458</v>
      </c>
      <c r="D53" s="36" t="s">
        <v>541</v>
      </c>
      <c r="E53" s="36" t="s">
        <v>62</v>
      </c>
      <c r="F53" s="37">
        <v>45360.645833333336</v>
      </c>
      <c r="G53" s="36" t="s">
        <v>547</v>
      </c>
      <c r="H53" s="36" t="s">
        <v>548</v>
      </c>
      <c r="I53" s="36">
        <v>20</v>
      </c>
      <c r="J53" s="36">
        <v>80</v>
      </c>
      <c r="K53" s="36">
        <v>95</v>
      </c>
      <c r="L53" s="36">
        <v>45</v>
      </c>
      <c r="M53" s="36">
        <v>1.65</v>
      </c>
      <c r="N53" s="45"/>
      <c r="O53" s="36" t="s">
        <v>95</v>
      </c>
      <c r="P53" s="38" t="s">
        <v>216</v>
      </c>
      <c r="Q53" s="38" t="s">
        <v>225</v>
      </c>
      <c r="R53" s="188">
        <f t="shared" si="1"/>
        <v>37.172513325042758</v>
      </c>
      <c r="S53" s="8">
        <f t="shared" si="2"/>
        <v>6.6910523985076962</v>
      </c>
      <c r="T53" s="234">
        <f t="shared" si="0"/>
        <v>750.14131889936289</v>
      </c>
      <c r="U53" s="15">
        <v>25</v>
      </c>
      <c r="V53" s="8">
        <f t="shared" si="3"/>
        <v>4.5</v>
      </c>
      <c r="W53" s="233">
        <f t="shared" si="4"/>
        <v>704.5</v>
      </c>
      <c r="X53">
        <v>92</v>
      </c>
      <c r="Y53" s="35">
        <v>1.0900000000000001</v>
      </c>
      <c r="Z53" s="2" t="s">
        <v>406</v>
      </c>
      <c r="AA53" s="151">
        <f>AF23</f>
        <v>1</v>
      </c>
      <c r="AD53" s="16" t="s">
        <v>793</v>
      </c>
    </row>
    <row r="54" spans="1:30" ht="15.75" thickBot="1">
      <c r="A54" s="156" cm="1">
        <f t="array" ref="A54">_xlfn.IFS(C54=$Z$42,$AA$42,C54=$Z$43,$AA$43,C54=$Z$44,$AA$44,C54=$Z$45,$AA$45,C54=$Z$46,$AA$46,C54=$Z$47,$AA$47,C54=$Z$48,$AA$48,C54=$Z$49,$AA$49,C54=$Z$50,$AA$50,C54=$Z$51,$AA$51,C54=$Z$52,$AA$52,C54=$Z$53,$AA$53,C54=$Z$54,$AA$54,C54=$Z$55,$AA$55,C54=$Z$56,$AA$56,C54=$Z$57,$AA$57,C54=$Z$58,$AA$58,C54=$Z$59,$AA$59,C54=$Z$60,$AA$60,C54=$Z$61,$AA$61,C54=$Z$62,$AA$62,TRUE,"0")</f>
        <v>0.95454545454545459</v>
      </c>
      <c r="B54" s="161" t="str" cm="1">
        <f t="array" ref="B54">_xlfn.IFS(C54=$Z$42,$AD$42,C54=$Z$43,$AD$43,C54=$Z$44,$AD$44,C54=$Z$45,$AD$45,C54=$Z$46,$AD$46,C54=$Z$47,$AD$47,C54=$Z$48,$AD$48,C54=$Z$49,$AD$49,C54=$Z$50,$AD$50,C54=$Z$51,$AD$51,C54=$Z$52,$AD$52,C54=$Z$53,$AD$53,C54=$Z$54,$AD$54,C54=$Z$55,$AD$55,C54=$Z$56,$AD$56,C54=$Z$57,$AD$57,C54=$Z$58,$AD$58,C54=$Z$59,$AD$59,C54=$Z$60,$AD$60,C54=$Z$61,$AD$61,C54=$Z$62,$AD$62,TRUE,"0")</f>
        <v>h2  +0.5 BET @ 40 MINS</v>
      </c>
      <c r="C54" s="163" t="s">
        <v>515</v>
      </c>
      <c r="D54" s="2" t="s">
        <v>534</v>
      </c>
      <c r="E54" s="2" t="s">
        <v>535</v>
      </c>
      <c r="F54" s="3">
        <v>45412.479166666664</v>
      </c>
      <c r="G54" s="2" t="s">
        <v>536</v>
      </c>
      <c r="H54" s="2" t="s">
        <v>795</v>
      </c>
      <c r="I54" s="2">
        <v>20</v>
      </c>
      <c r="J54" s="2">
        <v>70</v>
      </c>
      <c r="K54" s="2">
        <v>2.15</v>
      </c>
      <c r="L54" s="2"/>
      <c r="M54" s="2"/>
      <c r="N54" s="11"/>
      <c r="O54" s="2" t="s">
        <v>95</v>
      </c>
      <c r="P54" s="14" t="s">
        <v>193</v>
      </c>
      <c r="Q54" s="14" t="s">
        <v>217</v>
      </c>
      <c r="R54" s="188">
        <f t="shared" si="1"/>
        <v>37.507065944968147</v>
      </c>
      <c r="S54" s="8">
        <f t="shared" si="2"/>
        <v>6.751271870094266</v>
      </c>
      <c r="T54" s="234">
        <f t="shared" si="0"/>
        <v>756.89259076945712</v>
      </c>
      <c r="U54" s="15">
        <v>25</v>
      </c>
      <c r="V54" s="8">
        <f t="shared" si="3"/>
        <v>4.5</v>
      </c>
      <c r="W54" s="233">
        <f t="shared" si="4"/>
        <v>709</v>
      </c>
      <c r="X54">
        <v>94</v>
      </c>
      <c r="Y54" s="35">
        <v>1.06</v>
      </c>
      <c r="Z54" s="2" t="s">
        <v>498</v>
      </c>
      <c r="AA54" s="241">
        <f>AJ2</f>
        <v>1</v>
      </c>
      <c r="AD54" s="16" t="s">
        <v>763</v>
      </c>
    </row>
    <row r="55" spans="1:30" ht="15.75" thickBot="1">
      <c r="A55" s="156" cm="1">
        <f t="array" ref="A55">_xlfn.IFS(C55=$Z$42,$AA$42,C55=$Z$43,$AA$43,C55=$Z$44,$AA$44,C55=$Z$45,$AA$45,C55=$Z$46,$AA$46,C55=$Z$47,$AA$47,C55=$Z$48,$AA$48,C55=$Z$49,$AA$49,C55=$Z$50,$AA$50,C55=$Z$51,$AA$51,C55=$Z$52,$AA$52,C55=$Z$53,$AA$53,C55=$Z$54,$AA$54,C55=$Z$55,$AA$55,C55=$Z$56,$AA$56,C55=$Z$57,$AA$57,C55=$Z$58,$AA$58,C55=$Z$59,$AA$59,C55=$Z$60,$AA$60,C55=$Z$61,$AA$61,C55=$Z$62,$AA$62,TRUE,"0")</f>
        <v>1</v>
      </c>
      <c r="B55" s="161" t="str" cm="1">
        <f t="array" ref="B55">_xlfn.IFS(C55=$Z$42,$AD$42,C55=$Z$43,$AD$43,C55=$Z$44,$AD$44,C55=$Z$45,$AD$45,C55=$Z$46,$AD$46,C55=$Z$47,$AD$47,C55=$Z$48,$AD$48,C55=$Z$49,$AD$49,C55=$Z$50,$AD$50,C55=$Z$51,$AD$51,C55=$Z$52,$AD$52,C55=$Z$53,$AD$53,C55=$Z$54,$AD$54,C55=$Z$55,$AD$55,C55=$Z$56,$AD$56,C55=$Z$57,$AD$57,C55=$Z$58,$AD$58,C55=$Z$59,$AD$59,C55=$Z$60,$AD$60,C55=$Z$61,$AD$61,C55=$Z$62,$AD$62,TRUE,"0")</f>
        <v>h1&lt;2.5, (x by ht), &amp;(bfm)ft+1.5</v>
      </c>
      <c r="C55" s="163" t="s">
        <v>406</v>
      </c>
      <c r="D55" s="2" t="s">
        <v>119</v>
      </c>
      <c r="E55" s="2" t="s">
        <v>120</v>
      </c>
      <c r="F55" s="3">
        <v>45294.760416666664</v>
      </c>
      <c r="G55" s="2" t="s">
        <v>122</v>
      </c>
      <c r="H55" s="2" t="s">
        <v>123</v>
      </c>
      <c r="I55" s="2">
        <v>1.26</v>
      </c>
      <c r="J55" s="2">
        <v>16.5</v>
      </c>
      <c r="K55" s="2">
        <v>2.88</v>
      </c>
      <c r="L55" s="2">
        <v>4.9000000000000004</v>
      </c>
      <c r="M55" s="2"/>
      <c r="N55" s="11"/>
      <c r="O55" s="2" t="s">
        <v>95</v>
      </c>
      <c r="P55" s="14" t="s">
        <v>221</v>
      </c>
      <c r="Q55" s="13" t="s">
        <v>214</v>
      </c>
      <c r="R55" s="188">
        <f t="shared" si="1"/>
        <v>37.844629538472859</v>
      </c>
      <c r="S55" s="8">
        <f t="shared" si="2"/>
        <v>6.8120333169251142</v>
      </c>
      <c r="T55" s="234">
        <f t="shared" si="0"/>
        <v>763.70462408638218</v>
      </c>
      <c r="U55" s="15">
        <v>25</v>
      </c>
      <c r="V55" s="8">
        <f t="shared" si="3"/>
        <v>4.5</v>
      </c>
      <c r="W55" s="233">
        <f t="shared" si="4"/>
        <v>713.5</v>
      </c>
      <c r="X55">
        <v>96</v>
      </c>
      <c r="Y55" s="35">
        <v>1.04</v>
      </c>
      <c r="Z55" s="2" t="s">
        <v>473</v>
      </c>
      <c r="AA55" s="241">
        <f>AJ6</f>
        <v>1</v>
      </c>
      <c r="AD55" s="16" t="s">
        <v>764</v>
      </c>
    </row>
    <row r="56" spans="1:30" ht="15.75" thickBot="1">
      <c r="A56" s="156" cm="1">
        <f t="array" ref="A56">_xlfn.IFS(C56=$Z$42,$AA$42,C56=$Z$43,$AA$43,C56=$Z$44,$AA$44,C56=$Z$45,$AA$45,C56=$Z$46,$AA$46,C56=$Z$47,$AA$47,C56=$Z$48,$AA$48,C56=$Z$49,$AA$49,C56=$Z$50,$AA$50,C56=$Z$51,$AA$51,C56=$Z$52,$AA$52,C56=$Z$53,$AA$53,C56=$Z$54,$AA$54,C56=$Z$55,$AA$55,C56=$Z$56,$AA$56,C56=$Z$57,$AA$57,C56=$Z$58,$AA$58,C56=$Z$59,$AA$59,C56=$Z$60,$AA$60,C56=$Z$61,$AA$61,C56=$Z$62,$AA$62,TRUE,"0")</f>
        <v>1</v>
      </c>
      <c r="B56" s="161" t="str" cm="1">
        <f t="array" ref="B56">_xlfn.IFS(C56=$Z$42,$AD$42,C56=$Z$43,$AD$43,C56=$Z$44,$AD$44,C56=$Z$45,$AD$45,C56=$Z$46,$AD$46,C56=$Z$47,$AD$47,C56=$Z$48,$AD$48,C56=$Z$49,$AD$49,C56=$Z$50,$AD$50,C56=$Z$51,$AD$51,C56=$Z$52,$AD$52,C56=$Z$53,$AD$53,C56=$Z$54,$AD$54,C56=$Z$55,$AD$55,C56=$Z$56,$AD$56,C56=$Z$57,$AD$57,C56=$Z$58,$AD$58,C56=$Z$59,$AD$59,C56=$Z$60,$AD$60,C56=$Z$61,$AD$61,C56=$Z$62,$AD$62,TRUE,"0")</f>
        <v>h2  +0.5 BET @ 40 MINS</v>
      </c>
      <c r="C56" s="163" t="s">
        <v>43</v>
      </c>
      <c r="D56" s="2" t="s">
        <v>119</v>
      </c>
      <c r="E56" s="2" t="s">
        <v>166</v>
      </c>
      <c r="F56" s="3">
        <v>45352.8125</v>
      </c>
      <c r="G56" s="2" t="s">
        <v>481</v>
      </c>
      <c r="H56" s="2" t="s">
        <v>238</v>
      </c>
      <c r="I56" s="2">
        <v>73</v>
      </c>
      <c r="J56" s="2">
        <v>70</v>
      </c>
      <c r="K56" s="2">
        <v>62</v>
      </c>
      <c r="L56" s="2">
        <v>1.5</v>
      </c>
      <c r="M56" s="2">
        <v>1.54</v>
      </c>
      <c r="N56" s="11"/>
      <c r="O56" s="2" t="s">
        <v>95</v>
      </c>
      <c r="P56" s="14" t="s">
        <v>216</v>
      </c>
      <c r="Q56" s="14" t="s">
        <v>222</v>
      </c>
      <c r="R56" s="188">
        <f t="shared" si="1"/>
        <v>38.185231204319109</v>
      </c>
      <c r="S56" s="8">
        <f t="shared" si="2"/>
        <v>6.8733416167774397</v>
      </c>
      <c r="T56" s="234">
        <f t="shared" si="0"/>
        <v>770.57796570315963</v>
      </c>
      <c r="U56" s="15">
        <v>25</v>
      </c>
      <c r="V56" s="8">
        <f t="shared" si="3"/>
        <v>4.5</v>
      </c>
      <c r="W56" s="233">
        <f t="shared" si="4"/>
        <v>718</v>
      </c>
      <c r="X56">
        <v>98</v>
      </c>
      <c r="Y56" s="35">
        <v>1.02</v>
      </c>
      <c r="Z56" s="2" t="s">
        <v>474</v>
      </c>
      <c r="AA56" s="241">
        <f>AJ10</f>
        <v>1</v>
      </c>
      <c r="AD56" s="16" t="s">
        <v>765</v>
      </c>
    </row>
    <row r="57" spans="1:30" ht="15.75" thickBot="1">
      <c r="A57" s="156" cm="1">
        <f t="array" ref="A57">_xlfn.IFS(C57=$Z$42,$AA$42,C57=$Z$43,$AA$43,C57=$Z$44,$AA$44,C57=$Z$45,$AA$45,C57=$Z$46,$AA$46,C57=$Z$47,$AA$47,C57=$Z$48,$AA$48,C57=$Z$49,$AA$49,C57=$Z$50,$AA$50,C57=$Z$51,$AA$51,C57=$Z$52,$AA$52,C57=$Z$53,$AA$53,C57=$Z$54,$AA$54,C57=$Z$55,$AA$55,C57=$Z$56,$AA$56,C57=$Z$57,$AA$57,C57=$Z$58,$AA$58,C57=$Z$59,$AA$59,C57=$Z$60,$AA$60,C57=$Z$61,$AA$61,C57=$Z$62,$AA$62,TRUE,"0")</f>
        <v>1</v>
      </c>
      <c r="B57" s="161" t="str" cm="1">
        <f t="array" ref="B57">_xlfn.IFS(C57=$Z$42,$AD$42,C57=$Z$43,$AD$43,C57=$Z$44,$AD$44,C57=$Z$45,$AD$45,C57=$Z$46,$AD$46,C57=$Z$47,$AD$47,C57=$Z$48,$AD$48,C57=$Z$49,$AD$49,C57=$Z$50,$AD$50,C57=$Z$51,$AD$51,C57=$Z$52,$AD$52,C57=$Z$53,$AD$53,C57=$Z$54,$AD$54,C57=$Z$55,$AD$55,C57=$Z$56,$AD$56,C57=$Z$57,$AD$57,C57=$Z$58,$AD$58,C57=$Z$59,$AD$59,C57=$Z$60,$AD$60,C57=$Z$61,$AD$61,C57=$Z$62,$AD$62,TRUE,"0")</f>
        <v>15 M 0-0 BACK +1.5 X AFTER GOAL</v>
      </c>
      <c r="C57" s="163" t="s">
        <v>473</v>
      </c>
      <c r="D57" s="2" t="s">
        <v>802</v>
      </c>
      <c r="E57" s="2" t="s">
        <v>803</v>
      </c>
      <c r="F57" s="3">
        <v>45418.75</v>
      </c>
      <c r="G57" s="2" t="s">
        <v>804</v>
      </c>
      <c r="H57" s="2" t="s">
        <v>805</v>
      </c>
      <c r="I57" s="2">
        <v>66</v>
      </c>
      <c r="J57" s="2">
        <v>80</v>
      </c>
      <c r="K57" s="2">
        <v>20</v>
      </c>
      <c r="L57" s="2">
        <v>2.7</v>
      </c>
      <c r="M57" s="2"/>
      <c r="O57" s="2" t="s">
        <v>95</v>
      </c>
      <c r="P57" s="14" t="s">
        <v>193</v>
      </c>
      <c r="Q57" s="14" t="s">
        <v>193</v>
      </c>
      <c r="R57" s="188">
        <f t="shared" si="1"/>
        <v>38.528898285157986</v>
      </c>
      <c r="S57" s="8">
        <f t="shared" si="2"/>
        <v>6.9352016913284373</v>
      </c>
      <c r="T57" s="234">
        <f t="shared" si="0"/>
        <v>777.51316739448805</v>
      </c>
      <c r="U57" s="15">
        <v>25</v>
      </c>
      <c r="V57" s="8">
        <f t="shared" si="3"/>
        <v>4.5</v>
      </c>
      <c r="W57" s="233">
        <f t="shared" si="4"/>
        <v>722.5</v>
      </c>
      <c r="Z57" s="2" t="s">
        <v>623</v>
      </c>
      <c r="AA57" s="241">
        <f>AJ18</f>
        <v>1</v>
      </c>
      <c r="AD57" s="16" t="s">
        <v>747</v>
      </c>
    </row>
    <row r="58" spans="1:30" ht="15.75" thickBot="1">
      <c r="A58" s="156" cm="1">
        <f t="array" ref="A58">_xlfn.IFS(C58=$Z$42,$AA$42,C58=$Z$43,$AA$43,C58=$Z$44,$AA$44,C58=$Z$45,$AA$45,C58=$Z$46,$AA$46,C58=$Z$47,$AA$47,C58=$Z$48,$AA$48,C58=$Z$49,$AA$49,C58=$Z$50,$AA$50,C58=$Z$51,$AA$51,C58=$Z$52,$AA$52,C58=$Z$53,$AA$53,C58=$Z$54,$AA$54,C58=$Z$55,$AA$55,C58=$Z$56,$AA$56,C58=$Z$57,$AA$57,C58=$Z$58,$AA$58,C58=$Z$59,$AA$59,C58=$Z$60,$AA$60,C58=$Z$61,$AA$61,C58=$Z$62,$AA$62,TRUE,"0")</f>
        <v>1</v>
      </c>
      <c r="B58" s="161" t="str" cm="1">
        <f t="array" ref="B58">_xlfn.IFS(C58=$Z$42,$AD$42,C58=$Z$43,$AD$43,C58=$Z$44,$AD$44,C58=$Z$45,$AD$45,C58=$Z$46,$AD$46,C58=$Z$47,$AD$47,C58=$Z$48,$AD$48,C58=$Z$49,$AD$49,C58=$Z$50,$AD$50,C58=$Z$51,$AD$51,C58=$Z$52,$AD$52,C58=$Z$53,$AD$53,C58=$Z$54,$AD$54,C58=$Z$55,$AD$55,C58=$Z$56,$AD$56,C58=$Z$57,$AD$57,C58=$Z$58,$AD$58,C58=$Z$59,$AD$59,C58=$Z$60,$AD$60,C58=$Z$61,$AD$61,C58=$Z$62,$AD$62,TRUE,"0")</f>
        <v>10M 0-0 BACK +1.5 X AFTER GOAL</v>
      </c>
      <c r="C58" s="163" t="s">
        <v>498</v>
      </c>
      <c r="D58" s="2" t="s">
        <v>296</v>
      </c>
      <c r="E58" s="2" t="s">
        <v>525</v>
      </c>
      <c r="F58" s="3">
        <v>45359.770833333336</v>
      </c>
      <c r="G58" s="2" t="s">
        <v>526</v>
      </c>
      <c r="H58" s="2" t="s">
        <v>527</v>
      </c>
      <c r="I58" s="2">
        <v>69</v>
      </c>
      <c r="J58" s="2">
        <v>85</v>
      </c>
      <c r="K58" s="2">
        <v>1.6</v>
      </c>
      <c r="L58" s="2">
        <v>20</v>
      </c>
      <c r="M58" s="2"/>
      <c r="O58" s="2" t="s">
        <v>95</v>
      </c>
      <c r="P58" s="14" t="s">
        <v>216</v>
      </c>
      <c r="Q58" s="14" t="s">
        <v>216</v>
      </c>
      <c r="R58" s="188">
        <f t="shared" si="1"/>
        <v>38.875658369724405</v>
      </c>
      <c r="S58" s="8">
        <f t="shared" si="2"/>
        <v>6.9976185065503929</v>
      </c>
      <c r="T58" s="234">
        <f t="shared" si="0"/>
        <v>784.51078590103839</v>
      </c>
      <c r="U58" s="15">
        <v>25</v>
      </c>
      <c r="V58" s="8">
        <f t="shared" si="3"/>
        <v>4.5</v>
      </c>
      <c r="W58" s="233">
        <f t="shared" si="4"/>
        <v>727</v>
      </c>
      <c r="Z58" s="2" t="s">
        <v>506</v>
      </c>
      <c r="AA58" s="241" t="e">
        <f>AJ22</f>
        <v>#DIV/0!</v>
      </c>
      <c r="AD58" s="16" t="s">
        <v>747</v>
      </c>
    </row>
    <row r="59" spans="1:30" ht="15.75" thickBot="1">
      <c r="A59" s="156" cm="1">
        <f t="array" ref="A59">_xlfn.IFS(C59=$Z$42,$AA$42,C59=$Z$43,$AA$43,C59=$Z$44,$AA$44,C59=$Z$45,$AA$45,C59=$Z$46,$AA$46,C59=$Z$47,$AA$47,C59=$Z$48,$AA$48,C59=$Z$49,$AA$49,C59=$Z$50,$AA$50,C59=$Z$51,$AA$51,C59=$Z$52,$AA$52,C59=$Z$53,$AA$53,C59=$Z$54,$AA$54,C59=$Z$55,$AA$55,C59=$Z$56,$AA$56,C59=$Z$57,$AA$57,C59=$Z$58,$AA$58,C59=$Z$59,$AA$59,C59=$Z$60,$AA$60,C59=$Z$61,$AA$61,C59=$Z$62,$AA$62,TRUE,"0")</f>
        <v>1</v>
      </c>
      <c r="B59" s="161" t="str" cm="1">
        <f t="array" ref="B59">_xlfn.IFS(C59=$Z$42,$AD$42,C59=$Z$43,$AD$43,C59=$Z$44,$AD$44,C59=$Z$45,$AD$45,C59=$Z$46,$AD$46,C59=$Z$47,$AD$47,C59=$Z$48,$AD$48,C59=$Z$49,$AD$49,C59=$Z$50,$AD$50,C59=$Z$51,$AD$51,C59=$Z$52,$AD$52,C59=$Z$53,$AD$53,C59=$Z$54,$AD$54,C59=$Z$55,$AD$55,C59=$Z$56,$AD$56,C59=$Z$57,$AD$57,C59=$Z$58,$AD$58,C59=$Z$59,$AD$59,C59=$Z$60,$AD$60,C59=$Z$61,$AD$61,C59=$Z$62,$AD$62,TRUE,"0")</f>
        <v>h2  +0.5 BET @ 40 MINS</v>
      </c>
      <c r="C59" s="163" t="s">
        <v>35</v>
      </c>
      <c r="D59" s="2" t="s">
        <v>296</v>
      </c>
      <c r="E59" s="2" t="s">
        <v>78</v>
      </c>
      <c r="F59" s="3">
        <v>45319.645833333336</v>
      </c>
      <c r="G59" s="2" t="s">
        <v>299</v>
      </c>
      <c r="H59" s="2" t="s">
        <v>346</v>
      </c>
      <c r="I59" s="2">
        <v>68</v>
      </c>
      <c r="J59" s="2">
        <v>89</v>
      </c>
      <c r="K59" s="2">
        <v>67</v>
      </c>
      <c r="L59" s="2">
        <v>39</v>
      </c>
      <c r="M59" s="2">
        <v>18</v>
      </c>
      <c r="N59" s="11">
        <v>0.5</v>
      </c>
      <c r="O59" s="2" t="s">
        <v>95</v>
      </c>
      <c r="P59" s="14" t="s">
        <v>193</v>
      </c>
      <c r="Q59" s="13" t="s">
        <v>222</v>
      </c>
      <c r="R59" s="188">
        <f t="shared" si="1"/>
        <v>39.225539295051924</v>
      </c>
      <c r="S59" s="8">
        <f t="shared" si="2"/>
        <v>7.0605970731093457</v>
      </c>
      <c r="T59" s="234">
        <f t="shared" si="0"/>
        <v>791.5713829741477</v>
      </c>
      <c r="U59" s="15">
        <v>25</v>
      </c>
      <c r="V59" s="8">
        <f t="shared" si="3"/>
        <v>4.5</v>
      </c>
      <c r="W59" s="233">
        <f t="shared" si="4"/>
        <v>731.5</v>
      </c>
      <c r="Z59" s="2" t="s">
        <v>514</v>
      </c>
      <c r="AA59" s="241" t="e">
        <f>AJ26</f>
        <v>#DIV/0!</v>
      </c>
      <c r="AD59" s="16" t="s">
        <v>748</v>
      </c>
    </row>
    <row r="60" spans="1:30">
      <c r="A60" s="156" cm="1">
        <f t="array" ref="A60">_xlfn.IFS(C60=$Z$42,$AA$42,C60=$Z$43,$AA$43,C60=$Z$44,$AA$44,C60=$Z$45,$AA$45,C60=$Z$46,$AA$46,C60=$Z$47,$AA$47,C60=$Z$48,$AA$48,C60=$Z$49,$AA$49,C60=$Z$50,$AA$50,C60=$Z$51,$AA$51,C60=$Z$52,$AA$52,C60=$Z$53,$AA$53,C60=$Z$54,$AA$54,C60=$Z$55,$AA$55,C60=$Z$56,$AA$56,C60=$Z$57,$AA$57,C60=$Z$58,$AA$58,C60=$Z$59,$AA$59,C60=$Z$60,$AA$60,C60=$Z$61,$AA$61,C60=$Z$62,$AA$62,TRUE,"0")</f>
        <v>1</v>
      </c>
      <c r="B60" s="161" t="str" cm="1">
        <f t="array" ref="B60">_xlfn.IFS(C60=$Z$42,$AD$42,C60=$Z$43,$AD$43,C60=$Z$44,$AD$44,C60=$Z$45,$AD$45,C60=$Z$46,$AD$46,C60=$Z$47,$AD$47,C60=$Z$48,$AD$48,C60=$Z$49,$AD$49,C60=$Z$50,$AD$50,C60=$Z$51,$AD$51,C60=$Z$52,$AD$52,C60=$Z$53,$AD$53,C60=$Z$54,$AD$54,C60=$Z$55,$AD$55,C60=$Z$56,$AD$56,C60=$Z$57,$AD$57,C60=$Z$58,$AD$58,C60=$Z$59,$AD$59,C60=$Z$60,$AD$60,C60=$Z$61,$AD$61,C60=$Z$62,$AD$62,TRUE,"0")</f>
        <v>h2  +0.5 BET @ 40 MINS</v>
      </c>
      <c r="C60" s="163" t="s">
        <v>35</v>
      </c>
      <c r="D60" s="2" t="s">
        <v>441</v>
      </c>
      <c r="E60" s="2" t="s">
        <v>442</v>
      </c>
      <c r="F60" s="3">
        <v>45340.458333333336</v>
      </c>
      <c r="G60" s="2" t="s">
        <v>443</v>
      </c>
      <c r="H60" s="2" t="s">
        <v>444</v>
      </c>
      <c r="I60" s="2">
        <v>71</v>
      </c>
      <c r="J60" s="2">
        <v>87</v>
      </c>
      <c r="K60" s="2">
        <v>67</v>
      </c>
      <c r="L60" s="2">
        <v>40</v>
      </c>
      <c r="M60" s="2">
        <v>15</v>
      </c>
      <c r="N60" s="11">
        <v>0.78</v>
      </c>
      <c r="O60" s="2" t="s">
        <v>95</v>
      </c>
      <c r="P60" s="14" t="s">
        <v>214</v>
      </c>
      <c r="Q60" s="14" t="s">
        <v>220</v>
      </c>
      <c r="R60" s="188">
        <f t="shared" si="1"/>
        <v>39.578569148707388</v>
      </c>
      <c r="S60" s="8">
        <f t="shared" si="2"/>
        <v>7.1241424467673298</v>
      </c>
      <c r="T60" s="234">
        <f t="shared" si="0"/>
        <v>798.69552542091503</v>
      </c>
      <c r="U60" s="15">
        <v>25</v>
      </c>
      <c r="V60" s="8">
        <f t="shared" si="3"/>
        <v>4.5</v>
      </c>
      <c r="W60" s="233">
        <f t="shared" si="4"/>
        <v>736</v>
      </c>
      <c r="Z60" s="2" t="s">
        <v>19</v>
      </c>
      <c r="AA60" s="243">
        <f>AF31</f>
        <v>0.93333333333333335</v>
      </c>
      <c r="AD60" s="16" t="s">
        <v>838</v>
      </c>
    </row>
    <row r="61" spans="1:30">
      <c r="A61" s="156" cm="1">
        <f t="array" ref="A61">_xlfn.IFS(C61=$Z$42,$AA$42,C61=$Z$43,$AA$43,C61=$Z$44,$AA$44,C61=$Z$45,$AA$45,C61=$Z$46,$AA$46,C61=$Z$47,$AA$47,C61=$Z$48,$AA$48,C61=$Z$49,$AA$49,C61=$Z$50,$AA$50,C61=$Z$51,$AA$51,C61=$Z$52,$AA$52,C61=$Z$53,$AA$53,C61=$Z$54,$AA$54,C61=$Z$55,$AA$55,C61=$Z$56,$AA$56,C61=$Z$57,$AA$57,C61=$Z$58,$AA$58,C61=$Z$59,$AA$59,C61=$Z$60,$AA$60,C61=$Z$61,$AA$61,C61=$Z$62,$AA$62,TRUE,"0")</f>
        <v>1</v>
      </c>
      <c r="B61" s="161" t="str" cm="1">
        <f t="array" ref="B61">_xlfn.IFS(C61=$Z$42,$AD$42,C61=$Z$43,$AD$43,C61=$Z$44,$AD$44,C61=$Z$45,$AD$45,C61=$Z$46,$AD$46,C61=$Z$47,$AD$47,C61=$Z$48,$AD$48,C61=$Z$49,$AD$49,C61=$Z$50,$AD$50,C61=$Z$51,$AD$51,C61=$Z$52,$AD$52,C61=$Z$53,$AD$53,C61=$Z$54,$AD$54,C61=$Z$55,$AD$55,C61=$Z$56,$AD$56,C61=$Z$57,$AD$57,C61=$Z$58,$AD$58,C61=$Z$59,$AD$59,C61=$Z$60,$AD$60,C61=$Z$61,$AD$61,C61=$Z$62,$AD$62,TRUE,"0")</f>
        <v>h2  +0.5 BET @ 40 MINS</v>
      </c>
      <c r="C61" s="163" t="s">
        <v>519</v>
      </c>
      <c r="D61" s="2" t="s">
        <v>80</v>
      </c>
      <c r="E61" s="2" t="s">
        <v>600</v>
      </c>
      <c r="F61" s="3">
        <v>45368.729166666664</v>
      </c>
      <c r="G61" s="2" t="s">
        <v>601</v>
      </c>
      <c r="H61" s="2" t="s">
        <v>602</v>
      </c>
      <c r="I61" s="2">
        <v>20</v>
      </c>
      <c r="J61" s="2">
        <v>90</v>
      </c>
      <c r="K61" s="2">
        <v>90</v>
      </c>
      <c r="L61" s="2"/>
      <c r="M61" s="2"/>
      <c r="N61" s="11"/>
      <c r="O61" s="2" t="s">
        <v>95</v>
      </c>
      <c r="P61" s="14" t="s">
        <v>214</v>
      </c>
      <c r="Q61" s="14" t="s">
        <v>220</v>
      </c>
      <c r="R61" s="188">
        <f t="shared" si="1"/>
        <v>39.934776271045756</v>
      </c>
      <c r="S61" s="8">
        <f t="shared" si="2"/>
        <v>7.1882597287882355</v>
      </c>
      <c r="T61" s="234">
        <f t="shared" si="0"/>
        <v>805.88378514970327</v>
      </c>
      <c r="U61" s="15">
        <v>25</v>
      </c>
      <c r="V61" s="8">
        <f t="shared" si="3"/>
        <v>4.5</v>
      </c>
      <c r="W61" s="233">
        <f t="shared" si="4"/>
        <v>740.5</v>
      </c>
      <c r="Z61" s="2" t="s">
        <v>270</v>
      </c>
      <c r="AA61" s="243">
        <f>AF31</f>
        <v>0.93333333333333335</v>
      </c>
      <c r="AD61" s="16" t="s">
        <v>838</v>
      </c>
    </row>
    <row r="62" spans="1:30">
      <c r="A62" s="156" cm="1">
        <f t="array" ref="A62">_xlfn.IFS(C62=$Z$42,$AA$42,C62=$Z$43,$AA$43,C62=$Z$44,$AA$44,C62=$Z$45,$AA$45,C62=$Z$46,$AA$46,C62=$Z$47,$AA$47,C62=$Z$48,$AA$48,C62=$Z$49,$AA$49,C62=$Z$50,$AA$50,C62=$Z$51,$AA$51,C62=$Z$52,$AA$52,C62=$Z$53,$AA$53,C62=$Z$54,$AA$54,C62=$Z$55,$AA$55,C62=$Z$56,$AA$56,C62=$Z$57,$AA$57,C62=$Z$58,$AA$58,C62=$Z$59,$AA$59,C62=$Z$60,$AA$60,C62=$Z$61,$AA$61,C62=$Z$62,$AA$62,TRUE,"0")</f>
        <v>0.95454545454545459</v>
      </c>
      <c r="B62" s="161" t="str" cm="1">
        <f t="array" ref="B62">_xlfn.IFS(C62=$Z$42,$AD$42,C62=$Z$43,$AD$43,C62=$Z$44,$AD$44,C62=$Z$45,$AD$45,C62=$Z$46,$AD$46,C62=$Z$47,$AD$47,C62=$Z$48,$AD$48,C62=$Z$49,$AD$49,C62=$Z$50,$AD$50,C62=$Z$51,$AD$51,C62=$Z$52,$AD$52,C62=$Z$53,$AD$53,C62=$Z$54,$AD$54,C62=$Z$55,$AD$55,C62=$Z$56,$AD$56,C62=$Z$57,$AD$57,C62=$Z$58,$AD$58,C62=$Z$59,$AD$59,C62=$Z$60,$AD$60,C62=$Z$61,$AD$61,C62=$Z$62,$AD$62,TRUE,"0")</f>
        <v>h2  +0.5 BET @ 40 MINS</v>
      </c>
      <c r="C62" s="163" t="s">
        <v>515</v>
      </c>
      <c r="D62" s="2" t="s">
        <v>80</v>
      </c>
      <c r="E62" s="2" t="s">
        <v>573</v>
      </c>
      <c r="F62" s="3">
        <v>45367.458333333336</v>
      </c>
      <c r="G62" s="2" t="s">
        <v>574</v>
      </c>
      <c r="H62" s="2" t="s">
        <v>575</v>
      </c>
      <c r="I62" s="2">
        <v>20</v>
      </c>
      <c r="J62" s="2">
        <v>71</v>
      </c>
      <c r="K62" s="2">
        <v>1.45</v>
      </c>
      <c r="L62" s="2"/>
      <c r="M62" s="2"/>
      <c r="N62" s="11"/>
      <c r="O62" s="2" t="s">
        <v>95</v>
      </c>
      <c r="P62" s="14" t="s">
        <v>221</v>
      </c>
      <c r="Q62" s="14" t="s">
        <v>218</v>
      </c>
      <c r="R62" s="188">
        <f t="shared" si="1"/>
        <v>40.294189257485165</v>
      </c>
      <c r="S62" s="8">
        <f t="shared" si="2"/>
        <v>7.2529540663473293</v>
      </c>
      <c r="T62" s="234">
        <f t="shared" si="0"/>
        <v>813.13673921605061</v>
      </c>
      <c r="U62" s="15">
        <v>25</v>
      </c>
      <c r="V62" s="8">
        <f t="shared" si="3"/>
        <v>4.5</v>
      </c>
      <c r="W62" s="233">
        <f t="shared" si="4"/>
        <v>745</v>
      </c>
      <c r="Z62" s="2" t="s">
        <v>726</v>
      </c>
      <c r="AA62" s="244" t="e">
        <f>AB34</f>
        <v>#DIV/0!</v>
      </c>
      <c r="AD62" s="16" t="s">
        <v>839</v>
      </c>
    </row>
    <row r="63" spans="1:30">
      <c r="A63" s="156" cm="1">
        <f t="array" ref="A63">_xlfn.IFS(C63=$Z$42,$AA$42,C63=$Z$43,$AA$43,C63=$Z$44,$AA$44,C63=$Z$45,$AA$45,C63=$Z$46,$AA$46,C63=$Z$47,$AA$47,C63=$Z$48,$AA$48,C63=$Z$49,$AA$49,C63=$Z$50,$AA$50,C63=$Z$51,$AA$51,C63=$Z$52,$AA$52,C63=$Z$53,$AA$53,C63=$Z$54,$AA$54,C63=$Z$55,$AA$55,C63=$Z$56,$AA$56,C63=$Z$57,$AA$57,C63=$Z$58,$AA$58,C63=$Z$59,$AA$59,C63=$Z$60,$AA$60,C63=$Z$61,$AA$61,C63=$Z$62,$AA$62,TRUE,"0")</f>
        <v>0.93333333333333335</v>
      </c>
      <c r="B63" s="161" t="str" cm="1">
        <f t="array" ref="B63">_xlfn.IFS(C63=$Z$42,$AD$42,C63=$Z$43,$AD$43,C63=$Z$44,$AD$44,C63=$Z$45,$AD$45,C63=$Z$46,$AD$46,C63=$Z$47,$AD$47,C63=$Z$48,$AD$48,C63=$Z$49,$AD$49,C63=$Z$50,$AD$50,C63=$Z$51,$AD$51,C63=$Z$52,$AD$52,C63=$Z$53,$AD$53,C63=$Z$54,$AD$54,C63=$Z$55,$AD$55,C63=$Z$56,$AD$56,C63=$Z$57,$AD$57,C63=$Z$58,$AD$58,C63=$Z$59,$AD$59,C63=$Z$60,$AD$60,C63=$Z$61,$AD$61,C63=$Z$62,$AD$62,TRUE,"0")</f>
        <v>B + 0.5 at 1.2+ or @ 40 mins</v>
      </c>
      <c r="C63" s="163" t="s">
        <v>270</v>
      </c>
      <c r="D63" s="2" t="s">
        <v>80</v>
      </c>
      <c r="E63" s="2" t="s">
        <v>81</v>
      </c>
      <c r="F63" s="3">
        <v>45284.4375</v>
      </c>
      <c r="G63" s="2" t="s">
        <v>82</v>
      </c>
      <c r="H63" s="2" t="s">
        <v>83</v>
      </c>
      <c r="I63" s="2">
        <v>67</v>
      </c>
      <c r="J63" s="2">
        <v>0</v>
      </c>
      <c r="K63" s="2">
        <v>20</v>
      </c>
      <c r="L63" s="2"/>
      <c r="M63" s="2"/>
      <c r="N63" s="11"/>
      <c r="O63" s="2" t="s">
        <v>95</v>
      </c>
      <c r="P63" s="13" t="s">
        <v>221</v>
      </c>
      <c r="Q63" s="13" t="s">
        <v>220</v>
      </c>
      <c r="R63" s="188">
        <f t="shared" si="1"/>
        <v>40.656836960802536</v>
      </c>
      <c r="S63" s="8">
        <f t="shared" si="2"/>
        <v>7.3182306529444565</v>
      </c>
      <c r="T63" s="234">
        <f t="shared" si="0"/>
        <v>820.45496986899502</v>
      </c>
      <c r="U63" s="15">
        <v>25</v>
      </c>
      <c r="V63" s="8">
        <f t="shared" si="3"/>
        <v>4.5</v>
      </c>
      <c r="W63" s="233">
        <f t="shared" si="4"/>
        <v>749.5</v>
      </c>
    </row>
    <row r="64" spans="1:30">
      <c r="A64" s="156" cm="1">
        <f t="array" ref="A64">_xlfn.IFS(C64=$Z$42,$AA$42,C64=$Z$43,$AA$43,C64=$Z$44,$AA$44,C64=$Z$45,$AA$45,C64=$Z$46,$AA$46,C64=$Z$47,$AA$47,C64=$Z$48,$AA$48,C64=$Z$49,$AA$49,C64=$Z$50,$AA$50,C64=$Z$51,$AA$51,C64=$Z$52,$AA$52,C64=$Z$53,$AA$53,C64=$Z$54,$AA$54,C64=$Z$55,$AA$55,C64=$Z$56,$AA$56,C64=$Z$57,$AA$57,C64=$Z$58,$AA$58,C64=$Z$59,$AA$59,C64=$Z$60,$AA$60,C64=$Z$61,$AA$61,C64=$Z$62,$AA$62,TRUE,"0")</f>
        <v>1</v>
      </c>
      <c r="B64" s="161" t="str" cm="1">
        <f t="array" ref="B64">_xlfn.IFS(C64=$Z$42,$AD$42,C64=$Z$43,$AD$43,C64=$Z$44,$AD$44,C64=$Z$45,$AD$45,C64=$Z$46,$AD$46,C64=$Z$47,$AD$47,C64=$Z$48,$AD$48,C64=$Z$49,$AD$49,C64=$Z$50,$AD$50,C64=$Z$51,$AD$51,C64=$Z$52,$AD$52,C64=$Z$53,$AD$53,C64=$Z$54,$AD$54,C64=$Z$55,$AD$55,C64=$Z$56,$AD$56,C64=$Z$57,$AD$57,C64=$Z$58,$AD$58,C64=$Z$59,$AD$59,C64=$Z$60,$AD$60,C64=$Z$61,$AD$61,C64=$Z$62,$AD$62,TRUE,"0")</f>
        <v>h1 +0.5.  X @ 40M</v>
      </c>
      <c r="C64" s="163" t="s">
        <v>432</v>
      </c>
      <c r="D64" s="2" t="s">
        <v>616</v>
      </c>
      <c r="E64" s="2" t="s">
        <v>617</v>
      </c>
      <c r="F64" s="3">
        <v>45428.145833333336</v>
      </c>
      <c r="G64" s="2" t="s">
        <v>618</v>
      </c>
      <c r="H64" s="2" t="s">
        <v>717</v>
      </c>
      <c r="I64" s="2">
        <v>5</v>
      </c>
      <c r="J64" s="2">
        <v>20</v>
      </c>
      <c r="K64" s="2">
        <v>18</v>
      </c>
      <c r="L64" s="2">
        <v>18</v>
      </c>
      <c r="M64" s="2">
        <v>20</v>
      </c>
      <c r="N64" s="11">
        <v>1.85</v>
      </c>
      <c r="O64" s="2" t="s">
        <v>95</v>
      </c>
      <c r="P64" s="14" t="s">
        <v>217</v>
      </c>
      <c r="Q64" s="14" t="s">
        <v>277</v>
      </c>
      <c r="R64" s="188">
        <f t="shared" si="1"/>
        <v>41.022748493449754</v>
      </c>
      <c r="S64" s="8">
        <f t="shared" si="2"/>
        <v>7.3840947288209557</v>
      </c>
      <c r="T64" s="234">
        <f t="shared" si="0"/>
        <v>827.83906459781599</v>
      </c>
      <c r="U64" s="15">
        <v>25</v>
      </c>
      <c r="V64" s="8">
        <f t="shared" si="3"/>
        <v>4.5</v>
      </c>
      <c r="W64" s="233">
        <f t="shared" si="4"/>
        <v>754</v>
      </c>
    </row>
    <row r="65" spans="1:26">
      <c r="A65" s="156" cm="1">
        <f t="array" ref="A65">_xlfn.IFS(C65=$Z$42,$AA$42,C65=$Z$43,$AA$43,C65=$Z$44,$AA$44,C65=$Z$45,$AA$45,C65=$Z$46,$AA$46,C65=$Z$47,$AA$47,C65=$Z$48,$AA$48,C65=$Z$49,$AA$49,C65=$Z$50,$AA$50,C65=$Z$51,$AA$51,C65=$Z$52,$AA$52,C65=$Z$53,$AA$53,C65=$Z$54,$AA$54,C65=$Z$55,$AA$55,C65=$Z$56,$AA$56,C65=$Z$57,$AA$57,C65=$Z$58,$AA$58,C65=$Z$59,$AA$59,C65=$Z$60,$AA$60,C65=$Z$61,$AA$61,C65=$Z$62,$AA$62,TRUE,"0")</f>
        <v>1</v>
      </c>
      <c r="B65" s="161" t="str" cm="1">
        <f t="array" ref="B65">_xlfn.IFS(C65=$Z$42,$AD$42,C65=$Z$43,$AD$43,C65=$Z$44,$AD$44,C65=$Z$45,$AD$45,C65=$Z$46,$AD$46,C65=$Z$47,$AD$47,C65=$Z$48,$AD$48,C65=$Z$49,$AD$49,C65=$Z$50,$AD$50,C65=$Z$51,$AD$51,C65=$Z$52,$AD$52,C65=$Z$53,$AD$53,C65=$Z$54,$AD$54,C65=$Z$55,$AD$55,C65=$Z$56,$AD$56,C65=$Z$57,$AD$57,C65=$Z$58,$AD$58,C65=$Z$59,$AD$59,C65=$Z$60,$AD$60,C65=$Z$61,$AD$61,C65=$Z$62,$AD$62,TRUE,"0")</f>
        <v>h2  +0.5 BET @ 40 MINS</v>
      </c>
      <c r="C65" s="163" t="s">
        <v>28</v>
      </c>
      <c r="D65" s="2" t="s">
        <v>89</v>
      </c>
      <c r="E65" s="2" t="s">
        <v>90</v>
      </c>
      <c r="F65" s="3">
        <v>45286.604166666664</v>
      </c>
      <c r="G65" s="2" t="s">
        <v>91</v>
      </c>
      <c r="H65" s="2" t="s">
        <v>92</v>
      </c>
      <c r="I65" s="2">
        <v>2.5</v>
      </c>
      <c r="J65" s="2">
        <v>5.08</v>
      </c>
      <c r="K65" s="2">
        <v>65</v>
      </c>
      <c r="L65" s="2">
        <v>0</v>
      </c>
      <c r="M65" s="2">
        <v>20</v>
      </c>
      <c r="N65" s="11"/>
      <c r="O65" s="2" t="s">
        <v>95</v>
      </c>
      <c r="P65" s="14" t="s">
        <v>193</v>
      </c>
      <c r="Q65" s="13" t="s">
        <v>222</v>
      </c>
      <c r="R65" s="188">
        <f t="shared" si="1"/>
        <v>41.391953229890802</v>
      </c>
      <c r="S65" s="8">
        <f t="shared" si="2"/>
        <v>7.4505515813803438</v>
      </c>
      <c r="T65" s="234">
        <f t="shared" si="0"/>
        <v>835.28961617919629</v>
      </c>
      <c r="U65" s="15">
        <v>25</v>
      </c>
      <c r="V65" s="8">
        <f t="shared" si="3"/>
        <v>4.5</v>
      </c>
      <c r="W65" s="233">
        <f t="shared" si="4"/>
        <v>758.5</v>
      </c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88">
        <f t="shared" si="1"/>
        <v>41.764480808959817</v>
      </c>
      <c r="S66" s="8">
        <f t="shared" si="2"/>
        <v>-41.764480808959817</v>
      </c>
      <c r="T66" s="234">
        <f t="shared" ref="T66:T72" si="5">SUM(T65,S66)</f>
        <v>793.52513537023651</v>
      </c>
      <c r="U66" s="15">
        <v>25</v>
      </c>
      <c r="V66" s="8">
        <f t="shared" si="3"/>
        <v>-25</v>
      </c>
      <c r="W66" s="233">
        <f t="shared" si="4"/>
        <v>733.5</v>
      </c>
      <c r="Z66" s="2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 s="188">
        <f t="shared" ref="R67:R130" si="6">SUM(T66*0.05)</f>
        <v>39.676256768511827</v>
      </c>
      <c r="S67" s="8">
        <f t="shared" ref="S67:S130" si="7">IF(O67="won",R67*0.18,-R67)</f>
        <v>-39.676256768511827</v>
      </c>
      <c r="T67" s="234">
        <f t="shared" si="5"/>
        <v>753.84887860172466</v>
      </c>
      <c r="U67" s="15">
        <v>25</v>
      </c>
      <c r="V67" s="8">
        <f t="shared" ref="V67:V130" si="8">IF(O67="won",U67*0.18,-U67)</f>
        <v>-25</v>
      </c>
      <c r="W67" s="233">
        <f t="shared" ref="W67:W130" si="9">SUM(W66,V67)</f>
        <v>708.5</v>
      </c>
      <c r="Z67" s="2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 s="188">
        <f t="shared" si="6"/>
        <v>37.692443930086235</v>
      </c>
      <c r="S68" s="8">
        <f t="shared" si="7"/>
        <v>-37.692443930086235</v>
      </c>
      <c r="T68" s="234">
        <f t="shared" si="5"/>
        <v>716.15643467163841</v>
      </c>
      <c r="U68" s="15">
        <v>25</v>
      </c>
      <c r="V68" s="8">
        <f t="shared" si="8"/>
        <v>-25</v>
      </c>
      <c r="W68" s="233">
        <f t="shared" si="9"/>
        <v>683.5</v>
      </c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88">
        <f t="shared" si="6"/>
        <v>35.807821733581925</v>
      </c>
      <c r="S69" s="8">
        <f t="shared" si="7"/>
        <v>-35.807821733581925</v>
      </c>
      <c r="T69" s="234">
        <f t="shared" si="5"/>
        <v>680.34861293805648</v>
      </c>
      <c r="U69" s="15">
        <v>25</v>
      </c>
      <c r="V69" s="8">
        <f t="shared" si="8"/>
        <v>-25</v>
      </c>
      <c r="W69" s="233">
        <f t="shared" si="9"/>
        <v>658.5</v>
      </c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88">
        <f t="shared" si="6"/>
        <v>34.017430646902824</v>
      </c>
      <c r="S70" s="8">
        <f t="shared" si="7"/>
        <v>-34.017430646902824</v>
      </c>
      <c r="T70" s="234">
        <f t="shared" si="5"/>
        <v>646.33118229115371</v>
      </c>
      <c r="U70" s="15">
        <v>25</v>
      </c>
      <c r="V70" s="8">
        <f t="shared" si="8"/>
        <v>-25</v>
      </c>
      <c r="W70" s="233">
        <f t="shared" si="9"/>
        <v>633.5</v>
      </c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 s="188">
        <f t="shared" si="6"/>
        <v>32.316559114557684</v>
      </c>
      <c r="S71" s="8">
        <f t="shared" si="7"/>
        <v>-32.316559114557684</v>
      </c>
      <c r="T71" s="234">
        <f t="shared" si="5"/>
        <v>614.01462317659605</v>
      </c>
      <c r="U71" s="15">
        <v>25</v>
      </c>
      <c r="V71" s="8">
        <f t="shared" si="8"/>
        <v>-25</v>
      </c>
      <c r="W71" s="233">
        <f t="shared" si="9"/>
        <v>608.5</v>
      </c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 s="188">
        <f t="shared" si="6"/>
        <v>30.700731158829804</v>
      </c>
      <c r="S72" s="8">
        <f t="shared" si="7"/>
        <v>-30.700731158829804</v>
      </c>
      <c r="T72" s="234">
        <f t="shared" si="5"/>
        <v>583.31389201776619</v>
      </c>
      <c r="U72" s="15">
        <v>25</v>
      </c>
      <c r="V72" s="8">
        <f t="shared" si="8"/>
        <v>-25</v>
      </c>
      <c r="W72" s="233">
        <f t="shared" si="9"/>
        <v>583.5</v>
      </c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88">
        <f t="shared" si="6"/>
        <v>29.165694600888312</v>
      </c>
      <c r="S73" s="8">
        <f t="shared" si="7"/>
        <v>-29.165694600888312</v>
      </c>
      <c r="T73" s="234">
        <f>SUM(T72,S73)</f>
        <v>554.14819741687791</v>
      </c>
      <c r="U73" s="15">
        <v>25</v>
      </c>
      <c r="V73" s="8">
        <f t="shared" si="8"/>
        <v>-25</v>
      </c>
      <c r="W73" s="233">
        <f t="shared" si="9"/>
        <v>558.5</v>
      </c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88">
        <f t="shared" si="6"/>
        <v>27.707409870843897</v>
      </c>
      <c r="S74" s="8">
        <f t="shared" si="7"/>
        <v>-27.707409870843897</v>
      </c>
      <c r="T74" s="234">
        <f t="shared" ref="T74:T137" si="10">SUM(T73,S74)</f>
        <v>526.44078754603402</v>
      </c>
      <c r="U74" s="15">
        <v>25</v>
      </c>
      <c r="V74" s="8">
        <f t="shared" si="8"/>
        <v>-25</v>
      </c>
      <c r="W74" s="233">
        <f t="shared" si="9"/>
        <v>533.5</v>
      </c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 s="188">
        <f t="shared" si="6"/>
        <v>26.322039377301703</v>
      </c>
      <c r="S75" s="8">
        <f t="shared" si="7"/>
        <v>-26.322039377301703</v>
      </c>
      <c r="T75" s="234">
        <f t="shared" si="10"/>
        <v>500.11874816873234</v>
      </c>
      <c r="U75" s="15">
        <v>25</v>
      </c>
      <c r="V75" s="8">
        <f t="shared" si="8"/>
        <v>-25</v>
      </c>
      <c r="W75" s="233">
        <f t="shared" si="9"/>
        <v>508.5</v>
      </c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188">
        <f t="shared" si="6"/>
        <v>25.005937408436619</v>
      </c>
      <c r="S76" s="8">
        <f t="shared" si="7"/>
        <v>-25.005937408436619</v>
      </c>
      <c r="T76" s="234">
        <f t="shared" si="10"/>
        <v>475.1128107602957</v>
      </c>
      <c r="U76" s="15">
        <v>25</v>
      </c>
      <c r="V76" s="8">
        <f t="shared" si="8"/>
        <v>-25</v>
      </c>
      <c r="W76" s="233">
        <f t="shared" si="9"/>
        <v>483.5</v>
      </c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 s="188">
        <f t="shared" si="6"/>
        <v>23.755640538014788</v>
      </c>
      <c r="S77" s="8">
        <f t="shared" si="7"/>
        <v>-23.755640538014788</v>
      </c>
      <c r="T77" s="234">
        <f t="shared" si="10"/>
        <v>451.3571702222809</v>
      </c>
      <c r="U77" s="15">
        <v>25</v>
      </c>
      <c r="V77" s="8">
        <f t="shared" si="8"/>
        <v>-25</v>
      </c>
      <c r="W77" s="233">
        <f t="shared" si="9"/>
        <v>458.5</v>
      </c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88">
        <f t="shared" si="6"/>
        <v>22.567858511114046</v>
      </c>
      <c r="S78" s="8">
        <f t="shared" si="7"/>
        <v>-22.567858511114046</v>
      </c>
      <c r="T78" s="234">
        <f t="shared" si="10"/>
        <v>428.78931171116687</v>
      </c>
      <c r="U78" s="15">
        <v>25</v>
      </c>
      <c r="V78" s="8">
        <f t="shared" si="8"/>
        <v>-25</v>
      </c>
      <c r="W78" s="233">
        <f t="shared" si="9"/>
        <v>433.5</v>
      </c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88">
        <f t="shared" si="6"/>
        <v>21.439465585558345</v>
      </c>
      <c r="S79" s="8">
        <f t="shared" si="7"/>
        <v>-21.439465585558345</v>
      </c>
      <c r="T79" s="234">
        <f t="shared" si="10"/>
        <v>407.34984612560851</v>
      </c>
      <c r="U79" s="15">
        <v>25</v>
      </c>
      <c r="V79" s="8">
        <f t="shared" si="8"/>
        <v>-25</v>
      </c>
      <c r="W79" s="233">
        <f t="shared" si="9"/>
        <v>408.5</v>
      </c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88">
        <f t="shared" si="6"/>
        <v>20.367492306280425</v>
      </c>
      <c r="S80" s="8">
        <f t="shared" si="7"/>
        <v>-20.367492306280425</v>
      </c>
      <c r="T80" s="234">
        <f t="shared" si="10"/>
        <v>386.98235381932807</v>
      </c>
      <c r="U80" s="15">
        <v>25</v>
      </c>
      <c r="V80" s="8">
        <f t="shared" si="8"/>
        <v>-25</v>
      </c>
      <c r="W80" s="233">
        <f t="shared" si="9"/>
        <v>383.5</v>
      </c>
    </row>
    <row r="81" spans="1:2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88">
        <f t="shared" si="6"/>
        <v>19.349117690966406</v>
      </c>
      <c r="S81" s="8">
        <f t="shared" si="7"/>
        <v>-19.349117690966406</v>
      </c>
      <c r="T81" s="234">
        <f t="shared" si="10"/>
        <v>367.63323612836166</v>
      </c>
      <c r="U81" s="15">
        <v>25</v>
      </c>
      <c r="V81" s="8">
        <f t="shared" si="8"/>
        <v>-25</v>
      </c>
      <c r="W81" s="233">
        <f t="shared" si="9"/>
        <v>358.5</v>
      </c>
    </row>
    <row r="82" spans="1:2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 s="188">
        <f t="shared" si="6"/>
        <v>18.381661806418084</v>
      </c>
      <c r="S82" s="8">
        <f t="shared" si="7"/>
        <v>-18.381661806418084</v>
      </c>
      <c r="T82" s="234">
        <f t="shared" si="10"/>
        <v>349.25157432194356</v>
      </c>
      <c r="U82" s="15">
        <v>25</v>
      </c>
      <c r="V82" s="8">
        <f t="shared" si="8"/>
        <v>-25</v>
      </c>
      <c r="W82" s="233">
        <f t="shared" si="9"/>
        <v>333.5</v>
      </c>
    </row>
    <row r="83" spans="1:2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188">
        <f t="shared" si="6"/>
        <v>17.46257871609718</v>
      </c>
      <c r="S83" s="8">
        <f t="shared" si="7"/>
        <v>-17.46257871609718</v>
      </c>
      <c r="T83" s="234">
        <f t="shared" si="10"/>
        <v>331.78899560584637</v>
      </c>
      <c r="U83" s="15">
        <v>25</v>
      </c>
      <c r="V83" s="8">
        <f t="shared" si="8"/>
        <v>-25</v>
      </c>
      <c r="W83" s="233">
        <f t="shared" si="9"/>
        <v>308.5</v>
      </c>
    </row>
    <row r="84" spans="1:2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88">
        <f t="shared" si="6"/>
        <v>16.58944978029232</v>
      </c>
      <c r="S84" s="8">
        <f t="shared" si="7"/>
        <v>-16.58944978029232</v>
      </c>
      <c r="T84" s="234">
        <f t="shared" si="10"/>
        <v>315.19954582555403</v>
      </c>
      <c r="U84" s="15">
        <v>25</v>
      </c>
      <c r="V84" s="8">
        <f t="shared" si="8"/>
        <v>-25</v>
      </c>
      <c r="W84" s="233">
        <f t="shared" si="9"/>
        <v>283.5</v>
      </c>
    </row>
    <row r="85" spans="1:2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88">
        <f t="shared" si="6"/>
        <v>15.759977291277702</v>
      </c>
      <c r="S85" s="8">
        <f t="shared" si="7"/>
        <v>-15.759977291277702</v>
      </c>
      <c r="T85" s="234">
        <f t="shared" si="10"/>
        <v>299.4395685342763</v>
      </c>
      <c r="U85" s="15">
        <v>25</v>
      </c>
      <c r="V85" s="8">
        <f t="shared" si="8"/>
        <v>-25</v>
      </c>
      <c r="W85" s="233">
        <f t="shared" si="9"/>
        <v>258.5</v>
      </c>
    </row>
    <row r="86" spans="1:2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88">
        <f t="shared" si="6"/>
        <v>14.971978426713816</v>
      </c>
      <c r="S86" s="8">
        <f t="shared" si="7"/>
        <v>-14.971978426713816</v>
      </c>
      <c r="T86" s="234">
        <f t="shared" si="10"/>
        <v>284.4675901075625</v>
      </c>
      <c r="U86" s="15">
        <v>25</v>
      </c>
      <c r="V86" s="8">
        <f t="shared" si="8"/>
        <v>-25</v>
      </c>
      <c r="W86" s="233">
        <f t="shared" si="9"/>
        <v>233.5</v>
      </c>
    </row>
    <row r="87" spans="1:2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88">
        <f t="shared" si="6"/>
        <v>14.223379505378126</v>
      </c>
      <c r="S87" s="8">
        <f t="shared" si="7"/>
        <v>-14.223379505378126</v>
      </c>
      <c r="T87" s="234">
        <f t="shared" si="10"/>
        <v>270.24421060218435</v>
      </c>
      <c r="U87" s="15">
        <v>25</v>
      </c>
      <c r="V87" s="8">
        <f t="shared" si="8"/>
        <v>-25</v>
      </c>
      <c r="W87" s="233">
        <f t="shared" si="9"/>
        <v>208.5</v>
      </c>
    </row>
    <row r="88" spans="1:2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88">
        <f t="shared" si="6"/>
        <v>13.512210530109218</v>
      </c>
      <c r="S88" s="8">
        <f t="shared" si="7"/>
        <v>-13.512210530109218</v>
      </c>
      <c r="T88" s="234">
        <f t="shared" si="10"/>
        <v>256.73200007207515</v>
      </c>
      <c r="U88" s="15">
        <v>25</v>
      </c>
      <c r="V88" s="8">
        <f t="shared" si="8"/>
        <v>-25</v>
      </c>
      <c r="W88" s="233">
        <f t="shared" si="9"/>
        <v>183.5</v>
      </c>
    </row>
    <row r="89" spans="1:2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 s="188">
        <f t="shared" si="6"/>
        <v>12.836600003603758</v>
      </c>
      <c r="S89" s="8">
        <f t="shared" si="7"/>
        <v>-12.836600003603758</v>
      </c>
      <c r="T89" s="234">
        <f t="shared" si="10"/>
        <v>243.89540006847139</v>
      </c>
      <c r="U89" s="15">
        <v>25</v>
      </c>
      <c r="V89" s="8">
        <f t="shared" si="8"/>
        <v>-25</v>
      </c>
      <c r="W89" s="233">
        <f t="shared" si="9"/>
        <v>158.5</v>
      </c>
    </row>
    <row r="90" spans="1:2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88">
        <f t="shared" si="6"/>
        <v>12.194770003423571</v>
      </c>
      <c r="S90" s="8">
        <f t="shared" si="7"/>
        <v>-12.194770003423571</v>
      </c>
      <c r="T90" s="234">
        <f t="shared" si="10"/>
        <v>231.70063006504782</v>
      </c>
      <c r="U90" s="15">
        <v>25</v>
      </c>
      <c r="V90" s="8">
        <f t="shared" si="8"/>
        <v>-25</v>
      </c>
      <c r="W90" s="233">
        <f t="shared" si="9"/>
        <v>133.5</v>
      </c>
    </row>
    <row r="91" spans="1:2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88">
        <f t="shared" si="6"/>
        <v>11.585031503252392</v>
      </c>
      <c r="S91" s="8">
        <f t="shared" si="7"/>
        <v>-11.585031503252392</v>
      </c>
      <c r="T91" s="234">
        <f t="shared" si="10"/>
        <v>220.11559856179542</v>
      </c>
      <c r="U91" s="15">
        <v>25</v>
      </c>
      <c r="V91" s="8">
        <f t="shared" si="8"/>
        <v>-25</v>
      </c>
      <c r="W91" s="233">
        <f t="shared" si="9"/>
        <v>108.5</v>
      </c>
    </row>
    <row r="92" spans="1:2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 s="188">
        <f t="shared" si="6"/>
        <v>11.005779928089773</v>
      </c>
      <c r="S92" s="8">
        <f t="shared" si="7"/>
        <v>-11.005779928089773</v>
      </c>
      <c r="T92" s="234">
        <f t="shared" si="10"/>
        <v>209.10981863370566</v>
      </c>
      <c r="U92" s="15">
        <v>25</v>
      </c>
      <c r="V92" s="8">
        <f t="shared" si="8"/>
        <v>-25</v>
      </c>
      <c r="W92" s="233">
        <f t="shared" si="9"/>
        <v>83.5</v>
      </c>
    </row>
    <row r="93" spans="1:2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 s="188">
        <f t="shared" si="6"/>
        <v>10.455490931685283</v>
      </c>
      <c r="S93" s="8">
        <f t="shared" si="7"/>
        <v>-10.455490931685283</v>
      </c>
      <c r="T93" s="234">
        <f t="shared" si="10"/>
        <v>198.65432770202037</v>
      </c>
      <c r="U93" s="15">
        <v>25</v>
      </c>
      <c r="V93" s="8">
        <f t="shared" si="8"/>
        <v>-25</v>
      </c>
      <c r="W93" s="233">
        <f t="shared" si="9"/>
        <v>58.5</v>
      </c>
    </row>
    <row r="94" spans="1:2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 s="188">
        <f t="shared" si="6"/>
        <v>9.9327163851010187</v>
      </c>
      <c r="S94" s="8">
        <f t="shared" si="7"/>
        <v>-9.9327163851010187</v>
      </c>
      <c r="T94" s="234">
        <f t="shared" si="10"/>
        <v>188.72161131691934</v>
      </c>
      <c r="U94" s="15">
        <v>25</v>
      </c>
      <c r="V94" s="8">
        <f t="shared" si="8"/>
        <v>-25</v>
      </c>
      <c r="W94" s="233">
        <f t="shared" si="9"/>
        <v>33.5</v>
      </c>
    </row>
    <row r="95" spans="1:2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 s="188">
        <f t="shared" si="6"/>
        <v>9.4360805658459679</v>
      </c>
      <c r="S95" s="8">
        <f t="shared" si="7"/>
        <v>-9.4360805658459679</v>
      </c>
      <c r="T95" s="234">
        <f t="shared" si="10"/>
        <v>179.28553075107337</v>
      </c>
      <c r="U95" s="15">
        <v>25</v>
      </c>
      <c r="V95" s="8">
        <f t="shared" si="8"/>
        <v>-25</v>
      </c>
      <c r="W95" s="233">
        <f t="shared" si="9"/>
        <v>8.5</v>
      </c>
    </row>
    <row r="96" spans="1:2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 s="188">
        <f t="shared" si="6"/>
        <v>8.964276537553669</v>
      </c>
      <c r="S96" s="8">
        <f t="shared" si="7"/>
        <v>-8.964276537553669</v>
      </c>
      <c r="T96" s="234">
        <f t="shared" si="10"/>
        <v>170.32125421351969</v>
      </c>
      <c r="U96" s="15">
        <v>25</v>
      </c>
      <c r="V96" s="8">
        <f t="shared" si="8"/>
        <v>-25</v>
      </c>
      <c r="W96" s="233">
        <f t="shared" si="9"/>
        <v>-16.5</v>
      </c>
    </row>
    <row r="97" spans="1:2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 s="188">
        <f t="shared" si="6"/>
        <v>8.5160627106759854</v>
      </c>
      <c r="S97" s="8">
        <f t="shared" si="7"/>
        <v>-8.5160627106759854</v>
      </c>
      <c r="T97" s="234">
        <f t="shared" si="10"/>
        <v>161.80519150284371</v>
      </c>
      <c r="U97" s="15">
        <v>25</v>
      </c>
      <c r="V97" s="8">
        <f t="shared" si="8"/>
        <v>-25</v>
      </c>
      <c r="W97" s="233">
        <f t="shared" si="9"/>
        <v>-41.5</v>
      </c>
    </row>
    <row r="98" spans="1:2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 s="188">
        <f t="shared" si="6"/>
        <v>8.090259575142186</v>
      </c>
      <c r="S98" s="8">
        <f t="shared" si="7"/>
        <v>-8.090259575142186</v>
      </c>
      <c r="T98" s="234">
        <f t="shared" si="10"/>
        <v>153.71493192770151</v>
      </c>
      <c r="U98" s="15">
        <v>25</v>
      </c>
      <c r="V98" s="8">
        <f t="shared" si="8"/>
        <v>-25</v>
      </c>
      <c r="W98" s="233">
        <f t="shared" si="9"/>
        <v>-66.5</v>
      </c>
    </row>
    <row r="99" spans="1:2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 s="188">
        <f t="shared" si="6"/>
        <v>7.6857465963850764</v>
      </c>
      <c r="S99" s="8">
        <f t="shared" si="7"/>
        <v>-7.6857465963850764</v>
      </c>
      <c r="T99" s="234">
        <f t="shared" si="10"/>
        <v>146.02918533131643</v>
      </c>
      <c r="U99" s="15">
        <v>25</v>
      </c>
      <c r="V99" s="8">
        <f t="shared" si="8"/>
        <v>-25</v>
      </c>
      <c r="W99" s="233">
        <f t="shared" si="9"/>
        <v>-91.5</v>
      </c>
    </row>
    <row r="100" spans="1:2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 s="188">
        <f t="shared" si="6"/>
        <v>7.3014592665658213</v>
      </c>
      <c r="S100" s="8">
        <f t="shared" si="7"/>
        <v>-7.3014592665658213</v>
      </c>
      <c r="T100" s="234">
        <f t="shared" si="10"/>
        <v>138.72772606475061</v>
      </c>
      <c r="U100" s="15">
        <v>25</v>
      </c>
      <c r="V100" s="8">
        <f t="shared" si="8"/>
        <v>-25</v>
      </c>
      <c r="W100" s="233">
        <f t="shared" si="9"/>
        <v>-116.5</v>
      </c>
    </row>
    <row r="101" spans="1:2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 s="188">
        <f t="shared" si="6"/>
        <v>6.9363863032375308</v>
      </c>
      <c r="S101" s="8">
        <f t="shared" si="7"/>
        <v>-6.9363863032375308</v>
      </c>
      <c r="T101" s="234">
        <f t="shared" si="10"/>
        <v>131.79133976151309</v>
      </c>
      <c r="U101" s="15">
        <v>25</v>
      </c>
      <c r="V101" s="8">
        <f t="shared" si="8"/>
        <v>-25</v>
      </c>
      <c r="W101" s="233">
        <f t="shared" si="9"/>
        <v>-141.5</v>
      </c>
    </row>
    <row r="102" spans="1:2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 s="188">
        <f t="shared" si="6"/>
        <v>6.5895669880756547</v>
      </c>
      <c r="S102" s="8">
        <f t="shared" si="7"/>
        <v>-6.5895669880756547</v>
      </c>
      <c r="T102" s="234">
        <f t="shared" si="10"/>
        <v>125.20177277343743</v>
      </c>
      <c r="U102" s="15">
        <v>25</v>
      </c>
      <c r="V102" s="8">
        <f t="shared" si="8"/>
        <v>-25</v>
      </c>
      <c r="W102" s="233">
        <f t="shared" si="9"/>
        <v>-166.5</v>
      </c>
    </row>
    <row r="103" spans="1:2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 s="188">
        <f t="shared" si="6"/>
        <v>6.2600886386718715</v>
      </c>
      <c r="S103" s="8">
        <f t="shared" si="7"/>
        <v>-6.2600886386718715</v>
      </c>
      <c r="T103" s="234">
        <f t="shared" si="10"/>
        <v>118.94168413476555</v>
      </c>
      <c r="U103" s="15">
        <v>25</v>
      </c>
      <c r="V103" s="8">
        <f t="shared" si="8"/>
        <v>-25</v>
      </c>
      <c r="W103" s="233">
        <f t="shared" si="9"/>
        <v>-191.5</v>
      </c>
    </row>
    <row r="104" spans="1:2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 s="188">
        <f t="shared" si="6"/>
        <v>5.9470842067382783</v>
      </c>
      <c r="S104" s="8">
        <f t="shared" si="7"/>
        <v>-5.9470842067382783</v>
      </c>
      <c r="T104" s="234">
        <f t="shared" si="10"/>
        <v>112.99459992802727</v>
      </c>
      <c r="U104" s="15">
        <v>25</v>
      </c>
      <c r="V104" s="8">
        <f t="shared" si="8"/>
        <v>-25</v>
      </c>
      <c r="W104" s="233">
        <f t="shared" si="9"/>
        <v>-216.5</v>
      </c>
    </row>
    <row r="105" spans="1:2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 s="188">
        <f t="shared" si="6"/>
        <v>5.6497299964013639</v>
      </c>
      <c r="S105" s="8">
        <f t="shared" si="7"/>
        <v>-5.6497299964013639</v>
      </c>
      <c r="T105" s="234">
        <f t="shared" si="10"/>
        <v>107.34486993162591</v>
      </c>
      <c r="U105" s="15">
        <v>25</v>
      </c>
      <c r="V105" s="8">
        <f t="shared" si="8"/>
        <v>-25</v>
      </c>
      <c r="W105" s="233">
        <f t="shared" si="9"/>
        <v>-241.5</v>
      </c>
    </row>
    <row r="106" spans="1:2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 s="188">
        <f t="shared" si="6"/>
        <v>5.3672434965812954</v>
      </c>
      <c r="S106" s="8">
        <f t="shared" si="7"/>
        <v>-5.3672434965812954</v>
      </c>
      <c r="T106" s="234">
        <f t="shared" si="10"/>
        <v>101.97762643504461</v>
      </c>
      <c r="U106" s="15">
        <v>25</v>
      </c>
      <c r="V106" s="8">
        <f t="shared" si="8"/>
        <v>-25</v>
      </c>
      <c r="W106" s="233">
        <f t="shared" si="9"/>
        <v>-266.5</v>
      </c>
    </row>
    <row r="107" spans="1:2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 s="188">
        <f t="shared" si="6"/>
        <v>5.0988813217522306</v>
      </c>
      <c r="S107" s="8">
        <f t="shared" si="7"/>
        <v>-5.0988813217522306</v>
      </c>
      <c r="T107" s="234">
        <f t="shared" si="10"/>
        <v>96.878745113292382</v>
      </c>
      <c r="U107" s="15">
        <v>25</v>
      </c>
      <c r="V107" s="8">
        <f t="shared" si="8"/>
        <v>-25</v>
      </c>
      <c r="W107" s="233">
        <f t="shared" si="9"/>
        <v>-291.5</v>
      </c>
    </row>
    <row r="108" spans="1:2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 s="188">
        <f t="shared" si="6"/>
        <v>4.8439372556646196</v>
      </c>
      <c r="S108" s="8">
        <f t="shared" si="7"/>
        <v>-4.8439372556646196</v>
      </c>
      <c r="T108" s="234">
        <f t="shared" si="10"/>
        <v>92.034807857627769</v>
      </c>
      <c r="U108" s="15">
        <v>25</v>
      </c>
      <c r="V108" s="8">
        <f t="shared" si="8"/>
        <v>-25</v>
      </c>
      <c r="W108" s="233">
        <f t="shared" si="9"/>
        <v>-316.5</v>
      </c>
    </row>
    <row r="109" spans="1:2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 s="188">
        <f t="shared" si="6"/>
        <v>4.6017403928813883</v>
      </c>
      <c r="S109" s="8">
        <f t="shared" si="7"/>
        <v>-4.6017403928813883</v>
      </c>
      <c r="T109" s="234">
        <f t="shared" si="10"/>
        <v>87.433067464746387</v>
      </c>
      <c r="U109" s="15">
        <v>25</v>
      </c>
      <c r="V109" s="8">
        <f t="shared" si="8"/>
        <v>-25</v>
      </c>
      <c r="W109" s="233">
        <f t="shared" si="9"/>
        <v>-341.5</v>
      </c>
    </row>
    <row r="110" spans="1:2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 s="188">
        <f t="shared" si="6"/>
        <v>4.3716533732373195</v>
      </c>
      <c r="S110" s="8">
        <f t="shared" si="7"/>
        <v>-4.3716533732373195</v>
      </c>
      <c r="T110" s="234">
        <f t="shared" si="10"/>
        <v>83.061414091509064</v>
      </c>
      <c r="U110" s="15">
        <v>25</v>
      </c>
      <c r="V110" s="8">
        <f t="shared" si="8"/>
        <v>-25</v>
      </c>
      <c r="W110" s="233">
        <f t="shared" si="9"/>
        <v>-366.5</v>
      </c>
    </row>
    <row r="111" spans="1:2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 s="188">
        <f t="shared" si="6"/>
        <v>4.1530707045754536</v>
      </c>
      <c r="S111" s="8">
        <f t="shared" si="7"/>
        <v>-4.1530707045754536</v>
      </c>
      <c r="T111" s="234">
        <f t="shared" si="10"/>
        <v>78.908343386933609</v>
      </c>
      <c r="U111" s="15">
        <v>25</v>
      </c>
      <c r="V111" s="8">
        <f t="shared" si="8"/>
        <v>-25</v>
      </c>
      <c r="W111" s="233">
        <f t="shared" si="9"/>
        <v>-391.5</v>
      </c>
    </row>
    <row r="112" spans="1:2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 s="188">
        <f t="shared" si="6"/>
        <v>3.9454171693466806</v>
      </c>
      <c r="S112" s="8">
        <f t="shared" si="7"/>
        <v>-3.9454171693466806</v>
      </c>
      <c r="T112" s="234">
        <f t="shared" si="10"/>
        <v>74.962926217586926</v>
      </c>
      <c r="U112" s="15">
        <v>25</v>
      </c>
      <c r="V112" s="8">
        <f t="shared" si="8"/>
        <v>-25</v>
      </c>
      <c r="W112" s="233">
        <f t="shared" si="9"/>
        <v>-416.5</v>
      </c>
    </row>
    <row r="113" spans="1:2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 s="188">
        <f t="shared" si="6"/>
        <v>3.7481463108793465</v>
      </c>
      <c r="S113" s="8">
        <f t="shared" si="7"/>
        <v>-3.7481463108793465</v>
      </c>
      <c r="T113" s="234">
        <f t="shared" si="10"/>
        <v>71.214779906707577</v>
      </c>
      <c r="U113" s="15">
        <v>25</v>
      </c>
      <c r="V113" s="8">
        <f t="shared" si="8"/>
        <v>-25</v>
      </c>
      <c r="W113" s="233">
        <f t="shared" si="9"/>
        <v>-441.5</v>
      </c>
    </row>
    <row r="114" spans="1:2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 s="188">
        <f t="shared" si="6"/>
        <v>3.5607389953353792</v>
      </c>
      <c r="S114" s="8">
        <f t="shared" si="7"/>
        <v>-3.5607389953353792</v>
      </c>
      <c r="T114" s="234">
        <f t="shared" si="10"/>
        <v>67.654040911372192</v>
      </c>
      <c r="U114" s="15">
        <v>25</v>
      </c>
      <c r="V114" s="8">
        <f t="shared" si="8"/>
        <v>-25</v>
      </c>
      <c r="W114" s="233">
        <f t="shared" si="9"/>
        <v>-466.5</v>
      </c>
    </row>
    <row r="115" spans="1:2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 s="188">
        <f t="shared" si="6"/>
        <v>3.3827020455686099</v>
      </c>
      <c r="S115" s="8">
        <f t="shared" si="7"/>
        <v>-3.3827020455686099</v>
      </c>
      <c r="T115" s="234">
        <f t="shared" si="10"/>
        <v>64.271338865803585</v>
      </c>
      <c r="U115" s="15">
        <v>25</v>
      </c>
      <c r="V115" s="8">
        <f t="shared" si="8"/>
        <v>-25</v>
      </c>
      <c r="W115" s="233">
        <f t="shared" si="9"/>
        <v>-491.5</v>
      </c>
    </row>
    <row r="116" spans="1:2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 s="188">
        <f t="shared" si="6"/>
        <v>3.2135669432901794</v>
      </c>
      <c r="S116" s="8">
        <f t="shared" si="7"/>
        <v>-3.2135669432901794</v>
      </c>
      <c r="T116" s="234">
        <f t="shared" si="10"/>
        <v>61.057771922513403</v>
      </c>
      <c r="U116" s="15">
        <v>25</v>
      </c>
      <c r="V116" s="8">
        <f t="shared" si="8"/>
        <v>-25</v>
      </c>
      <c r="W116" s="233">
        <f t="shared" si="9"/>
        <v>-516.5</v>
      </c>
    </row>
    <row r="117" spans="1:2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 s="188">
        <f t="shared" si="6"/>
        <v>3.0528885961256704</v>
      </c>
      <c r="S117" s="8">
        <f t="shared" si="7"/>
        <v>-3.0528885961256704</v>
      </c>
      <c r="T117" s="234">
        <f t="shared" si="10"/>
        <v>58.004883326387734</v>
      </c>
      <c r="U117" s="15">
        <v>25</v>
      </c>
      <c r="V117" s="8">
        <f t="shared" si="8"/>
        <v>-25</v>
      </c>
      <c r="W117" s="233">
        <f t="shared" si="9"/>
        <v>-541.5</v>
      </c>
    </row>
    <row r="118" spans="1:2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 s="188">
        <f t="shared" si="6"/>
        <v>2.900244166319387</v>
      </c>
      <c r="S118" s="8">
        <f t="shared" si="7"/>
        <v>-2.900244166319387</v>
      </c>
      <c r="T118" s="234">
        <f t="shared" si="10"/>
        <v>55.104639160068345</v>
      </c>
      <c r="U118" s="15">
        <v>25</v>
      </c>
      <c r="V118" s="8">
        <f t="shared" si="8"/>
        <v>-25</v>
      </c>
      <c r="W118" s="233">
        <f t="shared" si="9"/>
        <v>-566.5</v>
      </c>
    </row>
    <row r="119" spans="1:2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 s="188">
        <f t="shared" si="6"/>
        <v>2.7552319580034172</v>
      </c>
      <c r="S119" s="8">
        <f t="shared" si="7"/>
        <v>-2.7552319580034172</v>
      </c>
      <c r="T119" s="234">
        <f t="shared" si="10"/>
        <v>52.349407202064924</v>
      </c>
      <c r="U119" s="15">
        <v>25</v>
      </c>
      <c r="V119" s="8">
        <f t="shared" si="8"/>
        <v>-25</v>
      </c>
      <c r="W119" s="233">
        <f t="shared" si="9"/>
        <v>-591.5</v>
      </c>
    </row>
    <row r="120" spans="1:2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 s="188">
        <f t="shared" si="6"/>
        <v>2.6174703601032463</v>
      </c>
      <c r="S120" s="8">
        <f t="shared" si="7"/>
        <v>-2.6174703601032463</v>
      </c>
      <c r="T120" s="234">
        <f t="shared" si="10"/>
        <v>49.731936841961677</v>
      </c>
      <c r="U120" s="15">
        <v>25</v>
      </c>
      <c r="V120" s="8">
        <f t="shared" si="8"/>
        <v>-25</v>
      </c>
      <c r="W120" s="233">
        <f t="shared" si="9"/>
        <v>-616.5</v>
      </c>
    </row>
    <row r="121" spans="1:2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 s="188">
        <f t="shared" si="6"/>
        <v>2.4865968420980842</v>
      </c>
      <c r="S121" s="8">
        <f t="shared" si="7"/>
        <v>-2.4865968420980842</v>
      </c>
      <c r="T121" s="234">
        <f t="shared" si="10"/>
        <v>47.245339999863589</v>
      </c>
      <c r="U121" s="15">
        <v>25</v>
      </c>
      <c r="V121" s="8">
        <f t="shared" si="8"/>
        <v>-25</v>
      </c>
      <c r="W121" s="233">
        <f t="shared" si="9"/>
        <v>-641.5</v>
      </c>
    </row>
    <row r="122" spans="1:2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 s="188">
        <f t="shared" si="6"/>
        <v>2.3622669999931794</v>
      </c>
      <c r="S122" s="8">
        <f t="shared" si="7"/>
        <v>-2.3622669999931794</v>
      </c>
      <c r="T122" s="234">
        <f t="shared" si="10"/>
        <v>44.883072999870407</v>
      </c>
      <c r="U122" s="15">
        <v>25</v>
      </c>
      <c r="V122" s="8">
        <f t="shared" si="8"/>
        <v>-25</v>
      </c>
      <c r="W122" s="233">
        <f t="shared" si="9"/>
        <v>-666.5</v>
      </c>
    </row>
    <row r="123" spans="1: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 s="188">
        <f t="shared" si="6"/>
        <v>2.2441536499935206</v>
      </c>
      <c r="S123" s="8">
        <f t="shared" si="7"/>
        <v>-2.2441536499935206</v>
      </c>
      <c r="T123" s="234">
        <f t="shared" si="10"/>
        <v>42.638919349876886</v>
      </c>
      <c r="U123" s="15">
        <v>25</v>
      </c>
      <c r="V123" s="8">
        <f t="shared" si="8"/>
        <v>-25</v>
      </c>
      <c r="W123" s="233">
        <f t="shared" si="9"/>
        <v>-691.5</v>
      </c>
    </row>
    <row r="124" spans="1:2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 s="188">
        <f t="shared" si="6"/>
        <v>2.1319459674938446</v>
      </c>
      <c r="S124" s="8">
        <f t="shared" si="7"/>
        <v>-2.1319459674938446</v>
      </c>
      <c r="T124" s="234">
        <f t="shared" si="10"/>
        <v>40.506973382383045</v>
      </c>
      <c r="U124" s="15">
        <v>25</v>
      </c>
      <c r="V124" s="8">
        <f t="shared" si="8"/>
        <v>-25</v>
      </c>
      <c r="W124" s="233">
        <f t="shared" si="9"/>
        <v>-716.5</v>
      </c>
    </row>
    <row r="125" spans="1:2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 s="188">
        <f t="shared" si="6"/>
        <v>2.0253486691191522</v>
      </c>
      <c r="S125" s="8">
        <f t="shared" si="7"/>
        <v>-2.0253486691191522</v>
      </c>
      <c r="T125" s="234">
        <f t="shared" si="10"/>
        <v>38.481624713263891</v>
      </c>
      <c r="U125" s="15">
        <v>25</v>
      </c>
      <c r="V125" s="8">
        <f t="shared" si="8"/>
        <v>-25</v>
      </c>
      <c r="W125" s="233">
        <f t="shared" si="9"/>
        <v>-741.5</v>
      </c>
    </row>
    <row r="126" spans="1:2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 s="188">
        <f t="shared" si="6"/>
        <v>1.9240812356631947</v>
      </c>
      <c r="S126" s="8">
        <f t="shared" si="7"/>
        <v>-1.9240812356631947</v>
      </c>
      <c r="T126" s="234">
        <f t="shared" si="10"/>
        <v>36.557543477600696</v>
      </c>
      <c r="U126" s="15">
        <v>25</v>
      </c>
      <c r="V126" s="8">
        <f t="shared" si="8"/>
        <v>-25</v>
      </c>
      <c r="W126" s="233">
        <f t="shared" si="9"/>
        <v>-766.5</v>
      </c>
    </row>
    <row r="127" spans="1:2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 s="188">
        <f t="shared" si="6"/>
        <v>1.8278771738800348</v>
      </c>
      <c r="S127" s="8">
        <f t="shared" si="7"/>
        <v>-1.8278771738800348</v>
      </c>
      <c r="T127" s="234">
        <f t="shared" si="10"/>
        <v>34.729666303720663</v>
      </c>
      <c r="U127" s="15">
        <v>25</v>
      </c>
      <c r="V127" s="8">
        <f t="shared" si="8"/>
        <v>-25</v>
      </c>
      <c r="W127" s="233">
        <f t="shared" si="9"/>
        <v>-791.5</v>
      </c>
    </row>
    <row r="128" spans="1:2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 s="188">
        <f t="shared" si="6"/>
        <v>1.7364833151860333</v>
      </c>
      <c r="S128" s="8">
        <f t="shared" si="7"/>
        <v>-1.7364833151860333</v>
      </c>
      <c r="T128" s="234">
        <f t="shared" si="10"/>
        <v>32.993182988534627</v>
      </c>
      <c r="U128" s="15">
        <v>25</v>
      </c>
      <c r="V128" s="8">
        <f t="shared" si="8"/>
        <v>-25</v>
      </c>
      <c r="W128" s="233">
        <f t="shared" si="9"/>
        <v>-816.5</v>
      </c>
    </row>
    <row r="129" spans="1:2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 s="188">
        <f t="shared" si="6"/>
        <v>1.6496591494267314</v>
      </c>
      <c r="S129" s="8">
        <f t="shared" si="7"/>
        <v>-1.6496591494267314</v>
      </c>
      <c r="T129" s="234">
        <f t="shared" si="10"/>
        <v>31.343523839107895</v>
      </c>
      <c r="U129" s="15">
        <v>25</v>
      </c>
      <c r="V129" s="8">
        <f t="shared" si="8"/>
        <v>-25</v>
      </c>
      <c r="W129" s="233">
        <f t="shared" si="9"/>
        <v>-841.5</v>
      </c>
    </row>
    <row r="130" spans="1:2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 s="188">
        <f t="shared" si="6"/>
        <v>1.5671761919553948</v>
      </c>
      <c r="S130" s="8">
        <f t="shared" si="7"/>
        <v>-1.5671761919553948</v>
      </c>
      <c r="T130" s="234">
        <f t="shared" si="10"/>
        <v>29.776347647152502</v>
      </c>
      <c r="U130" s="15">
        <v>25</v>
      </c>
      <c r="V130" s="8">
        <f t="shared" si="8"/>
        <v>-25</v>
      </c>
      <c r="W130" s="233">
        <f t="shared" si="9"/>
        <v>-866.5</v>
      </c>
    </row>
    <row r="131" spans="1:2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 s="188">
        <f t="shared" ref="R131:R194" si="11">SUM(T130*0.05)</f>
        <v>1.4888173823576252</v>
      </c>
      <c r="S131" s="8">
        <f t="shared" ref="S131:S194" si="12">IF(O131="won",R131*0.18,-R131)</f>
        <v>-1.4888173823576252</v>
      </c>
      <c r="T131" s="234">
        <f t="shared" si="10"/>
        <v>28.287530264794878</v>
      </c>
      <c r="U131" s="15">
        <v>25</v>
      </c>
      <c r="V131" s="8">
        <f t="shared" ref="V131:V194" si="13">IF(O131="won",U131*0.18,-U131)</f>
        <v>-25</v>
      </c>
      <c r="W131" s="233">
        <f t="shared" ref="W131:W194" si="14">SUM(W130,V131)</f>
        <v>-891.5</v>
      </c>
    </row>
    <row r="132" spans="1:2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 s="188">
        <f t="shared" si="11"/>
        <v>1.4143765132397439</v>
      </c>
      <c r="S132" s="8">
        <f t="shared" si="12"/>
        <v>-1.4143765132397439</v>
      </c>
      <c r="T132" s="234">
        <f t="shared" si="10"/>
        <v>26.873153751555133</v>
      </c>
      <c r="U132" s="15">
        <v>25</v>
      </c>
      <c r="V132" s="8">
        <f t="shared" si="13"/>
        <v>-25</v>
      </c>
      <c r="W132" s="233">
        <f t="shared" si="14"/>
        <v>-916.5</v>
      </c>
    </row>
    <row r="133" spans="1:2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 s="188">
        <f t="shared" si="11"/>
        <v>1.3436576875777568</v>
      </c>
      <c r="S133" s="8">
        <f t="shared" si="12"/>
        <v>-1.3436576875777568</v>
      </c>
      <c r="T133" s="234">
        <f t="shared" si="10"/>
        <v>25.529496063977376</v>
      </c>
      <c r="U133" s="15">
        <v>25</v>
      </c>
      <c r="V133" s="8">
        <f t="shared" si="13"/>
        <v>-25</v>
      </c>
      <c r="W133" s="233">
        <f t="shared" si="14"/>
        <v>-941.5</v>
      </c>
    </row>
    <row r="134" spans="1:2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 s="188">
        <f t="shared" si="11"/>
        <v>1.2764748031988689</v>
      </c>
      <c r="S134" s="8">
        <f t="shared" si="12"/>
        <v>-1.2764748031988689</v>
      </c>
      <c r="T134" s="234">
        <f t="shared" si="10"/>
        <v>24.253021260778507</v>
      </c>
      <c r="U134" s="15">
        <v>25</v>
      </c>
      <c r="V134" s="8">
        <f t="shared" si="13"/>
        <v>-25</v>
      </c>
      <c r="W134" s="233">
        <f t="shared" si="14"/>
        <v>-966.5</v>
      </c>
    </row>
    <row r="135" spans="1:2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 s="188">
        <f t="shared" si="11"/>
        <v>1.2126510630389253</v>
      </c>
      <c r="S135" s="8">
        <f t="shared" si="12"/>
        <v>-1.2126510630389253</v>
      </c>
      <c r="T135" s="234">
        <f t="shared" si="10"/>
        <v>23.040370197739581</v>
      </c>
      <c r="U135" s="15">
        <v>25</v>
      </c>
      <c r="V135" s="8">
        <f t="shared" si="13"/>
        <v>-25</v>
      </c>
      <c r="W135" s="233">
        <f t="shared" si="14"/>
        <v>-991.5</v>
      </c>
    </row>
    <row r="136" spans="1:2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 s="188">
        <f t="shared" si="11"/>
        <v>1.1520185098869791</v>
      </c>
      <c r="S136" s="8">
        <f t="shared" si="12"/>
        <v>-1.1520185098869791</v>
      </c>
      <c r="T136" s="234">
        <f t="shared" si="10"/>
        <v>21.888351687852602</v>
      </c>
      <c r="U136" s="15">
        <v>25</v>
      </c>
      <c r="V136" s="8">
        <f t="shared" si="13"/>
        <v>-25</v>
      </c>
      <c r="W136" s="233">
        <f t="shared" si="14"/>
        <v>-1016.5</v>
      </c>
    </row>
    <row r="137" spans="1:2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 s="188">
        <f t="shared" si="11"/>
        <v>1.09441758439263</v>
      </c>
      <c r="S137" s="8">
        <f t="shared" si="12"/>
        <v>-1.09441758439263</v>
      </c>
      <c r="T137" s="234">
        <f t="shared" si="10"/>
        <v>20.793934103459971</v>
      </c>
      <c r="U137" s="15">
        <v>25</v>
      </c>
      <c r="V137" s="8">
        <f t="shared" si="13"/>
        <v>-25</v>
      </c>
      <c r="W137" s="233">
        <f t="shared" si="14"/>
        <v>-1041.5</v>
      </c>
    </row>
    <row r="138" spans="1:2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 s="188">
        <f t="shared" si="11"/>
        <v>1.0396967051729986</v>
      </c>
      <c r="S138" s="8">
        <f t="shared" si="12"/>
        <v>-1.0396967051729986</v>
      </c>
      <c r="T138" s="234">
        <f t="shared" ref="T138:T171" si="15">SUM(T137,S138)</f>
        <v>19.754237398286971</v>
      </c>
      <c r="U138" s="15">
        <v>25</v>
      </c>
      <c r="V138" s="8">
        <f t="shared" si="13"/>
        <v>-25</v>
      </c>
      <c r="W138" s="233">
        <f t="shared" si="14"/>
        <v>-1066.5</v>
      </c>
    </row>
    <row r="139" spans="1:2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 s="188">
        <f t="shared" si="11"/>
        <v>0.98771186991434856</v>
      </c>
      <c r="S139" s="8">
        <f t="shared" si="12"/>
        <v>-0.98771186991434856</v>
      </c>
      <c r="T139" s="234">
        <f t="shared" si="15"/>
        <v>18.766525528372622</v>
      </c>
      <c r="U139" s="15">
        <v>25</v>
      </c>
      <c r="V139" s="8">
        <f t="shared" si="13"/>
        <v>-25</v>
      </c>
      <c r="W139" s="233">
        <f t="shared" si="14"/>
        <v>-1091.5</v>
      </c>
    </row>
    <row r="140" spans="1:2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 s="188">
        <f t="shared" si="11"/>
        <v>0.93832627641863109</v>
      </c>
      <c r="S140" s="8">
        <f t="shared" si="12"/>
        <v>-0.93832627641863109</v>
      </c>
      <c r="T140" s="234">
        <f t="shared" si="15"/>
        <v>17.82819925195399</v>
      </c>
      <c r="U140" s="15">
        <v>25</v>
      </c>
      <c r="V140" s="8">
        <f t="shared" si="13"/>
        <v>-25</v>
      </c>
      <c r="W140" s="233">
        <f t="shared" si="14"/>
        <v>-1116.5</v>
      </c>
    </row>
    <row r="141" spans="1:2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 s="188">
        <f t="shared" si="11"/>
        <v>0.89140996259769956</v>
      </c>
      <c r="S141" s="8">
        <f t="shared" si="12"/>
        <v>-0.89140996259769956</v>
      </c>
      <c r="T141" s="234">
        <f t="shared" si="15"/>
        <v>16.936789289356291</v>
      </c>
      <c r="U141" s="15">
        <v>25</v>
      </c>
      <c r="V141" s="8">
        <f t="shared" si="13"/>
        <v>-25</v>
      </c>
      <c r="W141" s="233">
        <f t="shared" si="14"/>
        <v>-1141.5</v>
      </c>
    </row>
    <row r="142" spans="1:2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 s="188">
        <f t="shared" si="11"/>
        <v>0.84683946446781455</v>
      </c>
      <c r="S142" s="8">
        <f t="shared" si="12"/>
        <v>-0.84683946446781455</v>
      </c>
      <c r="T142" s="234">
        <f t="shared" si="15"/>
        <v>16.089949824888478</v>
      </c>
      <c r="U142" s="15">
        <v>25</v>
      </c>
      <c r="V142" s="8">
        <f t="shared" si="13"/>
        <v>-25</v>
      </c>
      <c r="W142" s="233">
        <f t="shared" si="14"/>
        <v>-1166.5</v>
      </c>
    </row>
    <row r="143" spans="1:2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 s="188">
        <f t="shared" si="11"/>
        <v>0.80449749124442393</v>
      </c>
      <c r="S143" s="8">
        <f t="shared" si="12"/>
        <v>-0.80449749124442393</v>
      </c>
      <c r="T143" s="234">
        <f t="shared" si="15"/>
        <v>15.285452333644054</v>
      </c>
      <c r="U143" s="15">
        <v>25</v>
      </c>
      <c r="V143" s="8">
        <f t="shared" si="13"/>
        <v>-25</v>
      </c>
      <c r="W143" s="233">
        <f t="shared" si="14"/>
        <v>-1191.5</v>
      </c>
    </row>
    <row r="144" spans="1:2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 s="188">
        <f t="shared" si="11"/>
        <v>0.7642726166822027</v>
      </c>
      <c r="S144" s="8">
        <f t="shared" si="12"/>
        <v>-0.7642726166822027</v>
      </c>
      <c r="T144" s="234">
        <f t="shared" si="15"/>
        <v>14.521179716961852</v>
      </c>
      <c r="U144" s="15">
        <v>25</v>
      </c>
      <c r="V144" s="8">
        <f t="shared" si="13"/>
        <v>-25</v>
      </c>
      <c r="W144" s="233">
        <f t="shared" si="14"/>
        <v>-1216.5</v>
      </c>
    </row>
    <row r="145" spans="1:2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 s="188">
        <f t="shared" si="11"/>
        <v>0.72605898584809259</v>
      </c>
      <c r="S145" s="8">
        <f t="shared" si="12"/>
        <v>-0.72605898584809259</v>
      </c>
      <c r="T145" s="234">
        <f t="shared" si="15"/>
        <v>13.795120731113759</v>
      </c>
      <c r="U145" s="15">
        <v>25</v>
      </c>
      <c r="V145" s="8">
        <f t="shared" si="13"/>
        <v>-25</v>
      </c>
      <c r="W145" s="233">
        <f t="shared" si="14"/>
        <v>-1241.5</v>
      </c>
    </row>
    <row r="146" spans="1:2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 s="188">
        <f t="shared" si="11"/>
        <v>0.68975603655568796</v>
      </c>
      <c r="S146" s="8">
        <f t="shared" si="12"/>
        <v>-0.68975603655568796</v>
      </c>
      <c r="T146" s="234">
        <f t="shared" si="15"/>
        <v>13.105364694558071</v>
      </c>
      <c r="U146" s="15">
        <v>25</v>
      </c>
      <c r="V146" s="8">
        <f t="shared" si="13"/>
        <v>-25</v>
      </c>
      <c r="W146" s="233">
        <f t="shared" si="14"/>
        <v>-1266.5</v>
      </c>
    </row>
    <row r="147" spans="1:2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 s="188">
        <f t="shared" si="11"/>
        <v>0.65526823472790363</v>
      </c>
      <c r="S147" s="8">
        <f t="shared" si="12"/>
        <v>-0.65526823472790363</v>
      </c>
      <c r="T147" s="234">
        <f t="shared" si="15"/>
        <v>12.450096459830167</v>
      </c>
      <c r="U147" s="15">
        <v>25</v>
      </c>
      <c r="V147" s="8">
        <f t="shared" si="13"/>
        <v>-25</v>
      </c>
      <c r="W147" s="233">
        <f t="shared" si="14"/>
        <v>-1291.5</v>
      </c>
    </row>
    <row r="148" spans="1:2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 s="188">
        <f t="shared" si="11"/>
        <v>0.62250482299150844</v>
      </c>
      <c r="S148" s="8">
        <f t="shared" si="12"/>
        <v>-0.62250482299150844</v>
      </c>
      <c r="T148" s="234">
        <f t="shared" si="15"/>
        <v>11.827591636838658</v>
      </c>
      <c r="U148" s="15">
        <v>25</v>
      </c>
      <c r="V148" s="8">
        <f t="shared" si="13"/>
        <v>-25</v>
      </c>
      <c r="W148" s="233">
        <f t="shared" si="14"/>
        <v>-1316.5</v>
      </c>
    </row>
    <row r="149" spans="1:2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 s="188">
        <f t="shared" si="11"/>
        <v>0.59137958184193296</v>
      </c>
      <c r="S149" s="8">
        <f t="shared" si="12"/>
        <v>-0.59137958184193296</v>
      </c>
      <c r="T149" s="234">
        <f t="shared" si="15"/>
        <v>11.236212054996725</v>
      </c>
      <c r="U149" s="15">
        <v>25</v>
      </c>
      <c r="V149" s="8">
        <f t="shared" si="13"/>
        <v>-25</v>
      </c>
      <c r="W149" s="233">
        <f t="shared" si="14"/>
        <v>-1341.5</v>
      </c>
    </row>
    <row r="150" spans="1:2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 s="188">
        <f t="shared" si="11"/>
        <v>0.5618106027498363</v>
      </c>
      <c r="S150" s="8">
        <f t="shared" si="12"/>
        <v>-0.5618106027498363</v>
      </c>
      <c r="T150" s="234">
        <f t="shared" si="15"/>
        <v>10.674401452246888</v>
      </c>
      <c r="U150" s="15">
        <v>25</v>
      </c>
      <c r="V150" s="8">
        <f t="shared" si="13"/>
        <v>-25</v>
      </c>
      <c r="W150" s="233">
        <f t="shared" si="14"/>
        <v>-1366.5</v>
      </c>
    </row>
    <row r="151" spans="1:2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 s="188">
        <f t="shared" si="11"/>
        <v>0.53372007261234444</v>
      </c>
      <c r="S151" s="8">
        <f t="shared" si="12"/>
        <v>-0.53372007261234444</v>
      </c>
      <c r="T151" s="234">
        <f t="shared" si="15"/>
        <v>10.140681379634543</v>
      </c>
      <c r="U151" s="15">
        <v>25</v>
      </c>
      <c r="V151" s="8">
        <f t="shared" si="13"/>
        <v>-25</v>
      </c>
      <c r="W151" s="233">
        <f t="shared" si="14"/>
        <v>-1391.5</v>
      </c>
    </row>
    <row r="152" spans="1:2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 s="188">
        <f t="shared" si="11"/>
        <v>0.5070340689817272</v>
      </c>
      <c r="S152" s="8">
        <f t="shared" si="12"/>
        <v>-0.5070340689817272</v>
      </c>
      <c r="T152" s="234">
        <f t="shared" si="15"/>
        <v>9.6336473106528153</v>
      </c>
      <c r="U152" s="15">
        <v>25</v>
      </c>
      <c r="V152" s="8">
        <f t="shared" si="13"/>
        <v>-25</v>
      </c>
      <c r="W152" s="233">
        <f t="shared" si="14"/>
        <v>-1416.5</v>
      </c>
    </row>
    <row r="153" spans="1:2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 s="188">
        <f t="shared" si="11"/>
        <v>0.48168236553264077</v>
      </c>
      <c r="S153" s="8">
        <f t="shared" si="12"/>
        <v>-0.48168236553264077</v>
      </c>
      <c r="T153" s="234">
        <f t="shared" si="15"/>
        <v>9.1519649451201737</v>
      </c>
      <c r="U153" s="15">
        <v>25</v>
      </c>
      <c r="V153" s="8">
        <f t="shared" si="13"/>
        <v>-25</v>
      </c>
      <c r="W153" s="233">
        <f t="shared" si="14"/>
        <v>-1441.5</v>
      </c>
    </row>
    <row r="154" spans="1:2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 s="188">
        <f t="shared" si="11"/>
        <v>0.45759824725600873</v>
      </c>
      <c r="S154" s="8">
        <f t="shared" si="12"/>
        <v>-0.45759824725600873</v>
      </c>
      <c r="T154" s="234">
        <f t="shared" si="15"/>
        <v>8.6943666978641652</v>
      </c>
      <c r="U154" s="15">
        <v>25</v>
      </c>
      <c r="V154" s="8">
        <f t="shared" si="13"/>
        <v>-25</v>
      </c>
      <c r="W154" s="233">
        <f t="shared" si="14"/>
        <v>-1466.5</v>
      </c>
    </row>
    <row r="155" spans="1:2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 s="188">
        <f t="shared" si="11"/>
        <v>0.43471833489320827</v>
      </c>
      <c r="S155" s="8">
        <f t="shared" si="12"/>
        <v>-0.43471833489320827</v>
      </c>
      <c r="T155" s="234">
        <f t="shared" si="15"/>
        <v>8.2596483629709567</v>
      </c>
      <c r="U155" s="15">
        <v>25</v>
      </c>
      <c r="V155" s="8">
        <f t="shared" si="13"/>
        <v>-25</v>
      </c>
      <c r="W155" s="233">
        <f t="shared" si="14"/>
        <v>-1491.5</v>
      </c>
    </row>
    <row r="156" spans="1:2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 s="188">
        <f t="shared" si="11"/>
        <v>0.41298241814854786</v>
      </c>
      <c r="S156" s="8">
        <f t="shared" si="12"/>
        <v>-0.41298241814854786</v>
      </c>
      <c r="T156" s="234">
        <f t="shared" si="15"/>
        <v>7.8466659448224085</v>
      </c>
      <c r="U156" s="15">
        <v>25</v>
      </c>
      <c r="V156" s="8">
        <f t="shared" si="13"/>
        <v>-25</v>
      </c>
      <c r="W156" s="233">
        <f t="shared" si="14"/>
        <v>-1516.5</v>
      </c>
    </row>
    <row r="157" spans="1:2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 s="188">
        <f t="shared" si="11"/>
        <v>0.39233329724112043</v>
      </c>
      <c r="S157" s="8">
        <f t="shared" si="12"/>
        <v>-0.39233329724112043</v>
      </c>
      <c r="T157" s="234">
        <f t="shared" si="15"/>
        <v>7.4543326475812881</v>
      </c>
      <c r="U157" s="15">
        <v>25</v>
      </c>
      <c r="V157" s="8">
        <f t="shared" si="13"/>
        <v>-25</v>
      </c>
      <c r="W157" s="233">
        <f t="shared" si="14"/>
        <v>-1541.5</v>
      </c>
    </row>
    <row r="158" spans="1:2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 s="188">
        <f t="shared" si="11"/>
        <v>0.37271663237906444</v>
      </c>
      <c r="S158" s="8">
        <f t="shared" si="12"/>
        <v>-0.37271663237906444</v>
      </c>
      <c r="T158" s="234">
        <f t="shared" si="15"/>
        <v>7.0816160152022238</v>
      </c>
      <c r="U158" s="15">
        <v>25</v>
      </c>
      <c r="V158" s="8">
        <f t="shared" si="13"/>
        <v>-25</v>
      </c>
      <c r="W158" s="233">
        <f t="shared" si="14"/>
        <v>-1566.5</v>
      </c>
    </row>
    <row r="159" spans="1:2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 s="188">
        <f t="shared" si="11"/>
        <v>0.35408080076011123</v>
      </c>
      <c r="S159" s="8">
        <f t="shared" si="12"/>
        <v>-0.35408080076011123</v>
      </c>
      <c r="T159" s="234">
        <f t="shared" si="15"/>
        <v>6.7275352144421126</v>
      </c>
      <c r="U159" s="15">
        <v>25</v>
      </c>
      <c r="V159" s="8">
        <f t="shared" si="13"/>
        <v>-25</v>
      </c>
      <c r="W159" s="233">
        <f t="shared" si="14"/>
        <v>-1591.5</v>
      </c>
    </row>
    <row r="160" spans="1:2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 s="188">
        <f t="shared" si="11"/>
        <v>0.33637676072210565</v>
      </c>
      <c r="S160" s="8">
        <f t="shared" si="12"/>
        <v>-0.33637676072210565</v>
      </c>
      <c r="T160" s="234">
        <f t="shared" si="15"/>
        <v>6.3911584537200072</v>
      </c>
      <c r="U160" s="15">
        <v>25</v>
      </c>
      <c r="V160" s="8">
        <f t="shared" si="13"/>
        <v>-25</v>
      </c>
      <c r="W160" s="233">
        <f t="shared" si="14"/>
        <v>-1616.5</v>
      </c>
    </row>
    <row r="161" spans="1:2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 s="188">
        <f t="shared" si="11"/>
        <v>0.31955792268600036</v>
      </c>
      <c r="S161" s="8">
        <f t="shared" si="12"/>
        <v>-0.31955792268600036</v>
      </c>
      <c r="T161" s="234">
        <f t="shared" si="15"/>
        <v>6.0716005310340071</v>
      </c>
      <c r="U161" s="15">
        <v>25</v>
      </c>
      <c r="V161" s="8">
        <f t="shared" si="13"/>
        <v>-25</v>
      </c>
      <c r="W161" s="233">
        <f t="shared" si="14"/>
        <v>-1641.5</v>
      </c>
    </row>
    <row r="162" spans="1:2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 s="188">
        <f t="shared" si="11"/>
        <v>0.30358002655170035</v>
      </c>
      <c r="S162" s="8">
        <f t="shared" si="12"/>
        <v>-0.30358002655170035</v>
      </c>
      <c r="T162" s="234">
        <f t="shared" si="15"/>
        <v>5.7680205044823065</v>
      </c>
      <c r="U162" s="15">
        <v>25</v>
      </c>
      <c r="V162" s="8">
        <f t="shared" si="13"/>
        <v>-25</v>
      </c>
      <c r="W162" s="233">
        <f t="shared" si="14"/>
        <v>-1666.5</v>
      </c>
    </row>
    <row r="163" spans="1:2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 s="188">
        <f t="shared" si="11"/>
        <v>0.28840102522411531</v>
      </c>
      <c r="S163" s="8">
        <f t="shared" si="12"/>
        <v>-0.28840102522411531</v>
      </c>
      <c r="T163" s="234">
        <f t="shared" si="15"/>
        <v>5.4796194792581909</v>
      </c>
      <c r="U163" s="15">
        <v>25</v>
      </c>
      <c r="V163" s="8">
        <f t="shared" si="13"/>
        <v>-25</v>
      </c>
      <c r="W163" s="233">
        <f t="shared" si="14"/>
        <v>-1691.5</v>
      </c>
    </row>
    <row r="164" spans="1:2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 s="188">
        <f t="shared" si="11"/>
        <v>0.27398097396290955</v>
      </c>
      <c r="S164" s="8">
        <f t="shared" si="12"/>
        <v>-0.27398097396290955</v>
      </c>
      <c r="T164" s="234">
        <f t="shared" si="15"/>
        <v>5.2056385052952816</v>
      </c>
      <c r="U164" s="15">
        <v>25</v>
      </c>
      <c r="V164" s="8">
        <f t="shared" si="13"/>
        <v>-25</v>
      </c>
      <c r="W164" s="233">
        <f t="shared" si="14"/>
        <v>-1716.5</v>
      </c>
    </row>
    <row r="165" spans="1:2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 s="188">
        <f t="shared" si="11"/>
        <v>0.26028192526476407</v>
      </c>
      <c r="S165" s="8">
        <f t="shared" si="12"/>
        <v>-0.26028192526476407</v>
      </c>
      <c r="T165" s="234">
        <f t="shared" si="15"/>
        <v>4.9453565800305173</v>
      </c>
      <c r="U165" s="15">
        <v>25</v>
      </c>
      <c r="V165" s="8">
        <f t="shared" si="13"/>
        <v>-25</v>
      </c>
      <c r="W165" s="233">
        <f t="shared" si="14"/>
        <v>-1741.5</v>
      </c>
    </row>
    <row r="166" spans="1:2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 s="188">
        <f t="shared" si="11"/>
        <v>0.24726782900152589</v>
      </c>
      <c r="S166" s="8">
        <f t="shared" si="12"/>
        <v>-0.24726782900152589</v>
      </c>
      <c r="T166" s="234">
        <f t="shared" si="15"/>
        <v>4.6980887510289913</v>
      </c>
      <c r="U166" s="15">
        <v>25</v>
      </c>
      <c r="V166" s="8">
        <f t="shared" si="13"/>
        <v>-25</v>
      </c>
      <c r="W166" s="233">
        <f t="shared" si="14"/>
        <v>-1766.5</v>
      </c>
    </row>
    <row r="167" spans="1:2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 s="188">
        <f t="shared" si="11"/>
        <v>0.23490443755144957</v>
      </c>
      <c r="S167" s="8">
        <f t="shared" si="12"/>
        <v>-0.23490443755144957</v>
      </c>
      <c r="T167" s="234">
        <f t="shared" si="15"/>
        <v>4.4631843134775417</v>
      </c>
      <c r="U167" s="15">
        <v>25</v>
      </c>
      <c r="V167" s="8">
        <f t="shared" si="13"/>
        <v>-25</v>
      </c>
      <c r="W167" s="233">
        <f t="shared" si="14"/>
        <v>-1791.5</v>
      </c>
    </row>
    <row r="168" spans="1:2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 s="188">
        <f t="shared" si="11"/>
        <v>0.22315921567387709</v>
      </c>
      <c r="S168" s="8">
        <f t="shared" si="12"/>
        <v>-0.22315921567387709</v>
      </c>
      <c r="T168" s="234">
        <f t="shared" si="15"/>
        <v>4.2400250978036649</v>
      </c>
      <c r="U168" s="15">
        <v>25</v>
      </c>
      <c r="V168" s="8">
        <f t="shared" si="13"/>
        <v>-25</v>
      </c>
      <c r="W168" s="233">
        <f t="shared" si="14"/>
        <v>-1816.5</v>
      </c>
    </row>
    <row r="169" spans="1:2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 s="188">
        <f t="shared" si="11"/>
        <v>0.21200125489018326</v>
      </c>
      <c r="S169" s="8">
        <f t="shared" si="12"/>
        <v>-0.21200125489018326</v>
      </c>
      <c r="T169" s="234">
        <f t="shared" si="15"/>
        <v>4.0280238429134814</v>
      </c>
      <c r="U169" s="15">
        <v>25</v>
      </c>
      <c r="V169" s="8">
        <f t="shared" si="13"/>
        <v>-25</v>
      </c>
      <c r="W169" s="233">
        <f t="shared" si="14"/>
        <v>-1841.5</v>
      </c>
    </row>
    <row r="170" spans="1:2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 s="188">
        <f t="shared" si="11"/>
        <v>0.20140119214567409</v>
      </c>
      <c r="S170" s="8">
        <f t="shared" si="12"/>
        <v>-0.20140119214567409</v>
      </c>
      <c r="T170" s="234">
        <f t="shared" si="15"/>
        <v>3.8266226507678072</v>
      </c>
      <c r="U170" s="15">
        <v>25</v>
      </c>
      <c r="V170" s="8">
        <f t="shared" si="13"/>
        <v>-25</v>
      </c>
      <c r="W170" s="233">
        <f t="shared" si="14"/>
        <v>-1866.5</v>
      </c>
    </row>
    <row r="171" spans="1:2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 s="188">
        <f t="shared" si="11"/>
        <v>0.19133113253839037</v>
      </c>
      <c r="S171" s="8">
        <f t="shared" si="12"/>
        <v>-0.19133113253839037</v>
      </c>
      <c r="T171" s="234">
        <f t="shared" si="15"/>
        <v>3.6352915182294168</v>
      </c>
      <c r="U171" s="15">
        <v>25</v>
      </c>
      <c r="V171" s="8">
        <f t="shared" si="13"/>
        <v>-25</v>
      </c>
      <c r="W171" s="233">
        <f t="shared" si="14"/>
        <v>-1891.5</v>
      </c>
    </row>
    <row r="172" spans="1:2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 s="188">
        <f t="shared" si="11"/>
        <v>0.18176457591147085</v>
      </c>
      <c r="S172" s="8">
        <f t="shared" si="12"/>
        <v>-0.18176457591147085</v>
      </c>
      <c r="T172" s="234">
        <f>SUM(T171,S172)</f>
        <v>3.453526942317946</v>
      </c>
      <c r="U172" s="15">
        <v>25</v>
      </c>
      <c r="V172" s="8">
        <f t="shared" si="13"/>
        <v>-25</v>
      </c>
      <c r="W172" s="233">
        <f t="shared" si="14"/>
        <v>-1916.5</v>
      </c>
    </row>
    <row r="173" spans="1:2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 s="188">
        <f t="shared" si="11"/>
        <v>0.1726763471158973</v>
      </c>
      <c r="S173" s="8">
        <f t="shared" si="12"/>
        <v>-0.1726763471158973</v>
      </c>
      <c r="T173" s="234">
        <f t="shared" ref="T173:T180" si="16">SUM(T172,S173)</f>
        <v>3.2808505952020486</v>
      </c>
      <c r="U173" s="15">
        <v>25</v>
      </c>
      <c r="V173" s="8">
        <f t="shared" si="13"/>
        <v>-25</v>
      </c>
      <c r="W173" s="233">
        <f t="shared" si="14"/>
        <v>-1941.5</v>
      </c>
    </row>
    <row r="174" spans="1:2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 s="188">
        <f t="shared" si="11"/>
        <v>0.16404252976010245</v>
      </c>
      <c r="S174" s="8">
        <f t="shared" si="12"/>
        <v>-0.16404252976010245</v>
      </c>
      <c r="T174" s="234">
        <f t="shared" si="16"/>
        <v>3.1168080654419463</v>
      </c>
      <c r="U174" s="15">
        <v>25</v>
      </c>
      <c r="V174" s="8">
        <f t="shared" si="13"/>
        <v>-25</v>
      </c>
      <c r="W174" s="233">
        <f t="shared" si="14"/>
        <v>-1966.5</v>
      </c>
    </row>
    <row r="175" spans="1:2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 s="188">
        <f t="shared" si="11"/>
        <v>0.15584040327209733</v>
      </c>
      <c r="S175" s="8">
        <f t="shared" si="12"/>
        <v>-0.15584040327209733</v>
      </c>
      <c r="T175" s="234">
        <f t="shared" si="16"/>
        <v>2.9609676621698489</v>
      </c>
      <c r="U175" s="15">
        <v>25</v>
      </c>
      <c r="V175" s="8">
        <f t="shared" si="13"/>
        <v>-25</v>
      </c>
      <c r="W175" s="233">
        <f t="shared" si="14"/>
        <v>-1991.5</v>
      </c>
    </row>
    <row r="176" spans="1:2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 s="188">
        <f t="shared" si="11"/>
        <v>0.14804838310849244</v>
      </c>
      <c r="S176" s="8">
        <f t="shared" si="12"/>
        <v>-0.14804838310849244</v>
      </c>
      <c r="T176" s="234">
        <f t="shared" si="16"/>
        <v>2.8129192790613562</v>
      </c>
      <c r="U176" s="15">
        <v>25</v>
      </c>
      <c r="V176" s="8">
        <f t="shared" si="13"/>
        <v>-25</v>
      </c>
      <c r="W176" s="233">
        <f t="shared" si="14"/>
        <v>-2016.5</v>
      </c>
    </row>
    <row r="177" spans="1:2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 s="188">
        <f t="shared" si="11"/>
        <v>0.1406459639530678</v>
      </c>
      <c r="S177" s="8">
        <f t="shared" si="12"/>
        <v>-0.1406459639530678</v>
      </c>
      <c r="T177" s="234">
        <f t="shared" si="16"/>
        <v>2.6722733151082885</v>
      </c>
      <c r="U177" s="15">
        <v>25</v>
      </c>
      <c r="V177" s="8">
        <f t="shared" si="13"/>
        <v>-25</v>
      </c>
      <c r="W177" s="233">
        <f t="shared" si="14"/>
        <v>-2041.5</v>
      </c>
    </row>
    <row r="178" spans="1:2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 s="188">
        <f t="shared" si="11"/>
        <v>0.13361366575541442</v>
      </c>
      <c r="S178" s="8">
        <f t="shared" si="12"/>
        <v>-0.13361366575541442</v>
      </c>
      <c r="T178" s="234">
        <f t="shared" si="16"/>
        <v>2.5386596493528741</v>
      </c>
      <c r="U178" s="15">
        <v>25</v>
      </c>
      <c r="V178" s="8">
        <f t="shared" si="13"/>
        <v>-25</v>
      </c>
      <c r="W178" s="233">
        <f t="shared" si="14"/>
        <v>-2066.5</v>
      </c>
    </row>
    <row r="179" spans="1:2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 s="188">
        <f t="shared" si="11"/>
        <v>0.1269329824676437</v>
      </c>
      <c r="S179" s="8">
        <f t="shared" si="12"/>
        <v>-0.1269329824676437</v>
      </c>
      <c r="T179" s="234">
        <f t="shared" si="16"/>
        <v>2.4117266668852304</v>
      </c>
      <c r="U179" s="15">
        <v>25</v>
      </c>
      <c r="V179" s="8">
        <f t="shared" si="13"/>
        <v>-25</v>
      </c>
      <c r="W179" s="233">
        <f t="shared" si="14"/>
        <v>-2091.5</v>
      </c>
    </row>
    <row r="180" spans="1:2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 s="188">
        <f t="shared" si="11"/>
        <v>0.12058633334426153</v>
      </c>
      <c r="S180" s="8">
        <f t="shared" si="12"/>
        <v>-0.12058633334426153</v>
      </c>
      <c r="T180" s="234">
        <f t="shared" si="16"/>
        <v>2.291140333540969</v>
      </c>
      <c r="U180" s="15">
        <v>25</v>
      </c>
      <c r="V180" s="8">
        <f t="shared" si="13"/>
        <v>-25</v>
      </c>
      <c r="W180" s="233">
        <f t="shared" si="14"/>
        <v>-2116.5</v>
      </c>
    </row>
    <row r="181" spans="1:2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 s="188">
        <f t="shared" si="11"/>
        <v>0.11455701667704846</v>
      </c>
      <c r="S181" s="8">
        <f t="shared" si="12"/>
        <v>-0.11455701667704846</v>
      </c>
      <c r="T181" s="234">
        <f>SUM(T180,S181)</f>
        <v>2.1765833168639204</v>
      </c>
      <c r="U181" s="15">
        <v>25</v>
      </c>
      <c r="V181" s="8">
        <f t="shared" si="13"/>
        <v>-25</v>
      </c>
      <c r="W181" s="233">
        <f t="shared" si="14"/>
        <v>-2141.5</v>
      </c>
    </row>
    <row r="182" spans="1:2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 s="188">
        <f t="shared" si="11"/>
        <v>0.10882916584319602</v>
      </c>
      <c r="S182" s="8">
        <f t="shared" si="12"/>
        <v>-0.10882916584319602</v>
      </c>
      <c r="T182" s="234">
        <f t="shared" ref="T182:T191" si="17">SUM(T181,S182)</f>
        <v>2.0677541510207242</v>
      </c>
      <c r="U182" s="15">
        <v>25</v>
      </c>
      <c r="V182" s="8">
        <f t="shared" si="13"/>
        <v>-25</v>
      </c>
      <c r="W182" s="233">
        <f t="shared" si="14"/>
        <v>-2166.5</v>
      </c>
    </row>
    <row r="183" spans="1:2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 s="188">
        <f t="shared" si="11"/>
        <v>0.10338770755103621</v>
      </c>
      <c r="S183" s="8">
        <f t="shared" si="12"/>
        <v>-0.10338770755103621</v>
      </c>
      <c r="T183" s="234">
        <f t="shared" si="17"/>
        <v>1.9643664434696881</v>
      </c>
      <c r="U183" s="15">
        <v>25</v>
      </c>
      <c r="V183" s="8">
        <f t="shared" si="13"/>
        <v>-25</v>
      </c>
      <c r="W183" s="233">
        <f t="shared" si="14"/>
        <v>-2191.5</v>
      </c>
    </row>
    <row r="184" spans="1:2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 s="188">
        <f t="shared" si="11"/>
        <v>9.8218322173484418E-2</v>
      </c>
      <c r="S184" s="8">
        <f t="shared" si="12"/>
        <v>-9.8218322173484418E-2</v>
      </c>
      <c r="T184" s="234">
        <f t="shared" si="17"/>
        <v>1.8661481212962037</v>
      </c>
      <c r="U184" s="15">
        <v>25</v>
      </c>
      <c r="V184" s="8">
        <f t="shared" si="13"/>
        <v>-25</v>
      </c>
      <c r="W184" s="233">
        <f t="shared" si="14"/>
        <v>-2216.5</v>
      </c>
    </row>
    <row r="185" spans="1:2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 s="188">
        <f t="shared" si="11"/>
        <v>9.3307406064810194E-2</v>
      </c>
      <c r="S185" s="8">
        <f t="shared" si="12"/>
        <v>-9.3307406064810194E-2</v>
      </c>
      <c r="T185" s="234">
        <f t="shared" si="17"/>
        <v>1.7728407152313934</v>
      </c>
      <c r="U185" s="15">
        <v>25</v>
      </c>
      <c r="V185" s="8">
        <f t="shared" si="13"/>
        <v>-25</v>
      </c>
      <c r="W185" s="233">
        <f t="shared" si="14"/>
        <v>-2241.5</v>
      </c>
    </row>
    <row r="186" spans="1:2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 s="188">
        <f t="shared" si="11"/>
        <v>8.8642035761569676E-2</v>
      </c>
      <c r="S186" s="8">
        <f t="shared" si="12"/>
        <v>-8.8642035761569676E-2</v>
      </c>
      <c r="T186" s="234">
        <f t="shared" si="17"/>
        <v>1.6841986794698238</v>
      </c>
      <c r="U186" s="15">
        <v>25</v>
      </c>
      <c r="V186" s="8">
        <f t="shared" si="13"/>
        <v>-25</v>
      </c>
      <c r="W186" s="233">
        <f t="shared" si="14"/>
        <v>-2266.5</v>
      </c>
    </row>
    <row r="187" spans="1:2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 s="188">
        <f t="shared" si="11"/>
        <v>8.4209933973491191E-2</v>
      </c>
      <c r="S187" s="8">
        <f t="shared" si="12"/>
        <v>-8.4209933973491191E-2</v>
      </c>
      <c r="T187" s="234">
        <f t="shared" si="17"/>
        <v>1.5999887454963326</v>
      </c>
      <c r="U187" s="15">
        <v>25</v>
      </c>
      <c r="V187" s="8">
        <f t="shared" si="13"/>
        <v>-25</v>
      </c>
      <c r="W187" s="233">
        <f t="shared" si="14"/>
        <v>-2291.5</v>
      </c>
    </row>
    <row r="188" spans="1:2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 s="188">
        <f t="shared" si="11"/>
        <v>7.9999437274816634E-2</v>
      </c>
      <c r="S188" s="8">
        <f t="shared" si="12"/>
        <v>-7.9999437274816634E-2</v>
      </c>
      <c r="T188" s="234">
        <f t="shared" si="17"/>
        <v>1.5199893082215159</v>
      </c>
      <c r="U188" s="15">
        <v>25</v>
      </c>
      <c r="V188" s="8">
        <f t="shared" si="13"/>
        <v>-25</v>
      </c>
      <c r="W188" s="233">
        <f t="shared" si="14"/>
        <v>-2316.5</v>
      </c>
    </row>
    <row r="189" spans="1:2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 s="188">
        <f t="shared" si="11"/>
        <v>7.5999465411075801E-2</v>
      </c>
      <c r="S189" s="8">
        <f t="shared" si="12"/>
        <v>-7.5999465411075801E-2</v>
      </c>
      <c r="T189" s="234">
        <f t="shared" si="17"/>
        <v>1.4439898428104401</v>
      </c>
      <c r="U189" s="15">
        <v>25</v>
      </c>
      <c r="V189" s="8">
        <f t="shared" si="13"/>
        <v>-25</v>
      </c>
      <c r="W189" s="233">
        <f t="shared" si="14"/>
        <v>-2341.5</v>
      </c>
    </row>
    <row r="190" spans="1:2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 s="188">
        <f t="shared" si="11"/>
        <v>7.2199492140522001E-2</v>
      </c>
      <c r="S190" s="8">
        <f t="shared" si="12"/>
        <v>-7.2199492140522001E-2</v>
      </c>
      <c r="T190" s="234">
        <f t="shared" si="17"/>
        <v>1.3717903506699181</v>
      </c>
      <c r="U190" s="15">
        <v>25</v>
      </c>
      <c r="V190" s="8">
        <f t="shared" si="13"/>
        <v>-25</v>
      </c>
      <c r="W190" s="233">
        <f t="shared" si="14"/>
        <v>-2366.5</v>
      </c>
    </row>
    <row r="191" spans="1:2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 s="188">
        <f t="shared" si="11"/>
        <v>6.8589517533495903E-2</v>
      </c>
      <c r="S191" s="8">
        <f t="shared" si="12"/>
        <v>-6.8589517533495903E-2</v>
      </c>
      <c r="T191" s="234">
        <f t="shared" si="17"/>
        <v>1.3032008331364222</v>
      </c>
      <c r="U191" s="15">
        <v>25</v>
      </c>
      <c r="V191" s="8">
        <f t="shared" si="13"/>
        <v>-25</v>
      </c>
      <c r="W191" s="233">
        <f t="shared" si="14"/>
        <v>-2391.5</v>
      </c>
    </row>
    <row r="192" spans="1:2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 s="188">
        <f t="shared" si="11"/>
        <v>6.5160041656821113E-2</v>
      </c>
      <c r="S192" s="8">
        <f t="shared" si="12"/>
        <v>-6.5160041656821113E-2</v>
      </c>
      <c r="T192" s="234">
        <f>SUM(T191,S192)</f>
        <v>1.238040791479601</v>
      </c>
      <c r="U192" s="15">
        <v>25</v>
      </c>
      <c r="V192" s="8">
        <f t="shared" si="13"/>
        <v>-25</v>
      </c>
      <c r="W192" s="233">
        <f t="shared" si="14"/>
        <v>-2416.5</v>
      </c>
    </row>
    <row r="193" spans="1:2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 s="188">
        <f t="shared" si="11"/>
        <v>6.190203957398005E-2</v>
      </c>
      <c r="S193" s="8">
        <f t="shared" si="12"/>
        <v>-6.190203957398005E-2</v>
      </c>
      <c r="T193" s="234">
        <f t="shared" ref="T193:T214" si="18">SUM(T192,S193)</f>
        <v>1.176138751905621</v>
      </c>
      <c r="U193" s="15">
        <v>25</v>
      </c>
      <c r="V193" s="8">
        <f t="shared" si="13"/>
        <v>-25</v>
      </c>
      <c r="W193" s="233">
        <f t="shared" si="14"/>
        <v>-2441.5</v>
      </c>
    </row>
    <row r="194" spans="1:2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 s="188">
        <f t="shared" si="11"/>
        <v>5.880693759528105E-2</v>
      </c>
      <c r="S194" s="8">
        <f t="shared" si="12"/>
        <v>-5.880693759528105E-2</v>
      </c>
      <c r="T194" s="234">
        <f t="shared" si="18"/>
        <v>1.1173318143103399</v>
      </c>
      <c r="U194" s="15">
        <v>25</v>
      </c>
      <c r="V194" s="8">
        <f t="shared" si="13"/>
        <v>-25</v>
      </c>
      <c r="W194" s="233">
        <f t="shared" si="14"/>
        <v>-2466.5</v>
      </c>
    </row>
    <row r="195" spans="1:2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 s="188">
        <f t="shared" ref="R195:R258" si="19">SUM(T194*0.05)</f>
        <v>5.5866590715517001E-2</v>
      </c>
      <c r="S195" s="8">
        <f t="shared" ref="S195:S258" si="20">IF(O195="won",R195*0.18,-R195)</f>
        <v>-5.5866590715517001E-2</v>
      </c>
      <c r="T195" s="234">
        <f t="shared" si="18"/>
        <v>1.061465223594823</v>
      </c>
      <c r="U195" s="15">
        <v>25</v>
      </c>
      <c r="V195" s="8">
        <f t="shared" ref="V195:V258" si="21">IF(O195="won",U195*0.18,-U195)</f>
        <v>-25</v>
      </c>
      <c r="W195" s="233">
        <f t="shared" ref="W195:W258" si="22">SUM(W194,V195)</f>
        <v>-2491.5</v>
      </c>
    </row>
    <row r="196" spans="1:2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 s="188">
        <f t="shared" si="19"/>
        <v>5.3073261179741149E-2</v>
      </c>
      <c r="S196" s="8">
        <f t="shared" si="20"/>
        <v>-5.3073261179741149E-2</v>
      </c>
      <c r="T196" s="234">
        <f t="shared" si="18"/>
        <v>1.0083919624150819</v>
      </c>
      <c r="U196" s="15">
        <v>25</v>
      </c>
      <c r="V196" s="8">
        <f t="shared" si="21"/>
        <v>-25</v>
      </c>
      <c r="W196" s="233">
        <f t="shared" si="22"/>
        <v>-2516.5</v>
      </c>
    </row>
    <row r="197" spans="1:2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 s="188">
        <f t="shared" si="19"/>
        <v>5.0419598120754097E-2</v>
      </c>
      <c r="S197" s="8">
        <f t="shared" si="20"/>
        <v>-5.0419598120754097E-2</v>
      </c>
      <c r="T197" s="234">
        <f t="shared" si="18"/>
        <v>0.95797236429432775</v>
      </c>
      <c r="U197" s="15">
        <v>25</v>
      </c>
      <c r="V197" s="8">
        <f t="shared" si="21"/>
        <v>-25</v>
      </c>
      <c r="W197" s="233">
        <f t="shared" si="22"/>
        <v>-2541.5</v>
      </c>
    </row>
    <row r="198" spans="1:2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 s="188">
        <f t="shared" si="19"/>
        <v>4.7898618214716387E-2</v>
      </c>
      <c r="S198" s="8">
        <f t="shared" si="20"/>
        <v>-4.7898618214716387E-2</v>
      </c>
      <c r="T198" s="234">
        <f t="shared" si="18"/>
        <v>0.91007374607961133</v>
      </c>
      <c r="U198" s="15">
        <v>25</v>
      </c>
      <c r="V198" s="8">
        <f t="shared" si="21"/>
        <v>-25</v>
      </c>
      <c r="W198" s="233">
        <f t="shared" si="22"/>
        <v>-2566.5</v>
      </c>
    </row>
    <row r="199" spans="1:2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 s="188">
        <f t="shared" si="19"/>
        <v>4.5503687303980571E-2</v>
      </c>
      <c r="S199" s="8">
        <f t="shared" si="20"/>
        <v>-4.5503687303980571E-2</v>
      </c>
      <c r="T199" s="234">
        <f t="shared" si="18"/>
        <v>0.86457005877563076</v>
      </c>
      <c r="U199" s="15">
        <v>25</v>
      </c>
      <c r="V199" s="8">
        <f t="shared" si="21"/>
        <v>-25</v>
      </c>
      <c r="W199" s="233">
        <f t="shared" si="22"/>
        <v>-2591.5</v>
      </c>
    </row>
    <row r="200" spans="1:2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 s="188">
        <f t="shared" si="19"/>
        <v>4.3228502938781541E-2</v>
      </c>
      <c r="S200" s="8">
        <f t="shared" si="20"/>
        <v>-4.3228502938781541E-2</v>
      </c>
      <c r="T200" s="234">
        <f t="shared" si="18"/>
        <v>0.8213415558368492</v>
      </c>
      <c r="U200" s="15">
        <v>25</v>
      </c>
      <c r="V200" s="8">
        <f t="shared" si="21"/>
        <v>-25</v>
      </c>
      <c r="W200" s="233">
        <f t="shared" si="22"/>
        <v>-2616.5</v>
      </c>
    </row>
    <row r="201" spans="1:2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 s="188">
        <f t="shared" si="19"/>
        <v>4.106707779184246E-2</v>
      </c>
      <c r="S201" s="8">
        <f t="shared" si="20"/>
        <v>-4.106707779184246E-2</v>
      </c>
      <c r="T201" s="234">
        <f t="shared" si="18"/>
        <v>0.78027447804500671</v>
      </c>
      <c r="U201" s="15">
        <v>25</v>
      </c>
      <c r="V201" s="8">
        <f t="shared" si="21"/>
        <v>-25</v>
      </c>
      <c r="W201" s="233">
        <f t="shared" si="22"/>
        <v>-2641.5</v>
      </c>
    </row>
    <row r="202" spans="1:2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 s="188">
        <f t="shared" si="19"/>
        <v>3.9013723902250337E-2</v>
      </c>
      <c r="S202" s="8">
        <f t="shared" si="20"/>
        <v>-3.9013723902250337E-2</v>
      </c>
      <c r="T202" s="234">
        <f t="shared" si="18"/>
        <v>0.74126075414275638</v>
      </c>
      <c r="U202" s="15">
        <v>25</v>
      </c>
      <c r="V202" s="8">
        <f t="shared" si="21"/>
        <v>-25</v>
      </c>
      <c r="W202" s="233">
        <f t="shared" si="22"/>
        <v>-2666.5</v>
      </c>
    </row>
    <row r="203" spans="1:2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 s="188">
        <f t="shared" si="19"/>
        <v>3.7063037707137821E-2</v>
      </c>
      <c r="S203" s="8">
        <f t="shared" si="20"/>
        <v>-3.7063037707137821E-2</v>
      </c>
      <c r="T203" s="234">
        <f t="shared" si="18"/>
        <v>0.70419771643561857</v>
      </c>
      <c r="U203" s="15">
        <v>25</v>
      </c>
      <c r="V203" s="8">
        <f t="shared" si="21"/>
        <v>-25</v>
      </c>
      <c r="W203" s="233">
        <f t="shared" si="22"/>
        <v>-2691.5</v>
      </c>
    </row>
    <row r="204" spans="1:2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 s="188">
        <f t="shared" si="19"/>
        <v>3.5209885821780931E-2</v>
      </c>
      <c r="S204" s="8">
        <f t="shared" si="20"/>
        <v>-3.5209885821780931E-2</v>
      </c>
      <c r="T204" s="234">
        <f t="shared" si="18"/>
        <v>0.6689878306138376</v>
      </c>
      <c r="U204" s="15">
        <v>25</v>
      </c>
      <c r="V204" s="8">
        <f t="shared" si="21"/>
        <v>-25</v>
      </c>
      <c r="W204" s="233">
        <f t="shared" si="22"/>
        <v>-2716.5</v>
      </c>
    </row>
    <row r="205" spans="1:2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 s="188">
        <f t="shared" si="19"/>
        <v>3.3449391530691881E-2</v>
      </c>
      <c r="S205" s="8">
        <f t="shared" si="20"/>
        <v>-3.3449391530691881E-2</v>
      </c>
      <c r="T205" s="234">
        <f t="shared" si="18"/>
        <v>0.63553843908314567</v>
      </c>
      <c r="U205" s="15">
        <v>25</v>
      </c>
      <c r="V205" s="8">
        <f t="shared" si="21"/>
        <v>-25</v>
      </c>
      <c r="W205" s="233">
        <f t="shared" si="22"/>
        <v>-2741.5</v>
      </c>
    </row>
    <row r="206" spans="1:2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 s="188">
        <f t="shared" si="19"/>
        <v>3.1776921954157288E-2</v>
      </c>
      <c r="S206" s="8">
        <f t="shared" si="20"/>
        <v>-3.1776921954157288E-2</v>
      </c>
      <c r="T206" s="234">
        <f t="shared" si="18"/>
        <v>0.6037615171289884</v>
      </c>
      <c r="U206" s="15">
        <v>25</v>
      </c>
      <c r="V206" s="8">
        <f t="shared" si="21"/>
        <v>-25</v>
      </c>
      <c r="W206" s="233">
        <f t="shared" si="22"/>
        <v>-2766.5</v>
      </c>
    </row>
    <row r="207" spans="1:2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 s="188">
        <f t="shared" si="19"/>
        <v>3.018807585644942E-2</v>
      </c>
      <c r="S207" s="8">
        <f t="shared" si="20"/>
        <v>-3.018807585644942E-2</v>
      </c>
      <c r="T207" s="234">
        <f t="shared" si="18"/>
        <v>0.57357344127253895</v>
      </c>
      <c r="U207" s="15">
        <v>25</v>
      </c>
      <c r="V207" s="8">
        <f t="shared" si="21"/>
        <v>-25</v>
      </c>
      <c r="W207" s="233">
        <f t="shared" si="22"/>
        <v>-2791.5</v>
      </c>
    </row>
    <row r="208" spans="1:2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 s="188">
        <f t="shared" si="19"/>
        <v>2.867867206362695E-2</v>
      </c>
      <c r="S208" s="8">
        <f t="shared" si="20"/>
        <v>-2.867867206362695E-2</v>
      </c>
      <c r="T208" s="234">
        <f t="shared" si="18"/>
        <v>0.544894769208912</v>
      </c>
      <c r="U208" s="15">
        <v>25</v>
      </c>
      <c r="V208" s="8">
        <f t="shared" si="21"/>
        <v>-25</v>
      </c>
      <c r="W208" s="233">
        <f t="shared" si="22"/>
        <v>-2816.5</v>
      </c>
    </row>
    <row r="209" spans="1:2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 s="188">
        <f t="shared" si="19"/>
        <v>2.7244738460445603E-2</v>
      </c>
      <c r="S209" s="8">
        <f t="shared" si="20"/>
        <v>-2.7244738460445603E-2</v>
      </c>
      <c r="T209" s="234">
        <f t="shared" si="18"/>
        <v>0.51765003074846638</v>
      </c>
      <c r="U209" s="15">
        <v>25</v>
      </c>
      <c r="V209" s="8">
        <f t="shared" si="21"/>
        <v>-25</v>
      </c>
      <c r="W209" s="233">
        <f t="shared" si="22"/>
        <v>-2841.5</v>
      </c>
    </row>
    <row r="210" spans="1:2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 s="188">
        <f t="shared" si="19"/>
        <v>2.588250153742332E-2</v>
      </c>
      <c r="S210" s="8">
        <f t="shared" si="20"/>
        <v>-2.588250153742332E-2</v>
      </c>
      <c r="T210" s="234">
        <f t="shared" si="18"/>
        <v>0.49176752921104305</v>
      </c>
      <c r="U210" s="15">
        <v>25</v>
      </c>
      <c r="V210" s="8">
        <f t="shared" si="21"/>
        <v>-25</v>
      </c>
      <c r="W210" s="233">
        <f t="shared" si="22"/>
        <v>-2866.5</v>
      </c>
    </row>
    <row r="211" spans="1:2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 s="188">
        <f t="shared" si="19"/>
        <v>2.4588376460552154E-2</v>
      </c>
      <c r="S211" s="8">
        <f t="shared" si="20"/>
        <v>-2.4588376460552154E-2</v>
      </c>
      <c r="T211" s="234">
        <f t="shared" si="18"/>
        <v>0.46717915275049088</v>
      </c>
      <c r="U211" s="15">
        <v>25</v>
      </c>
      <c r="V211" s="8">
        <f t="shared" si="21"/>
        <v>-25</v>
      </c>
      <c r="W211" s="233">
        <f t="shared" si="22"/>
        <v>-2891.5</v>
      </c>
    </row>
    <row r="212" spans="1:2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 s="188">
        <f t="shared" si="19"/>
        <v>2.3358957637524547E-2</v>
      </c>
      <c r="S212" s="8">
        <f t="shared" si="20"/>
        <v>-2.3358957637524547E-2</v>
      </c>
      <c r="T212" s="234">
        <f t="shared" si="18"/>
        <v>0.44382019511296633</v>
      </c>
      <c r="U212" s="15">
        <v>25</v>
      </c>
      <c r="V212" s="8">
        <f t="shared" si="21"/>
        <v>-25</v>
      </c>
      <c r="W212" s="233">
        <f t="shared" si="22"/>
        <v>-2916.5</v>
      </c>
    </row>
    <row r="213" spans="1:2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 s="188">
        <f t="shared" si="19"/>
        <v>2.2191009755648319E-2</v>
      </c>
      <c r="S213" s="8">
        <f t="shared" si="20"/>
        <v>-2.2191009755648319E-2</v>
      </c>
      <c r="T213" s="234">
        <f t="shared" si="18"/>
        <v>0.42162918535731803</v>
      </c>
      <c r="U213" s="15">
        <v>25</v>
      </c>
      <c r="V213" s="8">
        <f t="shared" si="21"/>
        <v>-25</v>
      </c>
      <c r="W213" s="233">
        <f t="shared" si="22"/>
        <v>-2941.5</v>
      </c>
    </row>
    <row r="214" spans="1:2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 s="188">
        <f t="shared" si="19"/>
        <v>2.1081459267865903E-2</v>
      </c>
      <c r="S214" s="8">
        <f t="shared" si="20"/>
        <v>-2.1081459267865903E-2</v>
      </c>
      <c r="T214" s="234">
        <f t="shared" si="18"/>
        <v>0.40054772608945211</v>
      </c>
      <c r="U214" s="15">
        <v>25</v>
      </c>
      <c r="V214" s="8">
        <f t="shared" si="21"/>
        <v>-25</v>
      </c>
      <c r="W214" s="233">
        <f t="shared" si="22"/>
        <v>-2966.5</v>
      </c>
    </row>
    <row r="215" spans="1:2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 s="188">
        <f t="shared" si="19"/>
        <v>2.0027386304472608E-2</v>
      </c>
      <c r="S215" s="8">
        <f t="shared" si="20"/>
        <v>-2.0027386304472608E-2</v>
      </c>
      <c r="T215" s="234">
        <f>SUM(T214,S215)</f>
        <v>0.38052033978497951</v>
      </c>
      <c r="U215" s="15">
        <v>25</v>
      </c>
      <c r="V215" s="8">
        <f t="shared" si="21"/>
        <v>-25</v>
      </c>
      <c r="W215" s="233">
        <f t="shared" si="22"/>
        <v>-2991.5</v>
      </c>
    </row>
    <row r="216" spans="1:2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 s="188">
        <f t="shared" si="19"/>
        <v>1.9026016989248978E-2</v>
      </c>
      <c r="S216" s="8">
        <f t="shared" si="20"/>
        <v>-1.9026016989248978E-2</v>
      </c>
      <c r="T216" s="234">
        <f>SUM(T215,S216)</f>
        <v>0.36149432279573052</v>
      </c>
      <c r="U216" s="15">
        <v>25</v>
      </c>
      <c r="V216" s="8">
        <f t="shared" si="21"/>
        <v>-25</v>
      </c>
      <c r="W216" s="233">
        <f t="shared" si="22"/>
        <v>-3016.5</v>
      </c>
    </row>
    <row r="217" spans="1:2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 s="188">
        <f t="shared" si="19"/>
        <v>1.8074716139786527E-2</v>
      </c>
      <c r="S217" s="8">
        <f t="shared" si="20"/>
        <v>-1.8074716139786527E-2</v>
      </c>
      <c r="T217" s="234">
        <f>SUM(T216,S217)</f>
        <v>0.34341960665594401</v>
      </c>
      <c r="U217" s="15">
        <v>25</v>
      </c>
      <c r="V217" s="8">
        <f t="shared" si="21"/>
        <v>-25</v>
      </c>
      <c r="W217" s="233">
        <f t="shared" si="22"/>
        <v>-3041.5</v>
      </c>
    </row>
    <row r="218" spans="1:2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 s="188">
        <f t="shared" si="19"/>
        <v>1.7170980332797202E-2</v>
      </c>
      <c r="S218" s="8">
        <f t="shared" si="20"/>
        <v>-1.7170980332797202E-2</v>
      </c>
      <c r="T218" s="234">
        <f>SUM(T217,S218)</f>
        <v>0.32624862632314683</v>
      </c>
      <c r="U218" s="15">
        <v>25</v>
      </c>
      <c r="V218" s="8">
        <f t="shared" si="21"/>
        <v>-25</v>
      </c>
      <c r="W218" s="233">
        <f t="shared" si="22"/>
        <v>-3066.5</v>
      </c>
    </row>
    <row r="219" spans="1:2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 s="188">
        <f t="shared" si="19"/>
        <v>1.6312431316157342E-2</v>
      </c>
      <c r="S219" s="8">
        <f t="shared" si="20"/>
        <v>-1.6312431316157342E-2</v>
      </c>
      <c r="T219" s="234">
        <f t="shared" ref="T219:T242" si="23">SUM(T218,S219)</f>
        <v>0.30993619500698949</v>
      </c>
      <c r="U219" s="15">
        <v>25</v>
      </c>
      <c r="V219" s="8">
        <f t="shared" si="21"/>
        <v>-25</v>
      </c>
      <c r="W219" s="233">
        <f t="shared" si="22"/>
        <v>-3091.5</v>
      </c>
    </row>
    <row r="220" spans="1:2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 s="188">
        <f t="shared" si="19"/>
        <v>1.5496809750349476E-2</v>
      </c>
      <c r="S220" s="8">
        <f t="shared" si="20"/>
        <v>-1.5496809750349476E-2</v>
      </c>
      <c r="T220" s="234">
        <f t="shared" si="23"/>
        <v>0.29443938525664004</v>
      </c>
      <c r="U220" s="15">
        <v>25</v>
      </c>
      <c r="V220" s="8">
        <f t="shared" si="21"/>
        <v>-25</v>
      </c>
      <c r="W220" s="233">
        <f t="shared" si="22"/>
        <v>-3116.5</v>
      </c>
    </row>
    <row r="221" spans="1:2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 s="188">
        <f t="shared" si="19"/>
        <v>1.4721969262832002E-2</v>
      </c>
      <c r="S221" s="8">
        <f t="shared" si="20"/>
        <v>-1.4721969262832002E-2</v>
      </c>
      <c r="T221" s="234">
        <f t="shared" si="23"/>
        <v>0.27971741599380806</v>
      </c>
      <c r="U221" s="15">
        <v>25</v>
      </c>
      <c r="V221" s="8">
        <f t="shared" si="21"/>
        <v>-25</v>
      </c>
      <c r="W221" s="233">
        <f t="shared" si="22"/>
        <v>-3141.5</v>
      </c>
    </row>
    <row r="222" spans="1:2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 s="188">
        <f t="shared" si="19"/>
        <v>1.3985870799690403E-2</v>
      </c>
      <c r="S222" s="8">
        <f t="shared" si="20"/>
        <v>-1.3985870799690403E-2</v>
      </c>
      <c r="T222" s="234">
        <f t="shared" si="23"/>
        <v>0.26573154519411768</v>
      </c>
      <c r="U222" s="15">
        <v>25</v>
      </c>
      <c r="V222" s="8">
        <f t="shared" si="21"/>
        <v>-25</v>
      </c>
      <c r="W222" s="233">
        <f t="shared" si="22"/>
        <v>-3166.5</v>
      </c>
    </row>
    <row r="223" spans="1: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 s="188">
        <f t="shared" si="19"/>
        <v>1.3286577259705884E-2</v>
      </c>
      <c r="S223" s="8">
        <f t="shared" si="20"/>
        <v>-1.3286577259705884E-2</v>
      </c>
      <c r="T223" s="234">
        <f t="shared" si="23"/>
        <v>0.25244496793441179</v>
      </c>
      <c r="U223" s="15">
        <v>25</v>
      </c>
      <c r="V223" s="8">
        <f t="shared" si="21"/>
        <v>-25</v>
      </c>
      <c r="W223" s="233">
        <f t="shared" si="22"/>
        <v>-3191.5</v>
      </c>
    </row>
    <row r="224" spans="1:2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 s="188">
        <f t="shared" si="19"/>
        <v>1.262224839672059E-2</v>
      </c>
      <c r="S224" s="8">
        <f t="shared" si="20"/>
        <v>-1.262224839672059E-2</v>
      </c>
      <c r="T224" s="234">
        <f t="shared" si="23"/>
        <v>0.23982271953769119</v>
      </c>
      <c r="U224" s="15">
        <v>25</v>
      </c>
      <c r="V224" s="8">
        <f t="shared" si="21"/>
        <v>-25</v>
      </c>
      <c r="W224" s="233">
        <f t="shared" si="22"/>
        <v>-3216.5</v>
      </c>
    </row>
    <row r="225" spans="1:2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 s="188">
        <f t="shared" si="19"/>
        <v>1.1991135976884559E-2</v>
      </c>
      <c r="S225" s="8">
        <f t="shared" si="20"/>
        <v>-1.1991135976884559E-2</v>
      </c>
      <c r="T225" s="234">
        <f t="shared" si="23"/>
        <v>0.22783158356080663</v>
      </c>
      <c r="U225" s="15">
        <v>25</v>
      </c>
      <c r="V225" s="8">
        <f t="shared" si="21"/>
        <v>-25</v>
      </c>
      <c r="W225" s="233">
        <f t="shared" si="22"/>
        <v>-3241.5</v>
      </c>
    </row>
    <row r="226" spans="1:2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 s="188">
        <f t="shared" si="19"/>
        <v>1.1391579178040331E-2</v>
      </c>
      <c r="S226" s="8">
        <f t="shared" si="20"/>
        <v>-1.1391579178040331E-2</v>
      </c>
      <c r="T226" s="234">
        <f t="shared" si="23"/>
        <v>0.21644000438276628</v>
      </c>
      <c r="U226" s="15">
        <v>25</v>
      </c>
      <c r="V226" s="8">
        <f t="shared" si="21"/>
        <v>-25</v>
      </c>
      <c r="W226" s="233">
        <f t="shared" si="22"/>
        <v>-3266.5</v>
      </c>
    </row>
    <row r="227" spans="1:2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 s="188">
        <f t="shared" si="19"/>
        <v>1.0822000219138315E-2</v>
      </c>
      <c r="S227" s="8">
        <f t="shared" si="20"/>
        <v>-1.0822000219138315E-2</v>
      </c>
      <c r="T227" s="234">
        <f t="shared" si="23"/>
        <v>0.20561800416362797</v>
      </c>
      <c r="U227" s="15">
        <v>25</v>
      </c>
      <c r="V227" s="8">
        <f t="shared" si="21"/>
        <v>-25</v>
      </c>
      <c r="W227" s="233">
        <f t="shared" si="22"/>
        <v>-3291.5</v>
      </c>
    </row>
    <row r="228" spans="1:2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 s="188">
        <f t="shared" si="19"/>
        <v>1.0280900208181398E-2</v>
      </c>
      <c r="S228" s="8">
        <f t="shared" si="20"/>
        <v>-1.0280900208181398E-2</v>
      </c>
      <c r="T228" s="234">
        <f t="shared" si="23"/>
        <v>0.19533710395544657</v>
      </c>
      <c r="U228" s="15">
        <v>25</v>
      </c>
      <c r="V228" s="8">
        <f t="shared" si="21"/>
        <v>-25</v>
      </c>
      <c r="W228" s="233">
        <f t="shared" si="22"/>
        <v>-3316.5</v>
      </c>
    </row>
    <row r="229" spans="1:2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 s="188">
        <f t="shared" si="19"/>
        <v>9.7668551977723294E-3</v>
      </c>
      <c r="S229" s="8">
        <f t="shared" si="20"/>
        <v>-9.7668551977723294E-3</v>
      </c>
      <c r="T229" s="234">
        <f t="shared" si="23"/>
        <v>0.18557024875767425</v>
      </c>
      <c r="U229" s="15">
        <v>25</v>
      </c>
      <c r="V229" s="8">
        <f t="shared" si="21"/>
        <v>-25</v>
      </c>
      <c r="W229" s="233">
        <f t="shared" si="22"/>
        <v>-3341.5</v>
      </c>
    </row>
    <row r="230" spans="1:2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 s="188">
        <f t="shared" si="19"/>
        <v>9.2785124378837128E-3</v>
      </c>
      <c r="S230" s="8">
        <f t="shared" si="20"/>
        <v>-9.2785124378837128E-3</v>
      </c>
      <c r="T230" s="234">
        <f t="shared" si="23"/>
        <v>0.17629173631979053</v>
      </c>
      <c r="U230" s="15">
        <v>25</v>
      </c>
      <c r="V230" s="8">
        <f t="shared" si="21"/>
        <v>-25</v>
      </c>
      <c r="W230" s="233">
        <f t="shared" si="22"/>
        <v>-3366.5</v>
      </c>
    </row>
    <row r="231" spans="1:2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 s="188">
        <f t="shared" si="19"/>
        <v>8.8145868159895269E-3</v>
      </c>
      <c r="S231" s="8">
        <f t="shared" si="20"/>
        <v>-8.8145868159895269E-3</v>
      </c>
      <c r="T231" s="234">
        <f t="shared" si="23"/>
        <v>0.16747714950380099</v>
      </c>
      <c r="U231" s="15">
        <v>25</v>
      </c>
      <c r="V231" s="8">
        <f t="shared" si="21"/>
        <v>-25</v>
      </c>
      <c r="W231" s="233">
        <f t="shared" si="22"/>
        <v>-3391.5</v>
      </c>
    </row>
    <row r="232" spans="1:2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 s="188">
        <f t="shared" si="19"/>
        <v>8.3738574751900507E-3</v>
      </c>
      <c r="S232" s="8">
        <f t="shared" si="20"/>
        <v>-8.3738574751900507E-3</v>
      </c>
      <c r="T232" s="234">
        <f t="shared" si="23"/>
        <v>0.15910329202861095</v>
      </c>
      <c r="U232" s="15">
        <v>25</v>
      </c>
      <c r="V232" s="8">
        <f t="shared" si="21"/>
        <v>-25</v>
      </c>
      <c r="W232" s="233">
        <f t="shared" si="22"/>
        <v>-3416.5</v>
      </c>
    </row>
    <row r="233" spans="1:2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 s="188">
        <f t="shared" si="19"/>
        <v>7.9551646014305484E-3</v>
      </c>
      <c r="S233" s="8">
        <f t="shared" si="20"/>
        <v>-7.9551646014305484E-3</v>
      </c>
      <c r="T233" s="234">
        <f t="shared" si="23"/>
        <v>0.1511481274271804</v>
      </c>
      <c r="U233" s="15">
        <v>25</v>
      </c>
      <c r="V233" s="8">
        <f t="shared" si="21"/>
        <v>-25</v>
      </c>
      <c r="W233" s="233">
        <f t="shared" si="22"/>
        <v>-3441.5</v>
      </c>
    </row>
    <row r="234" spans="1:2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 s="188">
        <f t="shared" si="19"/>
        <v>7.5574063713590199E-3</v>
      </c>
      <c r="S234" s="8">
        <f t="shared" si="20"/>
        <v>-7.5574063713590199E-3</v>
      </c>
      <c r="T234" s="234">
        <f t="shared" si="23"/>
        <v>0.14359072105582138</v>
      </c>
      <c r="U234" s="15">
        <v>25</v>
      </c>
      <c r="V234" s="8">
        <f t="shared" si="21"/>
        <v>-25</v>
      </c>
      <c r="W234" s="233">
        <f t="shared" si="22"/>
        <v>-3466.5</v>
      </c>
    </row>
    <row r="235" spans="1:2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 s="188">
        <f t="shared" si="19"/>
        <v>7.1795360527910695E-3</v>
      </c>
      <c r="S235" s="8">
        <f t="shared" si="20"/>
        <v>-7.1795360527910695E-3</v>
      </c>
      <c r="T235" s="234">
        <f t="shared" si="23"/>
        <v>0.13641118500303032</v>
      </c>
      <c r="U235" s="15">
        <v>25</v>
      </c>
      <c r="V235" s="8">
        <f t="shared" si="21"/>
        <v>-25</v>
      </c>
      <c r="W235" s="233">
        <f t="shared" si="22"/>
        <v>-3491.5</v>
      </c>
    </row>
    <row r="236" spans="1:2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 s="188">
        <f t="shared" si="19"/>
        <v>6.8205592501515162E-3</v>
      </c>
      <c r="S236" s="8">
        <f t="shared" si="20"/>
        <v>-6.8205592501515162E-3</v>
      </c>
      <c r="T236" s="234">
        <f t="shared" si="23"/>
        <v>0.1295906257528788</v>
      </c>
      <c r="U236" s="15">
        <v>25</v>
      </c>
      <c r="V236" s="8">
        <f t="shared" si="21"/>
        <v>-25</v>
      </c>
      <c r="W236" s="233">
        <f t="shared" si="22"/>
        <v>-3516.5</v>
      </c>
    </row>
    <row r="237" spans="1:2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 s="188">
        <f t="shared" si="19"/>
        <v>6.4795312876439401E-3</v>
      </c>
      <c r="S237" s="8">
        <f t="shared" si="20"/>
        <v>-6.4795312876439401E-3</v>
      </c>
      <c r="T237" s="234">
        <f t="shared" si="23"/>
        <v>0.12311109446523485</v>
      </c>
      <c r="U237" s="15">
        <v>25</v>
      </c>
      <c r="V237" s="8">
        <f t="shared" si="21"/>
        <v>-25</v>
      </c>
      <c r="W237" s="233">
        <f t="shared" si="22"/>
        <v>-3541.5</v>
      </c>
    </row>
    <row r="238" spans="1:2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 s="188">
        <f t="shared" si="19"/>
        <v>6.1555547232617427E-3</v>
      </c>
      <c r="S238" s="8">
        <f t="shared" si="20"/>
        <v>-6.1555547232617427E-3</v>
      </c>
      <c r="T238" s="234">
        <f t="shared" si="23"/>
        <v>0.11695553974197312</v>
      </c>
      <c r="U238" s="15">
        <v>25</v>
      </c>
      <c r="V238" s="8">
        <f t="shared" si="21"/>
        <v>-25</v>
      </c>
      <c r="W238" s="233">
        <f t="shared" si="22"/>
        <v>-3566.5</v>
      </c>
    </row>
    <row r="239" spans="1:2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 s="188">
        <f t="shared" si="19"/>
        <v>5.8477769870986561E-3</v>
      </c>
      <c r="S239" s="8">
        <f t="shared" si="20"/>
        <v>-5.8477769870986561E-3</v>
      </c>
      <c r="T239" s="234">
        <f t="shared" si="23"/>
        <v>0.11110776275487447</v>
      </c>
      <c r="U239" s="15">
        <v>25</v>
      </c>
      <c r="V239" s="8">
        <f t="shared" si="21"/>
        <v>-25</v>
      </c>
      <c r="W239" s="233">
        <f t="shared" si="22"/>
        <v>-3591.5</v>
      </c>
    </row>
    <row r="240" spans="1:2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 s="188">
        <f t="shared" si="19"/>
        <v>5.5553881377437241E-3</v>
      </c>
      <c r="S240" s="8">
        <f t="shared" si="20"/>
        <v>-5.5553881377437241E-3</v>
      </c>
      <c r="T240" s="234">
        <f t="shared" si="23"/>
        <v>0.10555237461713074</v>
      </c>
      <c r="U240" s="15">
        <v>25</v>
      </c>
      <c r="V240" s="8">
        <f t="shared" si="21"/>
        <v>-25</v>
      </c>
      <c r="W240" s="233">
        <f t="shared" si="22"/>
        <v>-3616.5</v>
      </c>
    </row>
    <row r="241" spans="1:2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 s="188">
        <f t="shared" si="19"/>
        <v>5.2776187308565372E-3</v>
      </c>
      <c r="S241" s="8">
        <f t="shared" si="20"/>
        <v>-5.2776187308565372E-3</v>
      </c>
      <c r="T241" s="234">
        <f t="shared" si="23"/>
        <v>0.1002747558862742</v>
      </c>
      <c r="U241" s="15">
        <v>25</v>
      </c>
      <c r="V241" s="8">
        <f t="shared" si="21"/>
        <v>-25</v>
      </c>
      <c r="W241" s="233">
        <f t="shared" si="22"/>
        <v>-3641.5</v>
      </c>
    </row>
    <row r="242" spans="1:2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 s="188">
        <f t="shared" si="19"/>
        <v>5.0137377943137102E-3</v>
      </c>
      <c r="S242" s="8">
        <f t="shared" si="20"/>
        <v>-5.0137377943137102E-3</v>
      </c>
      <c r="T242" s="234">
        <f t="shared" si="23"/>
        <v>9.5261018091960484E-2</v>
      </c>
      <c r="U242" s="15">
        <v>25</v>
      </c>
      <c r="V242" s="8">
        <f t="shared" si="21"/>
        <v>-25</v>
      </c>
      <c r="W242" s="233">
        <f t="shared" si="22"/>
        <v>-3666.5</v>
      </c>
    </row>
    <row r="243" spans="1:2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 s="188">
        <f t="shared" si="19"/>
        <v>4.7630509045980245E-3</v>
      </c>
      <c r="S243" s="8">
        <f t="shared" si="20"/>
        <v>-4.7630509045980245E-3</v>
      </c>
      <c r="T243" s="234">
        <f>SUM(T242,S243)</f>
        <v>9.0497967187362457E-2</v>
      </c>
      <c r="U243" s="15">
        <v>25</v>
      </c>
      <c r="V243" s="8">
        <f t="shared" si="21"/>
        <v>-25</v>
      </c>
      <c r="W243" s="233">
        <f t="shared" si="22"/>
        <v>-3691.5</v>
      </c>
    </row>
    <row r="244" spans="1:2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 s="188">
        <f t="shared" si="19"/>
        <v>4.5248983593681232E-3</v>
      </c>
      <c r="S244" s="8">
        <f t="shared" si="20"/>
        <v>-4.5248983593681232E-3</v>
      </c>
      <c r="T244" s="234">
        <f>SUM(T243,S244)</f>
        <v>8.5973068827994339E-2</v>
      </c>
      <c r="U244" s="15">
        <v>25</v>
      </c>
      <c r="V244" s="8">
        <f t="shared" si="21"/>
        <v>-25</v>
      </c>
      <c r="W244" s="233">
        <f t="shared" si="22"/>
        <v>-3716.5</v>
      </c>
    </row>
    <row r="245" spans="1:2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 s="188">
        <f t="shared" si="19"/>
        <v>4.2986534413997175E-3</v>
      </c>
      <c r="S245" s="8">
        <f t="shared" si="20"/>
        <v>-4.2986534413997175E-3</v>
      </c>
      <c r="T245" s="234">
        <f t="shared" ref="T245:T264" si="24">SUM(T244,S245)</f>
        <v>8.1674415386594618E-2</v>
      </c>
      <c r="U245" s="15">
        <v>25</v>
      </c>
      <c r="V245" s="8">
        <f t="shared" si="21"/>
        <v>-25</v>
      </c>
      <c r="W245" s="233">
        <f t="shared" si="22"/>
        <v>-3741.5</v>
      </c>
    </row>
    <row r="246" spans="1:2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 s="188">
        <f t="shared" si="19"/>
        <v>4.0837207693297309E-3</v>
      </c>
      <c r="S246" s="8">
        <f t="shared" si="20"/>
        <v>-4.0837207693297309E-3</v>
      </c>
      <c r="T246" s="234">
        <f t="shared" si="24"/>
        <v>7.7590694617264894E-2</v>
      </c>
      <c r="U246" s="15">
        <v>25</v>
      </c>
      <c r="V246" s="8">
        <f t="shared" si="21"/>
        <v>-25</v>
      </c>
      <c r="W246" s="233">
        <f t="shared" si="22"/>
        <v>-3766.5</v>
      </c>
    </row>
    <row r="247" spans="1:2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 s="188">
        <f t="shared" si="19"/>
        <v>3.8795347308632449E-3</v>
      </c>
      <c r="S247" s="8">
        <f t="shared" si="20"/>
        <v>-3.8795347308632449E-3</v>
      </c>
      <c r="T247" s="234">
        <f t="shared" si="24"/>
        <v>7.3711159886401645E-2</v>
      </c>
      <c r="U247" s="15">
        <v>25</v>
      </c>
      <c r="V247" s="8">
        <f t="shared" si="21"/>
        <v>-25</v>
      </c>
      <c r="W247" s="233">
        <f t="shared" si="22"/>
        <v>-3791.5</v>
      </c>
    </row>
    <row r="248" spans="1:2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 s="188">
        <f t="shared" si="19"/>
        <v>3.6855579943200823E-3</v>
      </c>
      <c r="S248" s="8">
        <f t="shared" si="20"/>
        <v>-3.6855579943200823E-3</v>
      </c>
      <c r="T248" s="234">
        <f t="shared" si="24"/>
        <v>7.0025601892081568E-2</v>
      </c>
      <c r="U248" s="15">
        <v>25</v>
      </c>
      <c r="V248" s="8">
        <f t="shared" si="21"/>
        <v>-25</v>
      </c>
      <c r="W248" s="233">
        <f t="shared" si="22"/>
        <v>-3816.5</v>
      </c>
    </row>
    <row r="249" spans="1:2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 s="188">
        <f t="shared" si="19"/>
        <v>3.5012800946040788E-3</v>
      </c>
      <c r="S249" s="8">
        <f t="shared" si="20"/>
        <v>-3.5012800946040788E-3</v>
      </c>
      <c r="T249" s="234">
        <f t="shared" si="24"/>
        <v>6.6524321797477484E-2</v>
      </c>
      <c r="U249" s="15">
        <v>25</v>
      </c>
      <c r="V249" s="8">
        <f t="shared" si="21"/>
        <v>-25</v>
      </c>
      <c r="W249" s="233">
        <f t="shared" si="22"/>
        <v>-3841.5</v>
      </c>
    </row>
    <row r="250" spans="1:2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 s="188">
        <f t="shared" si="19"/>
        <v>3.3262160898738743E-3</v>
      </c>
      <c r="S250" s="8">
        <f t="shared" si="20"/>
        <v>-3.3262160898738743E-3</v>
      </c>
      <c r="T250" s="234">
        <f t="shared" si="24"/>
        <v>6.3198105707603605E-2</v>
      </c>
      <c r="U250" s="15">
        <v>25</v>
      </c>
      <c r="V250" s="8">
        <f t="shared" si="21"/>
        <v>-25</v>
      </c>
      <c r="W250" s="233">
        <f t="shared" si="22"/>
        <v>-3866.5</v>
      </c>
    </row>
    <row r="251" spans="1:2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 s="188">
        <f t="shared" si="19"/>
        <v>3.1599052853801806E-3</v>
      </c>
      <c r="S251" s="8">
        <f t="shared" si="20"/>
        <v>-3.1599052853801806E-3</v>
      </c>
      <c r="T251" s="234">
        <f t="shared" si="24"/>
        <v>6.0038200422223423E-2</v>
      </c>
      <c r="U251" s="15">
        <v>25</v>
      </c>
      <c r="V251" s="8">
        <f t="shared" si="21"/>
        <v>-25</v>
      </c>
      <c r="W251" s="233">
        <f t="shared" si="22"/>
        <v>-3891.5</v>
      </c>
    </row>
    <row r="252" spans="1:2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 s="188">
        <f t="shared" si="19"/>
        <v>3.0019100211111714E-3</v>
      </c>
      <c r="S252" s="8">
        <f t="shared" si="20"/>
        <v>-3.0019100211111714E-3</v>
      </c>
      <c r="T252" s="234">
        <f t="shared" si="24"/>
        <v>5.7036290401112251E-2</v>
      </c>
      <c r="U252" s="15">
        <v>25</v>
      </c>
      <c r="V252" s="8">
        <f t="shared" si="21"/>
        <v>-25</v>
      </c>
      <c r="W252" s="233">
        <f t="shared" si="22"/>
        <v>-3916.5</v>
      </c>
    </row>
    <row r="253" spans="1:2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 s="188">
        <f t="shared" si="19"/>
        <v>2.8518145200556125E-3</v>
      </c>
      <c r="S253" s="8">
        <f t="shared" si="20"/>
        <v>-2.8518145200556125E-3</v>
      </c>
      <c r="T253" s="234">
        <f t="shared" si="24"/>
        <v>5.418447588105664E-2</v>
      </c>
      <c r="U253" s="15">
        <v>25</v>
      </c>
      <c r="V253" s="8">
        <f t="shared" si="21"/>
        <v>-25</v>
      </c>
      <c r="W253" s="233">
        <f t="shared" si="22"/>
        <v>-3941.5</v>
      </c>
    </row>
    <row r="254" spans="1:2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 s="188">
        <f t="shared" si="19"/>
        <v>2.7092237940528324E-3</v>
      </c>
      <c r="S254" s="8">
        <f t="shared" si="20"/>
        <v>-2.7092237940528324E-3</v>
      </c>
      <c r="T254" s="234">
        <f t="shared" si="24"/>
        <v>5.1475252087003806E-2</v>
      </c>
      <c r="U254" s="15">
        <v>25</v>
      </c>
      <c r="V254" s="8">
        <f t="shared" si="21"/>
        <v>-25</v>
      </c>
      <c r="W254" s="233">
        <f t="shared" si="22"/>
        <v>-3966.5</v>
      </c>
    </row>
    <row r="255" spans="1:2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 s="188">
        <f t="shared" si="19"/>
        <v>2.5737626043501904E-3</v>
      </c>
      <c r="S255" s="8">
        <f t="shared" si="20"/>
        <v>-2.5737626043501904E-3</v>
      </c>
      <c r="T255" s="234">
        <f t="shared" si="24"/>
        <v>4.8901489482653618E-2</v>
      </c>
      <c r="U255" s="15">
        <v>25</v>
      </c>
      <c r="V255" s="8">
        <f t="shared" si="21"/>
        <v>-25</v>
      </c>
      <c r="W255" s="233">
        <f t="shared" si="22"/>
        <v>-3991.5</v>
      </c>
    </row>
    <row r="256" spans="1:2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 s="188">
        <f t="shared" si="19"/>
        <v>2.4450744741326812E-3</v>
      </c>
      <c r="S256" s="8">
        <f t="shared" si="20"/>
        <v>-2.4450744741326812E-3</v>
      </c>
      <c r="T256" s="234">
        <f t="shared" si="24"/>
        <v>4.6456415008520935E-2</v>
      </c>
      <c r="U256" s="15">
        <v>25</v>
      </c>
      <c r="V256" s="8">
        <f t="shared" si="21"/>
        <v>-25</v>
      </c>
      <c r="W256" s="233">
        <f t="shared" si="22"/>
        <v>-4016.5</v>
      </c>
    </row>
    <row r="257" spans="1:2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 s="188">
        <f t="shared" si="19"/>
        <v>2.322820750426047E-3</v>
      </c>
      <c r="S257" s="8">
        <f t="shared" si="20"/>
        <v>-2.322820750426047E-3</v>
      </c>
      <c r="T257" s="234">
        <f t="shared" si="24"/>
        <v>4.4133594258094891E-2</v>
      </c>
      <c r="U257" s="15">
        <v>25</v>
      </c>
      <c r="V257" s="8">
        <f t="shared" si="21"/>
        <v>-25</v>
      </c>
      <c r="W257" s="233">
        <f t="shared" si="22"/>
        <v>-4041.5</v>
      </c>
    </row>
    <row r="258" spans="1:2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 s="188">
        <f t="shared" si="19"/>
        <v>2.2066797129047448E-3</v>
      </c>
      <c r="S258" s="8">
        <f t="shared" si="20"/>
        <v>-2.2066797129047448E-3</v>
      </c>
      <c r="T258" s="234">
        <f t="shared" si="24"/>
        <v>4.1926914545190146E-2</v>
      </c>
      <c r="U258" s="15">
        <v>25</v>
      </c>
      <c r="V258" s="8">
        <f t="shared" si="21"/>
        <v>-25</v>
      </c>
      <c r="W258" s="233">
        <f t="shared" si="22"/>
        <v>-4066.5</v>
      </c>
    </row>
    <row r="259" spans="1:2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 s="188">
        <f t="shared" ref="R259:R322" si="25">SUM(T258*0.05)</f>
        <v>2.0963457272595073E-3</v>
      </c>
      <c r="S259" s="8">
        <f t="shared" ref="S259:S322" si="26">IF(O259="won",R259*0.18,-R259)</f>
        <v>-2.0963457272595073E-3</v>
      </c>
      <c r="T259" s="234">
        <f t="shared" si="24"/>
        <v>3.9830568817930637E-2</v>
      </c>
      <c r="U259" s="15">
        <v>25</v>
      </c>
      <c r="V259" s="8">
        <f t="shared" ref="V259:V322" si="27">IF(O259="won",U259*0.18,-U259)</f>
        <v>-25</v>
      </c>
      <c r="W259" s="233">
        <f t="shared" ref="W259:W322" si="28">SUM(W258,V259)</f>
        <v>-4091.5</v>
      </c>
    </row>
    <row r="260" spans="1:2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 s="188">
        <f t="shared" si="25"/>
        <v>1.9915284408965317E-3</v>
      </c>
      <c r="S260" s="8">
        <f t="shared" si="26"/>
        <v>-1.9915284408965317E-3</v>
      </c>
      <c r="T260" s="234">
        <f t="shared" si="24"/>
        <v>3.7839040377034103E-2</v>
      </c>
      <c r="U260" s="15">
        <v>25</v>
      </c>
      <c r="V260" s="8">
        <f t="shared" si="27"/>
        <v>-25</v>
      </c>
      <c r="W260" s="233">
        <f t="shared" si="28"/>
        <v>-4116.5</v>
      </c>
    </row>
    <row r="261" spans="1:2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 s="188">
        <f t="shared" si="25"/>
        <v>1.8919520188517053E-3</v>
      </c>
      <c r="S261" s="8">
        <f t="shared" si="26"/>
        <v>-1.8919520188517053E-3</v>
      </c>
      <c r="T261" s="234">
        <f t="shared" si="24"/>
        <v>3.5947088358182396E-2</v>
      </c>
      <c r="U261" s="15">
        <v>25</v>
      </c>
      <c r="V261" s="8">
        <f t="shared" si="27"/>
        <v>-25</v>
      </c>
      <c r="W261" s="233">
        <f t="shared" si="28"/>
        <v>-4141.5</v>
      </c>
    </row>
    <row r="262" spans="1:2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 s="188">
        <f t="shared" si="25"/>
        <v>1.7973544179091198E-3</v>
      </c>
      <c r="S262" s="8">
        <f t="shared" si="26"/>
        <v>-1.7973544179091198E-3</v>
      </c>
      <c r="T262" s="234">
        <f t="shared" si="24"/>
        <v>3.4149733940273277E-2</v>
      </c>
      <c r="U262" s="15">
        <v>25</v>
      </c>
      <c r="V262" s="8">
        <f t="shared" si="27"/>
        <v>-25</v>
      </c>
      <c r="W262" s="233">
        <f t="shared" si="28"/>
        <v>-4166.5</v>
      </c>
    </row>
    <row r="263" spans="1:2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 s="188">
        <f t="shared" si="25"/>
        <v>1.707486697013664E-3</v>
      </c>
      <c r="S263" s="8">
        <f t="shared" si="26"/>
        <v>-1.707486697013664E-3</v>
      </c>
      <c r="T263" s="234">
        <f t="shared" si="24"/>
        <v>3.2442247243259614E-2</v>
      </c>
      <c r="U263" s="15">
        <v>25</v>
      </c>
      <c r="V263" s="8">
        <f t="shared" si="27"/>
        <v>-25</v>
      </c>
      <c r="W263" s="233">
        <f t="shared" si="28"/>
        <v>-4191.5</v>
      </c>
    </row>
    <row r="264" spans="1:2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 s="188">
        <f t="shared" si="25"/>
        <v>1.6221123621629808E-3</v>
      </c>
      <c r="S264" s="8">
        <f t="shared" si="26"/>
        <v>-1.6221123621629808E-3</v>
      </c>
      <c r="T264" s="234">
        <f t="shared" si="24"/>
        <v>3.0820134881096632E-2</v>
      </c>
      <c r="U264" s="15">
        <v>25</v>
      </c>
      <c r="V264" s="8">
        <f t="shared" si="27"/>
        <v>-25</v>
      </c>
      <c r="W264" s="233">
        <f t="shared" si="28"/>
        <v>-4216.5</v>
      </c>
    </row>
    <row r="265" spans="1:2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 s="188">
        <f t="shared" si="25"/>
        <v>1.5410067440548318E-3</v>
      </c>
      <c r="S265" s="8">
        <f t="shared" si="26"/>
        <v>-1.5410067440548318E-3</v>
      </c>
      <c r="T265" s="234">
        <f>SUM(T264,S265)</f>
        <v>2.92791281370418E-2</v>
      </c>
      <c r="U265" s="15">
        <v>25</v>
      </c>
      <c r="V265" s="8">
        <f t="shared" si="27"/>
        <v>-25</v>
      </c>
      <c r="W265" s="233">
        <f t="shared" si="28"/>
        <v>-4241.5</v>
      </c>
    </row>
    <row r="266" spans="1:2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 s="188">
        <f t="shared" si="25"/>
        <v>1.46395640685209E-3</v>
      </c>
      <c r="S266" s="8">
        <f t="shared" si="26"/>
        <v>-1.46395640685209E-3</v>
      </c>
      <c r="T266" s="234">
        <f>SUM(T265,S266)</f>
        <v>2.781517173018971E-2</v>
      </c>
      <c r="U266" s="15">
        <v>25</v>
      </c>
      <c r="V266" s="8">
        <f t="shared" si="27"/>
        <v>-25</v>
      </c>
      <c r="W266" s="233">
        <f t="shared" si="28"/>
        <v>-4266.5</v>
      </c>
    </row>
    <row r="267" spans="1:2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 s="188">
        <f t="shared" si="25"/>
        <v>1.3907585865094857E-3</v>
      </c>
      <c r="S267" s="8">
        <f t="shared" si="26"/>
        <v>-1.3907585865094857E-3</v>
      </c>
      <c r="T267" s="234">
        <f>SUM(T266,S267)</f>
        <v>2.6424413143680225E-2</v>
      </c>
      <c r="U267" s="15">
        <v>25</v>
      </c>
      <c r="V267" s="8">
        <f t="shared" si="27"/>
        <v>-25</v>
      </c>
      <c r="W267" s="233">
        <f t="shared" si="28"/>
        <v>-4291.5</v>
      </c>
    </row>
    <row r="268" spans="1:2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 s="188">
        <f t="shared" si="25"/>
        <v>1.3212206571840113E-3</v>
      </c>
      <c r="S268" s="8">
        <f t="shared" si="26"/>
        <v>-1.3212206571840113E-3</v>
      </c>
      <c r="T268" s="234">
        <f t="shared" ref="T268:T331" si="29">SUM(T267,S268)</f>
        <v>2.5103192486496215E-2</v>
      </c>
      <c r="U268" s="15">
        <v>25</v>
      </c>
      <c r="V268" s="8">
        <f t="shared" si="27"/>
        <v>-25</v>
      </c>
      <c r="W268" s="233">
        <f t="shared" si="28"/>
        <v>-4316.5</v>
      </c>
    </row>
    <row r="269" spans="1:2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 s="188">
        <f t="shared" si="25"/>
        <v>1.2551596243248109E-3</v>
      </c>
      <c r="S269" s="8">
        <f t="shared" si="26"/>
        <v>-1.2551596243248109E-3</v>
      </c>
      <c r="T269" s="234">
        <f t="shared" si="29"/>
        <v>2.3848032862171405E-2</v>
      </c>
      <c r="U269" s="15">
        <v>25</v>
      </c>
      <c r="V269" s="8">
        <f t="shared" si="27"/>
        <v>-25</v>
      </c>
      <c r="W269" s="233">
        <f t="shared" si="28"/>
        <v>-4341.5</v>
      </c>
    </row>
    <row r="270" spans="1:2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 s="188">
        <f t="shared" si="25"/>
        <v>1.1924016431085704E-3</v>
      </c>
      <c r="S270" s="8">
        <f t="shared" si="26"/>
        <v>-1.1924016431085704E-3</v>
      </c>
      <c r="T270" s="234">
        <f t="shared" si="29"/>
        <v>2.2655631219062836E-2</v>
      </c>
      <c r="U270" s="15">
        <v>25</v>
      </c>
      <c r="V270" s="8">
        <f t="shared" si="27"/>
        <v>-25</v>
      </c>
      <c r="W270" s="233">
        <f t="shared" si="28"/>
        <v>-4366.5</v>
      </c>
    </row>
    <row r="271" spans="1:2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 s="188">
        <f t="shared" si="25"/>
        <v>1.1327815609531418E-3</v>
      </c>
      <c r="S271" s="8">
        <f t="shared" si="26"/>
        <v>-1.1327815609531418E-3</v>
      </c>
      <c r="T271" s="234">
        <f t="shared" si="29"/>
        <v>2.1522849658109695E-2</v>
      </c>
      <c r="U271" s="15">
        <v>25</v>
      </c>
      <c r="V271" s="8">
        <f t="shared" si="27"/>
        <v>-25</v>
      </c>
      <c r="W271" s="233">
        <f t="shared" si="28"/>
        <v>-4391.5</v>
      </c>
    </row>
    <row r="272" spans="1:2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 s="188">
        <f t="shared" si="25"/>
        <v>1.0761424829054849E-3</v>
      </c>
      <c r="S272" s="8">
        <f t="shared" si="26"/>
        <v>-1.0761424829054849E-3</v>
      </c>
      <c r="T272" s="234">
        <f t="shared" si="29"/>
        <v>2.044670717520421E-2</v>
      </c>
      <c r="U272" s="15">
        <v>25</v>
      </c>
      <c r="V272" s="8">
        <f t="shared" si="27"/>
        <v>-25</v>
      </c>
      <c r="W272" s="233">
        <f t="shared" si="28"/>
        <v>-4416.5</v>
      </c>
    </row>
    <row r="273" spans="1:2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 s="188">
        <f t="shared" si="25"/>
        <v>1.0223353587602106E-3</v>
      </c>
      <c r="S273" s="8">
        <f t="shared" si="26"/>
        <v>-1.0223353587602106E-3</v>
      </c>
      <c r="T273" s="234">
        <f t="shared" si="29"/>
        <v>1.9424371816443999E-2</v>
      </c>
      <c r="U273" s="15">
        <v>25</v>
      </c>
      <c r="V273" s="8">
        <f t="shared" si="27"/>
        <v>-25</v>
      </c>
      <c r="W273" s="233">
        <f t="shared" si="28"/>
        <v>-4441.5</v>
      </c>
    </row>
    <row r="274" spans="1:2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 s="188">
        <f t="shared" si="25"/>
        <v>9.7121859082220001E-4</v>
      </c>
      <c r="S274" s="8">
        <f t="shared" si="26"/>
        <v>-9.7121859082220001E-4</v>
      </c>
      <c r="T274" s="234">
        <f t="shared" si="29"/>
        <v>1.8453153225621799E-2</v>
      </c>
      <c r="U274" s="15">
        <v>25</v>
      </c>
      <c r="V274" s="8">
        <f t="shared" si="27"/>
        <v>-25</v>
      </c>
      <c r="W274" s="233">
        <f t="shared" si="28"/>
        <v>-4466.5</v>
      </c>
    </row>
    <row r="275" spans="1:2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 s="188">
        <f t="shared" si="25"/>
        <v>9.2265766128109001E-4</v>
      </c>
      <c r="S275" s="8">
        <f t="shared" si="26"/>
        <v>-9.2265766128109001E-4</v>
      </c>
      <c r="T275" s="234">
        <f t="shared" si="29"/>
        <v>1.753049556434071E-2</v>
      </c>
      <c r="U275" s="15">
        <v>25</v>
      </c>
      <c r="V275" s="8">
        <f t="shared" si="27"/>
        <v>-25</v>
      </c>
      <c r="W275" s="233">
        <f t="shared" si="28"/>
        <v>-4491.5</v>
      </c>
    </row>
    <row r="276" spans="1:2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 s="188">
        <f t="shared" si="25"/>
        <v>8.7652477821703557E-4</v>
      </c>
      <c r="S276" s="8">
        <f t="shared" si="26"/>
        <v>-8.7652477821703557E-4</v>
      </c>
      <c r="T276" s="234">
        <f t="shared" si="29"/>
        <v>1.6653970786123674E-2</v>
      </c>
      <c r="U276" s="15">
        <v>25</v>
      </c>
      <c r="V276" s="8">
        <f t="shared" si="27"/>
        <v>-25</v>
      </c>
      <c r="W276" s="233">
        <f t="shared" si="28"/>
        <v>-4516.5</v>
      </c>
    </row>
    <row r="277" spans="1:2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 s="188">
        <f t="shared" si="25"/>
        <v>8.3269853930618368E-4</v>
      </c>
      <c r="S277" s="8">
        <f t="shared" si="26"/>
        <v>-8.3269853930618368E-4</v>
      </c>
      <c r="T277" s="234">
        <f t="shared" si="29"/>
        <v>1.5821272246817491E-2</v>
      </c>
      <c r="U277" s="15">
        <v>25</v>
      </c>
      <c r="V277" s="8">
        <f t="shared" si="27"/>
        <v>-25</v>
      </c>
      <c r="W277" s="233">
        <f t="shared" si="28"/>
        <v>-4541.5</v>
      </c>
    </row>
    <row r="278" spans="1:2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 s="188">
        <f t="shared" si="25"/>
        <v>7.9106361234087456E-4</v>
      </c>
      <c r="S278" s="8">
        <f t="shared" si="26"/>
        <v>-7.9106361234087456E-4</v>
      </c>
      <c r="T278" s="234">
        <f t="shared" si="29"/>
        <v>1.5030208634476617E-2</v>
      </c>
      <c r="U278" s="15">
        <v>25</v>
      </c>
      <c r="V278" s="8">
        <f t="shared" si="27"/>
        <v>-25</v>
      </c>
      <c r="W278" s="233">
        <f t="shared" si="28"/>
        <v>-4566.5</v>
      </c>
    </row>
    <row r="279" spans="1:2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 s="188">
        <f t="shared" si="25"/>
        <v>7.5151043172383089E-4</v>
      </c>
      <c r="S279" s="8">
        <f t="shared" si="26"/>
        <v>-7.5151043172383089E-4</v>
      </c>
      <c r="T279" s="234">
        <f t="shared" si="29"/>
        <v>1.4278698202752786E-2</v>
      </c>
      <c r="U279" s="15">
        <v>25</v>
      </c>
      <c r="V279" s="8">
        <f t="shared" si="27"/>
        <v>-25</v>
      </c>
      <c r="W279" s="233">
        <f t="shared" si="28"/>
        <v>-4591.5</v>
      </c>
    </row>
    <row r="280" spans="1:2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 s="188">
        <f t="shared" si="25"/>
        <v>7.1393491013763935E-4</v>
      </c>
      <c r="S280" s="8">
        <f t="shared" si="26"/>
        <v>-7.1393491013763935E-4</v>
      </c>
      <c r="T280" s="234">
        <f t="shared" si="29"/>
        <v>1.3564763292615146E-2</v>
      </c>
      <c r="U280" s="15">
        <v>25</v>
      </c>
      <c r="V280" s="8">
        <f t="shared" si="27"/>
        <v>-25</v>
      </c>
      <c r="W280" s="233">
        <f t="shared" si="28"/>
        <v>-4616.5</v>
      </c>
    </row>
    <row r="281" spans="1:2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 s="188">
        <f t="shared" si="25"/>
        <v>6.7823816463075733E-4</v>
      </c>
      <c r="S281" s="8">
        <f t="shared" si="26"/>
        <v>-6.7823816463075733E-4</v>
      </c>
      <c r="T281" s="234">
        <f t="shared" si="29"/>
        <v>1.2886525127984388E-2</v>
      </c>
      <c r="U281" s="15">
        <v>25</v>
      </c>
      <c r="V281" s="8">
        <f t="shared" si="27"/>
        <v>-25</v>
      </c>
      <c r="W281" s="233">
        <f t="shared" si="28"/>
        <v>-4641.5</v>
      </c>
    </row>
    <row r="282" spans="1:2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 s="188">
        <f t="shared" si="25"/>
        <v>6.4432625639921943E-4</v>
      </c>
      <c r="S282" s="8">
        <f t="shared" si="26"/>
        <v>-6.4432625639921943E-4</v>
      </c>
      <c r="T282" s="234">
        <f t="shared" si="29"/>
        <v>1.2242198871585168E-2</v>
      </c>
      <c r="U282" s="15">
        <v>25</v>
      </c>
      <c r="V282" s="8">
        <f t="shared" si="27"/>
        <v>-25</v>
      </c>
      <c r="W282" s="233">
        <f t="shared" si="28"/>
        <v>-4666.5</v>
      </c>
    </row>
    <row r="283" spans="1:2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 s="188">
        <f t="shared" si="25"/>
        <v>6.1210994357925846E-4</v>
      </c>
      <c r="S283" s="8">
        <f t="shared" si="26"/>
        <v>-6.1210994357925846E-4</v>
      </c>
      <c r="T283" s="234">
        <f t="shared" si="29"/>
        <v>1.163008892800591E-2</v>
      </c>
      <c r="U283" s="15">
        <v>25</v>
      </c>
      <c r="V283" s="8">
        <f t="shared" si="27"/>
        <v>-25</v>
      </c>
      <c r="W283" s="233">
        <f t="shared" si="28"/>
        <v>-4691.5</v>
      </c>
    </row>
    <row r="284" spans="1:2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 s="188">
        <f t="shared" si="25"/>
        <v>5.8150444640029557E-4</v>
      </c>
      <c r="S284" s="8">
        <f t="shared" si="26"/>
        <v>-5.8150444640029557E-4</v>
      </c>
      <c r="T284" s="234">
        <f t="shared" si="29"/>
        <v>1.1048584481605615E-2</v>
      </c>
      <c r="U284" s="15">
        <v>25</v>
      </c>
      <c r="V284" s="8">
        <f t="shared" si="27"/>
        <v>-25</v>
      </c>
      <c r="W284" s="233">
        <f t="shared" si="28"/>
        <v>-4716.5</v>
      </c>
    </row>
    <row r="285" spans="1:2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 s="188">
        <f t="shared" si="25"/>
        <v>5.5242922408028081E-4</v>
      </c>
      <c r="S285" s="8">
        <f t="shared" si="26"/>
        <v>-5.5242922408028081E-4</v>
      </c>
      <c r="T285" s="234">
        <f t="shared" si="29"/>
        <v>1.0496155257525334E-2</v>
      </c>
      <c r="U285" s="15">
        <v>25</v>
      </c>
      <c r="V285" s="8">
        <f t="shared" si="27"/>
        <v>-25</v>
      </c>
      <c r="W285" s="233">
        <f t="shared" si="28"/>
        <v>-4741.5</v>
      </c>
    </row>
    <row r="286" spans="1:2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 s="188">
        <f t="shared" si="25"/>
        <v>5.2480776287626679E-4</v>
      </c>
      <c r="S286" s="8">
        <f t="shared" si="26"/>
        <v>-5.2480776287626679E-4</v>
      </c>
      <c r="T286" s="234">
        <f t="shared" si="29"/>
        <v>9.9713474946490684E-3</v>
      </c>
      <c r="U286" s="15">
        <v>25</v>
      </c>
      <c r="V286" s="8">
        <f t="shared" si="27"/>
        <v>-25</v>
      </c>
      <c r="W286" s="233">
        <f t="shared" si="28"/>
        <v>-4766.5</v>
      </c>
    </row>
    <row r="287" spans="1:2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 s="188">
        <f t="shared" si="25"/>
        <v>4.985673747324534E-4</v>
      </c>
      <c r="S287" s="8">
        <f t="shared" si="26"/>
        <v>-4.985673747324534E-4</v>
      </c>
      <c r="T287" s="234">
        <f t="shared" si="29"/>
        <v>9.4727801199166149E-3</v>
      </c>
      <c r="U287" s="15">
        <v>25</v>
      </c>
      <c r="V287" s="8">
        <f t="shared" si="27"/>
        <v>-25</v>
      </c>
      <c r="W287" s="233">
        <f t="shared" si="28"/>
        <v>-4791.5</v>
      </c>
    </row>
    <row r="288" spans="1:2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 s="188">
        <f t="shared" si="25"/>
        <v>4.7363900599583077E-4</v>
      </c>
      <c r="S288" s="8">
        <f t="shared" si="26"/>
        <v>-4.7363900599583077E-4</v>
      </c>
      <c r="T288" s="234">
        <f t="shared" si="29"/>
        <v>8.9991411139207847E-3</v>
      </c>
      <c r="U288" s="15">
        <v>25</v>
      </c>
      <c r="V288" s="8">
        <f t="shared" si="27"/>
        <v>-25</v>
      </c>
      <c r="W288" s="233">
        <f t="shared" si="28"/>
        <v>-4816.5</v>
      </c>
    </row>
    <row r="289" spans="1:2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 s="188">
        <f t="shared" si="25"/>
        <v>4.4995705569603927E-4</v>
      </c>
      <c r="S289" s="8">
        <f t="shared" si="26"/>
        <v>-4.4995705569603927E-4</v>
      </c>
      <c r="T289" s="234">
        <f t="shared" si="29"/>
        <v>8.5491840582247458E-3</v>
      </c>
      <c r="U289" s="15">
        <v>25</v>
      </c>
      <c r="V289" s="8">
        <f t="shared" si="27"/>
        <v>-25</v>
      </c>
      <c r="W289" s="233">
        <f t="shared" si="28"/>
        <v>-4841.5</v>
      </c>
    </row>
    <row r="290" spans="1:2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 s="188">
        <f t="shared" si="25"/>
        <v>4.2745920291123733E-4</v>
      </c>
      <c r="S290" s="8">
        <f t="shared" si="26"/>
        <v>-4.2745920291123733E-4</v>
      </c>
      <c r="T290" s="234">
        <f t="shared" si="29"/>
        <v>8.1217248553135078E-3</v>
      </c>
      <c r="U290" s="15">
        <v>25</v>
      </c>
      <c r="V290" s="8">
        <f t="shared" si="27"/>
        <v>-25</v>
      </c>
      <c r="W290" s="233">
        <f t="shared" si="28"/>
        <v>-4866.5</v>
      </c>
    </row>
    <row r="291" spans="1:2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 s="188">
        <f t="shared" si="25"/>
        <v>4.060862427656754E-4</v>
      </c>
      <c r="S291" s="8">
        <f t="shared" si="26"/>
        <v>-4.060862427656754E-4</v>
      </c>
      <c r="T291" s="234">
        <f t="shared" si="29"/>
        <v>7.7156386125478323E-3</v>
      </c>
      <c r="U291" s="15">
        <v>25</v>
      </c>
      <c r="V291" s="8">
        <f t="shared" si="27"/>
        <v>-25</v>
      </c>
      <c r="W291" s="233">
        <f t="shared" si="28"/>
        <v>-4891.5</v>
      </c>
    </row>
    <row r="292" spans="1:2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 s="188">
        <f t="shared" si="25"/>
        <v>3.8578193062739163E-4</v>
      </c>
      <c r="S292" s="8">
        <f t="shared" si="26"/>
        <v>-3.8578193062739163E-4</v>
      </c>
      <c r="T292" s="234">
        <f t="shared" si="29"/>
        <v>7.3298566819204403E-3</v>
      </c>
      <c r="U292" s="15">
        <v>25</v>
      </c>
      <c r="V292" s="8">
        <f t="shared" si="27"/>
        <v>-25</v>
      </c>
      <c r="W292" s="233">
        <f t="shared" si="28"/>
        <v>-4916.5</v>
      </c>
    </row>
    <row r="293" spans="1:2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 s="188">
        <f t="shared" si="25"/>
        <v>3.6649283409602201E-4</v>
      </c>
      <c r="S293" s="8">
        <f t="shared" si="26"/>
        <v>-3.6649283409602201E-4</v>
      </c>
      <c r="T293" s="234">
        <f t="shared" si="29"/>
        <v>6.9633638478244185E-3</v>
      </c>
      <c r="U293" s="15">
        <v>25</v>
      </c>
      <c r="V293" s="8">
        <f t="shared" si="27"/>
        <v>-25</v>
      </c>
      <c r="W293" s="233">
        <f t="shared" si="28"/>
        <v>-4941.5</v>
      </c>
    </row>
    <row r="294" spans="1:2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 s="188">
        <f t="shared" si="25"/>
        <v>3.4816819239122095E-4</v>
      </c>
      <c r="S294" s="8">
        <f t="shared" si="26"/>
        <v>-3.4816819239122095E-4</v>
      </c>
      <c r="T294" s="234">
        <f t="shared" si="29"/>
        <v>6.6151956554331972E-3</v>
      </c>
      <c r="U294" s="15">
        <v>25</v>
      </c>
      <c r="V294" s="8">
        <f t="shared" si="27"/>
        <v>-25</v>
      </c>
      <c r="W294" s="233">
        <f t="shared" si="28"/>
        <v>-4966.5</v>
      </c>
    </row>
    <row r="295" spans="1:2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 s="188">
        <f t="shared" si="25"/>
        <v>3.307597827716599E-4</v>
      </c>
      <c r="S295" s="8">
        <f t="shared" si="26"/>
        <v>-3.307597827716599E-4</v>
      </c>
      <c r="T295" s="234">
        <f t="shared" si="29"/>
        <v>6.2844358726615373E-3</v>
      </c>
      <c r="U295" s="15">
        <v>25</v>
      </c>
      <c r="V295" s="8">
        <f t="shared" si="27"/>
        <v>-25</v>
      </c>
      <c r="W295" s="233">
        <f t="shared" si="28"/>
        <v>-4991.5</v>
      </c>
    </row>
    <row r="296" spans="1:2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 s="188">
        <f t="shared" si="25"/>
        <v>3.142217936330769E-4</v>
      </c>
      <c r="S296" s="8">
        <f t="shared" si="26"/>
        <v>-3.142217936330769E-4</v>
      </c>
      <c r="T296" s="234">
        <f t="shared" si="29"/>
        <v>5.9702140790284606E-3</v>
      </c>
      <c r="U296" s="15">
        <v>25</v>
      </c>
      <c r="V296" s="8">
        <f t="shared" si="27"/>
        <v>-25</v>
      </c>
      <c r="W296" s="233">
        <f t="shared" si="28"/>
        <v>-5016.5</v>
      </c>
    </row>
    <row r="297" spans="1:2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 s="188">
        <f t="shared" si="25"/>
        <v>2.9851070395142307E-4</v>
      </c>
      <c r="S297" s="8">
        <f t="shared" si="26"/>
        <v>-2.9851070395142307E-4</v>
      </c>
      <c r="T297" s="234">
        <f t="shared" si="29"/>
        <v>5.6717033750770373E-3</v>
      </c>
      <c r="U297" s="15">
        <v>25</v>
      </c>
      <c r="V297" s="8">
        <f t="shared" si="27"/>
        <v>-25</v>
      </c>
      <c r="W297" s="233">
        <f t="shared" si="28"/>
        <v>-5041.5</v>
      </c>
    </row>
    <row r="298" spans="1:2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 s="188">
        <f t="shared" si="25"/>
        <v>2.8358516875385186E-4</v>
      </c>
      <c r="S298" s="8">
        <f t="shared" si="26"/>
        <v>-2.8358516875385186E-4</v>
      </c>
      <c r="T298" s="234">
        <f t="shared" si="29"/>
        <v>5.388118206323185E-3</v>
      </c>
      <c r="U298" s="15">
        <v>25</v>
      </c>
      <c r="V298" s="8">
        <f t="shared" si="27"/>
        <v>-25</v>
      </c>
      <c r="W298" s="233">
        <f t="shared" si="28"/>
        <v>-5066.5</v>
      </c>
    </row>
    <row r="299" spans="1:2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 s="188">
        <f t="shared" si="25"/>
        <v>2.6940591031615927E-4</v>
      </c>
      <c r="S299" s="8">
        <f t="shared" si="26"/>
        <v>-2.6940591031615927E-4</v>
      </c>
      <c r="T299" s="234">
        <f t="shared" si="29"/>
        <v>5.1187122960070254E-3</v>
      </c>
      <c r="U299" s="15">
        <v>25</v>
      </c>
      <c r="V299" s="8">
        <f t="shared" si="27"/>
        <v>-25</v>
      </c>
      <c r="W299" s="233">
        <f t="shared" si="28"/>
        <v>-5091.5</v>
      </c>
    </row>
    <row r="300" spans="1:2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 s="188">
        <f t="shared" si="25"/>
        <v>2.559356148003513E-4</v>
      </c>
      <c r="S300" s="8">
        <f t="shared" si="26"/>
        <v>-2.559356148003513E-4</v>
      </c>
      <c r="T300" s="234">
        <f t="shared" si="29"/>
        <v>4.8627766812066745E-3</v>
      </c>
      <c r="U300" s="15">
        <v>25</v>
      </c>
      <c r="V300" s="8">
        <f t="shared" si="27"/>
        <v>-25</v>
      </c>
      <c r="W300" s="233">
        <f t="shared" si="28"/>
        <v>-5116.5</v>
      </c>
    </row>
    <row r="301" spans="1:2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 s="188">
        <f t="shared" si="25"/>
        <v>2.4313883406033374E-4</v>
      </c>
      <c r="S301" s="8">
        <f t="shared" si="26"/>
        <v>-2.4313883406033374E-4</v>
      </c>
      <c r="T301" s="234">
        <f t="shared" si="29"/>
        <v>4.6196378471463411E-3</v>
      </c>
      <c r="U301" s="15">
        <v>25</v>
      </c>
      <c r="V301" s="8">
        <f t="shared" si="27"/>
        <v>-25</v>
      </c>
      <c r="W301" s="233">
        <f t="shared" si="28"/>
        <v>-5141.5</v>
      </c>
    </row>
    <row r="302" spans="1:2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 s="188">
        <f t="shared" si="25"/>
        <v>2.3098189235731706E-4</v>
      </c>
      <c r="S302" s="8">
        <f t="shared" si="26"/>
        <v>-2.3098189235731706E-4</v>
      </c>
      <c r="T302" s="234">
        <f t="shared" si="29"/>
        <v>4.3886559547890239E-3</v>
      </c>
      <c r="U302" s="15">
        <v>25</v>
      </c>
      <c r="V302" s="8">
        <f t="shared" si="27"/>
        <v>-25</v>
      </c>
      <c r="W302" s="233">
        <f t="shared" si="28"/>
        <v>-5166.5</v>
      </c>
    </row>
    <row r="303" spans="1:2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 s="188">
        <f t="shared" si="25"/>
        <v>2.1943279773945119E-4</v>
      </c>
      <c r="S303" s="8">
        <f t="shared" si="26"/>
        <v>-2.1943279773945119E-4</v>
      </c>
      <c r="T303" s="234">
        <f t="shared" si="29"/>
        <v>4.1692231570495727E-3</v>
      </c>
      <c r="U303" s="15">
        <v>25</v>
      </c>
      <c r="V303" s="8">
        <f t="shared" si="27"/>
        <v>-25</v>
      </c>
      <c r="W303" s="233">
        <f t="shared" si="28"/>
        <v>-5191.5</v>
      </c>
    </row>
    <row r="304" spans="1:2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 s="188">
        <f t="shared" si="25"/>
        <v>2.0846115785247866E-4</v>
      </c>
      <c r="S304" s="8">
        <f t="shared" si="26"/>
        <v>-2.0846115785247866E-4</v>
      </c>
      <c r="T304" s="234">
        <f t="shared" si="29"/>
        <v>3.9607619991970941E-3</v>
      </c>
      <c r="U304" s="15">
        <v>25</v>
      </c>
      <c r="V304" s="8">
        <f t="shared" si="27"/>
        <v>-25</v>
      </c>
      <c r="W304" s="233">
        <f t="shared" si="28"/>
        <v>-5216.5</v>
      </c>
    </row>
    <row r="305" spans="1:2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 s="188">
        <f t="shared" si="25"/>
        <v>1.9803809995985473E-4</v>
      </c>
      <c r="S305" s="8">
        <f t="shared" si="26"/>
        <v>-1.9803809995985473E-4</v>
      </c>
      <c r="T305" s="234">
        <f t="shared" si="29"/>
        <v>3.7627238992372393E-3</v>
      </c>
      <c r="U305" s="15">
        <v>25</v>
      </c>
      <c r="V305" s="8">
        <f t="shared" si="27"/>
        <v>-25</v>
      </c>
      <c r="W305" s="233">
        <f t="shared" si="28"/>
        <v>-5241.5</v>
      </c>
    </row>
    <row r="306" spans="1:2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 s="188">
        <f t="shared" si="25"/>
        <v>1.8813619496186196E-4</v>
      </c>
      <c r="S306" s="8">
        <f t="shared" si="26"/>
        <v>-1.8813619496186196E-4</v>
      </c>
      <c r="T306" s="234">
        <f t="shared" si="29"/>
        <v>3.5745877042753773E-3</v>
      </c>
      <c r="U306" s="15">
        <v>25</v>
      </c>
      <c r="V306" s="8">
        <f t="shared" si="27"/>
        <v>-25</v>
      </c>
      <c r="W306" s="233">
        <f t="shared" si="28"/>
        <v>-5266.5</v>
      </c>
    </row>
    <row r="307" spans="1:2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 s="188">
        <f t="shared" si="25"/>
        <v>1.7872938521376887E-4</v>
      </c>
      <c r="S307" s="8">
        <f t="shared" si="26"/>
        <v>-1.7872938521376887E-4</v>
      </c>
      <c r="T307" s="234">
        <f t="shared" si="29"/>
        <v>3.3958583190616086E-3</v>
      </c>
      <c r="U307" s="15">
        <v>25</v>
      </c>
      <c r="V307" s="8">
        <f t="shared" si="27"/>
        <v>-25</v>
      </c>
      <c r="W307" s="233">
        <f t="shared" si="28"/>
        <v>-5291.5</v>
      </c>
    </row>
    <row r="308" spans="1:2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 s="188">
        <f t="shared" si="25"/>
        <v>1.6979291595308044E-4</v>
      </c>
      <c r="S308" s="8">
        <f t="shared" si="26"/>
        <v>-1.6979291595308044E-4</v>
      </c>
      <c r="T308" s="234">
        <f t="shared" si="29"/>
        <v>3.2260654031085281E-3</v>
      </c>
      <c r="U308" s="15">
        <v>25</v>
      </c>
      <c r="V308" s="8">
        <f t="shared" si="27"/>
        <v>-25</v>
      </c>
      <c r="W308" s="233">
        <f t="shared" si="28"/>
        <v>-5316.5</v>
      </c>
    </row>
    <row r="309" spans="1:2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 s="188">
        <f t="shared" si="25"/>
        <v>1.6130327015542641E-4</v>
      </c>
      <c r="S309" s="8">
        <f t="shared" si="26"/>
        <v>-1.6130327015542641E-4</v>
      </c>
      <c r="T309" s="234">
        <f t="shared" si="29"/>
        <v>3.0647621329531016E-3</v>
      </c>
      <c r="U309" s="15">
        <v>25</v>
      </c>
      <c r="V309" s="8">
        <f t="shared" si="27"/>
        <v>-25</v>
      </c>
      <c r="W309" s="233">
        <f t="shared" si="28"/>
        <v>-5341.5</v>
      </c>
    </row>
    <row r="310" spans="1:2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 s="188">
        <f t="shared" si="25"/>
        <v>1.532381066476551E-4</v>
      </c>
      <c r="S310" s="8">
        <f t="shared" si="26"/>
        <v>-1.532381066476551E-4</v>
      </c>
      <c r="T310" s="234">
        <f t="shared" si="29"/>
        <v>2.9115240263054465E-3</v>
      </c>
      <c r="U310" s="15">
        <v>25</v>
      </c>
      <c r="V310" s="8">
        <f t="shared" si="27"/>
        <v>-25</v>
      </c>
      <c r="W310" s="233">
        <f t="shared" si="28"/>
        <v>-5366.5</v>
      </c>
    </row>
    <row r="311" spans="1:2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 s="188">
        <f t="shared" si="25"/>
        <v>1.4557620131527233E-4</v>
      </c>
      <c r="S311" s="8">
        <f t="shared" si="26"/>
        <v>-1.4557620131527233E-4</v>
      </c>
      <c r="T311" s="234">
        <f t="shared" si="29"/>
        <v>2.7659478249901742E-3</v>
      </c>
      <c r="U311" s="15">
        <v>25</v>
      </c>
      <c r="V311" s="8">
        <f t="shared" si="27"/>
        <v>-25</v>
      </c>
      <c r="W311" s="233">
        <f t="shared" si="28"/>
        <v>-5391.5</v>
      </c>
    </row>
    <row r="312" spans="1:2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 s="188">
        <f t="shared" si="25"/>
        <v>1.3829739124950871E-4</v>
      </c>
      <c r="S312" s="8">
        <f t="shared" si="26"/>
        <v>-1.3829739124950871E-4</v>
      </c>
      <c r="T312" s="234">
        <f t="shared" si="29"/>
        <v>2.6276504337406654E-3</v>
      </c>
      <c r="U312" s="15">
        <v>25</v>
      </c>
      <c r="V312" s="8">
        <f t="shared" si="27"/>
        <v>-25</v>
      </c>
      <c r="W312" s="233">
        <f t="shared" si="28"/>
        <v>-5416.5</v>
      </c>
    </row>
    <row r="313" spans="1:2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 s="188">
        <f t="shared" si="25"/>
        <v>1.3138252168703326E-4</v>
      </c>
      <c r="S313" s="8">
        <f t="shared" si="26"/>
        <v>-1.3138252168703326E-4</v>
      </c>
      <c r="T313" s="234">
        <f t="shared" si="29"/>
        <v>2.4962679120536322E-3</v>
      </c>
      <c r="U313" s="15">
        <v>25</v>
      </c>
      <c r="V313" s="8">
        <f t="shared" si="27"/>
        <v>-25</v>
      </c>
      <c r="W313" s="233">
        <f t="shared" si="28"/>
        <v>-5441.5</v>
      </c>
    </row>
    <row r="314" spans="1:2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 s="188">
        <f t="shared" si="25"/>
        <v>1.2481339560268162E-4</v>
      </c>
      <c r="S314" s="8">
        <f t="shared" si="26"/>
        <v>-1.2481339560268162E-4</v>
      </c>
      <c r="T314" s="234">
        <f t="shared" si="29"/>
        <v>2.3714545164509504E-3</v>
      </c>
      <c r="U314" s="15">
        <v>25</v>
      </c>
      <c r="V314" s="8">
        <f t="shared" si="27"/>
        <v>-25</v>
      </c>
      <c r="W314" s="233">
        <f t="shared" si="28"/>
        <v>-5466.5</v>
      </c>
    </row>
    <row r="315" spans="1:2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 s="188">
        <f t="shared" si="25"/>
        <v>1.1857272582254752E-4</v>
      </c>
      <c r="S315" s="8">
        <f t="shared" si="26"/>
        <v>-1.1857272582254752E-4</v>
      </c>
      <c r="T315" s="234">
        <f t="shared" si="29"/>
        <v>2.252881790628403E-3</v>
      </c>
      <c r="U315" s="15">
        <v>25</v>
      </c>
      <c r="V315" s="8">
        <f t="shared" si="27"/>
        <v>-25</v>
      </c>
      <c r="W315" s="233">
        <f t="shared" si="28"/>
        <v>-5491.5</v>
      </c>
    </row>
    <row r="316" spans="1:2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 s="188">
        <f t="shared" si="25"/>
        <v>1.1264408953142016E-4</v>
      </c>
      <c r="S316" s="8">
        <f t="shared" si="26"/>
        <v>-1.1264408953142016E-4</v>
      </c>
      <c r="T316" s="234">
        <f t="shared" si="29"/>
        <v>2.1402377010969827E-3</v>
      </c>
      <c r="U316" s="15">
        <v>25</v>
      </c>
      <c r="V316" s="8">
        <f t="shared" si="27"/>
        <v>-25</v>
      </c>
      <c r="W316" s="233">
        <f t="shared" si="28"/>
        <v>-5516.5</v>
      </c>
    </row>
    <row r="317" spans="1:2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 s="188">
        <f t="shared" si="25"/>
        <v>1.0701188505484913E-4</v>
      </c>
      <c r="S317" s="8">
        <f t="shared" si="26"/>
        <v>-1.0701188505484913E-4</v>
      </c>
      <c r="T317" s="234">
        <f t="shared" si="29"/>
        <v>2.0332258160421337E-3</v>
      </c>
      <c r="U317" s="15">
        <v>25</v>
      </c>
      <c r="V317" s="8">
        <f t="shared" si="27"/>
        <v>-25</v>
      </c>
      <c r="W317" s="233">
        <f t="shared" si="28"/>
        <v>-5541.5</v>
      </c>
    </row>
    <row r="318" spans="1:2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 s="188">
        <f t="shared" si="25"/>
        <v>1.0166129080210669E-4</v>
      </c>
      <c r="S318" s="8">
        <f t="shared" si="26"/>
        <v>-1.0166129080210669E-4</v>
      </c>
      <c r="T318" s="234">
        <f t="shared" si="29"/>
        <v>1.931564525240027E-3</v>
      </c>
      <c r="U318" s="15">
        <v>25</v>
      </c>
      <c r="V318" s="8">
        <f t="shared" si="27"/>
        <v>-25</v>
      </c>
      <c r="W318" s="233">
        <f t="shared" si="28"/>
        <v>-5566.5</v>
      </c>
    </row>
    <row r="319" spans="1:2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 s="188">
        <f t="shared" si="25"/>
        <v>9.6578226262001359E-5</v>
      </c>
      <c r="S319" s="8">
        <f t="shared" si="26"/>
        <v>-9.6578226262001359E-5</v>
      </c>
      <c r="T319" s="234">
        <f t="shared" si="29"/>
        <v>1.8349862989780258E-3</v>
      </c>
      <c r="U319" s="15">
        <v>25</v>
      </c>
      <c r="V319" s="8">
        <f t="shared" si="27"/>
        <v>-25</v>
      </c>
      <c r="W319" s="233">
        <f t="shared" si="28"/>
        <v>-5591.5</v>
      </c>
    </row>
    <row r="320" spans="1:2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 s="188">
        <f t="shared" si="25"/>
        <v>9.1749314948901288E-5</v>
      </c>
      <c r="S320" s="8">
        <f t="shared" si="26"/>
        <v>-9.1749314948901288E-5</v>
      </c>
      <c r="T320" s="234">
        <f t="shared" si="29"/>
        <v>1.7432369840291245E-3</v>
      </c>
      <c r="U320" s="15">
        <v>25</v>
      </c>
      <c r="V320" s="8">
        <f t="shared" si="27"/>
        <v>-25</v>
      </c>
      <c r="W320" s="233">
        <f t="shared" si="28"/>
        <v>-5616.5</v>
      </c>
    </row>
    <row r="321" spans="1:2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 s="188">
        <f t="shared" si="25"/>
        <v>8.7161849201456226E-5</v>
      </c>
      <c r="S321" s="8">
        <f t="shared" si="26"/>
        <v>-8.7161849201456226E-5</v>
      </c>
      <c r="T321" s="234">
        <f t="shared" si="29"/>
        <v>1.6560751348276683E-3</v>
      </c>
      <c r="U321" s="15">
        <v>25</v>
      </c>
      <c r="V321" s="8">
        <f t="shared" si="27"/>
        <v>-25</v>
      </c>
      <c r="W321" s="233">
        <f t="shared" si="28"/>
        <v>-5641.5</v>
      </c>
    </row>
    <row r="322" spans="1:2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 s="188">
        <f t="shared" si="25"/>
        <v>8.2803756741383423E-5</v>
      </c>
      <c r="S322" s="8">
        <f t="shared" si="26"/>
        <v>-8.2803756741383423E-5</v>
      </c>
      <c r="T322" s="234">
        <f t="shared" si="29"/>
        <v>1.5732713780862847E-3</v>
      </c>
      <c r="U322" s="15">
        <v>25</v>
      </c>
      <c r="V322" s="8">
        <f t="shared" si="27"/>
        <v>-25</v>
      </c>
      <c r="W322" s="233">
        <f t="shared" si="28"/>
        <v>-5666.5</v>
      </c>
    </row>
    <row r="323" spans="1: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 s="188">
        <f t="shared" ref="R323:R386" si="30">SUM(T322*0.05)</f>
        <v>7.8663568904314244E-5</v>
      </c>
      <c r="S323" s="8">
        <f t="shared" ref="S323:S386" si="31">IF(O323="won",R323*0.18,-R323)</f>
        <v>-7.8663568904314244E-5</v>
      </c>
      <c r="T323" s="234">
        <f t="shared" si="29"/>
        <v>1.4946078091819706E-3</v>
      </c>
      <c r="U323" s="15">
        <v>25</v>
      </c>
      <c r="V323" s="8">
        <f t="shared" ref="V323:V386" si="32">IF(O323="won",U323*0.18,-U323)</f>
        <v>-25</v>
      </c>
      <c r="W323" s="233">
        <f t="shared" ref="W323:W386" si="33">SUM(W322,V323)</f>
        <v>-5691.5</v>
      </c>
    </row>
    <row r="324" spans="1:2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 s="188">
        <f t="shared" si="30"/>
        <v>7.4730390459098537E-5</v>
      </c>
      <c r="S324" s="8">
        <f t="shared" si="31"/>
        <v>-7.4730390459098537E-5</v>
      </c>
      <c r="T324" s="234">
        <f t="shared" si="29"/>
        <v>1.4198774187228721E-3</v>
      </c>
      <c r="U324" s="15">
        <v>25</v>
      </c>
      <c r="V324" s="8">
        <f t="shared" si="32"/>
        <v>-25</v>
      </c>
      <c r="W324" s="233">
        <f t="shared" si="33"/>
        <v>-5716.5</v>
      </c>
    </row>
    <row r="325" spans="1:2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 s="188">
        <f t="shared" si="30"/>
        <v>7.0993870936143601E-5</v>
      </c>
      <c r="S325" s="8">
        <f t="shared" si="31"/>
        <v>-7.0993870936143601E-5</v>
      </c>
      <c r="T325" s="234">
        <f t="shared" si="29"/>
        <v>1.3488835477867285E-3</v>
      </c>
      <c r="U325" s="15">
        <v>25</v>
      </c>
      <c r="V325" s="8">
        <f t="shared" si="32"/>
        <v>-25</v>
      </c>
      <c r="W325" s="233">
        <f t="shared" si="33"/>
        <v>-5741.5</v>
      </c>
    </row>
    <row r="326" spans="1:2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 s="188">
        <f t="shared" si="30"/>
        <v>6.7444177389336428E-5</v>
      </c>
      <c r="S326" s="8">
        <f t="shared" si="31"/>
        <v>-6.7444177389336428E-5</v>
      </c>
      <c r="T326" s="234">
        <f t="shared" si="29"/>
        <v>1.2814393703973921E-3</v>
      </c>
      <c r="U326" s="15">
        <v>25</v>
      </c>
      <c r="V326" s="8">
        <f t="shared" si="32"/>
        <v>-25</v>
      </c>
      <c r="W326" s="233">
        <f t="shared" si="33"/>
        <v>-5766.5</v>
      </c>
    </row>
    <row r="327" spans="1:2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 s="188">
        <f t="shared" si="30"/>
        <v>6.4071968519869614E-5</v>
      </c>
      <c r="S327" s="8">
        <f t="shared" si="31"/>
        <v>-6.4071968519869614E-5</v>
      </c>
      <c r="T327" s="234">
        <f t="shared" si="29"/>
        <v>1.2173674018775226E-3</v>
      </c>
      <c r="U327" s="15">
        <v>25</v>
      </c>
      <c r="V327" s="8">
        <f t="shared" si="32"/>
        <v>-25</v>
      </c>
      <c r="W327" s="233">
        <f t="shared" si="33"/>
        <v>-5791.5</v>
      </c>
    </row>
    <row r="328" spans="1:2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 s="188">
        <f t="shared" si="30"/>
        <v>6.0868370093876132E-5</v>
      </c>
      <c r="S328" s="8">
        <f t="shared" si="31"/>
        <v>-6.0868370093876132E-5</v>
      </c>
      <c r="T328" s="234">
        <f t="shared" si="29"/>
        <v>1.1564990317836465E-3</v>
      </c>
      <c r="U328" s="15">
        <v>25</v>
      </c>
      <c r="V328" s="8">
        <f t="shared" si="32"/>
        <v>-25</v>
      </c>
      <c r="W328" s="233">
        <f t="shared" si="33"/>
        <v>-5816.5</v>
      </c>
    </row>
    <row r="329" spans="1:2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 s="188">
        <f t="shared" si="30"/>
        <v>5.7824951589182331E-5</v>
      </c>
      <c r="S329" s="8">
        <f t="shared" si="31"/>
        <v>-5.7824951589182331E-5</v>
      </c>
      <c r="T329" s="234">
        <f t="shared" si="29"/>
        <v>1.0986740801944641E-3</v>
      </c>
      <c r="U329" s="15">
        <v>25</v>
      </c>
      <c r="V329" s="8">
        <f t="shared" si="32"/>
        <v>-25</v>
      </c>
      <c r="W329" s="233">
        <f t="shared" si="33"/>
        <v>-5841.5</v>
      </c>
    </row>
    <row r="330" spans="1:2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 s="188">
        <f t="shared" si="30"/>
        <v>5.493370400972321E-5</v>
      </c>
      <c r="S330" s="8">
        <f t="shared" si="31"/>
        <v>-5.493370400972321E-5</v>
      </c>
      <c r="T330" s="234">
        <f t="shared" si="29"/>
        <v>1.0437403761847409E-3</v>
      </c>
      <c r="U330" s="15">
        <v>25</v>
      </c>
      <c r="V330" s="8">
        <f t="shared" si="32"/>
        <v>-25</v>
      </c>
      <c r="W330" s="233">
        <f t="shared" si="33"/>
        <v>-5866.5</v>
      </c>
    </row>
    <row r="331" spans="1:2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 s="188">
        <f t="shared" si="30"/>
        <v>5.2187018809237053E-5</v>
      </c>
      <c r="S331" s="8">
        <f t="shared" si="31"/>
        <v>-5.2187018809237053E-5</v>
      </c>
      <c r="T331" s="234">
        <f t="shared" si="29"/>
        <v>9.9155335737550381E-4</v>
      </c>
      <c r="U331" s="15">
        <v>25</v>
      </c>
      <c r="V331" s="8">
        <f t="shared" si="32"/>
        <v>-25</v>
      </c>
      <c r="W331" s="233">
        <f t="shared" si="33"/>
        <v>-5891.5</v>
      </c>
    </row>
    <row r="332" spans="1:2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 s="188">
        <f t="shared" si="30"/>
        <v>4.9577667868775193E-5</v>
      </c>
      <c r="S332" s="8">
        <f t="shared" si="31"/>
        <v>-4.9577667868775193E-5</v>
      </c>
      <c r="T332" s="234">
        <f t="shared" ref="T332:T335" si="34">SUM(T331,S332)</f>
        <v>9.4197568950672857E-4</v>
      </c>
      <c r="U332" s="15">
        <v>25</v>
      </c>
      <c r="V332" s="8">
        <f t="shared" si="32"/>
        <v>-25</v>
      </c>
      <c r="W332" s="233">
        <f t="shared" si="33"/>
        <v>-5916.5</v>
      </c>
    </row>
    <row r="333" spans="1:2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 s="188">
        <f t="shared" si="30"/>
        <v>4.7098784475336431E-5</v>
      </c>
      <c r="S333" s="8">
        <f t="shared" si="31"/>
        <v>-4.7098784475336431E-5</v>
      </c>
      <c r="T333" s="234">
        <f t="shared" si="34"/>
        <v>8.9487690503139213E-4</v>
      </c>
      <c r="U333" s="15">
        <v>25</v>
      </c>
      <c r="V333" s="8">
        <f t="shared" si="32"/>
        <v>-25</v>
      </c>
      <c r="W333" s="233">
        <f t="shared" si="33"/>
        <v>-5941.5</v>
      </c>
    </row>
    <row r="334" spans="1:2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 s="188">
        <f t="shared" si="30"/>
        <v>4.4743845251569612E-5</v>
      </c>
      <c r="S334" s="8">
        <f t="shared" si="31"/>
        <v>-4.4743845251569612E-5</v>
      </c>
      <c r="T334" s="234">
        <f t="shared" si="34"/>
        <v>8.5013305977982246E-4</v>
      </c>
      <c r="U334" s="15">
        <v>25</v>
      </c>
      <c r="V334" s="8">
        <f t="shared" si="32"/>
        <v>-25</v>
      </c>
      <c r="W334" s="233">
        <f t="shared" si="33"/>
        <v>-5966.5</v>
      </c>
    </row>
    <row r="335" spans="1:2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 s="188">
        <f t="shared" si="30"/>
        <v>4.2506652988991129E-5</v>
      </c>
      <c r="S335" s="8">
        <f t="shared" si="31"/>
        <v>-4.2506652988991129E-5</v>
      </c>
      <c r="T335" s="234">
        <f t="shared" si="34"/>
        <v>8.0762640679083136E-4</v>
      </c>
      <c r="U335" s="15">
        <v>25</v>
      </c>
      <c r="V335" s="8">
        <f t="shared" si="32"/>
        <v>-25</v>
      </c>
      <c r="W335" s="233">
        <f t="shared" si="33"/>
        <v>-5991.5</v>
      </c>
    </row>
    <row r="336" spans="1:2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 s="188">
        <f t="shared" si="30"/>
        <v>4.0381320339541574E-5</v>
      </c>
      <c r="S336" s="8">
        <f t="shared" si="31"/>
        <v>-4.0381320339541574E-5</v>
      </c>
      <c r="T336" s="234">
        <f>SUM(T335,S336)</f>
        <v>7.6724508645128976E-4</v>
      </c>
      <c r="U336" s="15">
        <v>25</v>
      </c>
      <c r="V336" s="8">
        <f t="shared" si="32"/>
        <v>-25</v>
      </c>
      <c r="W336" s="233">
        <f t="shared" si="33"/>
        <v>-6016.5</v>
      </c>
    </row>
    <row r="337" spans="1:2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 s="188">
        <f t="shared" si="30"/>
        <v>3.8362254322564489E-5</v>
      </c>
      <c r="S337" s="8">
        <f t="shared" si="31"/>
        <v>-3.8362254322564489E-5</v>
      </c>
      <c r="T337" s="234">
        <f t="shared" ref="T337:T345" si="35">SUM(T336,S337)</f>
        <v>7.2888283212872522E-4</v>
      </c>
      <c r="U337" s="15">
        <v>25</v>
      </c>
      <c r="V337" s="8">
        <f t="shared" si="32"/>
        <v>-25</v>
      </c>
      <c r="W337" s="233">
        <f t="shared" si="33"/>
        <v>-6041.5</v>
      </c>
    </row>
    <row r="338" spans="1:2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 s="188">
        <f t="shared" si="30"/>
        <v>3.6444141606436265E-5</v>
      </c>
      <c r="S338" s="8">
        <f t="shared" si="31"/>
        <v>-3.6444141606436265E-5</v>
      </c>
      <c r="T338" s="234">
        <f t="shared" si="35"/>
        <v>6.9243869052228895E-4</v>
      </c>
      <c r="U338" s="15">
        <v>25</v>
      </c>
      <c r="V338" s="8">
        <f t="shared" si="32"/>
        <v>-25</v>
      </c>
      <c r="W338" s="233">
        <f t="shared" si="33"/>
        <v>-6066.5</v>
      </c>
    </row>
    <row r="339" spans="1:2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 s="188">
        <f t="shared" si="30"/>
        <v>3.4621934526114452E-5</v>
      </c>
      <c r="S339" s="8">
        <f t="shared" si="31"/>
        <v>-3.4621934526114452E-5</v>
      </c>
      <c r="T339" s="234">
        <f t="shared" si="35"/>
        <v>6.5781675599617449E-4</v>
      </c>
      <c r="U339" s="15">
        <v>25</v>
      </c>
      <c r="V339" s="8">
        <f t="shared" si="32"/>
        <v>-25</v>
      </c>
      <c r="W339" s="233">
        <f t="shared" si="33"/>
        <v>-6091.5</v>
      </c>
    </row>
    <row r="340" spans="1:2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 s="188">
        <f t="shared" si="30"/>
        <v>3.2890837799808727E-5</v>
      </c>
      <c r="S340" s="8">
        <f t="shared" si="31"/>
        <v>-3.2890837799808727E-5</v>
      </c>
      <c r="T340" s="234">
        <f t="shared" si="35"/>
        <v>6.2492591819636575E-4</v>
      </c>
      <c r="U340" s="15">
        <v>25</v>
      </c>
      <c r="V340" s="8">
        <f t="shared" si="32"/>
        <v>-25</v>
      </c>
      <c r="W340" s="233">
        <f t="shared" si="33"/>
        <v>-6116.5</v>
      </c>
    </row>
    <row r="341" spans="1:2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 s="188">
        <f t="shared" si="30"/>
        <v>3.1246295909818288E-5</v>
      </c>
      <c r="S341" s="8">
        <f t="shared" si="31"/>
        <v>-3.1246295909818288E-5</v>
      </c>
      <c r="T341" s="234">
        <f t="shared" si="35"/>
        <v>5.9367962228654744E-4</v>
      </c>
      <c r="U341" s="15">
        <v>25</v>
      </c>
      <c r="V341" s="8">
        <f t="shared" si="32"/>
        <v>-25</v>
      </c>
      <c r="W341" s="233">
        <f t="shared" si="33"/>
        <v>-6141.5</v>
      </c>
    </row>
    <row r="342" spans="1:2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 s="188">
        <f t="shared" si="30"/>
        <v>2.9683981114327375E-5</v>
      </c>
      <c r="S342" s="8">
        <f t="shared" si="31"/>
        <v>-2.9683981114327375E-5</v>
      </c>
      <c r="T342" s="234">
        <f t="shared" si="35"/>
        <v>5.639956411722201E-4</v>
      </c>
      <c r="U342" s="15">
        <v>25</v>
      </c>
      <c r="V342" s="8">
        <f t="shared" si="32"/>
        <v>-25</v>
      </c>
      <c r="W342" s="233">
        <f t="shared" si="33"/>
        <v>-6166.5</v>
      </c>
    </row>
    <row r="343" spans="1:2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 s="188">
        <f t="shared" si="30"/>
        <v>2.8199782058611005E-5</v>
      </c>
      <c r="S343" s="8">
        <f t="shared" si="31"/>
        <v>-2.8199782058611005E-5</v>
      </c>
      <c r="T343" s="234">
        <f t="shared" si="35"/>
        <v>5.3579585911360907E-4</v>
      </c>
      <c r="U343" s="15">
        <v>25</v>
      </c>
      <c r="V343" s="8">
        <f t="shared" si="32"/>
        <v>-25</v>
      </c>
      <c r="W343" s="233">
        <f t="shared" si="33"/>
        <v>-6191.5</v>
      </c>
    </row>
    <row r="344" spans="1:2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 s="188">
        <f t="shared" si="30"/>
        <v>2.6789792955680454E-5</v>
      </c>
      <c r="S344" s="8">
        <f t="shared" si="31"/>
        <v>-2.6789792955680454E-5</v>
      </c>
      <c r="T344" s="234">
        <f t="shared" si="35"/>
        <v>5.0900606615792863E-4</v>
      </c>
      <c r="U344" s="15">
        <v>25</v>
      </c>
      <c r="V344" s="8">
        <f t="shared" si="32"/>
        <v>-25</v>
      </c>
      <c r="W344" s="233">
        <f t="shared" si="33"/>
        <v>-6216.5</v>
      </c>
    </row>
    <row r="345" spans="1:2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 s="188">
        <f t="shared" si="30"/>
        <v>2.5450303307896433E-5</v>
      </c>
      <c r="S345" s="8">
        <f t="shared" si="31"/>
        <v>-2.5450303307896433E-5</v>
      </c>
      <c r="T345" s="234">
        <f t="shared" si="35"/>
        <v>4.8355576285003221E-4</v>
      </c>
      <c r="U345" s="15">
        <v>25</v>
      </c>
      <c r="V345" s="8">
        <f t="shared" si="32"/>
        <v>-25</v>
      </c>
      <c r="W345" s="233">
        <f t="shared" si="33"/>
        <v>-6241.5</v>
      </c>
    </row>
    <row r="346" spans="1:2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 s="188">
        <f t="shared" si="30"/>
        <v>2.4177788142501612E-5</v>
      </c>
      <c r="S346" s="8">
        <f t="shared" si="31"/>
        <v>-2.4177788142501612E-5</v>
      </c>
      <c r="T346" s="234">
        <f>SUM(T345,S346)</f>
        <v>4.5937797470753058E-4</v>
      </c>
      <c r="U346" s="15">
        <v>25</v>
      </c>
      <c r="V346" s="8">
        <f t="shared" si="32"/>
        <v>-25</v>
      </c>
      <c r="W346" s="233">
        <f t="shared" si="33"/>
        <v>-6266.5</v>
      </c>
    </row>
    <row r="347" spans="1:2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 s="188">
        <f t="shared" si="30"/>
        <v>2.296889873537653E-5</v>
      </c>
      <c r="S347" s="8">
        <f t="shared" si="31"/>
        <v>-2.296889873537653E-5</v>
      </c>
      <c r="T347" s="234">
        <f t="shared" ref="T347:T391" si="36">SUM(T346,S347)</f>
        <v>4.3640907597215404E-4</v>
      </c>
      <c r="U347" s="15">
        <v>25</v>
      </c>
      <c r="V347" s="8">
        <f t="shared" si="32"/>
        <v>-25</v>
      </c>
      <c r="W347" s="233">
        <f t="shared" si="33"/>
        <v>-6291.5</v>
      </c>
    </row>
    <row r="348" spans="1:2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 s="188">
        <f t="shared" si="30"/>
        <v>2.1820453798607705E-5</v>
      </c>
      <c r="S348" s="8">
        <f t="shared" si="31"/>
        <v>-2.1820453798607705E-5</v>
      </c>
      <c r="T348" s="234">
        <f t="shared" si="36"/>
        <v>4.1458862217354632E-4</v>
      </c>
      <c r="U348" s="15">
        <v>25</v>
      </c>
      <c r="V348" s="8">
        <f t="shared" si="32"/>
        <v>-25</v>
      </c>
      <c r="W348" s="233">
        <f t="shared" si="33"/>
        <v>-6316.5</v>
      </c>
    </row>
    <row r="349" spans="1:2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 s="188">
        <f t="shared" si="30"/>
        <v>2.0729431108677319E-5</v>
      </c>
      <c r="S349" s="8">
        <f t="shared" si="31"/>
        <v>-2.0729431108677319E-5</v>
      </c>
      <c r="T349" s="234">
        <f t="shared" si="36"/>
        <v>3.9385919106486899E-4</v>
      </c>
      <c r="U349" s="15">
        <v>25</v>
      </c>
      <c r="V349" s="8">
        <f t="shared" si="32"/>
        <v>-25</v>
      </c>
      <c r="W349" s="233">
        <f t="shared" si="33"/>
        <v>-6341.5</v>
      </c>
    </row>
    <row r="350" spans="1:2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 s="188">
        <f t="shared" si="30"/>
        <v>1.9692959553243449E-5</v>
      </c>
      <c r="S350" s="8">
        <f t="shared" si="31"/>
        <v>-1.9692959553243449E-5</v>
      </c>
      <c r="T350" s="234">
        <f t="shared" si="36"/>
        <v>3.7416623151162551E-4</v>
      </c>
      <c r="U350" s="15">
        <v>25</v>
      </c>
      <c r="V350" s="8">
        <f t="shared" si="32"/>
        <v>-25</v>
      </c>
      <c r="W350" s="233">
        <f t="shared" si="33"/>
        <v>-6366.5</v>
      </c>
    </row>
    <row r="351" spans="1:2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 s="188">
        <f t="shared" si="30"/>
        <v>1.8708311575581278E-5</v>
      </c>
      <c r="S351" s="8">
        <f t="shared" si="31"/>
        <v>-1.8708311575581278E-5</v>
      </c>
      <c r="T351" s="234">
        <f t="shared" si="36"/>
        <v>3.5545791993604422E-4</v>
      </c>
      <c r="U351" s="15">
        <v>25</v>
      </c>
      <c r="V351" s="8">
        <f t="shared" si="32"/>
        <v>-25</v>
      </c>
      <c r="W351" s="233">
        <f t="shared" si="33"/>
        <v>-6391.5</v>
      </c>
    </row>
    <row r="352" spans="1:2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 s="188">
        <f t="shared" si="30"/>
        <v>1.7772895996802213E-5</v>
      </c>
      <c r="S352" s="8">
        <f t="shared" si="31"/>
        <v>-1.7772895996802213E-5</v>
      </c>
      <c r="T352" s="234">
        <f t="shared" si="36"/>
        <v>3.3768502393924203E-4</v>
      </c>
      <c r="U352" s="15">
        <v>25</v>
      </c>
      <c r="V352" s="8">
        <f t="shared" si="32"/>
        <v>-25</v>
      </c>
      <c r="W352" s="233">
        <f t="shared" si="33"/>
        <v>-6416.5</v>
      </c>
    </row>
    <row r="353" spans="1:2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 s="188">
        <f t="shared" si="30"/>
        <v>1.6884251196962102E-5</v>
      </c>
      <c r="S353" s="8">
        <f t="shared" si="31"/>
        <v>-1.6884251196962102E-5</v>
      </c>
      <c r="T353" s="234">
        <f t="shared" si="36"/>
        <v>3.2080077274227993E-4</v>
      </c>
      <c r="U353" s="15">
        <v>25</v>
      </c>
      <c r="V353" s="8">
        <f t="shared" si="32"/>
        <v>-25</v>
      </c>
      <c r="W353" s="233">
        <f t="shared" si="33"/>
        <v>-6441.5</v>
      </c>
    </row>
    <row r="354" spans="1:2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 s="188">
        <f t="shared" si="30"/>
        <v>1.6040038637113998E-5</v>
      </c>
      <c r="S354" s="8">
        <f t="shared" si="31"/>
        <v>-1.6040038637113998E-5</v>
      </c>
      <c r="T354" s="234">
        <f t="shared" si="36"/>
        <v>3.0476073410516593E-4</v>
      </c>
      <c r="U354" s="15">
        <v>25</v>
      </c>
      <c r="V354" s="8">
        <f t="shared" si="32"/>
        <v>-25</v>
      </c>
      <c r="W354" s="233">
        <f t="shared" si="33"/>
        <v>-6466.5</v>
      </c>
    </row>
    <row r="355" spans="1:2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 s="188">
        <f t="shared" si="30"/>
        <v>1.5238036705258298E-5</v>
      </c>
      <c r="S355" s="8">
        <f t="shared" si="31"/>
        <v>-1.5238036705258298E-5</v>
      </c>
      <c r="T355" s="234">
        <f t="shared" si="36"/>
        <v>2.8952269739990764E-4</v>
      </c>
      <c r="U355" s="15">
        <v>25</v>
      </c>
      <c r="V355" s="8">
        <f t="shared" si="32"/>
        <v>-25</v>
      </c>
      <c r="W355" s="233">
        <f t="shared" si="33"/>
        <v>-6491.5</v>
      </c>
    </row>
    <row r="356" spans="1:2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 s="188">
        <f t="shared" si="30"/>
        <v>1.4476134869995382E-5</v>
      </c>
      <c r="S356" s="8">
        <f t="shared" si="31"/>
        <v>-1.4476134869995382E-5</v>
      </c>
      <c r="T356" s="234">
        <f t="shared" si="36"/>
        <v>2.7504656252991223E-4</v>
      </c>
      <c r="U356" s="15">
        <v>25</v>
      </c>
      <c r="V356" s="8">
        <f t="shared" si="32"/>
        <v>-25</v>
      </c>
      <c r="W356" s="233">
        <f t="shared" si="33"/>
        <v>-6516.5</v>
      </c>
    </row>
    <row r="357" spans="1:2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 s="188">
        <f t="shared" si="30"/>
        <v>1.3752328126495613E-5</v>
      </c>
      <c r="S357" s="8">
        <f t="shared" si="31"/>
        <v>-1.3752328126495613E-5</v>
      </c>
      <c r="T357" s="234">
        <f t="shared" si="36"/>
        <v>2.6129423440341662E-4</v>
      </c>
      <c r="U357" s="15">
        <v>25</v>
      </c>
      <c r="V357" s="8">
        <f t="shared" si="32"/>
        <v>-25</v>
      </c>
      <c r="W357" s="233">
        <f t="shared" si="33"/>
        <v>-6541.5</v>
      </c>
    </row>
    <row r="358" spans="1:2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 s="188">
        <f t="shared" si="30"/>
        <v>1.3064711720170831E-5</v>
      </c>
      <c r="S358" s="8">
        <f t="shared" si="31"/>
        <v>-1.3064711720170831E-5</v>
      </c>
      <c r="T358" s="234">
        <f t="shared" si="36"/>
        <v>2.4822952268324579E-4</v>
      </c>
      <c r="U358" s="15">
        <v>25</v>
      </c>
      <c r="V358" s="8">
        <f t="shared" si="32"/>
        <v>-25</v>
      </c>
      <c r="W358" s="233">
        <f t="shared" si="33"/>
        <v>-6566.5</v>
      </c>
    </row>
    <row r="359" spans="1:2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 s="188">
        <f t="shared" si="30"/>
        <v>1.241147613416229E-5</v>
      </c>
      <c r="S359" s="8">
        <f t="shared" si="31"/>
        <v>-1.241147613416229E-5</v>
      </c>
      <c r="T359" s="234">
        <f t="shared" si="36"/>
        <v>2.3581804654908349E-4</v>
      </c>
      <c r="U359" s="15">
        <v>25</v>
      </c>
      <c r="V359" s="8">
        <f t="shared" si="32"/>
        <v>-25</v>
      </c>
      <c r="W359" s="233">
        <f t="shared" si="33"/>
        <v>-6591.5</v>
      </c>
    </row>
    <row r="360" spans="1:2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 s="188">
        <f t="shared" si="30"/>
        <v>1.1790902327454175E-5</v>
      </c>
      <c r="S360" s="8">
        <f t="shared" si="31"/>
        <v>-1.1790902327454175E-5</v>
      </c>
      <c r="T360" s="234">
        <f t="shared" si="36"/>
        <v>2.2402714422162931E-4</v>
      </c>
      <c r="U360" s="15">
        <v>25</v>
      </c>
      <c r="V360" s="8">
        <f t="shared" si="32"/>
        <v>-25</v>
      </c>
      <c r="W360" s="233">
        <f t="shared" si="33"/>
        <v>-6616.5</v>
      </c>
    </row>
    <row r="361" spans="1:2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 s="188">
        <f t="shared" si="30"/>
        <v>1.1201357211081466E-5</v>
      </c>
      <c r="S361" s="8">
        <f t="shared" si="31"/>
        <v>-1.1201357211081466E-5</v>
      </c>
      <c r="T361" s="234">
        <f t="shared" si="36"/>
        <v>2.1282578701054783E-4</v>
      </c>
      <c r="U361" s="15">
        <v>25</v>
      </c>
      <c r="V361" s="8">
        <f t="shared" si="32"/>
        <v>-25</v>
      </c>
      <c r="W361" s="233">
        <f t="shared" si="33"/>
        <v>-6641.5</v>
      </c>
    </row>
    <row r="362" spans="1:2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 s="188">
        <f t="shared" si="30"/>
        <v>1.0641289350527393E-5</v>
      </c>
      <c r="S362" s="8">
        <f t="shared" si="31"/>
        <v>-1.0641289350527393E-5</v>
      </c>
      <c r="T362" s="234">
        <f t="shared" si="36"/>
        <v>2.0218449766002045E-4</v>
      </c>
      <c r="U362" s="15">
        <v>25</v>
      </c>
      <c r="V362" s="8">
        <f t="shared" si="32"/>
        <v>-25</v>
      </c>
      <c r="W362" s="233">
        <f t="shared" si="33"/>
        <v>-6666.5</v>
      </c>
    </row>
    <row r="363" spans="1:2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 s="188">
        <f t="shared" si="30"/>
        <v>1.0109224883001023E-5</v>
      </c>
      <c r="S363" s="8">
        <f t="shared" si="31"/>
        <v>-1.0109224883001023E-5</v>
      </c>
      <c r="T363" s="234">
        <f t="shared" si="36"/>
        <v>1.9207527277701944E-4</v>
      </c>
      <c r="U363" s="15">
        <v>25</v>
      </c>
      <c r="V363" s="8">
        <f t="shared" si="32"/>
        <v>-25</v>
      </c>
      <c r="W363" s="233">
        <f t="shared" si="33"/>
        <v>-6691.5</v>
      </c>
    </row>
    <row r="364" spans="1:2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 s="188">
        <f t="shared" si="30"/>
        <v>9.6037636388509732E-6</v>
      </c>
      <c r="S364" s="8">
        <f t="shared" si="31"/>
        <v>-9.6037636388509732E-6</v>
      </c>
      <c r="T364" s="234">
        <f t="shared" si="36"/>
        <v>1.8247150913816847E-4</v>
      </c>
      <c r="U364" s="15">
        <v>25</v>
      </c>
      <c r="V364" s="8">
        <f t="shared" si="32"/>
        <v>-25</v>
      </c>
      <c r="W364" s="233">
        <f t="shared" si="33"/>
        <v>-6716.5</v>
      </c>
    </row>
    <row r="365" spans="1:2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 s="188">
        <f t="shared" si="30"/>
        <v>9.1235754569084235E-6</v>
      </c>
      <c r="S365" s="8">
        <f t="shared" si="31"/>
        <v>-9.1235754569084235E-6</v>
      </c>
      <c r="T365" s="234">
        <f t="shared" si="36"/>
        <v>1.7334793368126004E-4</v>
      </c>
      <c r="U365" s="15">
        <v>25</v>
      </c>
      <c r="V365" s="8">
        <f t="shared" si="32"/>
        <v>-25</v>
      </c>
      <c r="W365" s="233">
        <f t="shared" si="33"/>
        <v>-6741.5</v>
      </c>
    </row>
    <row r="366" spans="1:2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 s="188">
        <f t="shared" si="30"/>
        <v>8.6673966840630019E-6</v>
      </c>
      <c r="S366" s="8">
        <f t="shared" si="31"/>
        <v>-8.6673966840630019E-6</v>
      </c>
      <c r="T366" s="234">
        <f t="shared" si="36"/>
        <v>1.6468053699719704E-4</v>
      </c>
      <c r="U366" s="15">
        <v>25</v>
      </c>
      <c r="V366" s="8">
        <f t="shared" si="32"/>
        <v>-25</v>
      </c>
      <c r="W366" s="233">
        <f t="shared" si="33"/>
        <v>-6766.5</v>
      </c>
    </row>
    <row r="367" spans="1:2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 s="188">
        <f t="shared" si="30"/>
        <v>8.2340268498598525E-6</v>
      </c>
      <c r="S367" s="8">
        <f t="shared" si="31"/>
        <v>-8.2340268498598525E-6</v>
      </c>
      <c r="T367" s="234">
        <f t="shared" si="36"/>
        <v>1.5644651014733719E-4</v>
      </c>
      <c r="U367" s="15">
        <v>25</v>
      </c>
      <c r="V367" s="8">
        <f t="shared" si="32"/>
        <v>-25</v>
      </c>
      <c r="W367" s="233">
        <f t="shared" si="33"/>
        <v>-6791.5</v>
      </c>
    </row>
    <row r="368" spans="1:2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 s="188">
        <f t="shared" si="30"/>
        <v>7.8223255073668601E-6</v>
      </c>
      <c r="S368" s="8">
        <f t="shared" si="31"/>
        <v>-7.8223255073668601E-6</v>
      </c>
      <c r="T368" s="234">
        <f t="shared" si="36"/>
        <v>1.4862418463997034E-4</v>
      </c>
      <c r="U368" s="15">
        <v>25</v>
      </c>
      <c r="V368" s="8">
        <f t="shared" si="32"/>
        <v>-25</v>
      </c>
      <c r="W368" s="233">
        <f t="shared" si="33"/>
        <v>-6816.5</v>
      </c>
    </row>
    <row r="369" spans="1:2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 s="188">
        <f t="shared" si="30"/>
        <v>7.4312092319985174E-6</v>
      </c>
      <c r="S369" s="8">
        <f t="shared" si="31"/>
        <v>-7.4312092319985174E-6</v>
      </c>
      <c r="T369" s="234">
        <f t="shared" si="36"/>
        <v>1.4119297540797181E-4</v>
      </c>
      <c r="U369" s="15">
        <v>25</v>
      </c>
      <c r="V369" s="8">
        <f t="shared" si="32"/>
        <v>-25</v>
      </c>
      <c r="W369" s="233">
        <f t="shared" si="33"/>
        <v>-6841.5</v>
      </c>
    </row>
    <row r="370" spans="1:2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 s="188">
        <f t="shared" si="30"/>
        <v>7.0596487703985906E-6</v>
      </c>
      <c r="S370" s="8">
        <f t="shared" si="31"/>
        <v>-7.0596487703985906E-6</v>
      </c>
      <c r="T370" s="234">
        <f t="shared" si="36"/>
        <v>1.3413332663757323E-4</v>
      </c>
      <c r="U370" s="15">
        <v>25</v>
      </c>
      <c r="V370" s="8">
        <f t="shared" si="32"/>
        <v>-25</v>
      </c>
      <c r="W370" s="233">
        <f t="shared" si="33"/>
        <v>-6866.5</v>
      </c>
    </row>
    <row r="371" spans="1:2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 s="188">
        <f t="shared" si="30"/>
        <v>6.7066663318786616E-6</v>
      </c>
      <c r="S371" s="8">
        <f t="shared" si="31"/>
        <v>-6.7066663318786616E-6</v>
      </c>
      <c r="T371" s="234">
        <f t="shared" si="36"/>
        <v>1.2742666030569457E-4</v>
      </c>
      <c r="U371" s="15">
        <v>25</v>
      </c>
      <c r="V371" s="8">
        <f t="shared" si="32"/>
        <v>-25</v>
      </c>
      <c r="W371" s="233">
        <f t="shared" si="33"/>
        <v>-6891.5</v>
      </c>
    </row>
    <row r="372" spans="1:2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 s="188">
        <f t="shared" si="30"/>
        <v>6.3713330152847288E-6</v>
      </c>
      <c r="S372" s="8">
        <f t="shared" si="31"/>
        <v>-6.3713330152847288E-6</v>
      </c>
      <c r="T372" s="234">
        <f t="shared" si="36"/>
        <v>1.2105532729040985E-4</v>
      </c>
      <c r="U372" s="15">
        <v>25</v>
      </c>
      <c r="V372" s="8">
        <f t="shared" si="32"/>
        <v>-25</v>
      </c>
      <c r="W372" s="233">
        <f t="shared" si="33"/>
        <v>-6916.5</v>
      </c>
    </row>
    <row r="373" spans="1:2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 s="188">
        <f t="shared" si="30"/>
        <v>6.0527663645204927E-6</v>
      </c>
      <c r="S373" s="8">
        <f t="shared" si="31"/>
        <v>-6.0527663645204927E-6</v>
      </c>
      <c r="T373" s="234">
        <f t="shared" si="36"/>
        <v>1.1500256092588935E-4</v>
      </c>
      <c r="U373" s="15">
        <v>25</v>
      </c>
      <c r="V373" s="8">
        <f t="shared" si="32"/>
        <v>-25</v>
      </c>
      <c r="W373" s="233">
        <f t="shared" si="33"/>
        <v>-6941.5</v>
      </c>
    </row>
    <row r="374" spans="1:2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 s="188">
        <f t="shared" si="30"/>
        <v>5.7501280462944681E-6</v>
      </c>
      <c r="S374" s="8">
        <f t="shared" si="31"/>
        <v>-5.7501280462944681E-6</v>
      </c>
      <c r="T374" s="234">
        <f t="shared" si="36"/>
        <v>1.0925243287959488E-4</v>
      </c>
      <c r="U374" s="15">
        <v>25</v>
      </c>
      <c r="V374" s="8">
        <f t="shared" si="32"/>
        <v>-25</v>
      </c>
      <c r="W374" s="233">
        <f t="shared" si="33"/>
        <v>-6966.5</v>
      </c>
    </row>
    <row r="375" spans="1:2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 s="188">
        <f t="shared" si="30"/>
        <v>5.4626216439797442E-6</v>
      </c>
      <c r="S375" s="8">
        <f t="shared" si="31"/>
        <v>-5.4626216439797442E-6</v>
      </c>
      <c r="T375" s="234">
        <f t="shared" si="36"/>
        <v>1.0378981123561513E-4</v>
      </c>
      <c r="U375" s="15">
        <v>25</v>
      </c>
      <c r="V375" s="8">
        <f t="shared" si="32"/>
        <v>-25</v>
      </c>
      <c r="W375" s="233">
        <f t="shared" si="33"/>
        <v>-6991.5</v>
      </c>
    </row>
    <row r="376" spans="1:2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 s="188">
        <f t="shared" si="30"/>
        <v>5.1894905617807568E-6</v>
      </c>
      <c r="S376" s="8">
        <f t="shared" si="31"/>
        <v>-5.1894905617807568E-6</v>
      </c>
      <c r="T376" s="234">
        <f t="shared" si="36"/>
        <v>9.8600320673834381E-5</v>
      </c>
      <c r="U376" s="15">
        <v>25</v>
      </c>
      <c r="V376" s="8">
        <f t="shared" si="32"/>
        <v>-25</v>
      </c>
      <c r="W376" s="233">
        <f t="shared" si="33"/>
        <v>-7016.5</v>
      </c>
    </row>
    <row r="377" spans="1:2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 s="188">
        <f t="shared" si="30"/>
        <v>4.9300160336917196E-6</v>
      </c>
      <c r="S377" s="8">
        <f t="shared" si="31"/>
        <v>-4.9300160336917196E-6</v>
      </c>
      <c r="T377" s="234">
        <f t="shared" si="36"/>
        <v>9.3670304640142664E-5</v>
      </c>
      <c r="U377" s="15">
        <v>25</v>
      </c>
      <c r="V377" s="8">
        <f t="shared" si="32"/>
        <v>-25</v>
      </c>
      <c r="W377" s="233">
        <f t="shared" si="33"/>
        <v>-7041.5</v>
      </c>
    </row>
    <row r="378" spans="1:2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 s="188">
        <f t="shared" si="30"/>
        <v>4.6835152320071332E-6</v>
      </c>
      <c r="S378" s="8">
        <f t="shared" si="31"/>
        <v>-4.6835152320071332E-6</v>
      </c>
      <c r="T378" s="234">
        <f t="shared" si="36"/>
        <v>8.8986789408135531E-5</v>
      </c>
      <c r="U378" s="15">
        <v>25</v>
      </c>
      <c r="V378" s="8">
        <f t="shared" si="32"/>
        <v>-25</v>
      </c>
      <c r="W378" s="233">
        <f t="shared" si="33"/>
        <v>-7066.5</v>
      </c>
    </row>
    <row r="379" spans="1:2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 s="188">
        <f t="shared" si="30"/>
        <v>4.4493394704067767E-6</v>
      </c>
      <c r="S379" s="8">
        <f t="shared" si="31"/>
        <v>-4.4493394704067767E-6</v>
      </c>
      <c r="T379" s="234">
        <f t="shared" si="36"/>
        <v>8.4537449937728751E-5</v>
      </c>
      <c r="U379" s="15">
        <v>25</v>
      </c>
      <c r="V379" s="8">
        <f t="shared" si="32"/>
        <v>-25</v>
      </c>
      <c r="W379" s="233">
        <f t="shared" si="33"/>
        <v>-7091.5</v>
      </c>
    </row>
    <row r="380" spans="1:2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 s="188">
        <f t="shared" si="30"/>
        <v>4.2268724968864381E-6</v>
      </c>
      <c r="S380" s="8">
        <f t="shared" si="31"/>
        <v>-4.2268724968864381E-6</v>
      </c>
      <c r="T380" s="234">
        <f t="shared" si="36"/>
        <v>8.0310577440842316E-5</v>
      </c>
      <c r="U380" s="15">
        <v>25</v>
      </c>
      <c r="V380" s="8">
        <f t="shared" si="32"/>
        <v>-25</v>
      </c>
      <c r="W380" s="233">
        <f t="shared" si="33"/>
        <v>-7116.5</v>
      </c>
    </row>
    <row r="381" spans="1:2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 s="188">
        <f t="shared" si="30"/>
        <v>4.0155288720421158E-6</v>
      </c>
      <c r="S381" s="8">
        <f t="shared" si="31"/>
        <v>-4.0155288720421158E-6</v>
      </c>
      <c r="T381" s="234">
        <f t="shared" si="36"/>
        <v>7.62950485688002E-5</v>
      </c>
      <c r="U381" s="15">
        <v>25</v>
      </c>
      <c r="V381" s="8">
        <f t="shared" si="32"/>
        <v>-25</v>
      </c>
      <c r="W381" s="233">
        <f t="shared" si="33"/>
        <v>-7141.5</v>
      </c>
    </row>
    <row r="382" spans="1:2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 s="188">
        <f t="shared" si="30"/>
        <v>3.81475242844001E-6</v>
      </c>
      <c r="S382" s="8">
        <f t="shared" si="31"/>
        <v>-3.81475242844001E-6</v>
      </c>
      <c r="T382" s="234">
        <f t="shared" si="36"/>
        <v>7.2480296140360183E-5</v>
      </c>
      <c r="U382" s="15">
        <v>25</v>
      </c>
      <c r="V382" s="8">
        <f t="shared" si="32"/>
        <v>-25</v>
      </c>
      <c r="W382" s="233">
        <f t="shared" si="33"/>
        <v>-7166.5</v>
      </c>
    </row>
    <row r="383" spans="1:2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 s="188">
        <f t="shared" si="30"/>
        <v>3.6240148070180092E-6</v>
      </c>
      <c r="S383" s="8">
        <f t="shared" si="31"/>
        <v>-3.6240148070180092E-6</v>
      </c>
      <c r="T383" s="234">
        <f t="shared" si="36"/>
        <v>6.8856281333342181E-5</v>
      </c>
      <c r="U383" s="15">
        <v>25</v>
      </c>
      <c r="V383" s="8">
        <f t="shared" si="32"/>
        <v>-25</v>
      </c>
      <c r="W383" s="233">
        <f t="shared" si="33"/>
        <v>-7191.5</v>
      </c>
    </row>
    <row r="384" spans="1:2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 s="188">
        <f t="shared" si="30"/>
        <v>3.442814066667109E-6</v>
      </c>
      <c r="S384" s="8">
        <f t="shared" si="31"/>
        <v>-3.442814066667109E-6</v>
      </c>
      <c r="T384" s="234">
        <f t="shared" si="36"/>
        <v>6.5413467266675065E-5</v>
      </c>
      <c r="U384" s="15">
        <v>25</v>
      </c>
      <c r="V384" s="8">
        <f t="shared" si="32"/>
        <v>-25</v>
      </c>
      <c r="W384" s="233">
        <f t="shared" si="33"/>
        <v>-7216.5</v>
      </c>
    </row>
    <row r="385" spans="1:2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 s="188">
        <f t="shared" si="30"/>
        <v>3.2706733633337533E-6</v>
      </c>
      <c r="S385" s="8">
        <f t="shared" si="31"/>
        <v>-3.2706733633337533E-6</v>
      </c>
      <c r="T385" s="234">
        <f t="shared" si="36"/>
        <v>6.2142793903341317E-5</v>
      </c>
      <c r="U385" s="15">
        <v>25</v>
      </c>
      <c r="V385" s="8">
        <f t="shared" si="32"/>
        <v>-25</v>
      </c>
      <c r="W385" s="233">
        <f t="shared" si="33"/>
        <v>-7241.5</v>
      </c>
    </row>
    <row r="386" spans="1:2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 s="188">
        <f t="shared" si="30"/>
        <v>3.1071396951670662E-6</v>
      </c>
      <c r="S386" s="8">
        <f t="shared" si="31"/>
        <v>-3.1071396951670662E-6</v>
      </c>
      <c r="T386" s="234">
        <f t="shared" si="36"/>
        <v>5.9035654208174253E-5</v>
      </c>
      <c r="U386" s="15">
        <v>25</v>
      </c>
      <c r="V386" s="8">
        <f t="shared" si="32"/>
        <v>-25</v>
      </c>
      <c r="W386" s="233">
        <f t="shared" si="33"/>
        <v>-7266.5</v>
      </c>
    </row>
    <row r="387" spans="1:2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 s="188">
        <f t="shared" ref="R387:R450" si="37">SUM(T386*0.05)</f>
        <v>2.9517827104087129E-6</v>
      </c>
      <c r="S387" s="8">
        <f t="shared" ref="S387:S450" si="38">IF(O387="won",R387*0.18,-R387)</f>
        <v>-2.9517827104087129E-6</v>
      </c>
      <c r="T387" s="234">
        <f t="shared" si="36"/>
        <v>5.6083871497765539E-5</v>
      </c>
      <c r="U387" s="15">
        <v>25</v>
      </c>
      <c r="V387" s="8">
        <f t="shared" ref="V387:V450" si="39">IF(O387="won",U387*0.18,-U387)</f>
        <v>-25</v>
      </c>
      <c r="W387" s="233">
        <f t="shared" ref="W387:W450" si="40">SUM(W386,V387)</f>
        <v>-7291.5</v>
      </c>
    </row>
    <row r="388" spans="1:2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 s="188">
        <f t="shared" si="37"/>
        <v>2.8041935748882771E-6</v>
      </c>
      <c r="S388" s="8">
        <f t="shared" si="38"/>
        <v>-2.8041935748882771E-6</v>
      </c>
      <c r="T388" s="234">
        <f t="shared" si="36"/>
        <v>5.3279677922877261E-5</v>
      </c>
      <c r="U388" s="15">
        <v>25</v>
      </c>
      <c r="V388" s="8">
        <f t="shared" si="39"/>
        <v>-25</v>
      </c>
      <c r="W388" s="233">
        <f t="shared" si="40"/>
        <v>-7316.5</v>
      </c>
    </row>
    <row r="389" spans="1:2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 s="188">
        <f t="shared" si="37"/>
        <v>2.6639838961438633E-6</v>
      </c>
      <c r="S389" s="8">
        <f t="shared" si="38"/>
        <v>-2.6639838961438633E-6</v>
      </c>
      <c r="T389" s="234">
        <f t="shared" si="36"/>
        <v>5.0615694026733397E-5</v>
      </c>
      <c r="U389" s="15">
        <v>25</v>
      </c>
      <c r="V389" s="8">
        <f t="shared" si="39"/>
        <v>-25</v>
      </c>
      <c r="W389" s="233">
        <f t="shared" si="40"/>
        <v>-7341.5</v>
      </c>
    </row>
    <row r="390" spans="1:2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 s="188">
        <f t="shared" si="37"/>
        <v>2.53078470133667E-6</v>
      </c>
      <c r="S390" s="8">
        <f t="shared" si="38"/>
        <v>-2.53078470133667E-6</v>
      </c>
      <c r="T390" s="234">
        <f t="shared" si="36"/>
        <v>4.8084909325396728E-5</v>
      </c>
      <c r="U390" s="15">
        <v>25</v>
      </c>
      <c r="V390" s="8">
        <f t="shared" si="39"/>
        <v>-25</v>
      </c>
      <c r="W390" s="233">
        <f t="shared" si="40"/>
        <v>-7366.5</v>
      </c>
    </row>
    <row r="391" spans="1:2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 s="188">
        <f t="shared" si="37"/>
        <v>2.4042454662698365E-6</v>
      </c>
      <c r="S391" s="8">
        <f t="shared" si="38"/>
        <v>-2.4042454662698365E-6</v>
      </c>
      <c r="T391" s="234">
        <f t="shared" si="36"/>
        <v>4.5680663859126894E-5</v>
      </c>
      <c r="U391" s="15">
        <v>25</v>
      </c>
      <c r="V391" s="8">
        <f t="shared" si="39"/>
        <v>-25</v>
      </c>
      <c r="W391" s="233">
        <f t="shared" si="40"/>
        <v>-7391.5</v>
      </c>
    </row>
    <row r="392" spans="1:2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 s="188">
        <f t="shared" si="37"/>
        <v>2.2840331929563449E-6</v>
      </c>
      <c r="S392" s="8">
        <f t="shared" si="38"/>
        <v>-2.2840331929563449E-6</v>
      </c>
      <c r="T392" s="234">
        <f>SUM(T391,S392)</f>
        <v>4.3396630666170548E-5</v>
      </c>
      <c r="U392" s="15">
        <v>25</v>
      </c>
      <c r="V392" s="8">
        <f t="shared" si="39"/>
        <v>-25</v>
      </c>
      <c r="W392" s="233">
        <f t="shared" si="40"/>
        <v>-7416.5</v>
      </c>
    </row>
    <row r="393" spans="1:2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 s="188">
        <f t="shared" si="37"/>
        <v>2.1698315333085274E-6</v>
      </c>
      <c r="S393" s="8">
        <f t="shared" si="38"/>
        <v>-2.1698315333085274E-6</v>
      </c>
      <c r="T393" s="234">
        <f>SUM(T392,S393)</f>
        <v>4.1226799132862017E-5</v>
      </c>
      <c r="U393" s="15">
        <v>25</v>
      </c>
      <c r="V393" s="8">
        <f t="shared" si="39"/>
        <v>-25</v>
      </c>
      <c r="W393" s="233">
        <f t="shared" si="40"/>
        <v>-7441.5</v>
      </c>
    </row>
    <row r="394" spans="1:2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 s="188">
        <f t="shared" si="37"/>
        <v>2.061339956643101E-6</v>
      </c>
      <c r="S394" s="8">
        <f t="shared" si="38"/>
        <v>-2.061339956643101E-6</v>
      </c>
      <c r="T394" s="234">
        <f>SUM(T393,S394)</f>
        <v>3.9165459176218914E-5</v>
      </c>
      <c r="U394" s="15">
        <v>25</v>
      </c>
      <c r="V394" s="8">
        <f t="shared" si="39"/>
        <v>-25</v>
      </c>
      <c r="W394" s="233">
        <f t="shared" si="40"/>
        <v>-7466.5</v>
      </c>
    </row>
    <row r="395" spans="1:2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 s="188">
        <f t="shared" si="37"/>
        <v>1.9582729588109459E-6</v>
      </c>
      <c r="S395" s="8">
        <f t="shared" si="38"/>
        <v>-1.9582729588109459E-6</v>
      </c>
      <c r="T395" s="234">
        <f>SUM(T394,S395)</f>
        <v>3.7207186217407967E-5</v>
      </c>
      <c r="U395" s="15">
        <v>25</v>
      </c>
      <c r="V395" s="8">
        <f t="shared" si="39"/>
        <v>-25</v>
      </c>
      <c r="W395" s="233">
        <f t="shared" si="40"/>
        <v>-7491.5</v>
      </c>
    </row>
    <row r="396" spans="1:2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 s="188">
        <f t="shared" si="37"/>
        <v>1.8603593108703984E-6</v>
      </c>
      <c r="S396" s="8">
        <f t="shared" si="38"/>
        <v>-1.8603593108703984E-6</v>
      </c>
      <c r="T396" s="234">
        <f t="shared" ref="T396:T403" si="41">SUM(T395,S396)</f>
        <v>3.534682690653757E-5</v>
      </c>
      <c r="U396" s="15">
        <v>25</v>
      </c>
      <c r="V396" s="8">
        <f t="shared" si="39"/>
        <v>-25</v>
      </c>
      <c r="W396" s="233">
        <f t="shared" si="40"/>
        <v>-7516.5</v>
      </c>
    </row>
    <row r="397" spans="1:2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 s="188">
        <f t="shared" si="37"/>
        <v>1.7673413453268786E-6</v>
      </c>
      <c r="S397" s="8">
        <f t="shared" si="38"/>
        <v>-1.7673413453268786E-6</v>
      </c>
      <c r="T397" s="234">
        <f t="shared" si="41"/>
        <v>3.357948556121069E-5</v>
      </c>
      <c r="U397" s="15">
        <v>25</v>
      </c>
      <c r="V397" s="8">
        <f t="shared" si="39"/>
        <v>-25</v>
      </c>
      <c r="W397" s="233">
        <f t="shared" si="40"/>
        <v>-7541.5</v>
      </c>
    </row>
    <row r="398" spans="1:2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 s="188">
        <f t="shared" si="37"/>
        <v>1.6789742780605345E-6</v>
      </c>
      <c r="S398" s="8">
        <f t="shared" si="38"/>
        <v>-1.6789742780605345E-6</v>
      </c>
      <c r="T398" s="234">
        <f t="shared" si="41"/>
        <v>3.1900511283150152E-5</v>
      </c>
      <c r="U398" s="15">
        <v>25</v>
      </c>
      <c r="V398" s="8">
        <f t="shared" si="39"/>
        <v>-25</v>
      </c>
      <c r="W398" s="233">
        <f t="shared" si="40"/>
        <v>-7566.5</v>
      </c>
    </row>
    <row r="399" spans="1:2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 s="188">
        <f t="shared" si="37"/>
        <v>1.5950255641575076E-6</v>
      </c>
      <c r="S399" s="8">
        <f t="shared" si="38"/>
        <v>-1.5950255641575076E-6</v>
      </c>
      <c r="T399" s="234">
        <f t="shared" si="41"/>
        <v>3.0305485718992644E-5</v>
      </c>
      <c r="U399" s="15">
        <v>25</v>
      </c>
      <c r="V399" s="8">
        <f t="shared" si="39"/>
        <v>-25</v>
      </c>
      <c r="W399" s="233">
        <f t="shared" si="40"/>
        <v>-7591.5</v>
      </c>
    </row>
    <row r="400" spans="1:2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 s="188">
        <f t="shared" si="37"/>
        <v>1.5152742859496323E-6</v>
      </c>
      <c r="S400" s="8">
        <f t="shared" si="38"/>
        <v>-1.5152742859496323E-6</v>
      </c>
      <c r="T400" s="234">
        <f t="shared" si="41"/>
        <v>2.879021143304301E-5</v>
      </c>
      <c r="U400" s="15">
        <v>25</v>
      </c>
      <c r="V400" s="8">
        <f t="shared" si="39"/>
        <v>-25</v>
      </c>
      <c r="W400" s="233">
        <f t="shared" si="40"/>
        <v>-7616.5</v>
      </c>
    </row>
    <row r="401" spans="1:2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 s="188">
        <f t="shared" si="37"/>
        <v>1.4395105716521506E-6</v>
      </c>
      <c r="S401" s="8">
        <f t="shared" si="38"/>
        <v>-1.4395105716521506E-6</v>
      </c>
      <c r="T401" s="234">
        <f t="shared" si="41"/>
        <v>2.7350700861390859E-5</v>
      </c>
      <c r="U401" s="15">
        <v>25</v>
      </c>
      <c r="V401" s="8">
        <f t="shared" si="39"/>
        <v>-25</v>
      </c>
      <c r="W401" s="233">
        <f t="shared" si="40"/>
        <v>-7641.5</v>
      </c>
    </row>
    <row r="402" spans="1:2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 s="188">
        <f t="shared" si="37"/>
        <v>1.3675350430695431E-6</v>
      </c>
      <c r="S402" s="8">
        <f t="shared" si="38"/>
        <v>-1.3675350430695431E-6</v>
      </c>
      <c r="T402" s="234">
        <f t="shared" si="41"/>
        <v>2.5983165818321315E-5</v>
      </c>
      <c r="U402" s="15">
        <v>25</v>
      </c>
      <c r="V402" s="8">
        <f t="shared" si="39"/>
        <v>-25</v>
      </c>
      <c r="W402" s="233">
        <f t="shared" si="40"/>
        <v>-7666.5</v>
      </c>
    </row>
    <row r="403" spans="1:2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 s="188">
        <f t="shared" si="37"/>
        <v>1.2991582909160658E-6</v>
      </c>
      <c r="S403" s="8">
        <f t="shared" si="38"/>
        <v>-1.2991582909160658E-6</v>
      </c>
      <c r="T403" s="234">
        <f t="shared" si="41"/>
        <v>2.468400752740525E-5</v>
      </c>
      <c r="U403" s="15">
        <v>25</v>
      </c>
      <c r="V403" s="8">
        <f t="shared" si="39"/>
        <v>-25</v>
      </c>
      <c r="W403" s="233">
        <f t="shared" si="40"/>
        <v>-7691.5</v>
      </c>
    </row>
    <row r="404" spans="1:2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 s="188">
        <f t="shared" si="37"/>
        <v>1.2342003763702625E-6</v>
      </c>
      <c r="S404" s="8">
        <f t="shared" si="38"/>
        <v>-1.2342003763702625E-6</v>
      </c>
      <c r="T404" s="234">
        <f>SUM(T403,S404)</f>
        <v>2.3449807151034986E-5</v>
      </c>
      <c r="U404" s="15">
        <v>25</v>
      </c>
      <c r="V404" s="8">
        <f t="shared" si="39"/>
        <v>-25</v>
      </c>
      <c r="W404" s="233">
        <f t="shared" si="40"/>
        <v>-7716.5</v>
      </c>
    </row>
    <row r="405" spans="1:2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 s="188">
        <f t="shared" si="37"/>
        <v>1.1724903575517495E-6</v>
      </c>
      <c r="S405" s="8">
        <f t="shared" si="38"/>
        <v>-1.1724903575517495E-6</v>
      </c>
      <c r="T405" s="234">
        <f t="shared" ref="T405:T442" si="42">SUM(T404,S405)</f>
        <v>2.2277316793483238E-5</v>
      </c>
      <c r="U405" s="15">
        <v>25</v>
      </c>
      <c r="V405" s="8">
        <f t="shared" si="39"/>
        <v>-25</v>
      </c>
      <c r="W405" s="233">
        <f t="shared" si="40"/>
        <v>-7741.5</v>
      </c>
    </row>
    <row r="406" spans="1:2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 s="188">
        <f t="shared" si="37"/>
        <v>1.1138658396741619E-6</v>
      </c>
      <c r="S406" s="8">
        <f t="shared" si="38"/>
        <v>-1.1138658396741619E-6</v>
      </c>
      <c r="T406" s="234">
        <f t="shared" si="42"/>
        <v>2.1163450953809075E-5</v>
      </c>
      <c r="U406" s="15">
        <v>25</v>
      </c>
      <c r="V406" s="8">
        <f t="shared" si="39"/>
        <v>-25</v>
      </c>
      <c r="W406" s="233">
        <f t="shared" si="40"/>
        <v>-7766.5</v>
      </c>
    </row>
    <row r="407" spans="1:2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 s="188">
        <f t="shared" si="37"/>
        <v>1.0581725476904538E-6</v>
      </c>
      <c r="S407" s="8">
        <f t="shared" si="38"/>
        <v>-1.0581725476904538E-6</v>
      </c>
      <c r="T407" s="234">
        <f t="shared" si="42"/>
        <v>2.0105278406118622E-5</v>
      </c>
      <c r="U407" s="15">
        <v>25</v>
      </c>
      <c r="V407" s="8">
        <f t="shared" si="39"/>
        <v>-25</v>
      </c>
      <c r="W407" s="233">
        <f t="shared" si="40"/>
        <v>-7791.5</v>
      </c>
    </row>
    <row r="408" spans="1:2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 s="188">
        <f t="shared" si="37"/>
        <v>1.0052639203059311E-6</v>
      </c>
      <c r="S408" s="8">
        <f t="shared" si="38"/>
        <v>-1.0052639203059311E-6</v>
      </c>
      <c r="T408" s="234">
        <f t="shared" si="42"/>
        <v>1.9100014485812693E-5</v>
      </c>
      <c r="U408" s="15">
        <v>25</v>
      </c>
      <c r="V408" s="8">
        <f t="shared" si="39"/>
        <v>-25</v>
      </c>
      <c r="W408" s="233">
        <f t="shared" si="40"/>
        <v>-7816.5</v>
      </c>
    </row>
    <row r="409" spans="1:2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 s="188">
        <f t="shared" si="37"/>
        <v>9.5500072429063463E-7</v>
      </c>
      <c r="S409" s="8">
        <f t="shared" si="38"/>
        <v>-9.5500072429063463E-7</v>
      </c>
      <c r="T409" s="234">
        <f t="shared" si="42"/>
        <v>1.8145013761522056E-5</v>
      </c>
      <c r="U409" s="15">
        <v>25</v>
      </c>
      <c r="V409" s="8">
        <f t="shared" si="39"/>
        <v>-25</v>
      </c>
      <c r="W409" s="233">
        <f t="shared" si="40"/>
        <v>-7841.5</v>
      </c>
    </row>
    <row r="410" spans="1:2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 s="188">
        <f t="shared" si="37"/>
        <v>9.0725068807610287E-7</v>
      </c>
      <c r="S410" s="8">
        <f t="shared" si="38"/>
        <v>-9.0725068807610287E-7</v>
      </c>
      <c r="T410" s="234">
        <f t="shared" si="42"/>
        <v>1.7237763073445954E-5</v>
      </c>
      <c r="U410" s="15">
        <v>25</v>
      </c>
      <c r="V410" s="8">
        <f t="shared" si="39"/>
        <v>-25</v>
      </c>
      <c r="W410" s="233">
        <f t="shared" si="40"/>
        <v>-7866.5</v>
      </c>
    </row>
    <row r="411" spans="1:2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 s="188">
        <f t="shared" si="37"/>
        <v>8.6188815367229775E-7</v>
      </c>
      <c r="S411" s="8">
        <f t="shared" si="38"/>
        <v>-8.6188815367229775E-7</v>
      </c>
      <c r="T411" s="234">
        <f t="shared" si="42"/>
        <v>1.6375874919773656E-5</v>
      </c>
      <c r="U411" s="15">
        <v>25</v>
      </c>
      <c r="V411" s="8">
        <f t="shared" si="39"/>
        <v>-25</v>
      </c>
      <c r="W411" s="233">
        <f t="shared" si="40"/>
        <v>-7891.5</v>
      </c>
    </row>
    <row r="412" spans="1:2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 s="188">
        <f t="shared" si="37"/>
        <v>8.1879374598868287E-7</v>
      </c>
      <c r="S412" s="8">
        <f t="shared" si="38"/>
        <v>-8.1879374598868287E-7</v>
      </c>
      <c r="T412" s="234">
        <f t="shared" si="42"/>
        <v>1.5557081173784972E-5</v>
      </c>
      <c r="U412" s="15">
        <v>25</v>
      </c>
      <c r="V412" s="8">
        <f t="shared" si="39"/>
        <v>-25</v>
      </c>
      <c r="W412" s="233">
        <f t="shared" si="40"/>
        <v>-7916.5</v>
      </c>
    </row>
    <row r="413" spans="1:2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 s="188">
        <f t="shared" si="37"/>
        <v>7.7785405868924871E-7</v>
      </c>
      <c r="S413" s="8">
        <f t="shared" si="38"/>
        <v>-7.7785405868924871E-7</v>
      </c>
      <c r="T413" s="234">
        <f t="shared" si="42"/>
        <v>1.4779227115095724E-5</v>
      </c>
      <c r="U413" s="15">
        <v>25</v>
      </c>
      <c r="V413" s="8">
        <f t="shared" si="39"/>
        <v>-25</v>
      </c>
      <c r="W413" s="233">
        <f t="shared" si="40"/>
        <v>-7941.5</v>
      </c>
    </row>
    <row r="414" spans="1:2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 s="188">
        <f t="shared" si="37"/>
        <v>7.3896135575478623E-7</v>
      </c>
      <c r="S414" s="8">
        <f t="shared" si="38"/>
        <v>-7.3896135575478623E-7</v>
      </c>
      <c r="T414" s="234">
        <f t="shared" si="42"/>
        <v>1.4040265759340938E-5</v>
      </c>
      <c r="U414" s="15">
        <v>25</v>
      </c>
      <c r="V414" s="8">
        <f t="shared" si="39"/>
        <v>-25</v>
      </c>
      <c r="W414" s="233">
        <f t="shared" si="40"/>
        <v>-7966.5</v>
      </c>
    </row>
    <row r="415" spans="1:2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 s="188">
        <f t="shared" si="37"/>
        <v>7.0201328796704696E-7</v>
      </c>
      <c r="S415" s="8">
        <f t="shared" si="38"/>
        <v>-7.0201328796704696E-7</v>
      </c>
      <c r="T415" s="234">
        <f t="shared" si="42"/>
        <v>1.3338252471373892E-5</v>
      </c>
      <c r="U415" s="15">
        <v>25</v>
      </c>
      <c r="V415" s="8">
        <f t="shared" si="39"/>
        <v>-25</v>
      </c>
      <c r="W415" s="233">
        <f t="shared" si="40"/>
        <v>-7991.5</v>
      </c>
    </row>
    <row r="416" spans="1:2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 s="188">
        <f t="shared" si="37"/>
        <v>6.6691262356869461E-7</v>
      </c>
      <c r="S416" s="8">
        <f t="shared" si="38"/>
        <v>-6.6691262356869461E-7</v>
      </c>
      <c r="T416" s="234">
        <f t="shared" si="42"/>
        <v>1.2671339847805198E-5</v>
      </c>
      <c r="U416" s="15">
        <v>25</v>
      </c>
      <c r="V416" s="8">
        <f t="shared" si="39"/>
        <v>-25</v>
      </c>
      <c r="W416" s="233">
        <f t="shared" si="40"/>
        <v>-8016.5</v>
      </c>
    </row>
    <row r="417" spans="1:2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 s="188">
        <f t="shared" si="37"/>
        <v>6.3356699239025992E-7</v>
      </c>
      <c r="S417" s="8">
        <f t="shared" si="38"/>
        <v>-6.3356699239025992E-7</v>
      </c>
      <c r="T417" s="234">
        <f t="shared" si="42"/>
        <v>1.2037772855414938E-5</v>
      </c>
      <c r="U417" s="15">
        <v>25</v>
      </c>
      <c r="V417" s="8">
        <f t="shared" si="39"/>
        <v>-25</v>
      </c>
      <c r="W417" s="233">
        <f t="shared" si="40"/>
        <v>-8041.5</v>
      </c>
    </row>
    <row r="418" spans="1:2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 s="188">
        <f t="shared" si="37"/>
        <v>6.0188864277074693E-7</v>
      </c>
      <c r="S418" s="8">
        <f t="shared" si="38"/>
        <v>-6.0188864277074693E-7</v>
      </c>
      <c r="T418" s="234">
        <f t="shared" si="42"/>
        <v>1.1435884212644191E-5</v>
      </c>
      <c r="U418" s="15">
        <v>25</v>
      </c>
      <c r="V418" s="8">
        <f t="shared" si="39"/>
        <v>-25</v>
      </c>
      <c r="W418" s="233">
        <f t="shared" si="40"/>
        <v>-8066.5</v>
      </c>
    </row>
    <row r="419" spans="1:2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 s="188">
        <f t="shared" si="37"/>
        <v>5.7179421063220955E-7</v>
      </c>
      <c r="S419" s="8">
        <f t="shared" si="38"/>
        <v>-5.7179421063220955E-7</v>
      </c>
      <c r="T419" s="234">
        <f t="shared" si="42"/>
        <v>1.086409000201198E-5</v>
      </c>
      <c r="U419" s="15">
        <v>25</v>
      </c>
      <c r="V419" s="8">
        <f t="shared" si="39"/>
        <v>-25</v>
      </c>
      <c r="W419" s="233">
        <f t="shared" si="40"/>
        <v>-8091.5</v>
      </c>
    </row>
    <row r="420" spans="1:2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 s="188">
        <f t="shared" si="37"/>
        <v>5.4320450010059899E-7</v>
      </c>
      <c r="S420" s="8">
        <f t="shared" si="38"/>
        <v>-5.4320450010059899E-7</v>
      </c>
      <c r="T420" s="234">
        <f t="shared" si="42"/>
        <v>1.0320885501911381E-5</v>
      </c>
      <c r="U420" s="15">
        <v>25</v>
      </c>
      <c r="V420" s="8">
        <f t="shared" si="39"/>
        <v>-25</v>
      </c>
      <c r="W420" s="233">
        <f t="shared" si="40"/>
        <v>-8116.5</v>
      </c>
    </row>
    <row r="421" spans="1:2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 s="188">
        <f t="shared" si="37"/>
        <v>5.1604427509556904E-7</v>
      </c>
      <c r="S421" s="8">
        <f t="shared" si="38"/>
        <v>-5.1604427509556904E-7</v>
      </c>
      <c r="T421" s="234">
        <f t="shared" si="42"/>
        <v>9.8048412268158113E-6</v>
      </c>
      <c r="U421" s="15">
        <v>25</v>
      </c>
      <c r="V421" s="8">
        <f t="shared" si="39"/>
        <v>-25</v>
      </c>
      <c r="W421" s="233">
        <f t="shared" si="40"/>
        <v>-8141.5</v>
      </c>
    </row>
    <row r="422" spans="1:2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 s="188">
        <f t="shared" si="37"/>
        <v>4.9024206134079056E-7</v>
      </c>
      <c r="S422" s="8">
        <f t="shared" si="38"/>
        <v>-4.9024206134079056E-7</v>
      </c>
      <c r="T422" s="234">
        <f t="shared" si="42"/>
        <v>9.3145991654750211E-6</v>
      </c>
      <c r="U422" s="15">
        <v>25</v>
      </c>
      <c r="V422" s="8">
        <f t="shared" si="39"/>
        <v>-25</v>
      </c>
      <c r="W422" s="233">
        <f t="shared" si="40"/>
        <v>-8166.5</v>
      </c>
    </row>
    <row r="423" spans="1: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 s="188">
        <f t="shared" si="37"/>
        <v>4.6572995827375108E-7</v>
      </c>
      <c r="S423" s="8">
        <f t="shared" si="38"/>
        <v>-4.6572995827375108E-7</v>
      </c>
      <c r="T423" s="234">
        <f t="shared" si="42"/>
        <v>8.8488692072012702E-6</v>
      </c>
      <c r="U423" s="15">
        <v>25</v>
      </c>
      <c r="V423" s="8">
        <f t="shared" si="39"/>
        <v>-25</v>
      </c>
      <c r="W423" s="233">
        <f t="shared" si="40"/>
        <v>-8191.5</v>
      </c>
    </row>
    <row r="424" spans="1:2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 s="188">
        <f t="shared" si="37"/>
        <v>4.4244346036006353E-7</v>
      </c>
      <c r="S424" s="8">
        <f t="shared" si="38"/>
        <v>-4.4244346036006353E-7</v>
      </c>
      <c r="T424" s="234">
        <f t="shared" si="42"/>
        <v>8.4064257468412059E-6</v>
      </c>
      <c r="U424" s="15">
        <v>25</v>
      </c>
      <c r="V424" s="8">
        <f t="shared" si="39"/>
        <v>-25</v>
      </c>
      <c r="W424" s="233">
        <f t="shared" si="40"/>
        <v>-8216.5</v>
      </c>
    </row>
    <row r="425" spans="1:2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 s="188">
        <f t="shared" si="37"/>
        <v>4.2032128734206034E-7</v>
      </c>
      <c r="S425" s="8">
        <f t="shared" si="38"/>
        <v>-4.2032128734206034E-7</v>
      </c>
      <c r="T425" s="234">
        <f t="shared" si="42"/>
        <v>7.9861044594991453E-6</v>
      </c>
      <c r="U425" s="15">
        <v>25</v>
      </c>
      <c r="V425" s="8">
        <f t="shared" si="39"/>
        <v>-25</v>
      </c>
      <c r="W425" s="233">
        <f t="shared" si="40"/>
        <v>-8241.5</v>
      </c>
    </row>
    <row r="426" spans="1:2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 s="188">
        <f t="shared" si="37"/>
        <v>3.9930522297495729E-7</v>
      </c>
      <c r="S426" s="8">
        <f t="shared" si="38"/>
        <v>-3.9930522297495729E-7</v>
      </c>
      <c r="T426" s="234">
        <f t="shared" si="42"/>
        <v>7.5867992365241882E-6</v>
      </c>
      <c r="U426" s="15">
        <v>25</v>
      </c>
      <c r="V426" s="8">
        <f t="shared" si="39"/>
        <v>-25</v>
      </c>
      <c r="W426" s="233">
        <f t="shared" si="40"/>
        <v>-8266.5</v>
      </c>
    </row>
    <row r="427" spans="1:2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 s="188">
        <f t="shared" si="37"/>
        <v>3.7933996182620941E-7</v>
      </c>
      <c r="S427" s="8">
        <f t="shared" si="38"/>
        <v>-3.7933996182620941E-7</v>
      </c>
      <c r="T427" s="234">
        <f t="shared" si="42"/>
        <v>7.2074592746979783E-6</v>
      </c>
      <c r="U427" s="15">
        <v>25</v>
      </c>
      <c r="V427" s="8">
        <f t="shared" si="39"/>
        <v>-25</v>
      </c>
      <c r="W427" s="233">
        <f t="shared" si="40"/>
        <v>-8291.5</v>
      </c>
    </row>
    <row r="428" spans="1:2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 s="188">
        <f t="shared" si="37"/>
        <v>3.6037296373489896E-7</v>
      </c>
      <c r="S428" s="8">
        <f t="shared" si="38"/>
        <v>-3.6037296373489896E-7</v>
      </c>
      <c r="T428" s="234">
        <f t="shared" si="42"/>
        <v>6.8470863109630796E-6</v>
      </c>
      <c r="U428" s="15">
        <v>25</v>
      </c>
      <c r="V428" s="8">
        <f t="shared" si="39"/>
        <v>-25</v>
      </c>
      <c r="W428" s="233">
        <f t="shared" si="40"/>
        <v>-8316.5</v>
      </c>
    </row>
    <row r="429" spans="1:2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 s="188">
        <f t="shared" si="37"/>
        <v>3.4235431554815401E-7</v>
      </c>
      <c r="S429" s="8">
        <f t="shared" si="38"/>
        <v>-3.4235431554815401E-7</v>
      </c>
      <c r="T429" s="234">
        <f t="shared" si="42"/>
        <v>6.5047319954149257E-6</v>
      </c>
      <c r="U429" s="15">
        <v>25</v>
      </c>
      <c r="V429" s="8">
        <f t="shared" si="39"/>
        <v>-25</v>
      </c>
      <c r="W429" s="233">
        <f t="shared" si="40"/>
        <v>-8341.5</v>
      </c>
    </row>
    <row r="430" spans="1:2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 s="188">
        <f t="shared" si="37"/>
        <v>3.2523659977074632E-7</v>
      </c>
      <c r="S430" s="8">
        <f t="shared" si="38"/>
        <v>-3.2523659977074632E-7</v>
      </c>
      <c r="T430" s="234">
        <f t="shared" si="42"/>
        <v>6.1794953956441798E-6</v>
      </c>
      <c r="U430" s="15">
        <v>25</v>
      </c>
      <c r="V430" s="8">
        <f t="shared" si="39"/>
        <v>-25</v>
      </c>
      <c r="W430" s="233">
        <f t="shared" si="40"/>
        <v>-8366.5</v>
      </c>
    </row>
    <row r="431" spans="1:2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 s="188">
        <f t="shared" si="37"/>
        <v>3.0897476978220902E-7</v>
      </c>
      <c r="S431" s="8">
        <f t="shared" si="38"/>
        <v>-3.0897476978220902E-7</v>
      </c>
      <c r="T431" s="234">
        <f t="shared" si="42"/>
        <v>5.8705206258619709E-6</v>
      </c>
      <c r="U431" s="15">
        <v>25</v>
      </c>
      <c r="V431" s="8">
        <f t="shared" si="39"/>
        <v>-25</v>
      </c>
      <c r="W431" s="233">
        <f t="shared" si="40"/>
        <v>-8391.5</v>
      </c>
    </row>
    <row r="432" spans="1:2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 s="188">
        <f t="shared" si="37"/>
        <v>2.9352603129309856E-7</v>
      </c>
      <c r="S432" s="8">
        <f t="shared" si="38"/>
        <v>-2.9352603129309856E-7</v>
      </c>
      <c r="T432" s="234">
        <f t="shared" si="42"/>
        <v>5.5769945945688722E-6</v>
      </c>
      <c r="U432" s="15">
        <v>25</v>
      </c>
      <c r="V432" s="8">
        <f t="shared" si="39"/>
        <v>-25</v>
      </c>
      <c r="W432" s="233">
        <f t="shared" si="40"/>
        <v>-8416.5</v>
      </c>
    </row>
    <row r="433" spans="1:2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 s="188">
        <f t="shared" si="37"/>
        <v>2.7884972972844363E-7</v>
      </c>
      <c r="S433" s="8">
        <f t="shared" si="38"/>
        <v>-2.7884972972844363E-7</v>
      </c>
      <c r="T433" s="234">
        <f t="shared" si="42"/>
        <v>5.2981448648404289E-6</v>
      </c>
      <c r="U433" s="15">
        <v>25</v>
      </c>
      <c r="V433" s="8">
        <f t="shared" si="39"/>
        <v>-25</v>
      </c>
      <c r="W433" s="233">
        <f t="shared" si="40"/>
        <v>-8441.5</v>
      </c>
    </row>
    <row r="434" spans="1:2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 s="188">
        <f t="shared" si="37"/>
        <v>2.6490724324202147E-7</v>
      </c>
      <c r="S434" s="8">
        <f t="shared" si="38"/>
        <v>-2.6490724324202147E-7</v>
      </c>
      <c r="T434" s="234">
        <f t="shared" si="42"/>
        <v>5.0332376215984071E-6</v>
      </c>
      <c r="U434" s="15">
        <v>25</v>
      </c>
      <c r="V434" s="8">
        <f t="shared" si="39"/>
        <v>-25</v>
      </c>
      <c r="W434" s="233">
        <f t="shared" si="40"/>
        <v>-8466.5</v>
      </c>
    </row>
    <row r="435" spans="1:2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 s="188">
        <f t="shared" si="37"/>
        <v>2.5166188107992038E-7</v>
      </c>
      <c r="S435" s="8">
        <f t="shared" si="38"/>
        <v>-2.5166188107992038E-7</v>
      </c>
      <c r="T435" s="234">
        <f t="shared" si="42"/>
        <v>4.7815757405184864E-6</v>
      </c>
      <c r="U435" s="15">
        <v>25</v>
      </c>
      <c r="V435" s="8">
        <f t="shared" si="39"/>
        <v>-25</v>
      </c>
      <c r="W435" s="233">
        <f t="shared" si="40"/>
        <v>-8491.5</v>
      </c>
    </row>
    <row r="436" spans="1:2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 s="188">
        <f t="shared" si="37"/>
        <v>2.3907878702592433E-7</v>
      </c>
      <c r="S436" s="8">
        <f t="shared" si="38"/>
        <v>-2.3907878702592433E-7</v>
      </c>
      <c r="T436" s="234">
        <f t="shared" si="42"/>
        <v>4.5424969534925619E-6</v>
      </c>
      <c r="U436" s="15">
        <v>25</v>
      </c>
      <c r="V436" s="8">
        <f t="shared" si="39"/>
        <v>-25</v>
      </c>
      <c r="W436" s="233">
        <f t="shared" si="40"/>
        <v>-8516.5</v>
      </c>
    </row>
    <row r="437" spans="1:2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 s="188">
        <f t="shared" si="37"/>
        <v>2.2712484767462812E-7</v>
      </c>
      <c r="S437" s="8">
        <f t="shared" si="38"/>
        <v>-2.2712484767462812E-7</v>
      </c>
      <c r="T437" s="234">
        <f t="shared" si="42"/>
        <v>4.3153721058179341E-6</v>
      </c>
      <c r="U437" s="15">
        <v>25</v>
      </c>
      <c r="V437" s="8">
        <f t="shared" si="39"/>
        <v>-25</v>
      </c>
      <c r="W437" s="233">
        <f t="shared" si="40"/>
        <v>-8541.5</v>
      </c>
    </row>
    <row r="438" spans="1:2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 s="188">
        <f t="shared" si="37"/>
        <v>2.1576860529089671E-7</v>
      </c>
      <c r="S438" s="8">
        <f t="shared" si="38"/>
        <v>-2.1576860529089671E-7</v>
      </c>
      <c r="T438" s="234">
        <f t="shared" si="42"/>
        <v>4.0996035005270375E-6</v>
      </c>
      <c r="U438" s="15">
        <v>25</v>
      </c>
      <c r="V438" s="8">
        <f t="shared" si="39"/>
        <v>-25</v>
      </c>
      <c r="W438" s="233">
        <f t="shared" si="40"/>
        <v>-8566.5</v>
      </c>
    </row>
    <row r="439" spans="1:2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 s="188">
        <f t="shared" si="37"/>
        <v>2.0498017502635188E-7</v>
      </c>
      <c r="S439" s="8">
        <f t="shared" si="38"/>
        <v>-2.0498017502635188E-7</v>
      </c>
      <c r="T439" s="234">
        <f t="shared" si="42"/>
        <v>3.894623325500686E-6</v>
      </c>
      <c r="U439" s="15">
        <v>25</v>
      </c>
      <c r="V439" s="8">
        <f t="shared" si="39"/>
        <v>-25</v>
      </c>
      <c r="W439" s="233">
        <f t="shared" si="40"/>
        <v>-8591.5</v>
      </c>
    </row>
    <row r="440" spans="1:2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 s="188">
        <f t="shared" si="37"/>
        <v>1.9473116627503432E-7</v>
      </c>
      <c r="S440" s="8">
        <f t="shared" si="38"/>
        <v>-1.9473116627503432E-7</v>
      </c>
      <c r="T440" s="234">
        <f t="shared" si="42"/>
        <v>3.6998921592256517E-6</v>
      </c>
      <c r="U440" s="15">
        <v>25</v>
      </c>
      <c r="V440" s="8">
        <f t="shared" si="39"/>
        <v>-25</v>
      </c>
      <c r="W440" s="233">
        <f t="shared" si="40"/>
        <v>-8616.5</v>
      </c>
    </row>
    <row r="441" spans="1:2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 s="188">
        <f t="shared" si="37"/>
        <v>1.849946079612826E-7</v>
      </c>
      <c r="S441" s="8">
        <f t="shared" si="38"/>
        <v>-1.849946079612826E-7</v>
      </c>
      <c r="T441" s="234">
        <f t="shared" si="42"/>
        <v>3.5148975512643693E-6</v>
      </c>
      <c r="U441" s="15">
        <v>25</v>
      </c>
      <c r="V441" s="8">
        <f t="shared" si="39"/>
        <v>-25</v>
      </c>
      <c r="W441" s="233">
        <f t="shared" si="40"/>
        <v>-8641.5</v>
      </c>
    </row>
    <row r="442" spans="1:2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 s="188">
        <f t="shared" si="37"/>
        <v>1.7574487756321848E-7</v>
      </c>
      <c r="S442" s="8">
        <f t="shared" si="38"/>
        <v>-1.7574487756321848E-7</v>
      </c>
      <c r="T442" s="234">
        <f t="shared" si="42"/>
        <v>3.3391526737011509E-6</v>
      </c>
      <c r="U442" s="15">
        <v>25</v>
      </c>
      <c r="V442" s="8">
        <f t="shared" si="39"/>
        <v>-25</v>
      </c>
      <c r="W442" s="233">
        <f t="shared" si="40"/>
        <v>-8666.5</v>
      </c>
    </row>
    <row r="443" spans="1:2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 s="188">
        <f t="shared" si="37"/>
        <v>1.6695763368505756E-7</v>
      </c>
      <c r="S443" s="8">
        <f t="shared" si="38"/>
        <v>-1.6695763368505756E-7</v>
      </c>
      <c r="T443" s="234">
        <f>SUM(T442,S443)</f>
        <v>3.1721950400160933E-6</v>
      </c>
      <c r="U443" s="15">
        <v>25</v>
      </c>
      <c r="V443" s="8">
        <f t="shared" si="39"/>
        <v>-25</v>
      </c>
      <c r="W443" s="233">
        <f t="shared" si="40"/>
        <v>-8691.5</v>
      </c>
    </row>
    <row r="444" spans="1:2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 s="188">
        <f t="shared" si="37"/>
        <v>1.5860975200080467E-7</v>
      </c>
      <c r="S444" s="8">
        <f t="shared" si="38"/>
        <v>-1.5860975200080467E-7</v>
      </c>
      <c r="T444" s="234">
        <f t="shared" ref="T444:T456" si="43">SUM(T443,S444)</f>
        <v>3.0135852880152888E-6</v>
      </c>
      <c r="U444" s="15">
        <v>25</v>
      </c>
      <c r="V444" s="8">
        <f t="shared" si="39"/>
        <v>-25</v>
      </c>
      <c r="W444" s="233">
        <f t="shared" si="40"/>
        <v>-8716.5</v>
      </c>
    </row>
    <row r="445" spans="1:2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 s="188">
        <f t="shared" si="37"/>
        <v>1.5067926440076445E-7</v>
      </c>
      <c r="S445" s="8">
        <f t="shared" si="38"/>
        <v>-1.5067926440076445E-7</v>
      </c>
      <c r="T445" s="234">
        <f t="shared" si="43"/>
        <v>2.8629060236145242E-6</v>
      </c>
      <c r="U445" s="15">
        <v>25</v>
      </c>
      <c r="V445" s="8">
        <f t="shared" si="39"/>
        <v>-25</v>
      </c>
      <c r="W445" s="233">
        <f t="shared" si="40"/>
        <v>-8741.5</v>
      </c>
    </row>
    <row r="446" spans="1:2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 s="188">
        <f t="shared" si="37"/>
        <v>1.4314530118072621E-7</v>
      </c>
      <c r="S446" s="8">
        <f t="shared" si="38"/>
        <v>-1.4314530118072621E-7</v>
      </c>
      <c r="T446" s="234">
        <f t="shared" si="43"/>
        <v>2.719760722433798E-6</v>
      </c>
      <c r="U446" s="15">
        <v>25</v>
      </c>
      <c r="V446" s="8">
        <f t="shared" si="39"/>
        <v>-25</v>
      </c>
      <c r="W446" s="233">
        <f t="shared" si="40"/>
        <v>-8766.5</v>
      </c>
    </row>
    <row r="447" spans="1:2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 s="188">
        <f t="shared" si="37"/>
        <v>1.359880361216899E-7</v>
      </c>
      <c r="S447" s="8">
        <f t="shared" si="38"/>
        <v>-1.359880361216899E-7</v>
      </c>
      <c r="T447" s="234">
        <f t="shared" si="43"/>
        <v>2.5837726863121079E-6</v>
      </c>
      <c r="U447" s="15">
        <v>25</v>
      </c>
      <c r="V447" s="8">
        <f t="shared" si="39"/>
        <v>-25</v>
      </c>
      <c r="W447" s="233">
        <f t="shared" si="40"/>
        <v>-8791.5</v>
      </c>
    </row>
    <row r="448" spans="1:2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 s="188">
        <f t="shared" si="37"/>
        <v>1.291886343156054E-7</v>
      </c>
      <c r="S448" s="8">
        <f t="shared" si="38"/>
        <v>-1.291886343156054E-7</v>
      </c>
      <c r="T448" s="234">
        <f t="shared" si="43"/>
        <v>2.4545840519965025E-6</v>
      </c>
      <c r="U448" s="15">
        <v>25</v>
      </c>
      <c r="V448" s="8">
        <f t="shared" si="39"/>
        <v>-25</v>
      </c>
      <c r="W448" s="233">
        <f t="shared" si="40"/>
        <v>-8816.5</v>
      </c>
    </row>
    <row r="449" spans="1:2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 s="188">
        <f t="shared" si="37"/>
        <v>1.2272920259982514E-7</v>
      </c>
      <c r="S449" s="8">
        <f t="shared" si="38"/>
        <v>-1.2272920259982514E-7</v>
      </c>
      <c r="T449" s="234">
        <f t="shared" si="43"/>
        <v>2.3318548493966775E-6</v>
      </c>
      <c r="U449" s="15">
        <v>25</v>
      </c>
      <c r="V449" s="8">
        <f t="shared" si="39"/>
        <v>-25</v>
      </c>
      <c r="W449" s="233">
        <f t="shared" si="40"/>
        <v>-8841.5</v>
      </c>
    </row>
    <row r="450" spans="1:2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 s="188">
        <f t="shared" si="37"/>
        <v>1.1659274246983388E-7</v>
      </c>
      <c r="S450" s="8">
        <f t="shared" si="38"/>
        <v>-1.1659274246983388E-7</v>
      </c>
      <c r="T450" s="234">
        <f t="shared" si="43"/>
        <v>2.2152621069268435E-6</v>
      </c>
      <c r="U450" s="15">
        <v>25</v>
      </c>
      <c r="V450" s="8">
        <f t="shared" si="39"/>
        <v>-25</v>
      </c>
      <c r="W450" s="233">
        <f t="shared" si="40"/>
        <v>-8866.5</v>
      </c>
    </row>
    <row r="451" spans="1:2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 s="188">
        <f t="shared" ref="R451:R514" si="44">SUM(T450*0.05)</f>
        <v>1.1076310534634218E-7</v>
      </c>
      <c r="S451" s="8">
        <f t="shared" ref="S451:S514" si="45">IF(O451="won",R451*0.18,-R451)</f>
        <v>-1.1076310534634218E-7</v>
      </c>
      <c r="T451" s="234">
        <f t="shared" si="43"/>
        <v>2.1044990015805013E-6</v>
      </c>
      <c r="U451" s="15">
        <v>25</v>
      </c>
      <c r="V451" s="8">
        <f t="shared" ref="V451:V514" si="46">IF(O451="won",U451*0.18,-U451)</f>
        <v>-25</v>
      </c>
      <c r="W451" s="233">
        <f t="shared" ref="W451:W514" si="47">SUM(W450,V451)</f>
        <v>-8891.5</v>
      </c>
    </row>
    <row r="452" spans="1:2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 s="188">
        <f t="shared" si="44"/>
        <v>1.0522495007902507E-7</v>
      </c>
      <c r="S452" s="8">
        <f t="shared" si="45"/>
        <v>-1.0522495007902507E-7</v>
      </c>
      <c r="T452" s="234">
        <f t="shared" si="43"/>
        <v>1.9992740515014762E-6</v>
      </c>
      <c r="U452" s="15">
        <v>25</v>
      </c>
      <c r="V452" s="8">
        <f t="shared" si="46"/>
        <v>-25</v>
      </c>
      <c r="W452" s="233">
        <f t="shared" si="47"/>
        <v>-8916.5</v>
      </c>
    </row>
    <row r="453" spans="1:2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 s="188">
        <f t="shared" si="44"/>
        <v>9.9963702575073814E-8</v>
      </c>
      <c r="S453" s="8">
        <f t="shared" si="45"/>
        <v>-9.9963702575073814E-8</v>
      </c>
      <c r="T453" s="234">
        <f t="shared" si="43"/>
        <v>1.8993103489264023E-6</v>
      </c>
      <c r="U453" s="15">
        <v>25</v>
      </c>
      <c r="V453" s="8">
        <f t="shared" si="46"/>
        <v>-25</v>
      </c>
      <c r="W453" s="233">
        <f t="shared" si="47"/>
        <v>-8941.5</v>
      </c>
    </row>
    <row r="454" spans="1:2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 s="188">
        <f t="shared" si="44"/>
        <v>9.4965517446320122E-8</v>
      </c>
      <c r="S454" s="8">
        <f t="shared" si="45"/>
        <v>-9.4965517446320122E-8</v>
      </c>
      <c r="T454" s="234">
        <f t="shared" si="43"/>
        <v>1.8043448314800821E-6</v>
      </c>
      <c r="U454" s="15">
        <v>25</v>
      </c>
      <c r="V454" s="8">
        <f t="shared" si="46"/>
        <v>-25</v>
      </c>
      <c r="W454" s="233">
        <f t="shared" si="47"/>
        <v>-8966.5</v>
      </c>
    </row>
    <row r="455" spans="1:2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 s="188">
        <f t="shared" si="44"/>
        <v>9.0217241574004113E-8</v>
      </c>
      <c r="S455" s="8">
        <f t="shared" si="45"/>
        <v>-9.0217241574004113E-8</v>
      </c>
      <c r="T455" s="234">
        <f t="shared" si="43"/>
        <v>1.714127589906078E-6</v>
      </c>
      <c r="U455" s="15">
        <v>25</v>
      </c>
      <c r="V455" s="8">
        <f t="shared" si="46"/>
        <v>-25</v>
      </c>
      <c r="W455" s="233">
        <f t="shared" si="47"/>
        <v>-8991.5</v>
      </c>
    </row>
    <row r="456" spans="1:2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 s="188">
        <f t="shared" si="44"/>
        <v>8.5706379495303904E-8</v>
      </c>
      <c r="S456" s="8">
        <f t="shared" si="45"/>
        <v>-8.5706379495303904E-8</v>
      </c>
      <c r="T456" s="234">
        <f t="shared" si="43"/>
        <v>1.6284212104107741E-6</v>
      </c>
      <c r="U456" s="15">
        <v>25</v>
      </c>
      <c r="V456" s="8">
        <f t="shared" si="46"/>
        <v>-25</v>
      </c>
      <c r="W456" s="233">
        <f t="shared" si="47"/>
        <v>-9016.5</v>
      </c>
    </row>
    <row r="457" spans="1:2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 s="188">
        <f t="shared" si="44"/>
        <v>8.1421060520538715E-8</v>
      </c>
      <c r="S457" s="8">
        <f t="shared" si="45"/>
        <v>-8.1421060520538715E-8</v>
      </c>
      <c r="T457" s="234">
        <f>SUM(T456,S457)</f>
        <v>1.5470001498902354E-6</v>
      </c>
      <c r="U457" s="15">
        <v>25</v>
      </c>
      <c r="V457" s="8">
        <f t="shared" si="46"/>
        <v>-25</v>
      </c>
      <c r="W457" s="233">
        <f t="shared" si="47"/>
        <v>-9041.5</v>
      </c>
    </row>
    <row r="458" spans="1:2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 s="188">
        <f t="shared" si="44"/>
        <v>7.7350007494511771E-8</v>
      </c>
      <c r="S458" s="8">
        <f t="shared" si="45"/>
        <v>-7.7350007494511771E-8</v>
      </c>
      <c r="T458" s="234">
        <f>SUM(T457,S458)</f>
        <v>1.4696501423957237E-6</v>
      </c>
      <c r="U458" s="15">
        <v>25</v>
      </c>
      <c r="V458" s="8">
        <f t="shared" si="46"/>
        <v>-25</v>
      </c>
      <c r="W458" s="233">
        <f t="shared" si="47"/>
        <v>-9066.5</v>
      </c>
    </row>
    <row r="459" spans="1:2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 s="188">
        <f t="shared" si="44"/>
        <v>7.348250711978619E-8</v>
      </c>
      <c r="S459" s="8">
        <f t="shared" si="45"/>
        <v>-7.348250711978619E-8</v>
      </c>
      <c r="T459" s="234">
        <f t="shared" ref="T459:T486" si="48">SUM(T458,S459)</f>
        <v>1.3961676352759376E-6</v>
      </c>
      <c r="U459" s="15">
        <v>25</v>
      </c>
      <c r="V459" s="8">
        <f t="shared" si="46"/>
        <v>-25</v>
      </c>
      <c r="W459" s="233">
        <f t="shared" si="47"/>
        <v>-9091.5</v>
      </c>
    </row>
    <row r="460" spans="1:2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 s="188">
        <f t="shared" si="44"/>
        <v>6.9808381763796877E-8</v>
      </c>
      <c r="S460" s="8">
        <f t="shared" si="45"/>
        <v>-6.9808381763796877E-8</v>
      </c>
      <c r="T460" s="234">
        <f t="shared" si="48"/>
        <v>1.3263592535121407E-6</v>
      </c>
      <c r="U460" s="15">
        <v>25</v>
      </c>
      <c r="V460" s="8">
        <f t="shared" si="46"/>
        <v>-25</v>
      </c>
      <c r="W460" s="233">
        <f t="shared" si="47"/>
        <v>-9116.5</v>
      </c>
    </row>
    <row r="461" spans="1:2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 s="188">
        <f t="shared" si="44"/>
        <v>6.6317962675607038E-8</v>
      </c>
      <c r="S461" s="8">
        <f t="shared" si="45"/>
        <v>-6.6317962675607038E-8</v>
      </c>
      <c r="T461" s="234">
        <f t="shared" si="48"/>
        <v>1.2600412908365336E-6</v>
      </c>
      <c r="U461" s="15">
        <v>25</v>
      </c>
      <c r="V461" s="8">
        <f t="shared" si="46"/>
        <v>-25</v>
      </c>
      <c r="W461" s="233">
        <f t="shared" si="47"/>
        <v>-9141.5</v>
      </c>
    </row>
    <row r="462" spans="1:2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 s="188">
        <f t="shared" si="44"/>
        <v>6.3002064541826679E-8</v>
      </c>
      <c r="S462" s="8">
        <f t="shared" si="45"/>
        <v>-6.3002064541826679E-8</v>
      </c>
      <c r="T462" s="234">
        <f t="shared" si="48"/>
        <v>1.197039226294707E-6</v>
      </c>
      <c r="U462" s="15">
        <v>25</v>
      </c>
      <c r="V462" s="8">
        <f t="shared" si="46"/>
        <v>-25</v>
      </c>
      <c r="W462" s="233">
        <f t="shared" si="47"/>
        <v>-9166.5</v>
      </c>
    </row>
    <row r="463" spans="1:2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 s="188">
        <f t="shared" si="44"/>
        <v>5.9851961314735357E-8</v>
      </c>
      <c r="S463" s="8">
        <f t="shared" si="45"/>
        <v>-5.9851961314735357E-8</v>
      </c>
      <c r="T463" s="234">
        <f t="shared" si="48"/>
        <v>1.1371872649799717E-6</v>
      </c>
      <c r="U463" s="15">
        <v>25</v>
      </c>
      <c r="V463" s="8">
        <f t="shared" si="46"/>
        <v>-25</v>
      </c>
      <c r="W463" s="233">
        <f t="shared" si="47"/>
        <v>-9191.5</v>
      </c>
    </row>
    <row r="464" spans="1:2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 s="188">
        <f t="shared" si="44"/>
        <v>5.6859363248998583E-8</v>
      </c>
      <c r="S464" s="8">
        <f t="shared" si="45"/>
        <v>-5.6859363248998583E-8</v>
      </c>
      <c r="T464" s="234">
        <f t="shared" si="48"/>
        <v>1.0803279017309731E-6</v>
      </c>
      <c r="U464" s="15">
        <v>25</v>
      </c>
      <c r="V464" s="8">
        <f t="shared" si="46"/>
        <v>-25</v>
      </c>
      <c r="W464" s="233">
        <f t="shared" si="47"/>
        <v>-9216.5</v>
      </c>
    </row>
    <row r="465" spans="1:2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 s="188">
        <f t="shared" si="44"/>
        <v>5.4016395086548658E-8</v>
      </c>
      <c r="S465" s="8">
        <f t="shared" si="45"/>
        <v>-5.4016395086548658E-8</v>
      </c>
      <c r="T465" s="234">
        <f t="shared" si="48"/>
        <v>1.0263115066444244E-6</v>
      </c>
      <c r="U465" s="15">
        <v>25</v>
      </c>
      <c r="V465" s="8">
        <f t="shared" si="46"/>
        <v>-25</v>
      </c>
      <c r="W465" s="233">
        <f t="shared" si="47"/>
        <v>-9241.5</v>
      </c>
    </row>
    <row r="466" spans="1:2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 s="188">
        <f t="shared" si="44"/>
        <v>5.1315575332221226E-8</v>
      </c>
      <c r="S466" s="8">
        <f t="shared" si="45"/>
        <v>-5.1315575332221226E-8</v>
      </c>
      <c r="T466" s="234">
        <f t="shared" si="48"/>
        <v>9.7499593131220315E-7</v>
      </c>
      <c r="U466" s="15">
        <v>25</v>
      </c>
      <c r="V466" s="8">
        <f t="shared" si="46"/>
        <v>-25</v>
      </c>
      <c r="W466" s="233">
        <f t="shared" si="47"/>
        <v>-9266.5</v>
      </c>
    </row>
    <row r="467" spans="1:2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 s="188">
        <f t="shared" si="44"/>
        <v>4.8749796565610159E-8</v>
      </c>
      <c r="S467" s="8">
        <f t="shared" si="45"/>
        <v>-4.8749796565610159E-8</v>
      </c>
      <c r="T467" s="234">
        <f t="shared" si="48"/>
        <v>9.2624613474659303E-7</v>
      </c>
      <c r="U467" s="15">
        <v>25</v>
      </c>
      <c r="V467" s="8">
        <f t="shared" si="46"/>
        <v>-25</v>
      </c>
      <c r="W467" s="233">
        <f t="shared" si="47"/>
        <v>-9291.5</v>
      </c>
    </row>
    <row r="468" spans="1:2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 s="188">
        <f t="shared" si="44"/>
        <v>4.6312306737329657E-8</v>
      </c>
      <c r="S468" s="8">
        <f t="shared" si="45"/>
        <v>-4.6312306737329657E-8</v>
      </c>
      <c r="T468" s="234">
        <f t="shared" si="48"/>
        <v>8.799338280092634E-7</v>
      </c>
      <c r="U468" s="15">
        <v>25</v>
      </c>
      <c r="V468" s="8">
        <f t="shared" si="46"/>
        <v>-25</v>
      </c>
      <c r="W468" s="233">
        <f t="shared" si="47"/>
        <v>-9316.5</v>
      </c>
    </row>
    <row r="469" spans="1:2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 s="188">
        <f t="shared" si="44"/>
        <v>4.3996691400463173E-8</v>
      </c>
      <c r="S469" s="8">
        <f t="shared" si="45"/>
        <v>-4.3996691400463173E-8</v>
      </c>
      <c r="T469" s="234">
        <f t="shared" si="48"/>
        <v>8.3593713660880021E-7</v>
      </c>
      <c r="U469" s="15">
        <v>25</v>
      </c>
      <c r="V469" s="8">
        <f t="shared" si="46"/>
        <v>-25</v>
      </c>
      <c r="W469" s="233">
        <f t="shared" si="47"/>
        <v>-9341.5</v>
      </c>
    </row>
    <row r="470" spans="1:2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 s="188">
        <f t="shared" si="44"/>
        <v>4.1796856830440016E-8</v>
      </c>
      <c r="S470" s="8">
        <f t="shared" si="45"/>
        <v>-4.1796856830440016E-8</v>
      </c>
      <c r="T470" s="234">
        <f t="shared" si="48"/>
        <v>7.9414027977836022E-7</v>
      </c>
      <c r="U470" s="15">
        <v>25</v>
      </c>
      <c r="V470" s="8">
        <f t="shared" si="46"/>
        <v>-25</v>
      </c>
      <c r="W470" s="233">
        <f t="shared" si="47"/>
        <v>-9366.5</v>
      </c>
    </row>
    <row r="471" spans="1:2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 s="188">
        <f t="shared" si="44"/>
        <v>3.9707013988918014E-8</v>
      </c>
      <c r="S471" s="8">
        <f t="shared" si="45"/>
        <v>-3.9707013988918014E-8</v>
      </c>
      <c r="T471" s="234">
        <f t="shared" si="48"/>
        <v>7.5443326578944222E-7</v>
      </c>
      <c r="U471" s="15">
        <v>25</v>
      </c>
      <c r="V471" s="8">
        <f t="shared" si="46"/>
        <v>-25</v>
      </c>
      <c r="W471" s="233">
        <f t="shared" si="47"/>
        <v>-9391.5</v>
      </c>
    </row>
    <row r="472" spans="1:2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 s="188">
        <f t="shared" si="44"/>
        <v>3.7721663289472114E-8</v>
      </c>
      <c r="S472" s="8">
        <f t="shared" si="45"/>
        <v>-3.7721663289472114E-8</v>
      </c>
      <c r="T472" s="234">
        <f t="shared" si="48"/>
        <v>7.167116024999701E-7</v>
      </c>
      <c r="U472" s="15">
        <v>25</v>
      </c>
      <c r="V472" s="8">
        <f t="shared" si="46"/>
        <v>-25</v>
      </c>
      <c r="W472" s="233">
        <f t="shared" si="47"/>
        <v>-9416.5</v>
      </c>
    </row>
    <row r="473" spans="1:2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 s="188">
        <f t="shared" si="44"/>
        <v>3.5835580124998507E-8</v>
      </c>
      <c r="S473" s="8">
        <f t="shared" si="45"/>
        <v>-3.5835580124998507E-8</v>
      </c>
      <c r="T473" s="234">
        <f t="shared" si="48"/>
        <v>6.808760223749716E-7</v>
      </c>
      <c r="U473" s="15">
        <v>25</v>
      </c>
      <c r="V473" s="8">
        <f t="shared" si="46"/>
        <v>-25</v>
      </c>
      <c r="W473" s="233">
        <f t="shared" si="47"/>
        <v>-9441.5</v>
      </c>
    </row>
    <row r="474" spans="1:2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 s="188">
        <f t="shared" si="44"/>
        <v>3.4043801118748583E-8</v>
      </c>
      <c r="S474" s="8">
        <f t="shared" si="45"/>
        <v>-3.4043801118748583E-8</v>
      </c>
      <c r="T474" s="234">
        <f t="shared" si="48"/>
        <v>6.4683222125622301E-7</v>
      </c>
      <c r="U474" s="15">
        <v>25</v>
      </c>
      <c r="V474" s="8">
        <f t="shared" si="46"/>
        <v>-25</v>
      </c>
      <c r="W474" s="233">
        <f t="shared" si="47"/>
        <v>-9466.5</v>
      </c>
    </row>
    <row r="475" spans="1:2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 s="188">
        <f t="shared" si="44"/>
        <v>3.234161106281115E-8</v>
      </c>
      <c r="S475" s="8">
        <f t="shared" si="45"/>
        <v>-3.234161106281115E-8</v>
      </c>
      <c r="T475" s="234">
        <f t="shared" si="48"/>
        <v>6.1449061019341186E-7</v>
      </c>
      <c r="U475" s="15">
        <v>25</v>
      </c>
      <c r="V475" s="8">
        <f t="shared" si="46"/>
        <v>-25</v>
      </c>
      <c r="W475" s="233">
        <f t="shared" si="47"/>
        <v>-9491.5</v>
      </c>
    </row>
    <row r="476" spans="1:2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 s="188">
        <f t="shared" si="44"/>
        <v>3.0724530509670591E-8</v>
      </c>
      <c r="S476" s="8">
        <f t="shared" si="45"/>
        <v>-3.0724530509670591E-8</v>
      </c>
      <c r="T476" s="234">
        <f t="shared" si="48"/>
        <v>5.8376607968374131E-7</v>
      </c>
      <c r="U476" s="15">
        <v>25</v>
      </c>
      <c r="V476" s="8">
        <f t="shared" si="46"/>
        <v>-25</v>
      </c>
      <c r="W476" s="233">
        <f t="shared" si="47"/>
        <v>-9516.5</v>
      </c>
    </row>
    <row r="477" spans="1:2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 s="188">
        <f t="shared" si="44"/>
        <v>2.9188303984187067E-8</v>
      </c>
      <c r="S477" s="8">
        <f t="shared" si="45"/>
        <v>-2.9188303984187067E-8</v>
      </c>
      <c r="T477" s="234">
        <f t="shared" si="48"/>
        <v>5.5457777569955425E-7</v>
      </c>
      <c r="U477" s="15">
        <v>25</v>
      </c>
      <c r="V477" s="8">
        <f t="shared" si="46"/>
        <v>-25</v>
      </c>
      <c r="W477" s="233">
        <f t="shared" si="47"/>
        <v>-9541.5</v>
      </c>
    </row>
    <row r="478" spans="1:2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 s="188">
        <f t="shared" si="44"/>
        <v>2.7728888784977712E-8</v>
      </c>
      <c r="S478" s="8">
        <f t="shared" si="45"/>
        <v>-2.7728888784977712E-8</v>
      </c>
      <c r="T478" s="234">
        <f t="shared" si="48"/>
        <v>5.2684888691457648E-7</v>
      </c>
      <c r="U478" s="15">
        <v>25</v>
      </c>
      <c r="V478" s="8">
        <f t="shared" si="46"/>
        <v>-25</v>
      </c>
      <c r="W478" s="233">
        <f t="shared" si="47"/>
        <v>-9566.5</v>
      </c>
    </row>
    <row r="479" spans="1:2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 s="188">
        <f t="shared" si="44"/>
        <v>2.6342444345728827E-8</v>
      </c>
      <c r="S479" s="8">
        <f t="shared" si="45"/>
        <v>-2.6342444345728827E-8</v>
      </c>
      <c r="T479" s="234">
        <f t="shared" si="48"/>
        <v>5.0050644256884762E-7</v>
      </c>
      <c r="U479" s="15">
        <v>25</v>
      </c>
      <c r="V479" s="8">
        <f t="shared" si="46"/>
        <v>-25</v>
      </c>
      <c r="W479" s="233">
        <f t="shared" si="47"/>
        <v>-9591.5</v>
      </c>
    </row>
    <row r="480" spans="1:2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 s="188">
        <f t="shared" si="44"/>
        <v>2.5025322128442383E-8</v>
      </c>
      <c r="S480" s="8">
        <f t="shared" si="45"/>
        <v>-2.5025322128442383E-8</v>
      </c>
      <c r="T480" s="234">
        <f t="shared" si="48"/>
        <v>4.7548112044040526E-7</v>
      </c>
      <c r="U480" s="15">
        <v>25</v>
      </c>
      <c r="V480" s="8">
        <f t="shared" si="46"/>
        <v>-25</v>
      </c>
      <c r="W480" s="233">
        <f t="shared" si="47"/>
        <v>-9616.5</v>
      </c>
    </row>
    <row r="481" spans="1:2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 s="188">
        <f t="shared" si="44"/>
        <v>2.3774056022020266E-8</v>
      </c>
      <c r="S481" s="8">
        <f t="shared" si="45"/>
        <v>-2.3774056022020266E-8</v>
      </c>
      <c r="T481" s="234">
        <f t="shared" si="48"/>
        <v>4.5170706441838499E-7</v>
      </c>
      <c r="U481" s="15">
        <v>25</v>
      </c>
      <c r="V481" s="8">
        <f t="shared" si="46"/>
        <v>-25</v>
      </c>
      <c r="W481" s="233">
        <f t="shared" si="47"/>
        <v>-9641.5</v>
      </c>
    </row>
    <row r="482" spans="1:2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 s="188">
        <f t="shared" si="44"/>
        <v>2.2585353220919252E-8</v>
      </c>
      <c r="S482" s="8">
        <f t="shared" si="45"/>
        <v>-2.2585353220919252E-8</v>
      </c>
      <c r="T482" s="234">
        <f t="shared" si="48"/>
        <v>4.2912171119746575E-7</v>
      </c>
      <c r="U482" s="15">
        <v>25</v>
      </c>
      <c r="V482" s="8">
        <f t="shared" si="46"/>
        <v>-25</v>
      </c>
      <c r="W482" s="233">
        <f t="shared" si="47"/>
        <v>-9666.5</v>
      </c>
    </row>
    <row r="483" spans="1:2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 s="188">
        <f t="shared" si="44"/>
        <v>2.1456085559873288E-8</v>
      </c>
      <c r="S483" s="8">
        <f t="shared" si="45"/>
        <v>-2.1456085559873288E-8</v>
      </c>
      <c r="T483" s="234">
        <f t="shared" si="48"/>
        <v>4.0766562563759247E-7</v>
      </c>
      <c r="U483" s="15">
        <v>25</v>
      </c>
      <c r="V483" s="8">
        <f t="shared" si="46"/>
        <v>-25</v>
      </c>
      <c r="W483" s="233">
        <f t="shared" si="47"/>
        <v>-9691.5</v>
      </c>
    </row>
    <row r="484" spans="1:2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 s="188">
        <f t="shared" si="44"/>
        <v>2.0383281281879626E-8</v>
      </c>
      <c r="S484" s="8">
        <f t="shared" si="45"/>
        <v>-2.0383281281879626E-8</v>
      </c>
      <c r="T484" s="234">
        <f t="shared" si="48"/>
        <v>3.8728234435571285E-7</v>
      </c>
      <c r="U484" s="15">
        <v>25</v>
      </c>
      <c r="V484" s="8">
        <f t="shared" si="46"/>
        <v>-25</v>
      </c>
      <c r="W484" s="233">
        <f t="shared" si="47"/>
        <v>-9716.5</v>
      </c>
    </row>
    <row r="485" spans="1:2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 s="188">
        <f t="shared" si="44"/>
        <v>1.9364117217785645E-8</v>
      </c>
      <c r="S485" s="8">
        <f t="shared" si="45"/>
        <v>-1.9364117217785645E-8</v>
      </c>
      <c r="T485" s="234">
        <f t="shared" si="48"/>
        <v>3.6791822713792719E-7</v>
      </c>
      <c r="U485" s="15">
        <v>25</v>
      </c>
      <c r="V485" s="8">
        <f t="shared" si="46"/>
        <v>-25</v>
      </c>
      <c r="W485" s="233">
        <f t="shared" si="47"/>
        <v>-9741.5</v>
      </c>
    </row>
    <row r="486" spans="1:2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 s="188">
        <f t="shared" si="44"/>
        <v>1.8395911356896362E-8</v>
      </c>
      <c r="S486" s="8">
        <f t="shared" si="45"/>
        <v>-1.8395911356896362E-8</v>
      </c>
      <c r="T486" s="234">
        <f t="shared" si="48"/>
        <v>3.4952231578103082E-7</v>
      </c>
      <c r="U486" s="15">
        <v>25</v>
      </c>
      <c r="V486" s="8">
        <f t="shared" si="46"/>
        <v>-25</v>
      </c>
      <c r="W486" s="233">
        <f t="shared" si="47"/>
        <v>-9766.5</v>
      </c>
      <c r="AB486"/>
    </row>
    <row r="487" spans="1:2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 s="188">
        <f t="shared" si="44"/>
        <v>1.7476115789051541E-8</v>
      </c>
      <c r="S487" s="8">
        <f t="shared" si="45"/>
        <v>-1.7476115789051541E-8</v>
      </c>
      <c r="T487" s="234">
        <f>SUM(T486,S487)</f>
        <v>3.3204619999197928E-7</v>
      </c>
      <c r="U487" s="15">
        <v>25</v>
      </c>
      <c r="V487" s="8">
        <f t="shared" si="46"/>
        <v>-25</v>
      </c>
      <c r="W487" s="233">
        <f t="shared" si="47"/>
        <v>-9791.5</v>
      </c>
    </row>
    <row r="488" spans="1:2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 s="188">
        <f t="shared" si="44"/>
        <v>1.6602309999598965E-8</v>
      </c>
      <c r="S488" s="8">
        <f t="shared" si="45"/>
        <v>-1.6602309999598965E-8</v>
      </c>
      <c r="T488" s="234">
        <f t="shared" ref="T488:T489" si="49">SUM(T487,S488)</f>
        <v>3.154438899923803E-7</v>
      </c>
      <c r="U488" s="15">
        <v>25</v>
      </c>
      <c r="V488" s="8">
        <f t="shared" si="46"/>
        <v>-25</v>
      </c>
      <c r="W488" s="233">
        <f t="shared" si="47"/>
        <v>-9816.5</v>
      </c>
    </row>
    <row r="489" spans="1:2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 s="188">
        <f t="shared" si="44"/>
        <v>1.5772194499619015E-8</v>
      </c>
      <c r="S489" s="8">
        <f t="shared" si="45"/>
        <v>-1.5772194499619015E-8</v>
      </c>
      <c r="T489" s="234">
        <f t="shared" si="49"/>
        <v>2.996716954927613E-7</v>
      </c>
      <c r="U489" s="15">
        <v>25</v>
      </c>
      <c r="V489" s="8">
        <f t="shared" si="46"/>
        <v>-25</v>
      </c>
      <c r="W489" s="233">
        <f t="shared" si="47"/>
        <v>-9841.5</v>
      </c>
    </row>
    <row r="490" spans="1:2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 s="188">
        <f t="shared" si="44"/>
        <v>1.4983584774638067E-8</v>
      </c>
      <c r="S490" s="8">
        <f t="shared" si="45"/>
        <v>-1.4983584774638067E-8</v>
      </c>
      <c r="T490" s="234">
        <f>SUM(T489,S490)</f>
        <v>2.8468811071812323E-7</v>
      </c>
      <c r="U490" s="15">
        <v>25</v>
      </c>
      <c r="V490" s="8">
        <f t="shared" si="46"/>
        <v>-25</v>
      </c>
      <c r="W490" s="233">
        <f t="shared" si="47"/>
        <v>-9866.5</v>
      </c>
    </row>
    <row r="491" spans="1:2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 s="188">
        <f t="shared" si="44"/>
        <v>1.4234405535906162E-8</v>
      </c>
      <c r="S491" s="8">
        <f t="shared" si="45"/>
        <v>-1.4234405535906162E-8</v>
      </c>
      <c r="T491" s="234">
        <f t="shared" ref="T491:T502" si="50">SUM(T490,S491)</f>
        <v>2.7045370518221705E-7</v>
      </c>
      <c r="U491" s="15">
        <v>25</v>
      </c>
      <c r="V491" s="8">
        <f t="shared" si="46"/>
        <v>-25</v>
      </c>
      <c r="W491" s="233">
        <f t="shared" si="47"/>
        <v>-9891.5</v>
      </c>
    </row>
    <row r="492" spans="1:2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 s="188">
        <f t="shared" si="44"/>
        <v>1.3522685259110853E-8</v>
      </c>
      <c r="S492" s="8">
        <f t="shared" si="45"/>
        <v>-1.3522685259110853E-8</v>
      </c>
      <c r="T492" s="234">
        <f t="shared" si="50"/>
        <v>2.569310199231062E-7</v>
      </c>
      <c r="U492" s="15">
        <v>25</v>
      </c>
      <c r="V492" s="8">
        <f t="shared" si="46"/>
        <v>-25</v>
      </c>
      <c r="W492" s="233">
        <f t="shared" si="47"/>
        <v>-9916.5</v>
      </c>
    </row>
    <row r="493" spans="1:2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 s="188">
        <f t="shared" si="44"/>
        <v>1.2846550996155311E-8</v>
      </c>
      <c r="S493" s="8">
        <f t="shared" si="45"/>
        <v>-1.2846550996155311E-8</v>
      </c>
      <c r="T493" s="234">
        <f t="shared" si="50"/>
        <v>2.4408446892695088E-7</v>
      </c>
      <c r="U493" s="15">
        <v>25</v>
      </c>
      <c r="V493" s="8">
        <f t="shared" si="46"/>
        <v>-25</v>
      </c>
      <c r="W493" s="233">
        <f t="shared" si="47"/>
        <v>-9941.5</v>
      </c>
    </row>
    <row r="494" spans="1:2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 s="188">
        <f t="shared" si="44"/>
        <v>1.2204223446347545E-8</v>
      </c>
      <c r="S494" s="8">
        <f t="shared" si="45"/>
        <v>-1.2204223446347545E-8</v>
      </c>
      <c r="T494" s="234">
        <f t="shared" si="50"/>
        <v>2.3188024548060334E-7</v>
      </c>
      <c r="U494" s="15">
        <v>25</v>
      </c>
      <c r="V494" s="8">
        <f t="shared" si="46"/>
        <v>-25</v>
      </c>
      <c r="W494" s="233">
        <f t="shared" si="47"/>
        <v>-9966.5</v>
      </c>
    </row>
    <row r="495" spans="1:2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 s="188">
        <f t="shared" si="44"/>
        <v>1.1594012274030168E-8</v>
      </c>
      <c r="S495" s="8">
        <f t="shared" si="45"/>
        <v>-1.1594012274030168E-8</v>
      </c>
      <c r="T495" s="234">
        <f t="shared" si="50"/>
        <v>2.2028623320657317E-7</v>
      </c>
      <c r="U495" s="15">
        <v>25</v>
      </c>
      <c r="V495" s="8">
        <f t="shared" si="46"/>
        <v>-25</v>
      </c>
      <c r="W495" s="233">
        <f t="shared" si="47"/>
        <v>-9991.5</v>
      </c>
    </row>
    <row r="496" spans="1:2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 s="188">
        <f t="shared" si="44"/>
        <v>1.101431166032866E-8</v>
      </c>
      <c r="S496" s="8">
        <f t="shared" si="45"/>
        <v>-1.101431166032866E-8</v>
      </c>
      <c r="T496" s="234">
        <f t="shared" si="50"/>
        <v>2.0927192154624451E-7</v>
      </c>
      <c r="U496" s="15">
        <v>25</v>
      </c>
      <c r="V496" s="8">
        <f t="shared" si="46"/>
        <v>-25</v>
      </c>
      <c r="W496" s="233">
        <f t="shared" si="47"/>
        <v>-10016.5</v>
      </c>
    </row>
    <row r="497" spans="1:2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 s="188">
        <f t="shared" si="44"/>
        <v>1.0463596077312226E-8</v>
      </c>
      <c r="S497" s="8">
        <f t="shared" si="45"/>
        <v>-1.0463596077312226E-8</v>
      </c>
      <c r="T497" s="234">
        <f t="shared" si="50"/>
        <v>1.9880832546893229E-7</v>
      </c>
      <c r="U497" s="15">
        <v>25</v>
      </c>
      <c r="V497" s="8">
        <f t="shared" si="46"/>
        <v>-25</v>
      </c>
      <c r="W497" s="233">
        <f t="shared" si="47"/>
        <v>-10041.5</v>
      </c>
    </row>
    <row r="498" spans="1:2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 s="188">
        <f t="shared" si="44"/>
        <v>9.940416273446616E-9</v>
      </c>
      <c r="S498" s="8">
        <f t="shared" si="45"/>
        <v>-9.940416273446616E-9</v>
      </c>
      <c r="T498" s="234">
        <f t="shared" si="50"/>
        <v>1.8886790919548568E-7</v>
      </c>
      <c r="U498" s="15">
        <v>25</v>
      </c>
      <c r="V498" s="8">
        <f t="shared" si="46"/>
        <v>-25</v>
      </c>
      <c r="W498" s="233">
        <f t="shared" si="47"/>
        <v>-10066.5</v>
      </c>
    </row>
    <row r="499" spans="1:2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 s="188">
        <f t="shared" si="44"/>
        <v>9.4433954597742855E-9</v>
      </c>
      <c r="S499" s="8">
        <f t="shared" si="45"/>
        <v>-9.4433954597742855E-9</v>
      </c>
      <c r="T499" s="234">
        <f t="shared" si="50"/>
        <v>1.7942451373571139E-7</v>
      </c>
      <c r="U499" s="15">
        <v>25</v>
      </c>
      <c r="V499" s="8">
        <f t="shared" si="46"/>
        <v>-25</v>
      </c>
      <c r="W499" s="233">
        <f t="shared" si="47"/>
        <v>-10091.5</v>
      </c>
    </row>
    <row r="500" spans="1:2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 s="188">
        <f t="shared" si="44"/>
        <v>8.9712256867855702E-9</v>
      </c>
      <c r="S500" s="8">
        <f t="shared" si="45"/>
        <v>-8.9712256867855702E-9</v>
      </c>
      <c r="T500" s="234">
        <f t="shared" si="50"/>
        <v>1.7045328804892582E-7</v>
      </c>
      <c r="U500" s="15">
        <v>25</v>
      </c>
      <c r="V500" s="8">
        <f t="shared" si="46"/>
        <v>-25</v>
      </c>
      <c r="W500" s="233">
        <f t="shared" si="47"/>
        <v>-10116.5</v>
      </c>
    </row>
    <row r="501" spans="1:2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 s="188">
        <f t="shared" si="44"/>
        <v>8.5226644024462909E-9</v>
      </c>
      <c r="S501" s="8">
        <f t="shared" si="45"/>
        <v>-8.5226644024462909E-9</v>
      </c>
      <c r="T501" s="234">
        <f t="shared" si="50"/>
        <v>1.6193062364647953E-7</v>
      </c>
      <c r="U501" s="15">
        <v>25</v>
      </c>
      <c r="V501" s="8">
        <f t="shared" si="46"/>
        <v>-25</v>
      </c>
      <c r="W501" s="233">
        <f t="shared" si="47"/>
        <v>-10141.5</v>
      </c>
    </row>
    <row r="502" spans="1:2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 s="188">
        <f t="shared" si="44"/>
        <v>8.0965311823239766E-9</v>
      </c>
      <c r="S502" s="8">
        <f t="shared" si="45"/>
        <v>-8.0965311823239766E-9</v>
      </c>
      <c r="T502" s="234">
        <f t="shared" si="50"/>
        <v>1.5383409246415554E-7</v>
      </c>
      <c r="U502" s="15">
        <v>25</v>
      </c>
      <c r="V502" s="8">
        <f t="shared" si="46"/>
        <v>-25</v>
      </c>
      <c r="W502" s="233">
        <f t="shared" si="47"/>
        <v>-10166.5</v>
      </c>
    </row>
    <row r="503" spans="1:2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 s="188">
        <f t="shared" si="44"/>
        <v>7.6917046232077768E-9</v>
      </c>
      <c r="S503" s="8">
        <f t="shared" si="45"/>
        <v>-7.6917046232077768E-9</v>
      </c>
      <c r="T503" s="234">
        <f>SUM(T502,S503)</f>
        <v>1.4614238784094777E-7</v>
      </c>
      <c r="U503" s="15">
        <v>25</v>
      </c>
      <c r="V503" s="8">
        <f t="shared" si="46"/>
        <v>-25</v>
      </c>
      <c r="W503" s="233">
        <f t="shared" si="47"/>
        <v>-10191.5</v>
      </c>
    </row>
    <row r="504" spans="1:2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 s="188">
        <f t="shared" si="44"/>
        <v>7.3071193920473885E-9</v>
      </c>
      <c r="S504" s="8">
        <f t="shared" si="45"/>
        <v>-7.3071193920473885E-9</v>
      </c>
      <c r="T504" s="234">
        <f>SUM(T503,S504)</f>
        <v>1.3883526844890039E-7</v>
      </c>
      <c r="U504" s="15">
        <v>25</v>
      </c>
      <c r="V504" s="8">
        <f t="shared" si="46"/>
        <v>-25</v>
      </c>
      <c r="W504" s="233">
        <f t="shared" si="47"/>
        <v>-10216.5</v>
      </c>
    </row>
    <row r="505" spans="1:2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 s="188">
        <f t="shared" si="44"/>
        <v>6.9417634224450199E-9</v>
      </c>
      <c r="S505" s="8">
        <f t="shared" si="45"/>
        <v>-6.9417634224450199E-9</v>
      </c>
      <c r="T505" s="234">
        <f t="shared" ref="T505:T513" si="51">SUM(T504,S505)</f>
        <v>1.3189350502645536E-7</v>
      </c>
      <c r="U505" s="15">
        <v>25</v>
      </c>
      <c r="V505" s="8">
        <f t="shared" si="46"/>
        <v>-25</v>
      </c>
      <c r="W505" s="233">
        <f t="shared" si="47"/>
        <v>-10241.5</v>
      </c>
    </row>
    <row r="506" spans="1:2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 s="188">
        <f t="shared" si="44"/>
        <v>6.594675251322768E-9</v>
      </c>
      <c r="S506" s="8">
        <f t="shared" si="45"/>
        <v>-6.594675251322768E-9</v>
      </c>
      <c r="T506" s="234">
        <f t="shared" si="51"/>
        <v>1.2529882977513259E-7</v>
      </c>
      <c r="U506" s="15">
        <v>25</v>
      </c>
      <c r="V506" s="8">
        <f t="shared" si="46"/>
        <v>-25</v>
      </c>
      <c r="W506" s="233">
        <f t="shared" si="47"/>
        <v>-10266.5</v>
      </c>
    </row>
    <row r="507" spans="1:2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 s="188">
        <f t="shared" si="44"/>
        <v>6.26494148875663E-9</v>
      </c>
      <c r="S507" s="8">
        <f t="shared" si="45"/>
        <v>-6.26494148875663E-9</v>
      </c>
      <c r="T507" s="234">
        <f t="shared" si="51"/>
        <v>1.1903388828637596E-7</v>
      </c>
      <c r="U507" s="15">
        <v>25</v>
      </c>
      <c r="V507" s="8">
        <f t="shared" si="46"/>
        <v>-25</v>
      </c>
      <c r="W507" s="233">
        <f t="shared" si="47"/>
        <v>-10291.5</v>
      </c>
    </row>
    <row r="508" spans="1:2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 s="188">
        <f t="shared" si="44"/>
        <v>5.9516944143187986E-9</v>
      </c>
      <c r="S508" s="8">
        <f t="shared" si="45"/>
        <v>-5.9516944143187986E-9</v>
      </c>
      <c r="T508" s="234">
        <f t="shared" si="51"/>
        <v>1.1308219387205716E-7</v>
      </c>
      <c r="U508" s="15">
        <v>25</v>
      </c>
      <c r="V508" s="8">
        <f t="shared" si="46"/>
        <v>-25</v>
      </c>
      <c r="W508" s="233">
        <f t="shared" si="47"/>
        <v>-10316.5</v>
      </c>
    </row>
    <row r="509" spans="1:2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 s="188">
        <f t="shared" si="44"/>
        <v>5.6541096936028589E-9</v>
      </c>
      <c r="S509" s="8">
        <f t="shared" si="45"/>
        <v>-5.6541096936028589E-9</v>
      </c>
      <c r="T509" s="234">
        <f t="shared" si="51"/>
        <v>1.0742808417845431E-7</v>
      </c>
      <c r="U509" s="15">
        <v>25</v>
      </c>
      <c r="V509" s="8">
        <f t="shared" si="46"/>
        <v>-25</v>
      </c>
      <c r="W509" s="233">
        <f t="shared" si="47"/>
        <v>-10341.5</v>
      </c>
    </row>
    <row r="510" spans="1:2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 s="188">
        <f t="shared" si="44"/>
        <v>5.3714042089227158E-9</v>
      </c>
      <c r="S510" s="8">
        <f t="shared" si="45"/>
        <v>-5.3714042089227158E-9</v>
      </c>
      <c r="T510" s="234">
        <f t="shared" si="51"/>
        <v>1.0205667996953159E-7</v>
      </c>
      <c r="U510" s="15">
        <v>25</v>
      </c>
      <c r="V510" s="8">
        <f t="shared" si="46"/>
        <v>-25</v>
      </c>
      <c r="W510" s="233">
        <f t="shared" si="47"/>
        <v>-10366.5</v>
      </c>
    </row>
    <row r="511" spans="1:2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 s="188">
        <f t="shared" si="44"/>
        <v>5.1028339984765801E-9</v>
      </c>
      <c r="S511" s="8">
        <f t="shared" si="45"/>
        <v>-5.1028339984765801E-9</v>
      </c>
      <c r="T511" s="234">
        <f t="shared" si="51"/>
        <v>9.6953845971055011E-8</v>
      </c>
      <c r="U511" s="15">
        <v>25</v>
      </c>
      <c r="V511" s="8">
        <f t="shared" si="46"/>
        <v>-25</v>
      </c>
      <c r="W511" s="233">
        <f t="shared" si="47"/>
        <v>-10391.5</v>
      </c>
    </row>
    <row r="512" spans="1:2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 s="188">
        <f t="shared" si="44"/>
        <v>4.8476922985527509E-9</v>
      </c>
      <c r="S512" s="8">
        <f t="shared" si="45"/>
        <v>-4.8476922985527509E-9</v>
      </c>
      <c r="T512" s="234">
        <f t="shared" si="51"/>
        <v>9.2106153672502262E-8</v>
      </c>
      <c r="U512" s="15">
        <v>25</v>
      </c>
      <c r="V512" s="8">
        <f t="shared" si="46"/>
        <v>-25</v>
      </c>
      <c r="W512" s="233">
        <f t="shared" si="47"/>
        <v>-10416.5</v>
      </c>
    </row>
    <row r="513" spans="1:2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 s="188">
        <f t="shared" si="44"/>
        <v>4.6053076836251138E-9</v>
      </c>
      <c r="S513" s="8">
        <f t="shared" si="45"/>
        <v>-4.6053076836251138E-9</v>
      </c>
      <c r="T513" s="234">
        <f t="shared" si="51"/>
        <v>8.7500845988877142E-8</v>
      </c>
      <c r="U513" s="15">
        <v>25</v>
      </c>
      <c r="V513" s="8">
        <f t="shared" si="46"/>
        <v>-25</v>
      </c>
      <c r="W513" s="233">
        <f t="shared" si="47"/>
        <v>-10441.5</v>
      </c>
    </row>
    <row r="514" spans="1:2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 s="188">
        <f t="shared" si="44"/>
        <v>4.3750422994438572E-9</v>
      </c>
      <c r="S514" s="8">
        <f t="shared" si="45"/>
        <v>-4.3750422994438572E-9</v>
      </c>
      <c r="T514" s="234">
        <f>SUM(T513,S514)</f>
        <v>8.3125803689433282E-8</v>
      </c>
      <c r="U514" s="15">
        <v>25</v>
      </c>
      <c r="V514" s="8">
        <f t="shared" si="46"/>
        <v>-25</v>
      </c>
      <c r="W514" s="233">
        <f t="shared" si="47"/>
        <v>-10466.5</v>
      </c>
    </row>
    <row r="515" spans="1:2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 s="188">
        <f t="shared" ref="R515:R529" si="52">SUM(T514*0.05)</f>
        <v>4.1562901844716643E-9</v>
      </c>
      <c r="S515" s="8">
        <f t="shared" ref="S515:S578" si="53">IF(O515="won",R515*0.18,-R515)</f>
        <v>-4.1562901844716643E-9</v>
      </c>
      <c r="T515" s="234">
        <f>SUM(T514,S515)</f>
        <v>7.8969513504961622E-8</v>
      </c>
      <c r="U515" s="15">
        <v>25</v>
      </c>
      <c r="V515" s="8">
        <f t="shared" ref="V515:V578" si="54">IF(O515="won",U515*0.18,-U515)</f>
        <v>-25</v>
      </c>
      <c r="W515" s="233">
        <f t="shared" ref="W515:W578" si="55">SUM(W514,V515)</f>
        <v>-10491.5</v>
      </c>
    </row>
    <row r="516" spans="1:2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 s="188">
        <f t="shared" si="52"/>
        <v>3.9484756752480813E-9</v>
      </c>
      <c r="S516" s="8">
        <f t="shared" si="53"/>
        <v>-3.9484756752480813E-9</v>
      </c>
      <c r="T516" s="234">
        <f t="shared" ref="T516:T517" si="56">SUM(T515,S516)</f>
        <v>7.5021037829713541E-8</v>
      </c>
      <c r="U516" s="15">
        <v>25</v>
      </c>
      <c r="V516" s="8">
        <f t="shared" si="54"/>
        <v>-25</v>
      </c>
      <c r="W516" s="233">
        <f t="shared" si="55"/>
        <v>-10516.5</v>
      </c>
    </row>
    <row r="517" spans="1:2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 s="188">
        <f t="shared" si="52"/>
        <v>3.7510518914856769E-9</v>
      </c>
      <c r="S517" s="8">
        <f t="shared" si="53"/>
        <v>-3.7510518914856769E-9</v>
      </c>
      <c r="T517" s="234">
        <f t="shared" si="56"/>
        <v>7.1269985938227864E-8</v>
      </c>
      <c r="U517" s="15">
        <v>25</v>
      </c>
      <c r="V517" s="8">
        <f t="shared" si="54"/>
        <v>-25</v>
      </c>
      <c r="W517" s="233">
        <f t="shared" si="55"/>
        <v>-10541.5</v>
      </c>
    </row>
    <row r="518" spans="1:2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 s="188">
        <f t="shared" si="52"/>
        <v>3.5634992969113933E-9</v>
      </c>
      <c r="S518" s="8">
        <f t="shared" si="53"/>
        <v>-3.5634992969113933E-9</v>
      </c>
      <c r="T518" s="234">
        <f>SUM(T517,S518)</f>
        <v>6.7706486641316464E-8</v>
      </c>
      <c r="U518" s="15">
        <v>25</v>
      </c>
      <c r="V518" s="8">
        <f t="shared" si="54"/>
        <v>-25</v>
      </c>
      <c r="W518" s="233">
        <f t="shared" si="55"/>
        <v>-10566.5</v>
      </c>
    </row>
    <row r="519" spans="1:2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 s="188">
        <f t="shared" si="52"/>
        <v>3.3853243320658233E-9</v>
      </c>
      <c r="S519" s="8">
        <f t="shared" si="53"/>
        <v>-3.3853243320658233E-9</v>
      </c>
      <c r="T519" s="234">
        <f t="shared" ref="T519:T530" si="57">SUM(T518,S519)</f>
        <v>6.4321162309250646E-8</v>
      </c>
      <c r="U519" s="15">
        <v>25</v>
      </c>
      <c r="V519" s="8">
        <f t="shared" si="54"/>
        <v>-25</v>
      </c>
      <c r="W519" s="233">
        <f t="shared" si="55"/>
        <v>-10591.5</v>
      </c>
    </row>
    <row r="520" spans="1:2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 s="188">
        <f t="shared" si="52"/>
        <v>3.2160581154625327E-9</v>
      </c>
      <c r="S520" s="8">
        <f t="shared" si="53"/>
        <v>-3.2160581154625327E-9</v>
      </c>
      <c r="T520" s="234">
        <f t="shared" si="57"/>
        <v>6.1105104193788112E-8</v>
      </c>
      <c r="U520" s="15">
        <v>25</v>
      </c>
      <c r="V520" s="8">
        <f t="shared" si="54"/>
        <v>-25</v>
      </c>
      <c r="W520" s="233">
        <f t="shared" si="55"/>
        <v>-10616.5</v>
      </c>
    </row>
    <row r="521" spans="1:2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 s="188">
        <f t="shared" si="52"/>
        <v>3.0552552096894057E-9</v>
      </c>
      <c r="S521" s="8">
        <f t="shared" si="53"/>
        <v>-3.0552552096894057E-9</v>
      </c>
      <c r="T521" s="234">
        <f t="shared" si="57"/>
        <v>5.8049848984098705E-8</v>
      </c>
      <c r="U521" s="15">
        <v>25</v>
      </c>
      <c r="V521" s="8">
        <f t="shared" si="54"/>
        <v>-25</v>
      </c>
      <c r="W521" s="233">
        <f t="shared" si="55"/>
        <v>-10641.5</v>
      </c>
    </row>
    <row r="522" spans="1:2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 s="188">
        <f t="shared" si="52"/>
        <v>2.9024924492049354E-9</v>
      </c>
      <c r="S522" s="8">
        <f t="shared" si="53"/>
        <v>-2.9024924492049354E-9</v>
      </c>
      <c r="T522" s="234">
        <f t="shared" si="57"/>
        <v>5.5147356534893767E-8</v>
      </c>
      <c r="U522" s="15">
        <v>25</v>
      </c>
      <c r="V522" s="8">
        <f t="shared" si="54"/>
        <v>-25</v>
      </c>
      <c r="W522" s="233">
        <f t="shared" si="55"/>
        <v>-10666.5</v>
      </c>
    </row>
    <row r="523" spans="1: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 s="188">
        <f t="shared" si="52"/>
        <v>2.7573678267446886E-9</v>
      </c>
      <c r="S523" s="8">
        <f t="shared" si="53"/>
        <v>-2.7573678267446886E-9</v>
      </c>
      <c r="T523" s="234">
        <f t="shared" si="57"/>
        <v>5.2389988708149082E-8</v>
      </c>
      <c r="U523" s="15">
        <v>25</v>
      </c>
      <c r="V523" s="8">
        <f t="shared" si="54"/>
        <v>-25</v>
      </c>
      <c r="W523" s="233">
        <f t="shared" si="55"/>
        <v>-10691.5</v>
      </c>
    </row>
    <row r="524" spans="1:2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 s="188">
        <f t="shared" si="52"/>
        <v>2.6194994354074542E-9</v>
      </c>
      <c r="S524" s="8">
        <f t="shared" si="53"/>
        <v>-2.6194994354074542E-9</v>
      </c>
      <c r="T524" s="234">
        <f t="shared" si="57"/>
        <v>4.9770489272741627E-8</v>
      </c>
      <c r="U524" s="15">
        <v>25</v>
      </c>
      <c r="V524" s="8">
        <f t="shared" si="54"/>
        <v>-25</v>
      </c>
      <c r="W524" s="233">
        <f t="shared" si="55"/>
        <v>-10716.5</v>
      </c>
    </row>
    <row r="525" spans="1:2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 s="188">
        <f t="shared" si="52"/>
        <v>2.4885244636370813E-9</v>
      </c>
      <c r="S525" s="8">
        <f t="shared" si="53"/>
        <v>-2.4885244636370813E-9</v>
      </c>
      <c r="T525" s="234">
        <f t="shared" si="57"/>
        <v>4.7281964809104547E-8</v>
      </c>
      <c r="U525" s="15">
        <v>25</v>
      </c>
      <c r="V525" s="8">
        <f t="shared" si="54"/>
        <v>-25</v>
      </c>
      <c r="W525" s="233">
        <f t="shared" si="55"/>
        <v>-10741.5</v>
      </c>
    </row>
    <row r="526" spans="1:2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 s="188">
        <f t="shared" si="52"/>
        <v>2.3640982404552274E-9</v>
      </c>
      <c r="S526" s="8">
        <f t="shared" si="53"/>
        <v>-2.3640982404552274E-9</v>
      </c>
      <c r="T526" s="234">
        <f t="shared" si="57"/>
        <v>4.4917866568649318E-8</v>
      </c>
      <c r="U526" s="15">
        <v>25</v>
      </c>
      <c r="V526" s="8">
        <f t="shared" si="54"/>
        <v>-25</v>
      </c>
      <c r="W526" s="233">
        <f t="shared" si="55"/>
        <v>-10766.5</v>
      </c>
    </row>
    <row r="527" spans="1:2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 s="188">
        <f t="shared" si="52"/>
        <v>2.245893328432466E-9</v>
      </c>
      <c r="S527" s="8">
        <f t="shared" si="53"/>
        <v>-2.245893328432466E-9</v>
      </c>
      <c r="T527" s="234">
        <f t="shared" si="57"/>
        <v>4.2671973240216851E-8</v>
      </c>
      <c r="U527" s="15">
        <v>25</v>
      </c>
      <c r="V527" s="8">
        <f t="shared" si="54"/>
        <v>-25</v>
      </c>
      <c r="W527" s="233">
        <f t="shared" si="55"/>
        <v>-10791.5</v>
      </c>
    </row>
    <row r="528" spans="1:2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 s="188">
        <f t="shared" si="52"/>
        <v>2.1335986620108425E-9</v>
      </c>
      <c r="S528" s="8">
        <f t="shared" si="53"/>
        <v>-2.1335986620108425E-9</v>
      </c>
      <c r="T528" s="234">
        <f t="shared" si="57"/>
        <v>4.0538374578206007E-8</v>
      </c>
      <c r="U528" s="15">
        <v>25</v>
      </c>
      <c r="V528" s="8">
        <f t="shared" si="54"/>
        <v>-25</v>
      </c>
      <c r="W528" s="233">
        <f t="shared" si="55"/>
        <v>-10816.5</v>
      </c>
    </row>
    <row r="529" spans="1:2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 s="256">
        <f t="shared" si="52"/>
        <v>2.0269187289103006E-9</v>
      </c>
      <c r="S529" s="8">
        <f t="shared" si="53"/>
        <v>-2.0269187289103006E-9</v>
      </c>
      <c r="T529" s="234">
        <f t="shared" si="57"/>
        <v>3.8511455849295706E-8</v>
      </c>
      <c r="U529" s="15">
        <v>25</v>
      </c>
      <c r="V529" s="8">
        <f t="shared" si="54"/>
        <v>-25</v>
      </c>
      <c r="W529" s="233">
        <f t="shared" si="55"/>
        <v>-10841.5</v>
      </c>
    </row>
    <row r="530" spans="1:2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 s="188">
        <v>1000</v>
      </c>
      <c r="S530" s="8">
        <f t="shared" si="53"/>
        <v>-1000</v>
      </c>
      <c r="T530" s="234">
        <f t="shared" si="57"/>
        <v>-999.99999996148858</v>
      </c>
      <c r="U530" s="15">
        <v>25</v>
      </c>
      <c r="V530" s="8">
        <f t="shared" si="54"/>
        <v>-25</v>
      </c>
      <c r="W530" s="233">
        <f t="shared" si="55"/>
        <v>-10866.5</v>
      </c>
    </row>
    <row r="531" spans="1:2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 s="188">
        <v>1000</v>
      </c>
      <c r="S531" s="8">
        <f t="shared" si="53"/>
        <v>-1000</v>
      </c>
      <c r="T531" s="234">
        <f>SUM(T530,S531)</f>
        <v>-1999.9999999614886</v>
      </c>
      <c r="U531" s="15">
        <v>25</v>
      </c>
      <c r="V531" s="8">
        <f t="shared" si="54"/>
        <v>-25</v>
      </c>
      <c r="W531" s="233">
        <f t="shared" si="55"/>
        <v>-10891.5</v>
      </c>
    </row>
    <row r="532" spans="1:2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 s="188">
        <v>1000</v>
      </c>
      <c r="S532" s="8">
        <f t="shared" si="53"/>
        <v>-1000</v>
      </c>
      <c r="T532" s="234">
        <f t="shared" ref="T532:T536" si="58">SUM(T531,S532)</f>
        <v>-2999.9999999614884</v>
      </c>
      <c r="U532" s="15">
        <v>25</v>
      </c>
      <c r="V532" s="8">
        <f t="shared" si="54"/>
        <v>-25</v>
      </c>
      <c r="W532" s="233">
        <f t="shared" si="55"/>
        <v>-10916.5</v>
      </c>
    </row>
    <row r="533" spans="1:2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 s="188">
        <v>1000</v>
      </c>
      <c r="S533" s="8">
        <f t="shared" si="53"/>
        <v>-1000</v>
      </c>
      <c r="T533" s="234">
        <f t="shared" si="58"/>
        <v>-3999.9999999614884</v>
      </c>
      <c r="U533" s="15">
        <v>25</v>
      </c>
      <c r="V533" s="8">
        <f t="shared" si="54"/>
        <v>-25</v>
      </c>
      <c r="W533" s="233">
        <f t="shared" si="55"/>
        <v>-10941.5</v>
      </c>
    </row>
    <row r="534" spans="1:2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 s="188">
        <v>1000</v>
      </c>
      <c r="S534" s="8">
        <f t="shared" si="53"/>
        <v>-1000</v>
      </c>
      <c r="T534" s="234">
        <f t="shared" si="58"/>
        <v>-4999.9999999614884</v>
      </c>
      <c r="U534" s="15">
        <v>25</v>
      </c>
      <c r="V534" s="8">
        <f t="shared" si="54"/>
        <v>-25</v>
      </c>
      <c r="W534" s="233">
        <f t="shared" si="55"/>
        <v>-10966.5</v>
      </c>
    </row>
    <row r="535" spans="1:2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 s="188">
        <v>1000</v>
      </c>
      <c r="S535" s="8">
        <f t="shared" si="53"/>
        <v>-1000</v>
      </c>
      <c r="T535" s="234">
        <f t="shared" si="58"/>
        <v>-5999.9999999614884</v>
      </c>
      <c r="U535" s="15">
        <v>25</v>
      </c>
      <c r="V535" s="8">
        <f t="shared" si="54"/>
        <v>-25</v>
      </c>
      <c r="W535" s="233">
        <f t="shared" si="55"/>
        <v>-10991.5</v>
      </c>
    </row>
    <row r="536" spans="1:2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 s="188">
        <v>1000</v>
      </c>
      <c r="S536" s="8">
        <f t="shared" si="53"/>
        <v>-1000</v>
      </c>
      <c r="T536" s="234">
        <f t="shared" si="58"/>
        <v>-6999.9999999614884</v>
      </c>
      <c r="U536" s="15">
        <v>25</v>
      </c>
      <c r="V536" s="8">
        <f t="shared" si="54"/>
        <v>-25</v>
      </c>
      <c r="W536" s="233">
        <f t="shared" si="55"/>
        <v>-11016.5</v>
      </c>
    </row>
    <row r="537" spans="1:2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 s="188">
        <v>1000</v>
      </c>
      <c r="S537" s="8">
        <f t="shared" si="53"/>
        <v>-1000</v>
      </c>
      <c r="T537" s="234">
        <f>SUM(T536,S537)</f>
        <v>-7999.9999999614884</v>
      </c>
      <c r="U537" s="15">
        <v>25</v>
      </c>
      <c r="V537" s="8">
        <f t="shared" si="54"/>
        <v>-25</v>
      </c>
      <c r="W537" s="233">
        <f t="shared" si="55"/>
        <v>-11041.5</v>
      </c>
    </row>
    <row r="538" spans="1:2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 s="188">
        <v>1000</v>
      </c>
      <c r="S538" s="8">
        <f t="shared" si="53"/>
        <v>-1000</v>
      </c>
      <c r="T538" s="234">
        <f t="shared" ref="T538" si="59">SUM(T537,S538)</f>
        <v>-8999.9999999614884</v>
      </c>
      <c r="U538" s="15">
        <v>25</v>
      </c>
      <c r="V538" s="8">
        <f t="shared" si="54"/>
        <v>-25</v>
      </c>
      <c r="W538" s="233">
        <f t="shared" si="55"/>
        <v>-11066.5</v>
      </c>
    </row>
    <row r="539" spans="1:2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 s="188">
        <v>1000</v>
      </c>
      <c r="S539" s="8">
        <f t="shared" si="53"/>
        <v>-1000</v>
      </c>
      <c r="T539" s="234">
        <f>SUM(T538,S539)</f>
        <v>-9999.9999999614884</v>
      </c>
      <c r="U539" s="15">
        <v>25</v>
      </c>
      <c r="V539" s="8">
        <f t="shared" si="54"/>
        <v>-25</v>
      </c>
      <c r="W539" s="233">
        <f t="shared" si="55"/>
        <v>-11091.5</v>
      </c>
    </row>
    <row r="540" spans="1:2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 s="188">
        <v>1000</v>
      </c>
      <c r="S540" s="8">
        <f t="shared" si="53"/>
        <v>-1000</v>
      </c>
      <c r="T540" s="234">
        <f t="shared" ref="T540:T544" si="60">SUM(T539,S540)</f>
        <v>-10999.999999961488</v>
      </c>
      <c r="U540" s="15">
        <v>25</v>
      </c>
      <c r="V540" s="8">
        <f t="shared" si="54"/>
        <v>-25</v>
      </c>
      <c r="W540" s="233">
        <f t="shared" si="55"/>
        <v>-11116.5</v>
      </c>
    </row>
    <row r="541" spans="1:2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 s="188">
        <v>1000</v>
      </c>
      <c r="S541" s="8">
        <f t="shared" si="53"/>
        <v>-1000</v>
      </c>
      <c r="T541" s="234">
        <f t="shared" si="60"/>
        <v>-11999.999999961488</v>
      </c>
      <c r="U541" s="15">
        <v>25</v>
      </c>
      <c r="V541" s="8">
        <f t="shared" si="54"/>
        <v>-25</v>
      </c>
      <c r="W541" s="233">
        <f t="shared" si="55"/>
        <v>-11141.5</v>
      </c>
    </row>
    <row r="542" spans="1:2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 s="188">
        <v>1000</v>
      </c>
      <c r="S542" s="8">
        <f t="shared" si="53"/>
        <v>-1000</v>
      </c>
      <c r="T542" s="234">
        <f t="shared" si="60"/>
        <v>-12999.999999961488</v>
      </c>
      <c r="U542" s="15">
        <v>25</v>
      </c>
      <c r="V542" s="8">
        <f t="shared" si="54"/>
        <v>-25</v>
      </c>
      <c r="W542" s="233">
        <f t="shared" si="55"/>
        <v>-11166.5</v>
      </c>
    </row>
    <row r="543" spans="1:2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 s="188">
        <v>1000</v>
      </c>
      <c r="S543" s="8">
        <f t="shared" si="53"/>
        <v>-1000</v>
      </c>
      <c r="T543" s="234">
        <f t="shared" si="60"/>
        <v>-13999.999999961488</v>
      </c>
      <c r="U543" s="15">
        <v>25</v>
      </c>
      <c r="V543" s="8">
        <f t="shared" si="54"/>
        <v>-25</v>
      </c>
      <c r="W543" s="233">
        <f t="shared" si="55"/>
        <v>-11191.5</v>
      </c>
    </row>
    <row r="544" spans="1:2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 s="188">
        <v>1000</v>
      </c>
      <c r="S544" s="8">
        <f t="shared" si="53"/>
        <v>-1000</v>
      </c>
      <c r="T544" s="234">
        <f t="shared" si="60"/>
        <v>-14999.999999961488</v>
      </c>
      <c r="U544" s="15">
        <v>25</v>
      </c>
      <c r="V544" s="8">
        <f t="shared" si="54"/>
        <v>-25</v>
      </c>
      <c r="W544" s="233">
        <f t="shared" si="55"/>
        <v>-11216.5</v>
      </c>
    </row>
    <row r="545" spans="1:2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 s="188">
        <v>1000</v>
      </c>
      <c r="S545" s="8">
        <f t="shared" si="53"/>
        <v>-1000</v>
      </c>
      <c r="T545" s="234">
        <f>SUM(T544,S545)</f>
        <v>-15999.999999961488</v>
      </c>
      <c r="U545" s="15">
        <v>25</v>
      </c>
      <c r="V545" s="8">
        <f t="shared" si="54"/>
        <v>-25</v>
      </c>
      <c r="W545" s="233">
        <f t="shared" si="55"/>
        <v>-11241.5</v>
      </c>
    </row>
    <row r="546" spans="1:2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 s="188">
        <v>1000</v>
      </c>
      <c r="S546" s="8">
        <f t="shared" si="53"/>
        <v>-1000</v>
      </c>
      <c r="T546" s="234">
        <f t="shared" ref="T546:T566" si="61">SUM(T545,S546)</f>
        <v>-16999.999999961488</v>
      </c>
      <c r="U546" s="15">
        <v>25</v>
      </c>
      <c r="V546" s="8">
        <f t="shared" si="54"/>
        <v>-25</v>
      </c>
      <c r="W546" s="233">
        <f t="shared" si="55"/>
        <v>-11266.5</v>
      </c>
    </row>
    <row r="547" spans="1:2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 s="188">
        <v>1000</v>
      </c>
      <c r="S547" s="8">
        <f t="shared" si="53"/>
        <v>-1000</v>
      </c>
      <c r="T547" s="234">
        <f t="shared" si="61"/>
        <v>-17999.999999961488</v>
      </c>
      <c r="U547" s="15">
        <v>25</v>
      </c>
      <c r="V547" s="8">
        <f t="shared" si="54"/>
        <v>-25</v>
      </c>
      <c r="W547" s="233">
        <f t="shared" si="55"/>
        <v>-11291.5</v>
      </c>
    </row>
    <row r="548" spans="1:2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 s="188">
        <v>1000</v>
      </c>
      <c r="S548" s="8">
        <f t="shared" si="53"/>
        <v>-1000</v>
      </c>
      <c r="T548" s="234">
        <f t="shared" si="61"/>
        <v>-18999.999999961488</v>
      </c>
      <c r="U548" s="15">
        <v>25</v>
      </c>
      <c r="V548" s="8">
        <f t="shared" si="54"/>
        <v>-25</v>
      </c>
      <c r="W548" s="233">
        <f t="shared" si="55"/>
        <v>-11316.5</v>
      </c>
    </row>
    <row r="549" spans="1:2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 s="188">
        <v>1000</v>
      </c>
      <c r="S549" s="8">
        <f t="shared" si="53"/>
        <v>-1000</v>
      </c>
      <c r="T549" s="234">
        <f t="shared" si="61"/>
        <v>-19999.999999961488</v>
      </c>
      <c r="U549" s="15">
        <v>25</v>
      </c>
      <c r="V549" s="8">
        <f t="shared" si="54"/>
        <v>-25</v>
      </c>
      <c r="W549" s="233">
        <f t="shared" si="55"/>
        <v>-11341.5</v>
      </c>
    </row>
    <row r="550" spans="1:2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 s="188">
        <v>1000</v>
      </c>
      <c r="S550" s="8">
        <f t="shared" si="53"/>
        <v>-1000</v>
      </c>
      <c r="T550" s="234">
        <f t="shared" si="61"/>
        <v>-20999.999999961488</v>
      </c>
      <c r="U550" s="15">
        <v>25</v>
      </c>
      <c r="V550" s="8">
        <f t="shared" si="54"/>
        <v>-25</v>
      </c>
      <c r="W550" s="233">
        <f t="shared" si="55"/>
        <v>-11366.5</v>
      </c>
    </row>
    <row r="551" spans="1:2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 s="188">
        <v>1000</v>
      </c>
      <c r="S551" s="8">
        <f t="shared" si="53"/>
        <v>-1000</v>
      </c>
      <c r="T551" s="234">
        <f t="shared" si="61"/>
        <v>-21999.999999961488</v>
      </c>
      <c r="U551" s="15">
        <v>25</v>
      </c>
      <c r="V551" s="8">
        <f t="shared" si="54"/>
        <v>-25</v>
      </c>
      <c r="W551" s="233">
        <f t="shared" si="55"/>
        <v>-11391.5</v>
      </c>
    </row>
    <row r="552" spans="1:2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 s="188">
        <v>1000</v>
      </c>
      <c r="S552" s="8">
        <f t="shared" si="53"/>
        <v>-1000</v>
      </c>
      <c r="T552" s="234">
        <f t="shared" si="61"/>
        <v>-22999.999999961488</v>
      </c>
      <c r="U552" s="15">
        <v>25</v>
      </c>
      <c r="V552" s="8">
        <f t="shared" si="54"/>
        <v>-25</v>
      </c>
      <c r="W552" s="233">
        <f t="shared" si="55"/>
        <v>-11416.5</v>
      </c>
    </row>
    <row r="553" spans="1:2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 s="188">
        <v>1000</v>
      </c>
      <c r="S553" s="8">
        <f t="shared" si="53"/>
        <v>-1000</v>
      </c>
      <c r="T553" s="234">
        <f t="shared" si="61"/>
        <v>-23999.999999961488</v>
      </c>
      <c r="U553" s="15">
        <v>25</v>
      </c>
      <c r="V553" s="8">
        <f t="shared" si="54"/>
        <v>-25</v>
      </c>
      <c r="W553" s="233">
        <f t="shared" si="55"/>
        <v>-11441.5</v>
      </c>
    </row>
    <row r="554" spans="1:2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 s="188">
        <v>1000</v>
      </c>
      <c r="S554" s="8">
        <f t="shared" si="53"/>
        <v>-1000</v>
      </c>
      <c r="T554" s="234">
        <f t="shared" si="61"/>
        <v>-24999.999999961488</v>
      </c>
      <c r="U554" s="15">
        <v>25</v>
      </c>
      <c r="V554" s="8">
        <f t="shared" si="54"/>
        <v>-25</v>
      </c>
      <c r="W554" s="233">
        <f t="shared" si="55"/>
        <v>-11466.5</v>
      </c>
    </row>
    <row r="555" spans="1:2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 s="188">
        <v>1000</v>
      </c>
      <c r="S555" s="8">
        <f t="shared" si="53"/>
        <v>-1000</v>
      </c>
      <c r="T555" s="234">
        <f t="shared" si="61"/>
        <v>-25999.999999961488</v>
      </c>
      <c r="U555" s="15">
        <v>25</v>
      </c>
      <c r="V555" s="8">
        <f t="shared" si="54"/>
        <v>-25</v>
      </c>
      <c r="W555" s="233">
        <f t="shared" si="55"/>
        <v>-11491.5</v>
      </c>
    </row>
    <row r="556" spans="1:2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 s="188">
        <v>1000</v>
      </c>
      <c r="S556" s="8">
        <f t="shared" si="53"/>
        <v>-1000</v>
      </c>
      <c r="T556" s="234">
        <f t="shared" si="61"/>
        <v>-26999.999999961488</v>
      </c>
      <c r="U556" s="15">
        <v>25</v>
      </c>
      <c r="V556" s="8">
        <f t="shared" si="54"/>
        <v>-25</v>
      </c>
      <c r="W556" s="233">
        <f t="shared" si="55"/>
        <v>-11516.5</v>
      </c>
    </row>
    <row r="557" spans="1:2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 s="188">
        <v>1000</v>
      </c>
      <c r="S557" s="8">
        <f t="shared" si="53"/>
        <v>-1000</v>
      </c>
      <c r="T557" s="234">
        <f t="shared" si="61"/>
        <v>-27999.999999961488</v>
      </c>
      <c r="U557" s="15">
        <v>25</v>
      </c>
      <c r="V557" s="8">
        <f t="shared" si="54"/>
        <v>-25</v>
      </c>
      <c r="W557" s="233">
        <f t="shared" si="55"/>
        <v>-11541.5</v>
      </c>
    </row>
    <row r="558" spans="1:2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 s="188">
        <v>1000</v>
      </c>
      <c r="S558" s="8">
        <f t="shared" si="53"/>
        <v>-1000</v>
      </c>
      <c r="T558" s="234">
        <f t="shared" si="61"/>
        <v>-28999.999999961488</v>
      </c>
      <c r="U558" s="15">
        <v>25</v>
      </c>
      <c r="V558" s="8">
        <f t="shared" si="54"/>
        <v>-25</v>
      </c>
      <c r="W558" s="233">
        <f t="shared" si="55"/>
        <v>-11566.5</v>
      </c>
    </row>
    <row r="559" spans="1:2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 s="188">
        <v>1000</v>
      </c>
      <c r="S559" s="8">
        <f t="shared" si="53"/>
        <v>-1000</v>
      </c>
      <c r="T559" s="234">
        <f t="shared" si="61"/>
        <v>-29999.999999961488</v>
      </c>
      <c r="U559" s="15">
        <v>25</v>
      </c>
      <c r="V559" s="8">
        <f t="shared" si="54"/>
        <v>-25</v>
      </c>
      <c r="W559" s="233">
        <f t="shared" si="55"/>
        <v>-11591.5</v>
      </c>
    </row>
    <row r="560" spans="1:2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 s="188">
        <v>1000</v>
      </c>
      <c r="S560" s="8">
        <f t="shared" si="53"/>
        <v>-1000</v>
      </c>
      <c r="T560" s="234">
        <f t="shared" si="61"/>
        <v>-30999.999999961488</v>
      </c>
      <c r="U560" s="15">
        <v>25</v>
      </c>
      <c r="V560" s="8">
        <f t="shared" si="54"/>
        <v>-25</v>
      </c>
      <c r="W560" s="233">
        <f t="shared" si="55"/>
        <v>-11616.5</v>
      </c>
    </row>
    <row r="561" spans="1:2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 s="188">
        <v>1000</v>
      </c>
      <c r="S561" s="8">
        <f t="shared" si="53"/>
        <v>-1000</v>
      </c>
      <c r="T561" s="234">
        <f t="shared" si="61"/>
        <v>-31999.999999961488</v>
      </c>
      <c r="U561" s="15">
        <v>25</v>
      </c>
      <c r="V561" s="8">
        <f t="shared" si="54"/>
        <v>-25</v>
      </c>
      <c r="W561" s="233">
        <f t="shared" si="55"/>
        <v>-11641.5</v>
      </c>
    </row>
    <row r="562" spans="1:2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 s="188">
        <v>1000</v>
      </c>
      <c r="S562" s="8">
        <f t="shared" si="53"/>
        <v>-1000</v>
      </c>
      <c r="T562" s="234">
        <f t="shared" si="61"/>
        <v>-32999.999999961488</v>
      </c>
      <c r="U562" s="15">
        <v>25</v>
      </c>
      <c r="V562" s="8">
        <f t="shared" si="54"/>
        <v>-25</v>
      </c>
      <c r="W562" s="233">
        <f t="shared" si="55"/>
        <v>-11666.5</v>
      </c>
    </row>
    <row r="563" spans="1:2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 s="188">
        <v>1000</v>
      </c>
      <c r="S563" s="8">
        <f t="shared" si="53"/>
        <v>-1000</v>
      </c>
      <c r="T563" s="234">
        <f t="shared" si="61"/>
        <v>-33999.999999961488</v>
      </c>
      <c r="U563" s="15">
        <v>25</v>
      </c>
      <c r="V563" s="8">
        <f t="shared" si="54"/>
        <v>-25</v>
      </c>
      <c r="W563" s="233">
        <f t="shared" si="55"/>
        <v>-11691.5</v>
      </c>
    </row>
    <row r="564" spans="1:2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 s="188">
        <v>1000</v>
      </c>
      <c r="S564" s="8">
        <f t="shared" si="53"/>
        <v>-1000</v>
      </c>
      <c r="T564" s="234">
        <f t="shared" si="61"/>
        <v>-34999.999999961488</v>
      </c>
      <c r="U564" s="15">
        <v>25</v>
      </c>
      <c r="V564" s="8">
        <f t="shared" si="54"/>
        <v>-25</v>
      </c>
      <c r="W564" s="233">
        <f t="shared" si="55"/>
        <v>-11716.5</v>
      </c>
    </row>
    <row r="565" spans="1:2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 s="188">
        <v>1000</v>
      </c>
      <c r="S565" s="8">
        <f t="shared" si="53"/>
        <v>-1000</v>
      </c>
      <c r="T565" s="234">
        <f t="shared" si="61"/>
        <v>-35999.999999961488</v>
      </c>
      <c r="U565" s="15">
        <v>25</v>
      </c>
      <c r="V565" s="8">
        <f t="shared" si="54"/>
        <v>-25</v>
      </c>
      <c r="W565" s="233">
        <f t="shared" si="55"/>
        <v>-11741.5</v>
      </c>
    </row>
    <row r="566" spans="1:2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 s="188">
        <v>1000</v>
      </c>
      <c r="S566" s="8">
        <f t="shared" si="53"/>
        <v>-1000</v>
      </c>
      <c r="T566" s="234">
        <f t="shared" si="61"/>
        <v>-36999.999999961488</v>
      </c>
      <c r="U566" s="15">
        <v>25</v>
      </c>
      <c r="V566" s="8">
        <f t="shared" si="54"/>
        <v>-25</v>
      </c>
      <c r="W566" s="233">
        <f t="shared" si="55"/>
        <v>-11766.5</v>
      </c>
    </row>
    <row r="567" spans="1:2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 s="188">
        <v>1000</v>
      </c>
      <c r="S567" s="8">
        <f t="shared" si="53"/>
        <v>-1000</v>
      </c>
      <c r="T567" s="234">
        <f>SUM(T566,S567)</f>
        <v>-37999.999999961488</v>
      </c>
      <c r="U567" s="15">
        <v>25</v>
      </c>
      <c r="V567" s="8">
        <f t="shared" si="54"/>
        <v>-25</v>
      </c>
      <c r="W567" s="233">
        <f t="shared" si="55"/>
        <v>-11791.5</v>
      </c>
    </row>
    <row r="568" spans="1:2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 s="188">
        <v>1000</v>
      </c>
      <c r="S568" s="8">
        <f t="shared" si="53"/>
        <v>-1000</v>
      </c>
      <c r="T568" s="234">
        <f t="shared" ref="T568:T600" si="62">SUM(T567,S568)</f>
        <v>-38999.999999961488</v>
      </c>
      <c r="U568" s="15">
        <v>25</v>
      </c>
      <c r="V568" s="8">
        <f t="shared" si="54"/>
        <v>-25</v>
      </c>
      <c r="W568" s="233">
        <f t="shared" si="55"/>
        <v>-11816.5</v>
      </c>
    </row>
    <row r="569" spans="1:2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 s="188">
        <v>1000</v>
      </c>
      <c r="S569" s="8">
        <f t="shared" si="53"/>
        <v>-1000</v>
      </c>
      <c r="T569" s="234">
        <f t="shared" si="62"/>
        <v>-39999.999999961488</v>
      </c>
      <c r="U569" s="15">
        <v>25</v>
      </c>
      <c r="V569" s="8">
        <f t="shared" si="54"/>
        <v>-25</v>
      </c>
      <c r="W569" s="233">
        <f t="shared" si="55"/>
        <v>-11841.5</v>
      </c>
    </row>
    <row r="570" spans="1:2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 s="188">
        <v>1000</v>
      </c>
      <c r="S570" s="8">
        <f t="shared" si="53"/>
        <v>-1000</v>
      </c>
      <c r="T570" s="234">
        <f t="shared" si="62"/>
        <v>-40999.999999961488</v>
      </c>
      <c r="U570" s="15">
        <v>25</v>
      </c>
      <c r="V570" s="8">
        <f t="shared" si="54"/>
        <v>-25</v>
      </c>
      <c r="W570" s="233">
        <f t="shared" si="55"/>
        <v>-11866.5</v>
      </c>
    </row>
    <row r="571" spans="1:2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 s="188">
        <v>1000</v>
      </c>
      <c r="S571" s="8">
        <f t="shared" si="53"/>
        <v>-1000</v>
      </c>
      <c r="T571" s="234">
        <f t="shared" si="62"/>
        <v>-41999.999999961488</v>
      </c>
      <c r="U571" s="15">
        <v>25</v>
      </c>
      <c r="V571" s="8">
        <f t="shared" si="54"/>
        <v>-25</v>
      </c>
      <c r="W571" s="233">
        <f t="shared" si="55"/>
        <v>-11891.5</v>
      </c>
    </row>
    <row r="572" spans="1:2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 s="188">
        <v>1000</v>
      </c>
      <c r="S572" s="8">
        <f t="shared" si="53"/>
        <v>-1000</v>
      </c>
      <c r="T572" s="234">
        <f t="shared" si="62"/>
        <v>-42999.999999961488</v>
      </c>
      <c r="U572" s="15">
        <v>25</v>
      </c>
      <c r="V572" s="8">
        <f t="shared" si="54"/>
        <v>-25</v>
      </c>
      <c r="W572" s="233">
        <f t="shared" si="55"/>
        <v>-11916.5</v>
      </c>
    </row>
    <row r="573" spans="1:2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 s="188">
        <v>1000</v>
      </c>
      <c r="S573" s="8">
        <f t="shared" si="53"/>
        <v>-1000</v>
      </c>
      <c r="T573" s="234">
        <f t="shared" si="62"/>
        <v>-43999.999999961488</v>
      </c>
      <c r="U573" s="15">
        <v>25</v>
      </c>
      <c r="V573" s="8">
        <f t="shared" si="54"/>
        <v>-25</v>
      </c>
      <c r="W573" s="233">
        <f t="shared" si="55"/>
        <v>-11941.5</v>
      </c>
    </row>
    <row r="574" spans="1:2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 s="188">
        <v>1000</v>
      </c>
      <c r="S574" s="8">
        <f t="shared" si="53"/>
        <v>-1000</v>
      </c>
      <c r="T574" s="234">
        <f t="shared" si="62"/>
        <v>-44999.999999961488</v>
      </c>
      <c r="U574" s="15">
        <v>25</v>
      </c>
      <c r="V574" s="8">
        <f t="shared" si="54"/>
        <v>-25</v>
      </c>
      <c r="W574" s="233">
        <f t="shared" si="55"/>
        <v>-11966.5</v>
      </c>
    </row>
    <row r="575" spans="1:2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 s="188">
        <v>1000</v>
      </c>
      <c r="S575" s="8">
        <f t="shared" si="53"/>
        <v>-1000</v>
      </c>
      <c r="T575" s="234">
        <f t="shared" si="62"/>
        <v>-45999.999999961488</v>
      </c>
      <c r="U575" s="15">
        <v>25</v>
      </c>
      <c r="V575" s="8">
        <f t="shared" si="54"/>
        <v>-25</v>
      </c>
      <c r="W575" s="233">
        <f t="shared" si="55"/>
        <v>-11991.5</v>
      </c>
    </row>
    <row r="576" spans="1:2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 s="188">
        <v>1000</v>
      </c>
      <c r="S576" s="8">
        <f t="shared" si="53"/>
        <v>-1000</v>
      </c>
      <c r="T576" s="234">
        <f t="shared" si="62"/>
        <v>-46999.999999961488</v>
      </c>
      <c r="U576" s="15">
        <v>25</v>
      </c>
      <c r="V576" s="8">
        <f t="shared" si="54"/>
        <v>-25</v>
      </c>
      <c r="W576" s="233">
        <f t="shared" si="55"/>
        <v>-12016.5</v>
      </c>
    </row>
    <row r="577" spans="1:2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 s="188">
        <v>1000</v>
      </c>
      <c r="S577" s="8">
        <f t="shared" si="53"/>
        <v>-1000</v>
      </c>
      <c r="T577" s="234">
        <f t="shared" si="62"/>
        <v>-47999.999999961488</v>
      </c>
      <c r="U577" s="15">
        <v>25</v>
      </c>
      <c r="V577" s="8">
        <f t="shared" si="54"/>
        <v>-25</v>
      </c>
      <c r="W577" s="233">
        <f t="shared" si="55"/>
        <v>-12041.5</v>
      </c>
    </row>
    <row r="578" spans="1:2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 s="188">
        <v>1000</v>
      </c>
      <c r="S578" s="8">
        <f t="shared" si="53"/>
        <v>-1000</v>
      </c>
      <c r="T578" s="234">
        <f t="shared" si="62"/>
        <v>-48999.999999961488</v>
      </c>
      <c r="U578" s="15">
        <v>25</v>
      </c>
      <c r="V578" s="8">
        <f t="shared" si="54"/>
        <v>-25</v>
      </c>
      <c r="W578" s="233">
        <f t="shared" si="55"/>
        <v>-12066.5</v>
      </c>
    </row>
    <row r="579" spans="1:2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 s="188">
        <v>1000</v>
      </c>
      <c r="S579" s="8">
        <f t="shared" ref="S579:S642" si="63">IF(O579="won",R579*0.18,-R579)</f>
        <v>-1000</v>
      </c>
      <c r="T579" s="234">
        <f t="shared" si="62"/>
        <v>-49999.999999961488</v>
      </c>
      <c r="U579" s="15">
        <v>25</v>
      </c>
      <c r="V579" s="8">
        <f t="shared" ref="V579:V642" si="64">IF(O579="won",U579*0.18,-U579)</f>
        <v>-25</v>
      </c>
      <c r="W579" s="233">
        <f t="shared" ref="W579:W642" si="65">SUM(W578,V579)</f>
        <v>-12091.5</v>
      </c>
    </row>
    <row r="580" spans="1:2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 s="188">
        <v>1000</v>
      </c>
      <c r="S580" s="8">
        <f t="shared" si="63"/>
        <v>-1000</v>
      </c>
      <c r="T580" s="234">
        <f t="shared" si="62"/>
        <v>-50999.999999961488</v>
      </c>
      <c r="U580" s="15">
        <v>25</v>
      </c>
      <c r="V580" s="8">
        <f t="shared" si="64"/>
        <v>-25</v>
      </c>
      <c r="W580" s="233">
        <f t="shared" si="65"/>
        <v>-12116.5</v>
      </c>
    </row>
    <row r="581" spans="1:2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 s="188">
        <v>1000</v>
      </c>
      <c r="S581" s="8">
        <f t="shared" si="63"/>
        <v>-1000</v>
      </c>
      <c r="T581" s="234">
        <f t="shared" si="62"/>
        <v>-51999.999999961488</v>
      </c>
      <c r="U581" s="15">
        <v>25</v>
      </c>
      <c r="V581" s="8">
        <f t="shared" si="64"/>
        <v>-25</v>
      </c>
      <c r="W581" s="233">
        <f t="shared" si="65"/>
        <v>-12141.5</v>
      </c>
    </row>
    <row r="582" spans="1:2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 s="188">
        <v>1000</v>
      </c>
      <c r="S582" s="8">
        <f t="shared" si="63"/>
        <v>-1000</v>
      </c>
      <c r="T582" s="234">
        <f t="shared" si="62"/>
        <v>-52999.999999961488</v>
      </c>
      <c r="U582" s="15">
        <v>25</v>
      </c>
      <c r="V582" s="8">
        <f t="shared" si="64"/>
        <v>-25</v>
      </c>
      <c r="W582" s="233">
        <f t="shared" si="65"/>
        <v>-12166.5</v>
      </c>
    </row>
    <row r="583" spans="1:2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 s="188">
        <v>1000</v>
      </c>
      <c r="S583" s="8">
        <f t="shared" si="63"/>
        <v>-1000</v>
      </c>
      <c r="T583" s="234">
        <f t="shared" si="62"/>
        <v>-53999.999999961488</v>
      </c>
      <c r="U583" s="15">
        <v>25</v>
      </c>
      <c r="V583" s="8">
        <f t="shared" si="64"/>
        <v>-25</v>
      </c>
      <c r="W583" s="233">
        <f t="shared" si="65"/>
        <v>-12191.5</v>
      </c>
    </row>
    <row r="584" spans="1:2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 s="188">
        <v>1000</v>
      </c>
      <c r="S584" s="8">
        <f t="shared" si="63"/>
        <v>-1000</v>
      </c>
      <c r="T584" s="234">
        <f t="shared" si="62"/>
        <v>-54999.999999961488</v>
      </c>
      <c r="U584" s="15">
        <v>25</v>
      </c>
      <c r="V584" s="8">
        <f t="shared" si="64"/>
        <v>-25</v>
      </c>
      <c r="W584" s="233">
        <f t="shared" si="65"/>
        <v>-12216.5</v>
      </c>
    </row>
    <row r="585" spans="1:2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 s="188">
        <v>1000</v>
      </c>
      <c r="S585" s="8">
        <f t="shared" si="63"/>
        <v>-1000</v>
      </c>
      <c r="T585" s="234">
        <f t="shared" si="62"/>
        <v>-55999.999999961488</v>
      </c>
      <c r="U585" s="15">
        <v>25</v>
      </c>
      <c r="V585" s="8">
        <f t="shared" si="64"/>
        <v>-25</v>
      </c>
      <c r="W585" s="233">
        <f t="shared" si="65"/>
        <v>-12241.5</v>
      </c>
    </row>
    <row r="586" spans="1:2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 s="188">
        <v>1000</v>
      </c>
      <c r="S586" s="8">
        <f t="shared" si="63"/>
        <v>-1000</v>
      </c>
      <c r="T586" s="234">
        <f t="shared" si="62"/>
        <v>-56999.999999961488</v>
      </c>
      <c r="U586" s="15">
        <v>25</v>
      </c>
      <c r="V586" s="8">
        <f t="shared" si="64"/>
        <v>-25</v>
      </c>
      <c r="W586" s="233">
        <f t="shared" si="65"/>
        <v>-12266.5</v>
      </c>
    </row>
    <row r="587" spans="1:2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 s="188">
        <v>1000</v>
      </c>
      <c r="S587" s="8">
        <f t="shared" si="63"/>
        <v>-1000</v>
      </c>
      <c r="T587" s="234">
        <f t="shared" si="62"/>
        <v>-57999.999999961488</v>
      </c>
      <c r="U587" s="15">
        <v>25</v>
      </c>
      <c r="V587" s="8">
        <f t="shared" si="64"/>
        <v>-25</v>
      </c>
      <c r="W587" s="233">
        <f t="shared" si="65"/>
        <v>-12291.5</v>
      </c>
    </row>
    <row r="588" spans="1:2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 s="188">
        <v>1000</v>
      </c>
      <c r="S588" s="8">
        <f t="shared" si="63"/>
        <v>-1000</v>
      </c>
      <c r="T588" s="234">
        <f t="shared" si="62"/>
        <v>-58999.999999961488</v>
      </c>
      <c r="U588" s="15">
        <v>25</v>
      </c>
      <c r="V588" s="8">
        <f t="shared" si="64"/>
        <v>-25</v>
      </c>
      <c r="W588" s="233">
        <f t="shared" si="65"/>
        <v>-12316.5</v>
      </c>
    </row>
    <row r="589" spans="1:2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 s="188">
        <v>1000</v>
      </c>
      <c r="S589" s="8">
        <f t="shared" si="63"/>
        <v>-1000</v>
      </c>
      <c r="T589" s="234">
        <f t="shared" si="62"/>
        <v>-59999.999999961488</v>
      </c>
      <c r="U589" s="15">
        <v>25</v>
      </c>
      <c r="V589" s="8">
        <f t="shared" si="64"/>
        <v>-25</v>
      </c>
      <c r="W589" s="233">
        <f t="shared" si="65"/>
        <v>-12341.5</v>
      </c>
    </row>
    <row r="590" spans="1:2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 s="188">
        <v>1000</v>
      </c>
      <c r="S590" s="8">
        <f t="shared" si="63"/>
        <v>-1000</v>
      </c>
      <c r="T590" s="234">
        <f t="shared" si="62"/>
        <v>-60999.999999961488</v>
      </c>
      <c r="U590" s="15">
        <v>25</v>
      </c>
      <c r="V590" s="8">
        <f t="shared" si="64"/>
        <v>-25</v>
      </c>
      <c r="W590" s="233">
        <f t="shared" si="65"/>
        <v>-12366.5</v>
      </c>
    </row>
    <row r="591" spans="1:2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 s="188">
        <v>1000</v>
      </c>
      <c r="S591" s="8">
        <f t="shared" si="63"/>
        <v>-1000</v>
      </c>
      <c r="T591" s="234">
        <f t="shared" si="62"/>
        <v>-61999.999999961488</v>
      </c>
      <c r="U591" s="15">
        <v>25</v>
      </c>
      <c r="V591" s="8">
        <f t="shared" si="64"/>
        <v>-25</v>
      </c>
      <c r="W591" s="233">
        <f t="shared" si="65"/>
        <v>-12391.5</v>
      </c>
    </row>
    <row r="592" spans="1:2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 s="188">
        <v>1000</v>
      </c>
      <c r="S592" s="8">
        <f t="shared" si="63"/>
        <v>-1000</v>
      </c>
      <c r="T592" s="234">
        <f t="shared" si="62"/>
        <v>-62999.999999961488</v>
      </c>
      <c r="U592" s="15">
        <v>25</v>
      </c>
      <c r="V592" s="8">
        <f t="shared" si="64"/>
        <v>-25</v>
      </c>
      <c r="W592" s="233">
        <f t="shared" si="65"/>
        <v>-12416.5</v>
      </c>
    </row>
    <row r="593" spans="1:2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 s="188">
        <v>1000</v>
      </c>
      <c r="S593" s="8">
        <f t="shared" si="63"/>
        <v>-1000</v>
      </c>
      <c r="T593" s="234">
        <f t="shared" si="62"/>
        <v>-63999.999999961488</v>
      </c>
      <c r="U593" s="15">
        <v>25</v>
      </c>
      <c r="V593" s="8">
        <f t="shared" si="64"/>
        <v>-25</v>
      </c>
      <c r="W593" s="233">
        <f t="shared" si="65"/>
        <v>-12441.5</v>
      </c>
    </row>
    <row r="594" spans="1:2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 s="188">
        <v>1000</v>
      </c>
      <c r="S594" s="8">
        <f t="shared" si="63"/>
        <v>-1000</v>
      </c>
      <c r="T594" s="234">
        <f t="shared" si="62"/>
        <v>-64999.999999961488</v>
      </c>
      <c r="U594" s="15">
        <v>25</v>
      </c>
      <c r="V594" s="8">
        <f t="shared" si="64"/>
        <v>-25</v>
      </c>
      <c r="W594" s="233">
        <f t="shared" si="65"/>
        <v>-12466.5</v>
      </c>
    </row>
    <row r="595" spans="1:2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 s="188">
        <v>1000</v>
      </c>
      <c r="S595" s="8">
        <f t="shared" si="63"/>
        <v>-1000</v>
      </c>
      <c r="T595" s="234">
        <f t="shared" si="62"/>
        <v>-65999.999999961496</v>
      </c>
      <c r="U595" s="15">
        <v>25</v>
      </c>
      <c r="V595" s="8">
        <f t="shared" si="64"/>
        <v>-25</v>
      </c>
      <c r="W595" s="233">
        <f t="shared" si="65"/>
        <v>-12491.5</v>
      </c>
    </row>
    <row r="596" spans="1:2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 s="188">
        <v>1000</v>
      </c>
      <c r="S596" s="8">
        <f t="shared" si="63"/>
        <v>-1000</v>
      </c>
      <c r="T596" s="234">
        <f t="shared" si="62"/>
        <v>-66999.999999961496</v>
      </c>
      <c r="U596" s="15">
        <v>25</v>
      </c>
      <c r="V596" s="8">
        <f t="shared" si="64"/>
        <v>-25</v>
      </c>
      <c r="W596" s="233">
        <f t="shared" si="65"/>
        <v>-12516.5</v>
      </c>
    </row>
    <row r="597" spans="1:2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 s="188">
        <v>1000</v>
      </c>
      <c r="S597" s="8">
        <f t="shared" si="63"/>
        <v>-1000</v>
      </c>
      <c r="T597" s="234">
        <f t="shared" si="62"/>
        <v>-67999.999999961496</v>
      </c>
      <c r="U597" s="15">
        <v>25</v>
      </c>
      <c r="V597" s="8">
        <f t="shared" si="64"/>
        <v>-25</v>
      </c>
      <c r="W597" s="233">
        <f t="shared" si="65"/>
        <v>-12541.5</v>
      </c>
    </row>
    <row r="598" spans="1:2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 s="188">
        <v>1000</v>
      </c>
      <c r="S598" s="8">
        <f t="shared" si="63"/>
        <v>-1000</v>
      </c>
      <c r="T598" s="234">
        <f t="shared" si="62"/>
        <v>-68999.999999961496</v>
      </c>
      <c r="U598" s="15">
        <v>25</v>
      </c>
      <c r="V598" s="8">
        <f t="shared" si="64"/>
        <v>-25</v>
      </c>
      <c r="W598" s="233">
        <f t="shared" si="65"/>
        <v>-12566.5</v>
      </c>
    </row>
    <row r="599" spans="1:2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 s="188">
        <v>1000</v>
      </c>
      <c r="S599" s="8">
        <f t="shared" si="63"/>
        <v>-1000</v>
      </c>
      <c r="T599" s="234">
        <f t="shared" si="62"/>
        <v>-69999.999999961496</v>
      </c>
      <c r="U599" s="15">
        <v>25</v>
      </c>
      <c r="V599" s="8">
        <f t="shared" si="64"/>
        <v>-25</v>
      </c>
      <c r="W599" s="233">
        <f t="shared" si="65"/>
        <v>-12591.5</v>
      </c>
    </row>
    <row r="600" spans="1:2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 s="188">
        <v>1000</v>
      </c>
      <c r="S600" s="8">
        <f t="shared" si="63"/>
        <v>-1000</v>
      </c>
      <c r="T600" s="234">
        <f t="shared" si="62"/>
        <v>-70999.999999961496</v>
      </c>
      <c r="U600" s="15">
        <v>25</v>
      </c>
      <c r="V600" s="8">
        <f t="shared" si="64"/>
        <v>-25</v>
      </c>
      <c r="W600" s="233">
        <f t="shared" si="65"/>
        <v>-12616.5</v>
      </c>
    </row>
    <row r="601" spans="1:2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 s="188">
        <v>1000</v>
      </c>
      <c r="S601" s="8">
        <f t="shared" si="63"/>
        <v>-1000</v>
      </c>
      <c r="T601" s="234">
        <f>SUM(T600,S601)</f>
        <v>-71999.999999961496</v>
      </c>
      <c r="U601" s="15">
        <v>25</v>
      </c>
      <c r="V601" s="8">
        <f t="shared" si="64"/>
        <v>-25</v>
      </c>
      <c r="W601" s="233">
        <f t="shared" si="65"/>
        <v>-12641.5</v>
      </c>
    </row>
    <row r="602" spans="1:2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 s="188">
        <v>1000</v>
      </c>
      <c r="S602" s="8">
        <f t="shared" si="63"/>
        <v>-1000</v>
      </c>
      <c r="T602" s="234">
        <f t="shared" ref="T602" si="66">SUM(T601,S602)</f>
        <v>-72999.999999961496</v>
      </c>
      <c r="U602" s="15">
        <v>25</v>
      </c>
      <c r="V602" s="8">
        <f t="shared" si="64"/>
        <v>-25</v>
      </c>
      <c r="W602" s="233">
        <f t="shared" si="65"/>
        <v>-12666.5</v>
      </c>
    </row>
    <row r="603" spans="1:2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 s="188">
        <v>1000</v>
      </c>
      <c r="S603" s="8">
        <f t="shared" si="63"/>
        <v>-1000</v>
      </c>
      <c r="T603" s="234">
        <f>SUM(T602,S603)</f>
        <v>-73999.999999961496</v>
      </c>
      <c r="U603" s="15">
        <v>25</v>
      </c>
      <c r="V603" s="8">
        <f t="shared" si="64"/>
        <v>-25</v>
      </c>
      <c r="W603" s="233">
        <f t="shared" si="65"/>
        <v>-12691.5</v>
      </c>
    </row>
    <row r="604" spans="1:2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 s="188">
        <v>1000</v>
      </c>
      <c r="S604" s="8">
        <f t="shared" si="63"/>
        <v>-1000</v>
      </c>
      <c r="T604" s="234">
        <f t="shared" ref="T604:T667" si="67">SUM(T603,S604)</f>
        <v>-74999.999999961496</v>
      </c>
      <c r="U604" s="15">
        <v>25</v>
      </c>
      <c r="V604" s="8">
        <f t="shared" si="64"/>
        <v>-25</v>
      </c>
      <c r="W604" s="233">
        <f t="shared" si="65"/>
        <v>-12716.5</v>
      </c>
    </row>
    <row r="605" spans="1:2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 s="188">
        <v>1000</v>
      </c>
      <c r="S605" s="8">
        <f t="shared" si="63"/>
        <v>-1000</v>
      </c>
      <c r="T605" s="234">
        <f t="shared" si="67"/>
        <v>-75999.999999961496</v>
      </c>
      <c r="U605" s="15">
        <v>25</v>
      </c>
      <c r="V605" s="8">
        <f t="shared" si="64"/>
        <v>-25</v>
      </c>
      <c r="W605" s="233">
        <f t="shared" si="65"/>
        <v>-12741.5</v>
      </c>
    </row>
    <row r="606" spans="1:2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 s="188">
        <v>1000</v>
      </c>
      <c r="S606" s="8">
        <f t="shared" si="63"/>
        <v>-1000</v>
      </c>
      <c r="T606" s="234">
        <f t="shared" si="67"/>
        <v>-76999.999999961496</v>
      </c>
      <c r="U606" s="15">
        <v>25</v>
      </c>
      <c r="V606" s="8">
        <f t="shared" si="64"/>
        <v>-25</v>
      </c>
      <c r="W606" s="233">
        <f t="shared" si="65"/>
        <v>-12766.5</v>
      </c>
    </row>
    <row r="607" spans="1:2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 s="188">
        <v>1000</v>
      </c>
      <c r="S607" s="8">
        <f t="shared" si="63"/>
        <v>-1000</v>
      </c>
      <c r="T607" s="234">
        <f t="shared" si="67"/>
        <v>-77999.999999961496</v>
      </c>
      <c r="U607" s="15">
        <v>25</v>
      </c>
      <c r="V607" s="8">
        <f t="shared" si="64"/>
        <v>-25</v>
      </c>
      <c r="W607" s="233">
        <f t="shared" si="65"/>
        <v>-12791.5</v>
      </c>
    </row>
    <row r="608" spans="1:2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 s="188">
        <v>1000</v>
      </c>
      <c r="S608" s="8">
        <f t="shared" si="63"/>
        <v>-1000</v>
      </c>
      <c r="T608" s="234">
        <f t="shared" si="67"/>
        <v>-78999.999999961496</v>
      </c>
      <c r="U608" s="15">
        <v>25</v>
      </c>
      <c r="V608" s="8">
        <f t="shared" si="64"/>
        <v>-25</v>
      </c>
      <c r="W608" s="233">
        <f t="shared" si="65"/>
        <v>-12816.5</v>
      </c>
    </row>
    <row r="609" spans="1:2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 s="188">
        <v>1000</v>
      </c>
      <c r="S609" s="8">
        <f t="shared" si="63"/>
        <v>-1000</v>
      </c>
      <c r="T609" s="234">
        <f t="shared" si="67"/>
        <v>-79999.999999961496</v>
      </c>
      <c r="U609" s="15">
        <v>25</v>
      </c>
      <c r="V609" s="8">
        <f t="shared" si="64"/>
        <v>-25</v>
      </c>
      <c r="W609" s="233">
        <f t="shared" si="65"/>
        <v>-12841.5</v>
      </c>
    </row>
    <row r="610" spans="1:2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 s="188">
        <v>1000</v>
      </c>
      <c r="S610" s="8">
        <f t="shared" si="63"/>
        <v>-1000</v>
      </c>
      <c r="T610" s="234">
        <f t="shared" si="67"/>
        <v>-80999.999999961496</v>
      </c>
      <c r="U610" s="15">
        <v>25</v>
      </c>
      <c r="V610" s="8">
        <f t="shared" si="64"/>
        <v>-25</v>
      </c>
      <c r="W610" s="233">
        <f t="shared" si="65"/>
        <v>-12866.5</v>
      </c>
    </row>
    <row r="611" spans="1:2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 s="188">
        <v>1000</v>
      </c>
      <c r="S611" s="8">
        <f t="shared" si="63"/>
        <v>-1000</v>
      </c>
      <c r="T611" s="234">
        <f t="shared" si="67"/>
        <v>-81999.999999961496</v>
      </c>
      <c r="U611" s="15">
        <v>25</v>
      </c>
      <c r="V611" s="8">
        <f t="shared" si="64"/>
        <v>-25</v>
      </c>
      <c r="W611" s="233">
        <f t="shared" si="65"/>
        <v>-12891.5</v>
      </c>
    </row>
    <row r="612" spans="1:2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 s="188">
        <v>1000</v>
      </c>
      <c r="S612" s="8">
        <f t="shared" si="63"/>
        <v>-1000</v>
      </c>
      <c r="T612" s="234">
        <f t="shared" si="67"/>
        <v>-82999.999999961496</v>
      </c>
      <c r="U612" s="15">
        <v>25</v>
      </c>
      <c r="V612" s="8">
        <f t="shared" si="64"/>
        <v>-25</v>
      </c>
      <c r="W612" s="233">
        <f t="shared" si="65"/>
        <v>-12916.5</v>
      </c>
    </row>
    <row r="613" spans="1:2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 s="188">
        <v>1000</v>
      </c>
      <c r="S613" s="8">
        <f t="shared" si="63"/>
        <v>-1000</v>
      </c>
      <c r="T613" s="234">
        <f t="shared" si="67"/>
        <v>-83999.999999961496</v>
      </c>
      <c r="U613" s="15">
        <v>25</v>
      </c>
      <c r="V613" s="8">
        <f t="shared" si="64"/>
        <v>-25</v>
      </c>
      <c r="W613" s="233">
        <f t="shared" si="65"/>
        <v>-12941.5</v>
      </c>
    </row>
    <row r="614" spans="1:2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 s="188">
        <v>1000</v>
      </c>
      <c r="S614" s="8">
        <f t="shared" si="63"/>
        <v>-1000</v>
      </c>
      <c r="T614" s="234">
        <f t="shared" si="67"/>
        <v>-84999.999999961496</v>
      </c>
      <c r="U614" s="15">
        <v>25</v>
      </c>
      <c r="V614" s="8">
        <f t="shared" si="64"/>
        <v>-25</v>
      </c>
      <c r="W614" s="233">
        <f t="shared" si="65"/>
        <v>-12966.5</v>
      </c>
    </row>
    <row r="615" spans="1:2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 s="188">
        <v>1000</v>
      </c>
      <c r="S615" s="8">
        <f t="shared" si="63"/>
        <v>-1000</v>
      </c>
      <c r="T615" s="234">
        <f t="shared" si="67"/>
        <v>-85999.999999961496</v>
      </c>
      <c r="U615" s="15">
        <v>25</v>
      </c>
      <c r="V615" s="8">
        <f t="shared" si="64"/>
        <v>-25</v>
      </c>
      <c r="W615" s="233">
        <f t="shared" si="65"/>
        <v>-12991.5</v>
      </c>
    </row>
    <row r="616" spans="1:2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 s="188">
        <v>1000</v>
      </c>
      <c r="S616" s="8">
        <f t="shared" si="63"/>
        <v>-1000</v>
      </c>
      <c r="T616" s="234">
        <f t="shared" si="67"/>
        <v>-86999.999999961496</v>
      </c>
      <c r="U616" s="15">
        <v>25</v>
      </c>
      <c r="V616" s="8">
        <f t="shared" si="64"/>
        <v>-25</v>
      </c>
      <c r="W616" s="233">
        <f t="shared" si="65"/>
        <v>-13016.5</v>
      </c>
    </row>
    <row r="617" spans="1:2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 s="188">
        <v>1000</v>
      </c>
      <c r="S617" s="8">
        <f t="shared" si="63"/>
        <v>-1000</v>
      </c>
      <c r="T617" s="234">
        <f t="shared" si="67"/>
        <v>-87999.999999961496</v>
      </c>
      <c r="U617" s="15">
        <v>25</v>
      </c>
      <c r="V617" s="8">
        <f t="shared" si="64"/>
        <v>-25</v>
      </c>
      <c r="W617" s="233">
        <f t="shared" si="65"/>
        <v>-13041.5</v>
      </c>
    </row>
    <row r="618" spans="1:2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 s="188">
        <v>1000</v>
      </c>
      <c r="S618" s="8">
        <f t="shared" si="63"/>
        <v>-1000</v>
      </c>
      <c r="T618" s="234">
        <f t="shared" si="67"/>
        <v>-88999.999999961496</v>
      </c>
      <c r="U618" s="15">
        <v>25</v>
      </c>
      <c r="V618" s="8">
        <f t="shared" si="64"/>
        <v>-25</v>
      </c>
      <c r="W618" s="233">
        <f t="shared" si="65"/>
        <v>-13066.5</v>
      </c>
    </row>
    <row r="619" spans="1:2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 s="188">
        <v>1000</v>
      </c>
      <c r="S619" s="8">
        <f t="shared" si="63"/>
        <v>-1000</v>
      </c>
      <c r="T619" s="234">
        <f t="shared" si="67"/>
        <v>-89999.999999961496</v>
      </c>
      <c r="U619" s="15">
        <v>25</v>
      </c>
      <c r="V619" s="8">
        <f t="shared" si="64"/>
        <v>-25</v>
      </c>
      <c r="W619" s="233">
        <f t="shared" si="65"/>
        <v>-13091.5</v>
      </c>
    </row>
    <row r="620" spans="1:2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 s="188">
        <v>1000</v>
      </c>
      <c r="S620" s="8">
        <f t="shared" si="63"/>
        <v>-1000</v>
      </c>
      <c r="T620" s="234">
        <f t="shared" si="67"/>
        <v>-90999.999999961496</v>
      </c>
      <c r="U620" s="15">
        <v>25</v>
      </c>
      <c r="V620" s="8">
        <f t="shared" si="64"/>
        <v>-25</v>
      </c>
      <c r="W620" s="233">
        <f t="shared" si="65"/>
        <v>-13116.5</v>
      </c>
    </row>
    <row r="621" spans="1:2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 s="188">
        <v>1000</v>
      </c>
      <c r="S621" s="8">
        <f t="shared" si="63"/>
        <v>-1000</v>
      </c>
      <c r="T621" s="234">
        <f t="shared" si="67"/>
        <v>-91999.999999961496</v>
      </c>
      <c r="U621" s="15">
        <v>25</v>
      </c>
      <c r="V621" s="8">
        <f t="shared" si="64"/>
        <v>-25</v>
      </c>
      <c r="W621" s="233">
        <f t="shared" si="65"/>
        <v>-13141.5</v>
      </c>
    </row>
    <row r="622" spans="1:2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 s="188">
        <v>1000</v>
      </c>
      <c r="S622" s="8">
        <f t="shared" si="63"/>
        <v>-1000</v>
      </c>
      <c r="T622" s="234">
        <f t="shared" si="67"/>
        <v>-92999.999999961496</v>
      </c>
      <c r="U622" s="15">
        <v>25</v>
      </c>
      <c r="V622" s="8">
        <f t="shared" si="64"/>
        <v>-25</v>
      </c>
      <c r="W622" s="233">
        <f t="shared" si="65"/>
        <v>-13166.5</v>
      </c>
    </row>
    <row r="623" spans="1:2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 s="188">
        <v>1000</v>
      </c>
      <c r="S623" s="8">
        <f t="shared" si="63"/>
        <v>-1000</v>
      </c>
      <c r="T623" s="234">
        <f t="shared" si="67"/>
        <v>-93999.999999961496</v>
      </c>
      <c r="U623" s="15">
        <v>25</v>
      </c>
      <c r="V623" s="8">
        <f t="shared" si="64"/>
        <v>-25</v>
      </c>
      <c r="W623" s="233">
        <f t="shared" si="65"/>
        <v>-13191.5</v>
      </c>
    </row>
    <row r="624" spans="1:2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 s="188">
        <v>1000</v>
      </c>
      <c r="S624" s="8">
        <f t="shared" si="63"/>
        <v>-1000</v>
      </c>
      <c r="T624" s="234">
        <f t="shared" si="67"/>
        <v>-94999.999999961496</v>
      </c>
      <c r="U624" s="15">
        <v>25</v>
      </c>
      <c r="V624" s="8">
        <f t="shared" si="64"/>
        <v>-25</v>
      </c>
      <c r="W624" s="233">
        <f t="shared" si="65"/>
        <v>-13216.5</v>
      </c>
    </row>
    <row r="625" spans="1:2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 s="188">
        <v>1000</v>
      </c>
      <c r="S625" s="8">
        <f t="shared" si="63"/>
        <v>-1000</v>
      </c>
      <c r="T625" s="234">
        <f t="shared" si="67"/>
        <v>-95999.999999961496</v>
      </c>
      <c r="U625" s="15">
        <v>25</v>
      </c>
      <c r="V625" s="8">
        <f t="shared" si="64"/>
        <v>-25</v>
      </c>
      <c r="W625" s="233">
        <f t="shared" si="65"/>
        <v>-13241.5</v>
      </c>
    </row>
    <row r="626" spans="1:2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 s="188">
        <v>1000</v>
      </c>
      <c r="S626" s="8">
        <f t="shared" si="63"/>
        <v>-1000</v>
      </c>
      <c r="T626" s="234">
        <f t="shared" si="67"/>
        <v>-96999.999999961496</v>
      </c>
      <c r="U626" s="15">
        <v>25</v>
      </c>
      <c r="V626" s="8">
        <f t="shared" si="64"/>
        <v>-25</v>
      </c>
      <c r="W626" s="233">
        <f t="shared" si="65"/>
        <v>-13266.5</v>
      </c>
    </row>
    <row r="627" spans="1:2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 s="188">
        <v>1000</v>
      </c>
      <c r="S627" s="8">
        <f t="shared" si="63"/>
        <v>-1000</v>
      </c>
      <c r="T627" s="234">
        <f t="shared" si="67"/>
        <v>-97999.999999961496</v>
      </c>
      <c r="U627" s="15">
        <v>25</v>
      </c>
      <c r="V627" s="8">
        <f t="shared" si="64"/>
        <v>-25</v>
      </c>
      <c r="W627" s="233">
        <f t="shared" si="65"/>
        <v>-13291.5</v>
      </c>
    </row>
    <row r="628" spans="1:2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 s="188">
        <v>1000</v>
      </c>
      <c r="S628" s="8">
        <f t="shared" si="63"/>
        <v>-1000</v>
      </c>
      <c r="T628" s="234">
        <f t="shared" si="67"/>
        <v>-98999.999999961496</v>
      </c>
      <c r="U628" s="15">
        <v>25</v>
      </c>
      <c r="V628" s="8">
        <f t="shared" si="64"/>
        <v>-25</v>
      </c>
      <c r="W628" s="233">
        <f t="shared" si="65"/>
        <v>-13316.5</v>
      </c>
    </row>
    <row r="629" spans="1:2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 s="188">
        <v>1000</v>
      </c>
      <c r="S629" s="8">
        <f t="shared" si="63"/>
        <v>-1000</v>
      </c>
      <c r="T629" s="234">
        <f t="shared" si="67"/>
        <v>-99999.999999961496</v>
      </c>
      <c r="U629" s="15">
        <v>25</v>
      </c>
      <c r="V629" s="8">
        <f t="shared" si="64"/>
        <v>-25</v>
      </c>
      <c r="W629" s="233">
        <f t="shared" si="65"/>
        <v>-13341.5</v>
      </c>
    </row>
    <row r="630" spans="1:2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 s="188">
        <v>1000</v>
      </c>
      <c r="S630" s="8">
        <f t="shared" si="63"/>
        <v>-1000</v>
      </c>
      <c r="T630" s="234">
        <f t="shared" si="67"/>
        <v>-100999.9999999615</v>
      </c>
      <c r="U630" s="15">
        <v>25</v>
      </c>
      <c r="V630" s="8">
        <f t="shared" si="64"/>
        <v>-25</v>
      </c>
      <c r="W630" s="233">
        <f t="shared" si="65"/>
        <v>-13366.5</v>
      </c>
    </row>
    <row r="631" spans="1:2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 s="188">
        <v>1000</v>
      </c>
      <c r="S631" s="8">
        <f t="shared" si="63"/>
        <v>-1000</v>
      </c>
      <c r="T631" s="234">
        <f t="shared" si="67"/>
        <v>-101999.9999999615</v>
      </c>
      <c r="U631" s="15">
        <v>25</v>
      </c>
      <c r="V631" s="8">
        <f t="shared" si="64"/>
        <v>-25</v>
      </c>
      <c r="W631" s="233">
        <f t="shared" si="65"/>
        <v>-13391.5</v>
      </c>
    </row>
    <row r="632" spans="1:2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 s="188">
        <v>1000</v>
      </c>
      <c r="S632" s="8">
        <f t="shared" si="63"/>
        <v>-1000</v>
      </c>
      <c r="T632" s="234">
        <f t="shared" si="67"/>
        <v>-102999.9999999615</v>
      </c>
      <c r="U632" s="15">
        <v>25</v>
      </c>
      <c r="V632" s="8">
        <f t="shared" si="64"/>
        <v>-25</v>
      </c>
      <c r="W632" s="233">
        <f t="shared" si="65"/>
        <v>-13416.5</v>
      </c>
    </row>
    <row r="633" spans="1:2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 s="188">
        <v>1000</v>
      </c>
      <c r="S633" s="8">
        <f t="shared" si="63"/>
        <v>-1000</v>
      </c>
      <c r="T633" s="234">
        <f t="shared" si="67"/>
        <v>-103999.9999999615</v>
      </c>
      <c r="U633" s="15">
        <v>25</v>
      </c>
      <c r="V633" s="8">
        <f t="shared" si="64"/>
        <v>-25</v>
      </c>
      <c r="W633" s="233">
        <f t="shared" si="65"/>
        <v>-13441.5</v>
      </c>
    </row>
    <row r="634" spans="1:2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 s="188">
        <v>1000</v>
      </c>
      <c r="S634" s="8">
        <f t="shared" si="63"/>
        <v>-1000</v>
      </c>
      <c r="T634" s="234">
        <f t="shared" si="67"/>
        <v>-104999.9999999615</v>
      </c>
      <c r="U634" s="15">
        <v>25</v>
      </c>
      <c r="V634" s="8">
        <f t="shared" si="64"/>
        <v>-25</v>
      </c>
      <c r="W634" s="233">
        <f t="shared" si="65"/>
        <v>-13466.5</v>
      </c>
    </row>
    <row r="635" spans="1:2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 s="188">
        <v>1000</v>
      </c>
      <c r="S635" s="8">
        <f t="shared" si="63"/>
        <v>-1000</v>
      </c>
      <c r="T635" s="234">
        <f t="shared" si="67"/>
        <v>-105999.9999999615</v>
      </c>
      <c r="U635" s="15">
        <v>25</v>
      </c>
      <c r="V635" s="8">
        <f t="shared" si="64"/>
        <v>-25</v>
      </c>
      <c r="W635" s="233">
        <f t="shared" si="65"/>
        <v>-13491.5</v>
      </c>
    </row>
    <row r="636" spans="1:2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 s="188">
        <v>1000</v>
      </c>
      <c r="S636" s="8">
        <f t="shared" si="63"/>
        <v>-1000</v>
      </c>
      <c r="T636" s="234">
        <f t="shared" si="67"/>
        <v>-106999.9999999615</v>
      </c>
      <c r="U636" s="15">
        <v>25</v>
      </c>
      <c r="V636" s="8">
        <f t="shared" si="64"/>
        <v>-25</v>
      </c>
      <c r="W636" s="233">
        <f t="shared" si="65"/>
        <v>-13516.5</v>
      </c>
    </row>
    <row r="637" spans="1:2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 s="188">
        <v>1000</v>
      </c>
      <c r="S637" s="8">
        <f t="shared" si="63"/>
        <v>-1000</v>
      </c>
      <c r="T637" s="234">
        <f t="shared" si="67"/>
        <v>-107999.9999999615</v>
      </c>
      <c r="U637" s="15">
        <v>25</v>
      </c>
      <c r="V637" s="8">
        <f t="shared" si="64"/>
        <v>-25</v>
      </c>
      <c r="W637" s="233">
        <f t="shared" si="65"/>
        <v>-13541.5</v>
      </c>
    </row>
    <row r="638" spans="1:2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 s="188">
        <v>1000</v>
      </c>
      <c r="S638" s="8">
        <f t="shared" si="63"/>
        <v>-1000</v>
      </c>
      <c r="T638" s="234">
        <f t="shared" si="67"/>
        <v>-108999.9999999615</v>
      </c>
      <c r="U638" s="15">
        <v>25</v>
      </c>
      <c r="V638" s="8">
        <f t="shared" si="64"/>
        <v>-25</v>
      </c>
      <c r="W638" s="233">
        <f t="shared" si="65"/>
        <v>-13566.5</v>
      </c>
    </row>
    <row r="639" spans="1:2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 s="188">
        <v>1000</v>
      </c>
      <c r="S639" s="8">
        <f t="shared" si="63"/>
        <v>-1000</v>
      </c>
      <c r="T639" s="234">
        <f t="shared" si="67"/>
        <v>-109999.9999999615</v>
      </c>
      <c r="U639" s="15">
        <v>25</v>
      </c>
      <c r="V639" s="8">
        <f t="shared" si="64"/>
        <v>-25</v>
      </c>
      <c r="W639" s="233">
        <f t="shared" si="65"/>
        <v>-13591.5</v>
      </c>
    </row>
    <row r="640" spans="1:2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 s="188">
        <v>1000</v>
      </c>
      <c r="S640" s="8">
        <f t="shared" si="63"/>
        <v>-1000</v>
      </c>
      <c r="T640" s="234">
        <f t="shared" si="67"/>
        <v>-110999.9999999615</v>
      </c>
      <c r="U640" s="15">
        <v>25</v>
      </c>
      <c r="V640" s="8">
        <f t="shared" si="64"/>
        <v>-25</v>
      </c>
      <c r="W640" s="233">
        <f t="shared" si="65"/>
        <v>-13616.5</v>
      </c>
    </row>
    <row r="641" spans="1:28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 s="188">
        <v>1000</v>
      </c>
      <c r="S641" s="8">
        <f t="shared" si="63"/>
        <v>-1000</v>
      </c>
      <c r="T641" s="234">
        <f t="shared" si="67"/>
        <v>-111999.9999999615</v>
      </c>
      <c r="U641" s="15">
        <v>25</v>
      </c>
      <c r="V641" s="8">
        <f t="shared" si="64"/>
        <v>-25</v>
      </c>
      <c r="W641" s="233">
        <f t="shared" si="65"/>
        <v>-13641.5</v>
      </c>
    </row>
    <row r="642" spans="1:28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 s="188">
        <v>1000</v>
      </c>
      <c r="S642" s="8">
        <f t="shared" si="63"/>
        <v>-1000</v>
      </c>
      <c r="T642" s="234">
        <f t="shared" si="67"/>
        <v>-112999.9999999615</v>
      </c>
      <c r="U642" s="15">
        <v>25</v>
      </c>
      <c r="V642" s="8">
        <f t="shared" si="64"/>
        <v>-25</v>
      </c>
      <c r="W642" s="233">
        <f t="shared" si="65"/>
        <v>-13666.5</v>
      </c>
    </row>
    <row r="643" spans="1:28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 s="188">
        <v>1000</v>
      </c>
      <c r="S643" s="8">
        <f t="shared" ref="S643:S706" si="68">IF(O643="won",R643*0.18,-R643)</f>
        <v>-1000</v>
      </c>
      <c r="T643" s="234">
        <f t="shared" si="67"/>
        <v>-113999.9999999615</v>
      </c>
      <c r="U643" s="15">
        <v>25</v>
      </c>
      <c r="V643" s="8">
        <f t="shared" ref="V643:V706" si="69">IF(O643="won",U643*0.18,-U643)</f>
        <v>-25</v>
      </c>
      <c r="W643" s="233">
        <f t="shared" ref="W643:W706" si="70">SUM(W642,V643)</f>
        <v>-13691.5</v>
      </c>
    </row>
    <row r="644" spans="1:28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 s="188">
        <v>1000</v>
      </c>
      <c r="S644" s="8">
        <f t="shared" si="68"/>
        <v>-1000</v>
      </c>
      <c r="T644" s="234">
        <f t="shared" si="67"/>
        <v>-114999.9999999615</v>
      </c>
      <c r="U644" s="15">
        <v>25</v>
      </c>
      <c r="V644" s="8">
        <f t="shared" si="69"/>
        <v>-25</v>
      </c>
      <c r="W644" s="233">
        <f t="shared" si="70"/>
        <v>-13716.5</v>
      </c>
    </row>
    <row r="645" spans="1:28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 s="188">
        <v>1000</v>
      </c>
      <c r="S645" s="8">
        <f t="shared" si="68"/>
        <v>-1000</v>
      </c>
      <c r="T645" s="234">
        <f t="shared" si="67"/>
        <v>-115999.9999999615</v>
      </c>
      <c r="U645" s="15">
        <v>25</v>
      </c>
      <c r="V645" s="8">
        <f t="shared" si="69"/>
        <v>-25</v>
      </c>
      <c r="W645" s="233">
        <f t="shared" si="70"/>
        <v>-13741.5</v>
      </c>
    </row>
    <row r="646" spans="1:28" s="39" customForma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 s="188">
        <v>1000</v>
      </c>
      <c r="S646" s="8">
        <f t="shared" si="68"/>
        <v>-1000</v>
      </c>
      <c r="T646" s="234">
        <f t="shared" si="67"/>
        <v>-116999.9999999615</v>
      </c>
      <c r="U646" s="15">
        <v>25</v>
      </c>
      <c r="V646" s="8">
        <f t="shared" si="69"/>
        <v>-25</v>
      </c>
      <c r="W646" s="233">
        <f t="shared" si="70"/>
        <v>-13766.5</v>
      </c>
      <c r="Z646" s="40"/>
      <c r="AA646" s="245"/>
      <c r="AB646" s="40"/>
    </row>
    <row r="647" spans="1:28" ht="15.7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 s="188">
        <v>1000</v>
      </c>
      <c r="S647" s="8">
        <f t="shared" si="68"/>
        <v>-1000</v>
      </c>
      <c r="T647" s="234">
        <f t="shared" si="67"/>
        <v>-117999.9999999615</v>
      </c>
      <c r="U647" s="15">
        <v>25</v>
      </c>
      <c r="V647" s="8">
        <f t="shared" si="69"/>
        <v>-25</v>
      </c>
      <c r="W647" s="233">
        <f t="shared" si="70"/>
        <v>-13791.5</v>
      </c>
    </row>
    <row r="648" spans="1:28" ht="15.7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 s="188">
        <v>1000</v>
      </c>
      <c r="S648" s="8">
        <f t="shared" si="68"/>
        <v>-1000</v>
      </c>
      <c r="T648" s="234">
        <f t="shared" si="67"/>
        <v>-118999.9999999615</v>
      </c>
      <c r="U648" s="15">
        <v>25</v>
      </c>
      <c r="V648" s="8">
        <f t="shared" si="69"/>
        <v>-25</v>
      </c>
      <c r="W648" s="233">
        <f t="shared" si="70"/>
        <v>-13816.5</v>
      </c>
    </row>
    <row r="649" spans="1:28" ht="15.7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 s="188">
        <v>1000</v>
      </c>
      <c r="S649" s="8">
        <f t="shared" si="68"/>
        <v>-1000</v>
      </c>
      <c r="T649" s="234">
        <f t="shared" si="67"/>
        <v>-119999.9999999615</v>
      </c>
      <c r="U649" s="15">
        <v>25</v>
      </c>
      <c r="V649" s="8">
        <f t="shared" si="69"/>
        <v>-25</v>
      </c>
      <c r="W649" s="233">
        <f t="shared" si="70"/>
        <v>-13841.5</v>
      </c>
    </row>
    <row r="650" spans="1:28" ht="15.7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 s="188">
        <v>1000</v>
      </c>
      <c r="S650" s="8">
        <f t="shared" si="68"/>
        <v>-1000</v>
      </c>
      <c r="T650" s="234">
        <f t="shared" si="67"/>
        <v>-120999.9999999615</v>
      </c>
      <c r="U650" s="15">
        <v>25</v>
      </c>
      <c r="V650" s="8">
        <f t="shared" si="69"/>
        <v>-25</v>
      </c>
      <c r="W650" s="233">
        <f t="shared" si="70"/>
        <v>-13866.5</v>
      </c>
    </row>
    <row r="651" spans="1:28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 s="188">
        <v>1000</v>
      </c>
      <c r="S651" s="8">
        <f t="shared" si="68"/>
        <v>-1000</v>
      </c>
      <c r="T651" s="234">
        <f t="shared" si="67"/>
        <v>-121999.9999999615</v>
      </c>
      <c r="U651" s="15">
        <v>25</v>
      </c>
      <c r="V651" s="8">
        <f t="shared" si="69"/>
        <v>-25</v>
      </c>
      <c r="W651" s="233">
        <f t="shared" si="70"/>
        <v>-13891.5</v>
      </c>
    </row>
    <row r="652" spans="1:28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 s="188">
        <v>1000</v>
      </c>
      <c r="S652" s="8">
        <f t="shared" si="68"/>
        <v>-1000</v>
      </c>
      <c r="T652" s="234">
        <f t="shared" si="67"/>
        <v>-122999.9999999615</v>
      </c>
      <c r="U652" s="15">
        <v>25</v>
      </c>
      <c r="V652" s="8">
        <f t="shared" si="69"/>
        <v>-25</v>
      </c>
      <c r="W652" s="233">
        <f t="shared" si="70"/>
        <v>-13916.5</v>
      </c>
    </row>
    <row r="653" spans="1:28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 s="188">
        <v>1000</v>
      </c>
      <c r="S653" s="8">
        <f t="shared" si="68"/>
        <v>-1000</v>
      </c>
      <c r="T653" s="234">
        <f t="shared" si="67"/>
        <v>-123999.9999999615</v>
      </c>
      <c r="U653" s="15">
        <v>25</v>
      </c>
      <c r="V653" s="8">
        <f t="shared" si="69"/>
        <v>-25</v>
      </c>
      <c r="W653" s="233">
        <f t="shared" si="70"/>
        <v>-13941.5</v>
      </c>
    </row>
    <row r="654" spans="1:28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 s="188">
        <v>1000</v>
      </c>
      <c r="S654" s="8">
        <f t="shared" si="68"/>
        <v>-1000</v>
      </c>
      <c r="T654" s="234">
        <f t="shared" si="67"/>
        <v>-124999.9999999615</v>
      </c>
      <c r="U654" s="15">
        <v>25</v>
      </c>
      <c r="V654" s="8">
        <f t="shared" si="69"/>
        <v>-25</v>
      </c>
      <c r="W654" s="233">
        <f t="shared" si="70"/>
        <v>-13966.5</v>
      </c>
    </row>
    <row r="655" spans="1:28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 s="188">
        <v>1000</v>
      </c>
      <c r="S655" s="8">
        <f t="shared" si="68"/>
        <v>-1000</v>
      </c>
      <c r="T655" s="234">
        <f t="shared" si="67"/>
        <v>-125999.9999999615</v>
      </c>
      <c r="U655" s="15">
        <v>25</v>
      </c>
      <c r="V655" s="8">
        <f t="shared" si="69"/>
        <v>-25</v>
      </c>
      <c r="W655" s="233">
        <f t="shared" si="70"/>
        <v>-13991.5</v>
      </c>
    </row>
    <row r="656" spans="1:28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 s="188">
        <v>1000</v>
      </c>
      <c r="S656" s="8">
        <f t="shared" si="68"/>
        <v>-1000</v>
      </c>
      <c r="T656" s="234">
        <f t="shared" si="67"/>
        <v>-126999.9999999615</v>
      </c>
      <c r="U656" s="15">
        <v>25</v>
      </c>
      <c r="V656" s="8">
        <f t="shared" si="69"/>
        <v>-25</v>
      </c>
      <c r="W656" s="233">
        <f t="shared" si="70"/>
        <v>-14016.5</v>
      </c>
    </row>
    <row r="657" spans="1:2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 s="188">
        <v>1000</v>
      </c>
      <c r="S657" s="8">
        <f t="shared" si="68"/>
        <v>-1000</v>
      </c>
      <c r="T657" s="234">
        <f t="shared" si="67"/>
        <v>-127999.9999999615</v>
      </c>
      <c r="U657" s="15">
        <v>25</v>
      </c>
      <c r="V657" s="8">
        <f t="shared" si="69"/>
        <v>-25</v>
      </c>
      <c r="W657" s="233">
        <f t="shared" si="70"/>
        <v>-14041.5</v>
      </c>
    </row>
    <row r="658" spans="1:2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 s="188">
        <v>1000</v>
      </c>
      <c r="S658" s="8">
        <f t="shared" si="68"/>
        <v>-1000</v>
      </c>
      <c r="T658" s="234">
        <f t="shared" si="67"/>
        <v>-128999.9999999615</v>
      </c>
      <c r="U658" s="15">
        <v>25</v>
      </c>
      <c r="V658" s="8">
        <f t="shared" si="69"/>
        <v>-25</v>
      </c>
      <c r="W658" s="233">
        <f t="shared" si="70"/>
        <v>-14066.5</v>
      </c>
    </row>
    <row r="659" spans="1:2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 s="188">
        <v>1000</v>
      </c>
      <c r="S659" s="8">
        <f t="shared" si="68"/>
        <v>-1000</v>
      </c>
      <c r="T659" s="234">
        <f t="shared" si="67"/>
        <v>-129999.9999999615</v>
      </c>
      <c r="U659" s="15">
        <v>25</v>
      </c>
      <c r="V659" s="8">
        <f t="shared" si="69"/>
        <v>-25</v>
      </c>
      <c r="W659" s="233">
        <f t="shared" si="70"/>
        <v>-14091.5</v>
      </c>
    </row>
    <row r="660" spans="1:2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 s="188">
        <v>1000</v>
      </c>
      <c r="S660" s="8">
        <f t="shared" si="68"/>
        <v>-1000</v>
      </c>
      <c r="T660" s="234">
        <f t="shared" si="67"/>
        <v>-130999.9999999615</v>
      </c>
      <c r="U660" s="15">
        <v>25</v>
      </c>
      <c r="V660" s="8">
        <f t="shared" si="69"/>
        <v>-25</v>
      </c>
      <c r="W660" s="233">
        <f t="shared" si="70"/>
        <v>-14116.5</v>
      </c>
    </row>
    <row r="661" spans="1:2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 s="188">
        <v>1000</v>
      </c>
      <c r="S661" s="8">
        <f t="shared" si="68"/>
        <v>-1000</v>
      </c>
      <c r="T661" s="234">
        <f t="shared" si="67"/>
        <v>-131999.9999999615</v>
      </c>
      <c r="U661" s="15">
        <v>25</v>
      </c>
      <c r="V661" s="8">
        <f t="shared" si="69"/>
        <v>-25</v>
      </c>
      <c r="W661" s="233">
        <f t="shared" si="70"/>
        <v>-14141.5</v>
      </c>
    </row>
    <row r="662" spans="1:2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 s="188">
        <v>1000</v>
      </c>
      <c r="S662" s="8">
        <f t="shared" si="68"/>
        <v>-1000</v>
      </c>
      <c r="T662" s="234">
        <f t="shared" si="67"/>
        <v>-132999.9999999615</v>
      </c>
      <c r="U662" s="15">
        <v>25</v>
      </c>
      <c r="V662" s="8">
        <f t="shared" si="69"/>
        <v>-25</v>
      </c>
      <c r="W662" s="233">
        <f t="shared" si="70"/>
        <v>-14166.5</v>
      </c>
    </row>
    <row r="663" spans="1:2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 s="188">
        <v>1000</v>
      </c>
      <c r="S663" s="8">
        <f t="shared" si="68"/>
        <v>-1000</v>
      </c>
      <c r="T663" s="234">
        <f t="shared" si="67"/>
        <v>-133999.9999999615</v>
      </c>
      <c r="U663" s="15">
        <v>25</v>
      </c>
      <c r="V663" s="8">
        <f t="shared" si="69"/>
        <v>-25</v>
      </c>
      <c r="W663" s="233">
        <f t="shared" si="70"/>
        <v>-14191.5</v>
      </c>
    </row>
    <row r="664" spans="1:2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 s="188">
        <v>1000</v>
      </c>
      <c r="S664" s="8">
        <f t="shared" si="68"/>
        <v>-1000</v>
      </c>
      <c r="T664" s="234">
        <f t="shared" si="67"/>
        <v>-134999.9999999615</v>
      </c>
      <c r="U664" s="15">
        <v>25</v>
      </c>
      <c r="V664" s="8">
        <f t="shared" si="69"/>
        <v>-25</v>
      </c>
      <c r="W664" s="233">
        <f t="shared" si="70"/>
        <v>-14216.5</v>
      </c>
    </row>
    <row r="665" spans="1:2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 s="188">
        <v>1000</v>
      </c>
      <c r="S665" s="8">
        <f t="shared" si="68"/>
        <v>-1000</v>
      </c>
      <c r="T665" s="234">
        <f t="shared" si="67"/>
        <v>-135999.9999999615</v>
      </c>
      <c r="U665" s="15">
        <v>25</v>
      </c>
      <c r="V665" s="8">
        <f t="shared" si="69"/>
        <v>-25</v>
      </c>
      <c r="W665" s="233">
        <f t="shared" si="70"/>
        <v>-14241.5</v>
      </c>
    </row>
    <row r="666" spans="1:2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 s="188">
        <v>1000</v>
      </c>
      <c r="S666" s="8">
        <f t="shared" si="68"/>
        <v>-1000</v>
      </c>
      <c r="T666" s="234">
        <f t="shared" si="67"/>
        <v>-136999.9999999615</v>
      </c>
      <c r="U666" s="15">
        <v>25</v>
      </c>
      <c r="V666" s="8">
        <f t="shared" si="69"/>
        <v>-25</v>
      </c>
      <c r="W666" s="233">
        <f t="shared" si="70"/>
        <v>-14266.5</v>
      </c>
    </row>
    <row r="667" spans="1:2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 s="188">
        <v>1000</v>
      </c>
      <c r="S667" s="8">
        <f t="shared" si="68"/>
        <v>-1000</v>
      </c>
      <c r="T667" s="234">
        <f t="shared" si="67"/>
        <v>-137999.9999999615</v>
      </c>
      <c r="U667" s="15">
        <v>25</v>
      </c>
      <c r="V667" s="8">
        <f t="shared" si="69"/>
        <v>-25</v>
      </c>
      <c r="W667" s="233">
        <f t="shared" si="70"/>
        <v>-14291.5</v>
      </c>
    </row>
    <row r="668" spans="1:2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 s="188">
        <v>1000</v>
      </c>
      <c r="S668" s="8">
        <f t="shared" si="68"/>
        <v>-1000</v>
      </c>
      <c r="T668" s="234">
        <f t="shared" ref="T668:T695" si="71">SUM(T667,S668)</f>
        <v>-138999.9999999615</v>
      </c>
      <c r="U668" s="15">
        <v>25</v>
      </c>
      <c r="V668" s="8">
        <f t="shared" si="69"/>
        <v>-25</v>
      </c>
      <c r="W668" s="233">
        <f t="shared" si="70"/>
        <v>-14316.5</v>
      </c>
    </row>
    <row r="669" spans="1:2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 s="188">
        <v>1000</v>
      </c>
      <c r="S669" s="8">
        <f t="shared" si="68"/>
        <v>-1000</v>
      </c>
      <c r="T669" s="234">
        <f t="shared" si="71"/>
        <v>-139999.9999999615</v>
      </c>
      <c r="U669" s="15">
        <v>25</v>
      </c>
      <c r="V669" s="8">
        <f t="shared" si="69"/>
        <v>-25</v>
      </c>
      <c r="W669" s="233">
        <f t="shared" si="70"/>
        <v>-14341.5</v>
      </c>
    </row>
    <row r="670" spans="1:2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 s="188">
        <v>1000</v>
      </c>
      <c r="S670" s="8">
        <f t="shared" si="68"/>
        <v>-1000</v>
      </c>
      <c r="T670" s="234">
        <f t="shared" si="71"/>
        <v>-140999.9999999615</v>
      </c>
      <c r="U670" s="15">
        <v>25</v>
      </c>
      <c r="V670" s="8">
        <f t="shared" si="69"/>
        <v>-25</v>
      </c>
      <c r="W670" s="233">
        <f t="shared" si="70"/>
        <v>-14366.5</v>
      </c>
    </row>
    <row r="671" spans="1:2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 s="188">
        <v>1000</v>
      </c>
      <c r="S671" s="8">
        <f t="shared" si="68"/>
        <v>-1000</v>
      </c>
      <c r="T671" s="234">
        <f t="shared" si="71"/>
        <v>-141999.9999999615</v>
      </c>
      <c r="U671" s="15">
        <v>25</v>
      </c>
      <c r="V671" s="8">
        <f t="shared" si="69"/>
        <v>-25</v>
      </c>
      <c r="W671" s="233">
        <f t="shared" si="70"/>
        <v>-14391.5</v>
      </c>
    </row>
    <row r="672" spans="1:2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 s="188">
        <v>1000</v>
      </c>
      <c r="S672" s="8">
        <f t="shared" si="68"/>
        <v>-1000</v>
      </c>
      <c r="T672" s="234">
        <f t="shared" si="71"/>
        <v>-142999.9999999615</v>
      </c>
      <c r="U672" s="15">
        <v>25</v>
      </c>
      <c r="V672" s="8">
        <f t="shared" si="69"/>
        <v>-25</v>
      </c>
      <c r="W672" s="233">
        <f t="shared" si="70"/>
        <v>-14416.5</v>
      </c>
    </row>
    <row r="673" spans="1:2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 s="188">
        <v>1000</v>
      </c>
      <c r="S673" s="8">
        <f t="shared" si="68"/>
        <v>-1000</v>
      </c>
      <c r="T673" s="234">
        <f t="shared" si="71"/>
        <v>-143999.9999999615</v>
      </c>
      <c r="U673" s="15">
        <v>25</v>
      </c>
      <c r="V673" s="8">
        <f t="shared" si="69"/>
        <v>-25</v>
      </c>
      <c r="W673" s="233">
        <f t="shared" si="70"/>
        <v>-14441.5</v>
      </c>
    </row>
    <row r="674" spans="1:2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 s="188">
        <v>1000</v>
      </c>
      <c r="S674" s="8">
        <f t="shared" si="68"/>
        <v>-1000</v>
      </c>
      <c r="T674" s="234">
        <f t="shared" si="71"/>
        <v>-144999.9999999615</v>
      </c>
      <c r="U674" s="15">
        <v>25</v>
      </c>
      <c r="V674" s="8">
        <f t="shared" si="69"/>
        <v>-25</v>
      </c>
      <c r="W674" s="233">
        <f t="shared" si="70"/>
        <v>-14466.5</v>
      </c>
    </row>
    <row r="675" spans="1:2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 s="188">
        <v>1000</v>
      </c>
      <c r="S675" s="8">
        <f t="shared" si="68"/>
        <v>-1000</v>
      </c>
      <c r="T675" s="234">
        <f t="shared" si="71"/>
        <v>-145999.9999999615</v>
      </c>
      <c r="U675" s="15">
        <v>25</v>
      </c>
      <c r="V675" s="8">
        <f t="shared" si="69"/>
        <v>-25</v>
      </c>
      <c r="W675" s="233">
        <f t="shared" si="70"/>
        <v>-14491.5</v>
      </c>
    </row>
    <row r="676" spans="1:2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 s="188">
        <v>1000</v>
      </c>
      <c r="S676" s="8">
        <f t="shared" si="68"/>
        <v>-1000</v>
      </c>
      <c r="T676" s="234">
        <f t="shared" si="71"/>
        <v>-146999.9999999615</v>
      </c>
      <c r="U676" s="15">
        <v>25</v>
      </c>
      <c r="V676" s="8">
        <f t="shared" si="69"/>
        <v>-25</v>
      </c>
      <c r="W676" s="233">
        <f t="shared" si="70"/>
        <v>-14516.5</v>
      </c>
    </row>
    <row r="677" spans="1:2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 s="188">
        <v>1000</v>
      </c>
      <c r="S677" s="8">
        <f t="shared" si="68"/>
        <v>-1000</v>
      </c>
      <c r="T677" s="234">
        <f t="shared" si="71"/>
        <v>-147999.9999999615</v>
      </c>
      <c r="U677" s="15">
        <v>25</v>
      </c>
      <c r="V677" s="8">
        <f t="shared" si="69"/>
        <v>-25</v>
      </c>
      <c r="W677" s="233">
        <f t="shared" si="70"/>
        <v>-14541.5</v>
      </c>
    </row>
    <row r="678" spans="1:2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 s="188">
        <v>1000</v>
      </c>
      <c r="S678" s="8">
        <f t="shared" si="68"/>
        <v>-1000</v>
      </c>
      <c r="T678" s="234">
        <f t="shared" si="71"/>
        <v>-148999.9999999615</v>
      </c>
      <c r="U678" s="15">
        <v>25</v>
      </c>
      <c r="V678" s="8">
        <f t="shared" si="69"/>
        <v>-25</v>
      </c>
      <c r="W678" s="233">
        <f t="shared" si="70"/>
        <v>-14566.5</v>
      </c>
    </row>
    <row r="679" spans="1:2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 s="188">
        <v>1000</v>
      </c>
      <c r="S679" s="8">
        <f t="shared" si="68"/>
        <v>-1000</v>
      </c>
      <c r="T679" s="234">
        <f t="shared" si="71"/>
        <v>-149999.9999999615</v>
      </c>
      <c r="U679" s="15">
        <v>25</v>
      </c>
      <c r="V679" s="8">
        <f t="shared" si="69"/>
        <v>-25</v>
      </c>
      <c r="W679" s="233">
        <f t="shared" si="70"/>
        <v>-14591.5</v>
      </c>
    </row>
    <row r="680" spans="1:2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 s="188">
        <v>1000</v>
      </c>
      <c r="S680" s="8">
        <f t="shared" si="68"/>
        <v>-1000</v>
      </c>
      <c r="T680" s="234">
        <f t="shared" si="71"/>
        <v>-150999.9999999615</v>
      </c>
      <c r="U680" s="15">
        <v>25</v>
      </c>
      <c r="V680" s="8">
        <f t="shared" si="69"/>
        <v>-25</v>
      </c>
      <c r="W680" s="233">
        <f t="shared" si="70"/>
        <v>-14616.5</v>
      </c>
    </row>
    <row r="681" spans="1:2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 s="188">
        <v>1000</v>
      </c>
      <c r="S681" s="8">
        <f t="shared" si="68"/>
        <v>-1000</v>
      </c>
      <c r="T681" s="234">
        <f t="shared" si="71"/>
        <v>-151999.9999999615</v>
      </c>
      <c r="U681" s="15">
        <v>25</v>
      </c>
      <c r="V681" s="8">
        <f t="shared" si="69"/>
        <v>-25</v>
      </c>
      <c r="W681" s="233">
        <f t="shared" si="70"/>
        <v>-14641.5</v>
      </c>
    </row>
    <row r="682" spans="1:2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 s="188">
        <v>1000</v>
      </c>
      <c r="S682" s="8">
        <f t="shared" si="68"/>
        <v>-1000</v>
      </c>
      <c r="T682" s="234">
        <f t="shared" si="71"/>
        <v>-152999.9999999615</v>
      </c>
      <c r="U682" s="15">
        <v>25</v>
      </c>
      <c r="V682" s="8">
        <f t="shared" si="69"/>
        <v>-25</v>
      </c>
      <c r="W682" s="233">
        <f t="shared" si="70"/>
        <v>-14666.5</v>
      </c>
    </row>
    <row r="683" spans="1:2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 s="188">
        <v>1000</v>
      </c>
      <c r="S683" s="8">
        <f t="shared" si="68"/>
        <v>-1000</v>
      </c>
      <c r="T683" s="234">
        <f t="shared" si="71"/>
        <v>-153999.9999999615</v>
      </c>
      <c r="U683" s="15">
        <v>25</v>
      </c>
      <c r="V683" s="8">
        <f t="shared" si="69"/>
        <v>-25</v>
      </c>
      <c r="W683" s="233">
        <f t="shared" si="70"/>
        <v>-14691.5</v>
      </c>
    </row>
    <row r="684" spans="1:2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 s="188">
        <v>1000</v>
      </c>
      <c r="S684" s="8">
        <f t="shared" si="68"/>
        <v>-1000</v>
      </c>
      <c r="T684" s="234">
        <f t="shared" si="71"/>
        <v>-154999.9999999615</v>
      </c>
      <c r="U684" s="15">
        <v>25</v>
      </c>
      <c r="V684" s="8">
        <f t="shared" si="69"/>
        <v>-25</v>
      </c>
      <c r="W684" s="233">
        <f t="shared" si="70"/>
        <v>-14716.5</v>
      </c>
    </row>
    <row r="685" spans="1:2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 s="188">
        <v>1000</v>
      </c>
      <c r="S685" s="8">
        <f t="shared" si="68"/>
        <v>-1000</v>
      </c>
      <c r="T685" s="234">
        <f t="shared" si="71"/>
        <v>-155999.9999999615</v>
      </c>
      <c r="U685" s="15">
        <v>25</v>
      </c>
      <c r="V685" s="8">
        <f t="shared" si="69"/>
        <v>-25</v>
      </c>
      <c r="W685" s="233">
        <f t="shared" si="70"/>
        <v>-14741.5</v>
      </c>
    </row>
    <row r="686" spans="1:2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 s="188">
        <v>1000</v>
      </c>
      <c r="S686" s="8">
        <f t="shared" si="68"/>
        <v>-1000</v>
      </c>
      <c r="T686" s="234">
        <f t="shared" si="71"/>
        <v>-156999.9999999615</v>
      </c>
      <c r="U686" s="15">
        <v>25</v>
      </c>
      <c r="V686" s="8">
        <f t="shared" si="69"/>
        <v>-25</v>
      </c>
      <c r="W686" s="233">
        <f t="shared" si="70"/>
        <v>-14766.5</v>
      </c>
    </row>
    <row r="687" spans="1:2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 s="188">
        <v>1000</v>
      </c>
      <c r="S687" s="8">
        <f t="shared" si="68"/>
        <v>-1000</v>
      </c>
      <c r="T687" s="234">
        <f t="shared" si="71"/>
        <v>-157999.9999999615</v>
      </c>
      <c r="U687" s="15">
        <v>25</v>
      </c>
      <c r="V687" s="8">
        <f t="shared" si="69"/>
        <v>-25</v>
      </c>
      <c r="W687" s="233">
        <f t="shared" si="70"/>
        <v>-14791.5</v>
      </c>
    </row>
    <row r="688" spans="1:2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 s="188">
        <v>1000</v>
      </c>
      <c r="S688" s="8">
        <f t="shared" si="68"/>
        <v>-1000</v>
      </c>
      <c r="T688" s="234">
        <f t="shared" si="71"/>
        <v>-158999.9999999615</v>
      </c>
      <c r="U688" s="15">
        <v>25</v>
      </c>
      <c r="V688" s="8">
        <f t="shared" si="69"/>
        <v>-25</v>
      </c>
      <c r="W688" s="233">
        <f t="shared" si="70"/>
        <v>-14816.5</v>
      </c>
    </row>
    <row r="689" spans="1:2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 s="188">
        <v>1000</v>
      </c>
      <c r="S689" s="8">
        <f t="shared" si="68"/>
        <v>-1000</v>
      </c>
      <c r="T689" s="234">
        <f t="shared" si="71"/>
        <v>-159999.9999999615</v>
      </c>
      <c r="U689" s="15">
        <v>25</v>
      </c>
      <c r="V689" s="8">
        <f t="shared" si="69"/>
        <v>-25</v>
      </c>
      <c r="W689" s="233">
        <f t="shared" si="70"/>
        <v>-14841.5</v>
      </c>
    </row>
    <row r="690" spans="1:2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 s="188">
        <v>1000</v>
      </c>
      <c r="S690" s="8">
        <f t="shared" si="68"/>
        <v>-1000</v>
      </c>
      <c r="T690" s="234">
        <f t="shared" si="71"/>
        <v>-160999.9999999615</v>
      </c>
      <c r="U690" s="15">
        <v>25</v>
      </c>
      <c r="V690" s="8">
        <f t="shared" si="69"/>
        <v>-25</v>
      </c>
      <c r="W690" s="233">
        <f t="shared" si="70"/>
        <v>-14866.5</v>
      </c>
    </row>
    <row r="691" spans="1:2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 s="188">
        <v>1000</v>
      </c>
      <c r="S691" s="8">
        <f t="shared" si="68"/>
        <v>-1000</v>
      </c>
      <c r="T691" s="234">
        <f t="shared" si="71"/>
        <v>-161999.9999999615</v>
      </c>
      <c r="U691" s="15">
        <v>25</v>
      </c>
      <c r="V691" s="8">
        <f t="shared" si="69"/>
        <v>-25</v>
      </c>
      <c r="W691" s="233">
        <f t="shared" si="70"/>
        <v>-14891.5</v>
      </c>
    </row>
    <row r="692" spans="1:2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 s="188">
        <v>1000</v>
      </c>
      <c r="S692" s="8">
        <f t="shared" si="68"/>
        <v>-1000</v>
      </c>
      <c r="T692" s="234">
        <f t="shared" si="71"/>
        <v>-162999.9999999615</v>
      </c>
      <c r="U692" s="15">
        <v>25</v>
      </c>
      <c r="V692" s="8">
        <f t="shared" si="69"/>
        <v>-25</v>
      </c>
      <c r="W692" s="233">
        <f t="shared" si="70"/>
        <v>-14916.5</v>
      </c>
    </row>
    <row r="693" spans="1:2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 s="188">
        <v>1000</v>
      </c>
      <c r="S693" s="8">
        <f t="shared" si="68"/>
        <v>-1000</v>
      </c>
      <c r="T693" s="234">
        <f t="shared" si="71"/>
        <v>-163999.9999999615</v>
      </c>
      <c r="U693" s="15">
        <v>25</v>
      </c>
      <c r="V693" s="8">
        <f t="shared" si="69"/>
        <v>-25</v>
      </c>
      <c r="W693" s="233">
        <f t="shared" si="70"/>
        <v>-14941.5</v>
      </c>
    </row>
    <row r="694" spans="1:2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 s="188">
        <v>1000</v>
      </c>
      <c r="S694" s="8">
        <f t="shared" si="68"/>
        <v>-1000</v>
      </c>
      <c r="T694" s="234">
        <f t="shared" si="71"/>
        <v>-164999.9999999615</v>
      </c>
      <c r="U694" s="15">
        <v>25</v>
      </c>
      <c r="V694" s="8">
        <f t="shared" si="69"/>
        <v>-25</v>
      </c>
      <c r="W694" s="233">
        <f t="shared" si="70"/>
        <v>-14966.5</v>
      </c>
    </row>
    <row r="695" spans="1:2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 s="188">
        <v>1000</v>
      </c>
      <c r="S695" s="8">
        <f t="shared" si="68"/>
        <v>-1000</v>
      </c>
      <c r="T695" s="234">
        <f t="shared" si="71"/>
        <v>-165999.9999999615</v>
      </c>
      <c r="U695" s="15">
        <v>25</v>
      </c>
      <c r="V695" s="8">
        <f t="shared" si="69"/>
        <v>-25</v>
      </c>
      <c r="W695" s="233">
        <f t="shared" si="70"/>
        <v>-14991.5</v>
      </c>
    </row>
    <row r="696" spans="1:2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 s="188">
        <v>1000</v>
      </c>
      <c r="S696" s="8">
        <f t="shared" si="68"/>
        <v>-1000</v>
      </c>
      <c r="T696" s="234">
        <f>SUM(T695,S696)</f>
        <v>-166999.9999999615</v>
      </c>
      <c r="U696" s="15">
        <v>25</v>
      </c>
      <c r="V696" s="8">
        <f t="shared" si="69"/>
        <v>-25</v>
      </c>
      <c r="W696" s="233">
        <f t="shared" si="70"/>
        <v>-15016.5</v>
      </c>
    </row>
    <row r="697" spans="1:2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 s="188">
        <v>1000</v>
      </c>
      <c r="S697" s="8">
        <f t="shared" si="68"/>
        <v>-1000</v>
      </c>
      <c r="T697" s="234">
        <f t="shared" ref="T697:T718" si="72">SUM(T696,S697)</f>
        <v>-167999.9999999615</v>
      </c>
      <c r="U697" s="15">
        <v>25</v>
      </c>
      <c r="V697" s="8">
        <f t="shared" si="69"/>
        <v>-25</v>
      </c>
      <c r="W697" s="233">
        <f t="shared" si="70"/>
        <v>-15041.5</v>
      </c>
    </row>
    <row r="698" spans="1:2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 s="188">
        <v>1000</v>
      </c>
      <c r="S698" s="8">
        <f t="shared" si="68"/>
        <v>-1000</v>
      </c>
      <c r="T698" s="234">
        <f t="shared" si="72"/>
        <v>-168999.9999999615</v>
      </c>
      <c r="U698" s="15">
        <v>25</v>
      </c>
      <c r="V698" s="8">
        <f t="shared" si="69"/>
        <v>-25</v>
      </c>
      <c r="W698" s="233">
        <f t="shared" si="70"/>
        <v>-15066.5</v>
      </c>
    </row>
    <row r="699" spans="1:2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 s="188">
        <v>1000</v>
      </c>
      <c r="S699" s="8">
        <f t="shared" si="68"/>
        <v>-1000</v>
      </c>
      <c r="T699" s="234">
        <f t="shared" si="72"/>
        <v>-169999.9999999615</v>
      </c>
      <c r="U699" s="15">
        <v>25</v>
      </c>
      <c r="V699" s="8">
        <f t="shared" si="69"/>
        <v>-25</v>
      </c>
      <c r="W699" s="233">
        <f t="shared" si="70"/>
        <v>-15091.5</v>
      </c>
    </row>
    <row r="700" spans="1:2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 s="188">
        <v>1000</v>
      </c>
      <c r="S700" s="8">
        <f t="shared" si="68"/>
        <v>-1000</v>
      </c>
      <c r="T700" s="234">
        <f t="shared" si="72"/>
        <v>-170999.9999999615</v>
      </c>
      <c r="U700" s="15">
        <v>25</v>
      </c>
      <c r="V700" s="8">
        <f t="shared" si="69"/>
        <v>-25</v>
      </c>
      <c r="W700" s="233">
        <f t="shared" si="70"/>
        <v>-15116.5</v>
      </c>
    </row>
    <row r="701" spans="1:2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 s="188">
        <v>1000</v>
      </c>
      <c r="S701" s="8">
        <f t="shared" si="68"/>
        <v>-1000</v>
      </c>
      <c r="T701" s="234">
        <f t="shared" si="72"/>
        <v>-171999.9999999615</v>
      </c>
      <c r="U701" s="15">
        <v>25</v>
      </c>
      <c r="V701" s="8">
        <f t="shared" si="69"/>
        <v>-25</v>
      </c>
      <c r="W701" s="233">
        <f t="shared" si="70"/>
        <v>-15141.5</v>
      </c>
    </row>
    <row r="702" spans="1:2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 s="188">
        <v>1000</v>
      </c>
      <c r="S702" s="8">
        <f t="shared" si="68"/>
        <v>-1000</v>
      </c>
      <c r="T702" s="234">
        <f t="shared" si="72"/>
        <v>-172999.9999999615</v>
      </c>
      <c r="U702" s="15">
        <v>25</v>
      </c>
      <c r="V702" s="8">
        <f t="shared" si="69"/>
        <v>-25</v>
      </c>
      <c r="W702" s="233">
        <f t="shared" si="70"/>
        <v>-15166.5</v>
      </c>
    </row>
    <row r="703" spans="1:2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 s="188">
        <v>1000</v>
      </c>
      <c r="S703" s="8">
        <f t="shared" si="68"/>
        <v>-1000</v>
      </c>
      <c r="T703" s="234">
        <f t="shared" si="72"/>
        <v>-173999.9999999615</v>
      </c>
      <c r="U703" s="15">
        <v>25</v>
      </c>
      <c r="V703" s="8">
        <f t="shared" si="69"/>
        <v>-25</v>
      </c>
      <c r="W703" s="233">
        <f t="shared" si="70"/>
        <v>-15191.5</v>
      </c>
    </row>
    <row r="704" spans="1:2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 s="188">
        <v>1000</v>
      </c>
      <c r="S704" s="8">
        <f t="shared" si="68"/>
        <v>-1000</v>
      </c>
      <c r="T704" s="234">
        <f t="shared" si="72"/>
        <v>-174999.9999999615</v>
      </c>
      <c r="U704" s="15">
        <v>25</v>
      </c>
      <c r="V704" s="8">
        <f t="shared" si="69"/>
        <v>-25</v>
      </c>
      <c r="W704" s="233">
        <f t="shared" si="70"/>
        <v>-15216.5</v>
      </c>
    </row>
    <row r="705" spans="1:2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 s="188">
        <v>1000</v>
      </c>
      <c r="S705" s="8">
        <f t="shared" si="68"/>
        <v>-1000</v>
      </c>
      <c r="T705" s="234">
        <f t="shared" si="72"/>
        <v>-175999.9999999615</v>
      </c>
      <c r="U705" s="15">
        <v>25</v>
      </c>
      <c r="V705" s="8">
        <f t="shared" si="69"/>
        <v>-25</v>
      </c>
      <c r="W705" s="233">
        <f t="shared" si="70"/>
        <v>-15241.5</v>
      </c>
    </row>
    <row r="706" spans="1:2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 s="188">
        <v>1000</v>
      </c>
      <c r="S706" s="8">
        <f t="shared" si="68"/>
        <v>-1000</v>
      </c>
      <c r="T706" s="234">
        <f t="shared" si="72"/>
        <v>-176999.9999999615</v>
      </c>
      <c r="U706" s="15">
        <v>25</v>
      </c>
      <c r="V706" s="8">
        <f t="shared" si="69"/>
        <v>-25</v>
      </c>
      <c r="W706" s="233">
        <f t="shared" si="70"/>
        <v>-15266.5</v>
      </c>
    </row>
    <row r="707" spans="1:2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 s="188">
        <v>1000</v>
      </c>
      <c r="S707" s="8">
        <f t="shared" ref="S707:S770" si="73">IF(O707="won",R707*0.18,-R707)</f>
        <v>-1000</v>
      </c>
      <c r="T707" s="234">
        <f t="shared" si="72"/>
        <v>-177999.9999999615</v>
      </c>
      <c r="U707" s="15">
        <v>25</v>
      </c>
      <c r="V707" s="8">
        <f t="shared" ref="V707:V770" si="74">IF(O707="won",U707*0.18,-U707)</f>
        <v>-25</v>
      </c>
      <c r="W707" s="233">
        <f t="shared" ref="W707:W770" si="75">SUM(W706,V707)</f>
        <v>-15291.5</v>
      </c>
    </row>
    <row r="708" spans="1:2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 s="188">
        <v>1000</v>
      </c>
      <c r="S708" s="8">
        <f t="shared" si="73"/>
        <v>-1000</v>
      </c>
      <c r="T708" s="234">
        <f t="shared" si="72"/>
        <v>-178999.9999999615</v>
      </c>
      <c r="U708" s="15">
        <v>25</v>
      </c>
      <c r="V708" s="8">
        <f t="shared" si="74"/>
        <v>-25</v>
      </c>
      <c r="W708" s="233">
        <f t="shared" si="75"/>
        <v>-15316.5</v>
      </c>
    </row>
    <row r="709" spans="1:2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 s="188">
        <v>1000</v>
      </c>
      <c r="S709" s="8">
        <f t="shared" si="73"/>
        <v>-1000</v>
      </c>
      <c r="T709" s="234">
        <f t="shared" si="72"/>
        <v>-179999.9999999615</v>
      </c>
      <c r="U709" s="15">
        <v>25</v>
      </c>
      <c r="V709" s="8">
        <f t="shared" si="74"/>
        <v>-25</v>
      </c>
      <c r="W709" s="233">
        <f t="shared" si="75"/>
        <v>-15341.5</v>
      </c>
    </row>
    <row r="710" spans="1:2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 s="188">
        <v>1000</v>
      </c>
      <c r="S710" s="8">
        <f t="shared" si="73"/>
        <v>-1000</v>
      </c>
      <c r="T710" s="234">
        <f t="shared" si="72"/>
        <v>-180999.9999999615</v>
      </c>
      <c r="U710" s="15">
        <v>25</v>
      </c>
      <c r="V710" s="8">
        <f t="shared" si="74"/>
        <v>-25</v>
      </c>
      <c r="W710" s="233">
        <f t="shared" si="75"/>
        <v>-15366.5</v>
      </c>
    </row>
    <row r="711" spans="1:2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 s="188">
        <v>1000</v>
      </c>
      <c r="S711" s="8">
        <f t="shared" si="73"/>
        <v>-1000</v>
      </c>
      <c r="T711" s="234">
        <f t="shared" si="72"/>
        <v>-181999.9999999615</v>
      </c>
      <c r="U711" s="15">
        <v>25</v>
      </c>
      <c r="V711" s="8">
        <f t="shared" si="74"/>
        <v>-25</v>
      </c>
      <c r="W711" s="233">
        <f t="shared" si="75"/>
        <v>-15391.5</v>
      </c>
    </row>
    <row r="712" spans="1:2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 s="188">
        <v>1000</v>
      </c>
      <c r="S712" s="8">
        <f t="shared" si="73"/>
        <v>-1000</v>
      </c>
      <c r="T712" s="234">
        <f t="shared" si="72"/>
        <v>-182999.9999999615</v>
      </c>
      <c r="U712" s="15">
        <v>25</v>
      </c>
      <c r="V712" s="8">
        <f t="shared" si="74"/>
        <v>-25</v>
      </c>
      <c r="W712" s="233">
        <f t="shared" si="75"/>
        <v>-15416.5</v>
      </c>
    </row>
    <row r="713" spans="1:2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 s="188">
        <v>1000</v>
      </c>
      <c r="S713" s="8">
        <f t="shared" si="73"/>
        <v>-1000</v>
      </c>
      <c r="T713" s="234">
        <f t="shared" si="72"/>
        <v>-183999.9999999615</v>
      </c>
      <c r="U713" s="15">
        <v>25</v>
      </c>
      <c r="V713" s="8">
        <f t="shared" si="74"/>
        <v>-25</v>
      </c>
      <c r="W713" s="233">
        <f t="shared" si="75"/>
        <v>-15441.5</v>
      </c>
    </row>
    <row r="714" spans="1:2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 s="188">
        <v>1000</v>
      </c>
      <c r="S714" s="8">
        <f t="shared" si="73"/>
        <v>-1000</v>
      </c>
      <c r="T714" s="234">
        <f t="shared" si="72"/>
        <v>-184999.9999999615</v>
      </c>
      <c r="U714" s="15">
        <v>25</v>
      </c>
      <c r="V714" s="8">
        <f t="shared" si="74"/>
        <v>-25</v>
      </c>
      <c r="W714" s="233">
        <f t="shared" si="75"/>
        <v>-15466.5</v>
      </c>
    </row>
    <row r="715" spans="1:2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 s="188">
        <v>1000</v>
      </c>
      <c r="S715" s="8">
        <f t="shared" si="73"/>
        <v>-1000</v>
      </c>
      <c r="T715" s="234">
        <f t="shared" si="72"/>
        <v>-185999.9999999615</v>
      </c>
      <c r="U715" s="15">
        <v>25</v>
      </c>
      <c r="V715" s="8">
        <f t="shared" si="74"/>
        <v>-25</v>
      </c>
      <c r="W715" s="233">
        <f t="shared" si="75"/>
        <v>-15491.5</v>
      </c>
    </row>
    <row r="716" spans="1:2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 s="188">
        <v>1000</v>
      </c>
      <c r="S716" s="8">
        <f t="shared" si="73"/>
        <v>-1000</v>
      </c>
      <c r="T716" s="234">
        <f t="shared" si="72"/>
        <v>-186999.9999999615</v>
      </c>
      <c r="U716" s="15">
        <v>25</v>
      </c>
      <c r="V716" s="8">
        <f t="shared" si="74"/>
        <v>-25</v>
      </c>
      <c r="W716" s="233">
        <f t="shared" si="75"/>
        <v>-15516.5</v>
      </c>
    </row>
    <row r="717" spans="1:2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 s="188">
        <v>1000</v>
      </c>
      <c r="S717" s="8">
        <f t="shared" si="73"/>
        <v>-1000</v>
      </c>
      <c r="T717" s="234">
        <f t="shared" si="72"/>
        <v>-187999.9999999615</v>
      </c>
      <c r="U717" s="15">
        <v>25</v>
      </c>
      <c r="V717" s="8">
        <f t="shared" si="74"/>
        <v>-25</v>
      </c>
      <c r="W717" s="233">
        <f t="shared" si="75"/>
        <v>-15541.5</v>
      </c>
    </row>
    <row r="718" spans="1:2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 s="188">
        <v>1000</v>
      </c>
      <c r="S718" s="8">
        <f t="shared" si="73"/>
        <v>-1000</v>
      </c>
      <c r="T718" s="234">
        <f t="shared" si="72"/>
        <v>-188999.9999999615</v>
      </c>
      <c r="U718" s="15">
        <v>25</v>
      </c>
      <c r="V718" s="8">
        <f t="shared" si="74"/>
        <v>-25</v>
      </c>
      <c r="W718" s="233">
        <f t="shared" si="75"/>
        <v>-15566.5</v>
      </c>
    </row>
    <row r="719" spans="1:2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 s="188">
        <v>1000</v>
      </c>
      <c r="S719" s="8">
        <f t="shared" si="73"/>
        <v>-1000</v>
      </c>
      <c r="T719" s="234">
        <f>SUM(T718,S719)</f>
        <v>-189999.9999999615</v>
      </c>
      <c r="U719" s="15">
        <v>25</v>
      </c>
      <c r="V719" s="8">
        <f t="shared" si="74"/>
        <v>-25</v>
      </c>
      <c r="W719" s="233">
        <f t="shared" si="75"/>
        <v>-15591.5</v>
      </c>
    </row>
    <row r="720" spans="1:2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 s="188">
        <v>1000</v>
      </c>
      <c r="S720" s="8">
        <f t="shared" si="73"/>
        <v>-1000</v>
      </c>
      <c r="T720" s="234">
        <f t="shared" ref="T720:T783" si="76">SUM(T719,S720)</f>
        <v>-190999.9999999615</v>
      </c>
      <c r="U720" s="15">
        <v>25</v>
      </c>
      <c r="V720" s="8">
        <f t="shared" si="74"/>
        <v>-25</v>
      </c>
      <c r="W720" s="233">
        <f t="shared" si="75"/>
        <v>-15616.5</v>
      </c>
    </row>
    <row r="721" spans="1:2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 s="188">
        <v>1000</v>
      </c>
      <c r="S721" s="8">
        <f t="shared" si="73"/>
        <v>-1000</v>
      </c>
      <c r="T721" s="234">
        <f t="shared" si="76"/>
        <v>-191999.9999999615</v>
      </c>
      <c r="U721" s="15">
        <v>25</v>
      </c>
      <c r="V721" s="8">
        <f t="shared" si="74"/>
        <v>-25</v>
      </c>
      <c r="W721" s="233">
        <f t="shared" si="75"/>
        <v>-15641.5</v>
      </c>
    </row>
    <row r="722" spans="1:2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 s="188">
        <v>1000</v>
      </c>
      <c r="S722" s="8">
        <f t="shared" si="73"/>
        <v>-1000</v>
      </c>
      <c r="T722" s="234">
        <f t="shared" si="76"/>
        <v>-192999.9999999615</v>
      </c>
      <c r="U722" s="15">
        <v>25</v>
      </c>
      <c r="V722" s="8">
        <f t="shared" si="74"/>
        <v>-25</v>
      </c>
      <c r="W722" s="233">
        <f t="shared" si="75"/>
        <v>-15666.5</v>
      </c>
    </row>
    <row r="723" spans="1:2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 s="188">
        <v>1000</v>
      </c>
      <c r="S723" s="8">
        <f t="shared" si="73"/>
        <v>-1000</v>
      </c>
      <c r="T723" s="234">
        <f t="shared" si="76"/>
        <v>-193999.9999999615</v>
      </c>
      <c r="U723" s="15">
        <v>25</v>
      </c>
      <c r="V723" s="8">
        <f t="shared" si="74"/>
        <v>-25</v>
      </c>
      <c r="W723" s="233">
        <f t="shared" si="75"/>
        <v>-15691.5</v>
      </c>
    </row>
    <row r="724" spans="1:2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 s="188">
        <v>1000</v>
      </c>
      <c r="S724" s="8">
        <f t="shared" si="73"/>
        <v>-1000</v>
      </c>
      <c r="T724" s="234">
        <f t="shared" si="76"/>
        <v>-194999.9999999615</v>
      </c>
      <c r="U724" s="15">
        <v>25</v>
      </c>
      <c r="V724" s="8">
        <f t="shared" si="74"/>
        <v>-25</v>
      </c>
      <c r="W724" s="233">
        <f t="shared" si="75"/>
        <v>-15716.5</v>
      </c>
    </row>
    <row r="725" spans="1:2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 s="188">
        <v>1000</v>
      </c>
      <c r="S725" s="8">
        <f t="shared" si="73"/>
        <v>-1000</v>
      </c>
      <c r="T725" s="234">
        <f t="shared" si="76"/>
        <v>-195999.9999999615</v>
      </c>
      <c r="U725" s="15">
        <v>25</v>
      </c>
      <c r="V725" s="8">
        <f t="shared" si="74"/>
        <v>-25</v>
      </c>
      <c r="W725" s="233">
        <f t="shared" si="75"/>
        <v>-15741.5</v>
      </c>
    </row>
    <row r="726" spans="1:2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 s="188">
        <v>1000</v>
      </c>
      <c r="S726" s="8">
        <f t="shared" si="73"/>
        <v>-1000</v>
      </c>
      <c r="T726" s="234">
        <f t="shared" si="76"/>
        <v>-196999.9999999615</v>
      </c>
      <c r="U726" s="15">
        <v>25</v>
      </c>
      <c r="V726" s="8">
        <f t="shared" si="74"/>
        <v>-25</v>
      </c>
      <c r="W726" s="233">
        <f t="shared" si="75"/>
        <v>-15766.5</v>
      </c>
    </row>
    <row r="727" spans="1:2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 s="188">
        <v>1000</v>
      </c>
      <c r="S727" s="8">
        <f t="shared" si="73"/>
        <v>-1000</v>
      </c>
      <c r="T727" s="234">
        <f t="shared" si="76"/>
        <v>-197999.9999999615</v>
      </c>
      <c r="U727" s="15">
        <v>25</v>
      </c>
      <c r="V727" s="8">
        <f t="shared" si="74"/>
        <v>-25</v>
      </c>
      <c r="W727" s="233">
        <f t="shared" si="75"/>
        <v>-15791.5</v>
      </c>
    </row>
    <row r="728" spans="1:2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 s="188">
        <v>1000</v>
      </c>
      <c r="S728" s="8">
        <f t="shared" si="73"/>
        <v>-1000</v>
      </c>
      <c r="T728" s="234">
        <f t="shared" si="76"/>
        <v>-198999.9999999615</v>
      </c>
      <c r="U728" s="15">
        <v>25</v>
      </c>
      <c r="V728" s="8">
        <f t="shared" si="74"/>
        <v>-25</v>
      </c>
      <c r="W728" s="233">
        <f t="shared" si="75"/>
        <v>-15816.5</v>
      </c>
    </row>
    <row r="729" spans="1:2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 s="188">
        <v>1000</v>
      </c>
      <c r="S729" s="8">
        <f t="shared" si="73"/>
        <v>-1000</v>
      </c>
      <c r="T729" s="234">
        <f t="shared" si="76"/>
        <v>-199999.9999999615</v>
      </c>
      <c r="U729" s="15">
        <v>25</v>
      </c>
      <c r="V729" s="8">
        <f t="shared" si="74"/>
        <v>-25</v>
      </c>
      <c r="W729" s="233">
        <f t="shared" si="75"/>
        <v>-15841.5</v>
      </c>
    </row>
    <row r="730" spans="1:2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 s="188">
        <v>1000</v>
      </c>
      <c r="S730" s="8">
        <f t="shared" si="73"/>
        <v>-1000</v>
      </c>
      <c r="T730" s="234">
        <f t="shared" si="76"/>
        <v>-200999.9999999615</v>
      </c>
      <c r="U730" s="15">
        <v>25</v>
      </c>
      <c r="V730" s="8">
        <f t="shared" si="74"/>
        <v>-25</v>
      </c>
      <c r="W730" s="233">
        <f t="shared" si="75"/>
        <v>-15866.5</v>
      </c>
    </row>
    <row r="731" spans="1:2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 s="188">
        <v>1000</v>
      </c>
      <c r="S731" s="8">
        <f t="shared" si="73"/>
        <v>-1000</v>
      </c>
      <c r="T731" s="234">
        <f t="shared" si="76"/>
        <v>-201999.9999999615</v>
      </c>
      <c r="U731" s="15">
        <v>25</v>
      </c>
      <c r="V731" s="8">
        <f t="shared" si="74"/>
        <v>-25</v>
      </c>
      <c r="W731" s="233">
        <f t="shared" si="75"/>
        <v>-15891.5</v>
      </c>
    </row>
    <row r="732" spans="1:2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 s="188">
        <v>1000</v>
      </c>
      <c r="S732" s="8">
        <f t="shared" si="73"/>
        <v>-1000</v>
      </c>
      <c r="T732" s="234">
        <f t="shared" si="76"/>
        <v>-202999.9999999615</v>
      </c>
      <c r="U732" s="15">
        <v>25</v>
      </c>
      <c r="V732" s="8">
        <f t="shared" si="74"/>
        <v>-25</v>
      </c>
      <c r="W732" s="233">
        <f t="shared" si="75"/>
        <v>-15916.5</v>
      </c>
    </row>
    <row r="733" spans="1:2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 s="188">
        <v>1000</v>
      </c>
      <c r="S733" s="8">
        <f t="shared" si="73"/>
        <v>-1000</v>
      </c>
      <c r="T733" s="234">
        <f t="shared" si="76"/>
        <v>-203999.9999999615</v>
      </c>
      <c r="U733" s="15">
        <v>25</v>
      </c>
      <c r="V733" s="8">
        <f t="shared" si="74"/>
        <v>-25</v>
      </c>
      <c r="W733" s="233">
        <f t="shared" si="75"/>
        <v>-15941.5</v>
      </c>
    </row>
    <row r="734" spans="1:2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 s="188">
        <v>1000</v>
      </c>
      <c r="S734" s="8">
        <f t="shared" si="73"/>
        <v>-1000</v>
      </c>
      <c r="T734" s="234">
        <f t="shared" si="76"/>
        <v>-204999.9999999615</v>
      </c>
      <c r="U734" s="15">
        <v>25</v>
      </c>
      <c r="V734" s="8">
        <f t="shared" si="74"/>
        <v>-25</v>
      </c>
      <c r="W734" s="233">
        <f t="shared" si="75"/>
        <v>-15966.5</v>
      </c>
    </row>
    <row r="735" spans="1:2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 s="188">
        <v>1000</v>
      </c>
      <c r="S735" s="8">
        <f t="shared" si="73"/>
        <v>-1000</v>
      </c>
      <c r="T735" s="234">
        <f t="shared" si="76"/>
        <v>-205999.9999999615</v>
      </c>
      <c r="U735" s="15">
        <v>25</v>
      </c>
      <c r="V735" s="8">
        <f t="shared" si="74"/>
        <v>-25</v>
      </c>
      <c r="W735" s="233">
        <f t="shared" si="75"/>
        <v>-15991.5</v>
      </c>
    </row>
    <row r="736" spans="1:2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 s="188">
        <v>1000</v>
      </c>
      <c r="S736" s="8">
        <f t="shared" si="73"/>
        <v>-1000</v>
      </c>
      <c r="T736" s="234">
        <f t="shared" si="76"/>
        <v>-206999.9999999615</v>
      </c>
      <c r="U736" s="15">
        <v>25</v>
      </c>
      <c r="V736" s="8">
        <f t="shared" si="74"/>
        <v>-25</v>
      </c>
      <c r="W736" s="233">
        <f t="shared" si="75"/>
        <v>-16016.5</v>
      </c>
    </row>
    <row r="737" spans="1:2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 s="188">
        <v>1000</v>
      </c>
      <c r="S737" s="8">
        <f t="shared" si="73"/>
        <v>-1000</v>
      </c>
      <c r="T737" s="234">
        <f t="shared" si="76"/>
        <v>-207999.9999999615</v>
      </c>
      <c r="U737" s="15">
        <v>25</v>
      </c>
      <c r="V737" s="8">
        <f t="shared" si="74"/>
        <v>-25</v>
      </c>
      <c r="W737" s="233">
        <f t="shared" si="75"/>
        <v>-16041.5</v>
      </c>
    </row>
    <row r="738" spans="1:2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 s="188">
        <v>1000</v>
      </c>
      <c r="S738" s="8">
        <f t="shared" si="73"/>
        <v>-1000</v>
      </c>
      <c r="T738" s="234">
        <f t="shared" si="76"/>
        <v>-208999.9999999615</v>
      </c>
      <c r="U738" s="15">
        <v>25</v>
      </c>
      <c r="V738" s="8">
        <f t="shared" si="74"/>
        <v>-25</v>
      </c>
      <c r="W738" s="233">
        <f t="shared" si="75"/>
        <v>-16066.5</v>
      </c>
    </row>
    <row r="739" spans="1:2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 s="188">
        <v>1000</v>
      </c>
      <c r="S739" s="8">
        <f t="shared" si="73"/>
        <v>-1000</v>
      </c>
      <c r="T739" s="234">
        <f t="shared" si="76"/>
        <v>-209999.9999999615</v>
      </c>
      <c r="U739" s="15">
        <v>25</v>
      </c>
      <c r="V739" s="8">
        <f t="shared" si="74"/>
        <v>-25</v>
      </c>
      <c r="W739" s="233">
        <f t="shared" si="75"/>
        <v>-16091.5</v>
      </c>
    </row>
    <row r="740" spans="1:2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 s="188">
        <v>1000</v>
      </c>
      <c r="S740" s="8">
        <f t="shared" si="73"/>
        <v>-1000</v>
      </c>
      <c r="T740" s="234">
        <f t="shared" si="76"/>
        <v>-210999.9999999615</v>
      </c>
      <c r="U740" s="15">
        <v>25</v>
      </c>
      <c r="V740" s="8">
        <f t="shared" si="74"/>
        <v>-25</v>
      </c>
      <c r="W740" s="233">
        <f t="shared" si="75"/>
        <v>-16116.5</v>
      </c>
    </row>
    <row r="741" spans="1:2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 s="188">
        <v>1000</v>
      </c>
      <c r="S741" s="8">
        <f t="shared" si="73"/>
        <v>-1000</v>
      </c>
      <c r="T741" s="234">
        <f t="shared" si="76"/>
        <v>-211999.9999999615</v>
      </c>
      <c r="U741" s="15">
        <v>25</v>
      </c>
      <c r="V741" s="8">
        <f t="shared" si="74"/>
        <v>-25</v>
      </c>
      <c r="W741" s="233">
        <f t="shared" si="75"/>
        <v>-16141.5</v>
      </c>
    </row>
    <row r="742" spans="1:2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 s="188">
        <v>1000</v>
      </c>
      <c r="S742" s="8">
        <f t="shared" si="73"/>
        <v>-1000</v>
      </c>
      <c r="T742" s="234">
        <f t="shared" si="76"/>
        <v>-212999.9999999615</v>
      </c>
      <c r="U742" s="15">
        <v>25</v>
      </c>
      <c r="V742" s="8">
        <f t="shared" si="74"/>
        <v>-25</v>
      </c>
      <c r="W742" s="233">
        <f t="shared" si="75"/>
        <v>-16166.5</v>
      </c>
    </row>
    <row r="743" spans="1:2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 s="188">
        <v>1000</v>
      </c>
      <c r="S743" s="8">
        <f t="shared" si="73"/>
        <v>-1000</v>
      </c>
      <c r="T743" s="234">
        <f t="shared" si="76"/>
        <v>-213999.9999999615</v>
      </c>
      <c r="U743" s="15">
        <v>25</v>
      </c>
      <c r="V743" s="8">
        <f t="shared" si="74"/>
        <v>-25</v>
      </c>
      <c r="W743" s="233">
        <f t="shared" si="75"/>
        <v>-16191.5</v>
      </c>
    </row>
    <row r="744" spans="1:2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 s="188">
        <v>1000</v>
      </c>
      <c r="S744" s="8">
        <f t="shared" si="73"/>
        <v>-1000</v>
      </c>
      <c r="T744" s="234">
        <f t="shared" si="76"/>
        <v>-214999.9999999615</v>
      </c>
      <c r="U744" s="15">
        <v>25</v>
      </c>
      <c r="V744" s="8">
        <f t="shared" si="74"/>
        <v>-25</v>
      </c>
      <c r="W744" s="233">
        <f t="shared" si="75"/>
        <v>-16216.5</v>
      </c>
    </row>
    <row r="745" spans="1:2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 s="188">
        <v>1000</v>
      </c>
      <c r="S745" s="8">
        <f t="shared" si="73"/>
        <v>-1000</v>
      </c>
      <c r="T745" s="234">
        <f t="shared" si="76"/>
        <v>-215999.9999999615</v>
      </c>
      <c r="U745" s="15">
        <v>25</v>
      </c>
      <c r="V745" s="8">
        <f t="shared" si="74"/>
        <v>-25</v>
      </c>
      <c r="W745" s="233">
        <f t="shared" si="75"/>
        <v>-16241.5</v>
      </c>
    </row>
    <row r="746" spans="1:2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 s="188">
        <v>1000</v>
      </c>
      <c r="S746" s="8">
        <f t="shared" si="73"/>
        <v>-1000</v>
      </c>
      <c r="T746" s="234">
        <f t="shared" si="76"/>
        <v>-216999.9999999615</v>
      </c>
      <c r="U746" s="15">
        <v>25</v>
      </c>
      <c r="V746" s="8">
        <f t="shared" si="74"/>
        <v>-25</v>
      </c>
      <c r="W746" s="233">
        <f t="shared" si="75"/>
        <v>-16266.5</v>
      </c>
    </row>
    <row r="747" spans="1:2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 s="188">
        <v>1000</v>
      </c>
      <c r="S747" s="8">
        <f t="shared" si="73"/>
        <v>-1000</v>
      </c>
      <c r="T747" s="234">
        <f t="shared" si="76"/>
        <v>-217999.9999999615</v>
      </c>
      <c r="U747" s="15">
        <v>25</v>
      </c>
      <c r="V747" s="8">
        <f t="shared" si="74"/>
        <v>-25</v>
      </c>
      <c r="W747" s="233">
        <f t="shared" si="75"/>
        <v>-16291.5</v>
      </c>
    </row>
    <row r="748" spans="1:2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 s="188">
        <v>1000</v>
      </c>
      <c r="S748" s="8">
        <f t="shared" si="73"/>
        <v>-1000</v>
      </c>
      <c r="T748" s="234">
        <f t="shared" si="76"/>
        <v>-218999.9999999615</v>
      </c>
      <c r="U748" s="15">
        <v>25</v>
      </c>
      <c r="V748" s="8">
        <f t="shared" si="74"/>
        <v>-25</v>
      </c>
      <c r="W748" s="233">
        <f t="shared" si="75"/>
        <v>-16316.5</v>
      </c>
    </row>
    <row r="749" spans="1:2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 s="188">
        <v>1000</v>
      </c>
      <c r="S749" s="8">
        <f t="shared" si="73"/>
        <v>-1000</v>
      </c>
      <c r="T749" s="234">
        <f t="shared" si="76"/>
        <v>-219999.9999999615</v>
      </c>
      <c r="U749" s="15">
        <v>25</v>
      </c>
      <c r="V749" s="8">
        <f t="shared" si="74"/>
        <v>-25</v>
      </c>
      <c r="W749" s="233">
        <f t="shared" si="75"/>
        <v>-16341.5</v>
      </c>
    </row>
    <row r="750" spans="1:2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 s="188">
        <v>1000</v>
      </c>
      <c r="S750" s="8">
        <f t="shared" si="73"/>
        <v>-1000</v>
      </c>
      <c r="T750" s="234">
        <f t="shared" si="76"/>
        <v>-220999.9999999615</v>
      </c>
      <c r="U750" s="15">
        <v>25</v>
      </c>
      <c r="V750" s="8">
        <f t="shared" si="74"/>
        <v>-25</v>
      </c>
      <c r="W750" s="233">
        <f t="shared" si="75"/>
        <v>-16366.5</v>
      </c>
    </row>
    <row r="751" spans="1:2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 s="188">
        <v>1000</v>
      </c>
      <c r="S751" s="8">
        <f t="shared" si="73"/>
        <v>-1000</v>
      </c>
      <c r="T751" s="234">
        <f t="shared" si="76"/>
        <v>-221999.9999999615</v>
      </c>
      <c r="U751" s="15">
        <v>25</v>
      </c>
      <c r="V751" s="8">
        <f t="shared" si="74"/>
        <v>-25</v>
      </c>
      <c r="W751" s="233">
        <f t="shared" si="75"/>
        <v>-16391.5</v>
      </c>
    </row>
    <row r="752" spans="1:2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 s="188">
        <v>1000</v>
      </c>
      <c r="S752" s="8">
        <f t="shared" si="73"/>
        <v>-1000</v>
      </c>
      <c r="T752" s="234">
        <f t="shared" si="76"/>
        <v>-222999.9999999615</v>
      </c>
      <c r="U752" s="15">
        <v>25</v>
      </c>
      <c r="V752" s="8">
        <f t="shared" si="74"/>
        <v>-25</v>
      </c>
      <c r="W752" s="233">
        <f t="shared" si="75"/>
        <v>-16416.5</v>
      </c>
    </row>
    <row r="753" spans="1:2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 s="188">
        <v>1000</v>
      </c>
      <c r="S753" s="8">
        <f t="shared" si="73"/>
        <v>-1000</v>
      </c>
      <c r="T753" s="234">
        <f t="shared" si="76"/>
        <v>-223999.9999999615</v>
      </c>
      <c r="U753" s="15">
        <v>25</v>
      </c>
      <c r="V753" s="8">
        <f t="shared" si="74"/>
        <v>-25</v>
      </c>
      <c r="W753" s="233">
        <f t="shared" si="75"/>
        <v>-16441.5</v>
      </c>
    </row>
    <row r="754" spans="1:2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 s="188">
        <v>1000</v>
      </c>
      <c r="S754" s="8">
        <f t="shared" si="73"/>
        <v>-1000</v>
      </c>
      <c r="T754" s="234">
        <f t="shared" si="76"/>
        <v>-224999.9999999615</v>
      </c>
      <c r="U754" s="15">
        <v>25</v>
      </c>
      <c r="V754" s="8">
        <f t="shared" si="74"/>
        <v>-25</v>
      </c>
      <c r="W754" s="233">
        <f t="shared" si="75"/>
        <v>-16466.5</v>
      </c>
    </row>
    <row r="755" spans="1:2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 s="188">
        <v>1000</v>
      </c>
      <c r="S755" s="8">
        <f t="shared" si="73"/>
        <v>-1000</v>
      </c>
      <c r="T755" s="234">
        <f t="shared" si="76"/>
        <v>-225999.9999999615</v>
      </c>
      <c r="U755" s="15">
        <v>25</v>
      </c>
      <c r="V755" s="8">
        <f t="shared" si="74"/>
        <v>-25</v>
      </c>
      <c r="W755" s="233">
        <f t="shared" si="75"/>
        <v>-16491.5</v>
      </c>
    </row>
    <row r="756" spans="1:2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 s="188">
        <v>1000</v>
      </c>
      <c r="S756" s="8">
        <f t="shared" si="73"/>
        <v>-1000</v>
      </c>
      <c r="T756" s="234">
        <f t="shared" si="76"/>
        <v>-226999.9999999615</v>
      </c>
      <c r="U756" s="15">
        <v>25</v>
      </c>
      <c r="V756" s="8">
        <f t="shared" si="74"/>
        <v>-25</v>
      </c>
      <c r="W756" s="233">
        <f t="shared" si="75"/>
        <v>-16516.5</v>
      </c>
    </row>
    <row r="757" spans="1:2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 s="188">
        <v>1000</v>
      </c>
      <c r="S757" s="8">
        <f t="shared" si="73"/>
        <v>-1000</v>
      </c>
      <c r="T757" s="234">
        <f t="shared" si="76"/>
        <v>-227999.9999999615</v>
      </c>
      <c r="U757" s="15">
        <v>25</v>
      </c>
      <c r="V757" s="8">
        <f t="shared" si="74"/>
        <v>-25</v>
      </c>
      <c r="W757" s="233">
        <f t="shared" si="75"/>
        <v>-16541.5</v>
      </c>
    </row>
    <row r="758" spans="1:2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 s="188">
        <v>1000</v>
      </c>
      <c r="S758" s="8">
        <f t="shared" si="73"/>
        <v>-1000</v>
      </c>
      <c r="T758" s="234">
        <f t="shared" si="76"/>
        <v>-228999.9999999615</v>
      </c>
      <c r="U758" s="15">
        <v>25</v>
      </c>
      <c r="V758" s="8">
        <f t="shared" si="74"/>
        <v>-25</v>
      </c>
      <c r="W758" s="233">
        <f t="shared" si="75"/>
        <v>-16566.5</v>
      </c>
    </row>
    <row r="759" spans="1:2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 s="188">
        <v>1000</v>
      </c>
      <c r="S759" s="8">
        <f t="shared" si="73"/>
        <v>-1000</v>
      </c>
      <c r="T759" s="234">
        <f t="shared" si="76"/>
        <v>-229999.9999999615</v>
      </c>
      <c r="U759" s="15">
        <v>25</v>
      </c>
      <c r="V759" s="8">
        <f t="shared" si="74"/>
        <v>-25</v>
      </c>
      <c r="W759" s="233">
        <f t="shared" si="75"/>
        <v>-16591.5</v>
      </c>
    </row>
    <row r="760" spans="1:2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 s="188">
        <v>1000</v>
      </c>
      <c r="S760" s="8">
        <f t="shared" si="73"/>
        <v>-1000</v>
      </c>
      <c r="T760" s="234">
        <f t="shared" si="76"/>
        <v>-230999.9999999615</v>
      </c>
      <c r="U760" s="15">
        <v>25</v>
      </c>
      <c r="V760" s="8">
        <f t="shared" si="74"/>
        <v>-25</v>
      </c>
      <c r="W760" s="233">
        <f t="shared" si="75"/>
        <v>-16616.5</v>
      </c>
    </row>
    <row r="761" spans="1:2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 s="188">
        <v>1000</v>
      </c>
      <c r="S761" s="8">
        <f t="shared" si="73"/>
        <v>-1000</v>
      </c>
      <c r="T761" s="234">
        <f t="shared" si="76"/>
        <v>-231999.9999999615</v>
      </c>
      <c r="U761" s="15">
        <v>25</v>
      </c>
      <c r="V761" s="8">
        <f t="shared" si="74"/>
        <v>-25</v>
      </c>
      <c r="W761" s="233">
        <f t="shared" si="75"/>
        <v>-16641.5</v>
      </c>
    </row>
    <row r="762" spans="1:2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 s="188">
        <v>1000</v>
      </c>
      <c r="S762" s="8">
        <f t="shared" si="73"/>
        <v>-1000</v>
      </c>
      <c r="T762" s="234">
        <f t="shared" si="76"/>
        <v>-232999.9999999615</v>
      </c>
      <c r="U762" s="15">
        <v>25</v>
      </c>
      <c r="V762" s="8">
        <f t="shared" si="74"/>
        <v>-25</v>
      </c>
      <c r="W762" s="233">
        <f t="shared" si="75"/>
        <v>-16666.5</v>
      </c>
    </row>
    <row r="763" spans="1:2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 s="188">
        <v>1000</v>
      </c>
      <c r="S763" s="8">
        <f t="shared" si="73"/>
        <v>-1000</v>
      </c>
      <c r="T763" s="234">
        <f t="shared" si="76"/>
        <v>-233999.9999999615</v>
      </c>
      <c r="U763" s="15">
        <v>25</v>
      </c>
      <c r="V763" s="8">
        <f t="shared" si="74"/>
        <v>-25</v>
      </c>
      <c r="W763" s="233">
        <f t="shared" si="75"/>
        <v>-16691.5</v>
      </c>
    </row>
    <row r="764" spans="1:2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 s="188">
        <v>1000</v>
      </c>
      <c r="S764" s="8">
        <f t="shared" si="73"/>
        <v>-1000</v>
      </c>
      <c r="T764" s="234">
        <f t="shared" si="76"/>
        <v>-234999.9999999615</v>
      </c>
      <c r="U764" s="15">
        <v>25</v>
      </c>
      <c r="V764" s="8">
        <f t="shared" si="74"/>
        <v>-25</v>
      </c>
      <c r="W764" s="233">
        <f t="shared" si="75"/>
        <v>-16716.5</v>
      </c>
    </row>
    <row r="765" spans="1:2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 s="188">
        <v>1000</v>
      </c>
      <c r="S765" s="8">
        <f t="shared" si="73"/>
        <v>-1000</v>
      </c>
      <c r="T765" s="234">
        <f t="shared" si="76"/>
        <v>-235999.9999999615</v>
      </c>
      <c r="U765" s="15">
        <v>25</v>
      </c>
      <c r="V765" s="8">
        <f t="shared" si="74"/>
        <v>-25</v>
      </c>
      <c r="W765" s="233">
        <f t="shared" si="75"/>
        <v>-16741.5</v>
      </c>
    </row>
    <row r="766" spans="1:2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 s="188">
        <v>1000</v>
      </c>
      <c r="S766" s="8">
        <f t="shared" si="73"/>
        <v>-1000</v>
      </c>
      <c r="T766" s="234">
        <f t="shared" si="76"/>
        <v>-236999.9999999615</v>
      </c>
      <c r="U766" s="15">
        <v>25</v>
      </c>
      <c r="V766" s="8">
        <f t="shared" si="74"/>
        <v>-25</v>
      </c>
      <c r="W766" s="233">
        <f t="shared" si="75"/>
        <v>-16766.5</v>
      </c>
    </row>
    <row r="767" spans="1:2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 s="188">
        <v>1000</v>
      </c>
      <c r="S767" s="8">
        <f t="shared" si="73"/>
        <v>-1000</v>
      </c>
      <c r="T767" s="234">
        <f t="shared" si="76"/>
        <v>-237999.9999999615</v>
      </c>
      <c r="U767" s="15">
        <v>25</v>
      </c>
      <c r="V767" s="8">
        <f t="shared" si="74"/>
        <v>-25</v>
      </c>
      <c r="W767" s="233">
        <f t="shared" si="75"/>
        <v>-16791.5</v>
      </c>
    </row>
    <row r="768" spans="1:2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 s="188">
        <v>1000</v>
      </c>
      <c r="S768" s="8">
        <f t="shared" si="73"/>
        <v>-1000</v>
      </c>
      <c r="T768" s="234">
        <f t="shared" si="76"/>
        <v>-238999.9999999615</v>
      </c>
      <c r="U768" s="15">
        <v>25</v>
      </c>
      <c r="V768" s="8">
        <f t="shared" si="74"/>
        <v>-25</v>
      </c>
      <c r="W768" s="233">
        <f t="shared" si="75"/>
        <v>-16816.5</v>
      </c>
    </row>
    <row r="769" spans="1:2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 s="188">
        <v>1000</v>
      </c>
      <c r="S769" s="8">
        <f t="shared" si="73"/>
        <v>-1000</v>
      </c>
      <c r="T769" s="234">
        <f t="shared" si="76"/>
        <v>-239999.9999999615</v>
      </c>
      <c r="U769" s="15">
        <v>25</v>
      </c>
      <c r="V769" s="8">
        <f t="shared" si="74"/>
        <v>-25</v>
      </c>
      <c r="W769" s="233">
        <f t="shared" si="75"/>
        <v>-16841.5</v>
      </c>
    </row>
    <row r="770" spans="1:2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 s="188">
        <v>1000</v>
      </c>
      <c r="S770" s="8">
        <f t="shared" si="73"/>
        <v>-1000</v>
      </c>
      <c r="T770" s="234">
        <f t="shared" si="76"/>
        <v>-240999.9999999615</v>
      </c>
      <c r="U770" s="15">
        <v>25</v>
      </c>
      <c r="V770" s="8">
        <f t="shared" si="74"/>
        <v>-25</v>
      </c>
      <c r="W770" s="233">
        <f t="shared" si="75"/>
        <v>-16866.5</v>
      </c>
    </row>
    <row r="771" spans="1:2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 s="188">
        <v>1000</v>
      </c>
      <c r="S771" s="8">
        <f t="shared" ref="S771:S834" si="77">IF(O771="won",R771*0.18,-R771)</f>
        <v>-1000</v>
      </c>
      <c r="T771" s="234">
        <f t="shared" si="76"/>
        <v>-241999.9999999615</v>
      </c>
      <c r="U771" s="15">
        <v>25</v>
      </c>
      <c r="V771" s="8">
        <f t="shared" ref="V771:V834" si="78">IF(O771="won",U771*0.18,-U771)</f>
        <v>-25</v>
      </c>
      <c r="W771" s="233">
        <f t="shared" ref="W771:W834" si="79">SUM(W770,V771)</f>
        <v>-16891.5</v>
      </c>
    </row>
    <row r="772" spans="1:2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 s="188">
        <v>1000</v>
      </c>
      <c r="S772" s="8">
        <f t="shared" si="77"/>
        <v>-1000</v>
      </c>
      <c r="T772" s="234">
        <f t="shared" si="76"/>
        <v>-242999.9999999615</v>
      </c>
      <c r="U772" s="15">
        <v>25</v>
      </c>
      <c r="V772" s="8">
        <f t="shared" si="78"/>
        <v>-25</v>
      </c>
      <c r="W772" s="233">
        <f t="shared" si="79"/>
        <v>-16916.5</v>
      </c>
    </row>
    <row r="773" spans="1:2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 s="188">
        <v>1000</v>
      </c>
      <c r="S773" s="8">
        <f t="shared" si="77"/>
        <v>-1000</v>
      </c>
      <c r="T773" s="234">
        <f t="shared" si="76"/>
        <v>-243999.9999999615</v>
      </c>
      <c r="U773" s="15">
        <v>25</v>
      </c>
      <c r="V773" s="8">
        <f t="shared" si="78"/>
        <v>-25</v>
      </c>
      <c r="W773" s="233">
        <f t="shared" si="79"/>
        <v>-16941.5</v>
      </c>
    </row>
    <row r="774" spans="1:2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 s="188">
        <v>1000</v>
      </c>
      <c r="S774" s="8">
        <f t="shared" si="77"/>
        <v>-1000</v>
      </c>
      <c r="T774" s="234">
        <f t="shared" si="76"/>
        <v>-244999.9999999615</v>
      </c>
      <c r="U774" s="15">
        <v>25</v>
      </c>
      <c r="V774" s="8">
        <f t="shared" si="78"/>
        <v>-25</v>
      </c>
      <c r="W774" s="233">
        <f t="shared" si="79"/>
        <v>-16966.5</v>
      </c>
    </row>
    <row r="775" spans="1:2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 s="188">
        <v>1000</v>
      </c>
      <c r="S775" s="8">
        <f t="shared" si="77"/>
        <v>-1000</v>
      </c>
      <c r="T775" s="234">
        <f t="shared" si="76"/>
        <v>-245999.9999999615</v>
      </c>
      <c r="U775" s="15">
        <v>25</v>
      </c>
      <c r="V775" s="8">
        <f t="shared" si="78"/>
        <v>-25</v>
      </c>
      <c r="W775" s="233">
        <f t="shared" si="79"/>
        <v>-16991.5</v>
      </c>
    </row>
    <row r="776" spans="1:2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 s="188">
        <v>1000</v>
      </c>
      <c r="S776" s="8">
        <f t="shared" si="77"/>
        <v>-1000</v>
      </c>
      <c r="T776" s="234">
        <f t="shared" si="76"/>
        <v>-246999.9999999615</v>
      </c>
      <c r="U776" s="15">
        <v>25</v>
      </c>
      <c r="V776" s="8">
        <f t="shared" si="78"/>
        <v>-25</v>
      </c>
      <c r="W776" s="233">
        <f t="shared" si="79"/>
        <v>-17016.5</v>
      </c>
    </row>
    <row r="777" spans="1:2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 s="188">
        <v>1000</v>
      </c>
      <c r="S777" s="8">
        <f t="shared" si="77"/>
        <v>-1000</v>
      </c>
      <c r="T777" s="234">
        <f t="shared" si="76"/>
        <v>-247999.9999999615</v>
      </c>
      <c r="U777" s="15">
        <v>25</v>
      </c>
      <c r="V777" s="8">
        <f t="shared" si="78"/>
        <v>-25</v>
      </c>
      <c r="W777" s="233">
        <f t="shared" si="79"/>
        <v>-17041.5</v>
      </c>
    </row>
    <row r="778" spans="1:2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 s="188">
        <v>1000</v>
      </c>
      <c r="S778" s="8">
        <f t="shared" si="77"/>
        <v>-1000</v>
      </c>
      <c r="T778" s="234">
        <f t="shared" si="76"/>
        <v>-248999.9999999615</v>
      </c>
      <c r="U778" s="15">
        <v>25</v>
      </c>
      <c r="V778" s="8">
        <f t="shared" si="78"/>
        <v>-25</v>
      </c>
      <c r="W778" s="233">
        <f t="shared" si="79"/>
        <v>-17066.5</v>
      </c>
    </row>
    <row r="779" spans="1:2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 s="188">
        <v>1000</v>
      </c>
      <c r="S779" s="8">
        <f t="shared" si="77"/>
        <v>-1000</v>
      </c>
      <c r="T779" s="234">
        <f t="shared" si="76"/>
        <v>-249999.9999999615</v>
      </c>
      <c r="U779" s="15">
        <v>25</v>
      </c>
      <c r="V779" s="8">
        <f t="shared" si="78"/>
        <v>-25</v>
      </c>
      <c r="W779" s="233">
        <f t="shared" si="79"/>
        <v>-17091.5</v>
      </c>
    </row>
    <row r="780" spans="1:2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 s="188">
        <v>1000</v>
      </c>
      <c r="S780" s="8">
        <f t="shared" si="77"/>
        <v>-1000</v>
      </c>
      <c r="T780" s="234">
        <f t="shared" si="76"/>
        <v>-250999.9999999615</v>
      </c>
      <c r="U780" s="15">
        <v>25</v>
      </c>
      <c r="V780" s="8">
        <f t="shared" si="78"/>
        <v>-25</v>
      </c>
      <c r="W780" s="233">
        <f t="shared" si="79"/>
        <v>-17116.5</v>
      </c>
    </row>
    <row r="781" spans="1:2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 s="188">
        <v>1000</v>
      </c>
      <c r="S781" s="8">
        <f t="shared" si="77"/>
        <v>-1000</v>
      </c>
      <c r="T781" s="234">
        <f t="shared" si="76"/>
        <v>-251999.9999999615</v>
      </c>
      <c r="U781" s="15">
        <v>25</v>
      </c>
      <c r="V781" s="8">
        <f t="shared" si="78"/>
        <v>-25</v>
      </c>
      <c r="W781" s="233">
        <f t="shared" si="79"/>
        <v>-17141.5</v>
      </c>
    </row>
    <row r="782" spans="1:2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 s="188">
        <v>1000</v>
      </c>
      <c r="S782" s="8">
        <f t="shared" si="77"/>
        <v>-1000</v>
      </c>
      <c r="T782" s="234">
        <f t="shared" si="76"/>
        <v>-252999.9999999615</v>
      </c>
      <c r="U782" s="15">
        <v>25</v>
      </c>
      <c r="V782" s="8">
        <f t="shared" si="78"/>
        <v>-25</v>
      </c>
      <c r="W782" s="233">
        <f t="shared" si="79"/>
        <v>-17166.5</v>
      </c>
    </row>
    <row r="783" spans="1:2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 s="188">
        <v>1000</v>
      </c>
      <c r="S783" s="8">
        <f t="shared" si="77"/>
        <v>-1000</v>
      </c>
      <c r="T783" s="234">
        <f t="shared" si="76"/>
        <v>-253999.9999999615</v>
      </c>
      <c r="U783" s="15">
        <v>25</v>
      </c>
      <c r="V783" s="8">
        <f t="shared" si="78"/>
        <v>-25</v>
      </c>
      <c r="W783" s="233">
        <f t="shared" si="79"/>
        <v>-17191.5</v>
      </c>
    </row>
    <row r="784" spans="1:2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 s="188">
        <v>1000</v>
      </c>
      <c r="S784" s="8">
        <f t="shared" si="77"/>
        <v>-1000</v>
      </c>
      <c r="T784" s="234">
        <f t="shared" ref="T784:T798" si="80">SUM(T783,S784)</f>
        <v>-254999.9999999615</v>
      </c>
      <c r="U784" s="15">
        <v>25</v>
      </c>
      <c r="V784" s="8">
        <f t="shared" si="78"/>
        <v>-25</v>
      </c>
      <c r="W784" s="233">
        <f t="shared" si="79"/>
        <v>-17216.5</v>
      </c>
    </row>
    <row r="785" spans="1:27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 s="188">
        <v>1000</v>
      </c>
      <c r="S785" s="8">
        <f t="shared" si="77"/>
        <v>-1000</v>
      </c>
      <c r="T785" s="234">
        <f t="shared" si="80"/>
        <v>-255999.9999999615</v>
      </c>
      <c r="U785" s="15">
        <v>25</v>
      </c>
      <c r="V785" s="8">
        <f t="shared" si="78"/>
        <v>-25</v>
      </c>
      <c r="W785" s="233">
        <f t="shared" si="79"/>
        <v>-17241.5</v>
      </c>
    </row>
    <row r="786" spans="1:27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 s="188">
        <v>1000</v>
      </c>
      <c r="S786" s="8">
        <f t="shared" si="77"/>
        <v>-1000</v>
      </c>
      <c r="T786" s="234">
        <f t="shared" si="80"/>
        <v>-256999.9999999615</v>
      </c>
      <c r="U786" s="15">
        <v>25</v>
      </c>
      <c r="V786" s="8">
        <f t="shared" si="78"/>
        <v>-25</v>
      </c>
      <c r="W786" s="233">
        <f t="shared" si="79"/>
        <v>-17266.5</v>
      </c>
    </row>
    <row r="787" spans="1:27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 s="188">
        <v>1000</v>
      </c>
      <c r="S787" s="8">
        <f t="shared" si="77"/>
        <v>-1000</v>
      </c>
      <c r="T787" s="234">
        <f t="shared" si="80"/>
        <v>-257999.9999999615</v>
      </c>
      <c r="U787" s="15">
        <v>25</v>
      </c>
      <c r="V787" s="8">
        <f t="shared" si="78"/>
        <v>-25</v>
      </c>
      <c r="W787" s="233">
        <f t="shared" si="79"/>
        <v>-17291.5</v>
      </c>
    </row>
    <row r="788" spans="1:27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 s="188">
        <v>1000</v>
      </c>
      <c r="S788" s="8">
        <f t="shared" si="77"/>
        <v>-1000</v>
      </c>
      <c r="T788" s="234">
        <f t="shared" si="80"/>
        <v>-258999.9999999615</v>
      </c>
      <c r="U788" s="15">
        <v>25</v>
      </c>
      <c r="V788" s="8">
        <f t="shared" si="78"/>
        <v>-25</v>
      </c>
      <c r="W788" s="233">
        <f t="shared" si="79"/>
        <v>-17316.5</v>
      </c>
    </row>
    <row r="789" spans="1:27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 s="188">
        <v>1000</v>
      </c>
      <c r="S789" s="8">
        <f t="shared" si="77"/>
        <v>-1000</v>
      </c>
      <c r="T789" s="234">
        <f t="shared" si="80"/>
        <v>-259999.9999999615</v>
      </c>
      <c r="U789" s="15">
        <v>25</v>
      </c>
      <c r="V789" s="8">
        <f t="shared" si="78"/>
        <v>-25</v>
      </c>
      <c r="W789" s="233">
        <f t="shared" si="79"/>
        <v>-17341.5</v>
      </c>
    </row>
    <row r="790" spans="1:27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 s="188">
        <v>1000</v>
      </c>
      <c r="S790" s="8">
        <f t="shared" si="77"/>
        <v>-1000</v>
      </c>
      <c r="T790" s="234">
        <f t="shared" si="80"/>
        <v>-260999.9999999615</v>
      </c>
      <c r="U790" s="15">
        <v>25</v>
      </c>
      <c r="V790" s="8">
        <f t="shared" si="78"/>
        <v>-25</v>
      </c>
      <c r="W790" s="233">
        <f t="shared" si="79"/>
        <v>-17366.5</v>
      </c>
    </row>
    <row r="791" spans="1:27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 s="188">
        <v>1000</v>
      </c>
      <c r="S791" s="8">
        <f t="shared" si="77"/>
        <v>-1000</v>
      </c>
      <c r="T791" s="234">
        <f t="shared" si="80"/>
        <v>-261999.9999999615</v>
      </c>
      <c r="U791" s="15">
        <v>25</v>
      </c>
      <c r="V791" s="8">
        <f t="shared" si="78"/>
        <v>-25</v>
      </c>
      <c r="W791" s="233">
        <f t="shared" si="79"/>
        <v>-17391.5</v>
      </c>
    </row>
    <row r="792" spans="1:27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 s="188">
        <v>1000</v>
      </c>
      <c r="S792" s="8">
        <f t="shared" si="77"/>
        <v>-1000</v>
      </c>
      <c r="T792" s="234">
        <f t="shared" si="80"/>
        <v>-262999.99999996147</v>
      </c>
      <c r="U792" s="15">
        <v>25</v>
      </c>
      <c r="V792" s="8">
        <f t="shared" si="78"/>
        <v>-25</v>
      </c>
      <c r="W792" s="233">
        <f t="shared" si="79"/>
        <v>-17416.5</v>
      </c>
    </row>
    <row r="793" spans="1:27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 s="188">
        <v>1000</v>
      </c>
      <c r="S793" s="8">
        <f t="shared" si="77"/>
        <v>-1000</v>
      </c>
      <c r="T793" s="234">
        <f t="shared" si="80"/>
        <v>-263999.99999996147</v>
      </c>
      <c r="U793" s="15">
        <v>25</v>
      </c>
      <c r="V793" s="8">
        <f t="shared" si="78"/>
        <v>-25</v>
      </c>
      <c r="W793" s="233">
        <f t="shared" si="79"/>
        <v>-17441.5</v>
      </c>
    </row>
    <row r="794" spans="1:27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 s="188">
        <v>1000</v>
      </c>
      <c r="S794" s="8">
        <f t="shared" si="77"/>
        <v>-1000</v>
      </c>
      <c r="T794" s="234">
        <f t="shared" si="80"/>
        <v>-264999.99999996147</v>
      </c>
      <c r="U794" s="15">
        <v>25</v>
      </c>
      <c r="V794" s="8">
        <f t="shared" si="78"/>
        <v>-25</v>
      </c>
      <c r="W794" s="233">
        <f t="shared" si="79"/>
        <v>-17466.5</v>
      </c>
    </row>
    <row r="795" spans="1:27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 s="188">
        <v>1000</v>
      </c>
      <c r="S795" s="8">
        <f t="shared" si="77"/>
        <v>-1000</v>
      </c>
      <c r="T795" s="234">
        <f t="shared" si="80"/>
        <v>-265999.99999996147</v>
      </c>
      <c r="U795" s="15">
        <v>25</v>
      </c>
      <c r="V795" s="8">
        <f t="shared" si="78"/>
        <v>-25</v>
      </c>
      <c r="W795" s="233">
        <f t="shared" si="79"/>
        <v>-17491.5</v>
      </c>
    </row>
    <row r="796" spans="1:27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 s="188">
        <v>1000</v>
      </c>
      <c r="S796" s="8">
        <f t="shared" si="77"/>
        <v>-1000</v>
      </c>
      <c r="T796" s="234">
        <f t="shared" si="80"/>
        <v>-266999.99999996147</v>
      </c>
      <c r="U796" s="15">
        <v>25</v>
      </c>
      <c r="V796" s="8">
        <f t="shared" si="78"/>
        <v>-25</v>
      </c>
      <c r="W796" s="233">
        <f t="shared" si="79"/>
        <v>-17516.5</v>
      </c>
    </row>
    <row r="797" spans="1:27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 s="188">
        <v>1000</v>
      </c>
      <c r="S797" s="8">
        <f t="shared" si="77"/>
        <v>-1000</v>
      </c>
      <c r="T797" s="234">
        <f t="shared" si="80"/>
        <v>-267999.99999996147</v>
      </c>
      <c r="U797" s="15">
        <v>25</v>
      </c>
      <c r="V797" s="8">
        <f t="shared" si="78"/>
        <v>-25</v>
      </c>
      <c r="W797" s="233">
        <f t="shared" si="79"/>
        <v>-17541.5</v>
      </c>
    </row>
    <row r="798" spans="1:27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 s="188">
        <v>1000</v>
      </c>
      <c r="S798" s="8">
        <f t="shared" si="77"/>
        <v>-1000</v>
      </c>
      <c r="T798" s="234">
        <f t="shared" si="80"/>
        <v>-268999.99999996147</v>
      </c>
      <c r="U798" s="15">
        <v>25</v>
      </c>
      <c r="V798" s="8">
        <f t="shared" si="78"/>
        <v>-25</v>
      </c>
      <c r="W798" s="233">
        <f t="shared" si="79"/>
        <v>-17566.5</v>
      </c>
    </row>
    <row r="799" spans="1:27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 s="188">
        <v>1000</v>
      </c>
      <c r="S799" s="8">
        <f t="shared" si="77"/>
        <v>-1000</v>
      </c>
      <c r="T799" s="234">
        <f>SUM(T798,S799)</f>
        <v>-269999.99999996147</v>
      </c>
      <c r="U799" s="15">
        <v>25</v>
      </c>
      <c r="V799" s="8">
        <f t="shared" si="78"/>
        <v>-25</v>
      </c>
      <c r="W799" s="233">
        <f t="shared" si="79"/>
        <v>-17591.5</v>
      </c>
      <c r="Z799"/>
      <c r="AA799" s="1"/>
    </row>
    <row r="800" spans="1:27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 s="188">
        <v>1000</v>
      </c>
      <c r="S800" s="8">
        <f t="shared" si="77"/>
        <v>-1000</v>
      </c>
      <c r="T800" s="234">
        <f>SUM(T799,S800)</f>
        <v>-270999.99999996147</v>
      </c>
      <c r="U800" s="15">
        <v>25</v>
      </c>
      <c r="V800" s="8">
        <f t="shared" si="78"/>
        <v>-25</v>
      </c>
      <c r="W800" s="233">
        <f t="shared" si="79"/>
        <v>-17616.5</v>
      </c>
      <c r="Z800"/>
      <c r="AA800" s="1"/>
    </row>
    <row r="801" spans="1:28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 s="188">
        <v>1000</v>
      </c>
      <c r="S801" s="8">
        <f t="shared" si="77"/>
        <v>-1000</v>
      </c>
      <c r="T801" s="234">
        <f>SUM(T800,S801)</f>
        <v>-271999.99999996147</v>
      </c>
      <c r="U801" s="15">
        <v>25</v>
      </c>
      <c r="V801" s="8">
        <f t="shared" si="78"/>
        <v>-25</v>
      </c>
      <c r="W801" s="233">
        <f t="shared" si="79"/>
        <v>-17641.5</v>
      </c>
      <c r="Z801"/>
      <c r="AA801" s="1"/>
      <c r="AB801"/>
    </row>
    <row r="802" spans="1:28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 s="188">
        <v>1000</v>
      </c>
      <c r="S802" s="8">
        <f t="shared" si="77"/>
        <v>-1000</v>
      </c>
      <c r="T802" s="234">
        <f t="shared" ref="T802:T806" si="81">SUM(T801,S802)</f>
        <v>-272999.99999996147</v>
      </c>
      <c r="U802" s="15">
        <v>25</v>
      </c>
      <c r="V802" s="8">
        <f t="shared" si="78"/>
        <v>-25</v>
      </c>
      <c r="W802" s="233">
        <f t="shared" si="79"/>
        <v>-17666.5</v>
      </c>
    </row>
    <row r="803" spans="1:28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 s="188">
        <v>1000</v>
      </c>
      <c r="S803" s="8">
        <f t="shared" si="77"/>
        <v>-1000</v>
      </c>
      <c r="T803" s="234">
        <f t="shared" si="81"/>
        <v>-273999.99999996147</v>
      </c>
      <c r="U803" s="15">
        <v>25</v>
      </c>
      <c r="V803" s="8">
        <f t="shared" si="78"/>
        <v>-25</v>
      </c>
      <c r="W803" s="233">
        <f t="shared" si="79"/>
        <v>-17691.5</v>
      </c>
    </row>
    <row r="804" spans="1:28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 s="188">
        <v>1000</v>
      </c>
      <c r="S804" s="8">
        <f t="shared" si="77"/>
        <v>-1000</v>
      </c>
      <c r="T804" s="234">
        <f t="shared" si="81"/>
        <v>-274999.99999996147</v>
      </c>
      <c r="U804" s="15">
        <v>25</v>
      </c>
      <c r="V804" s="8">
        <f t="shared" si="78"/>
        <v>-25</v>
      </c>
      <c r="W804" s="233">
        <f t="shared" si="79"/>
        <v>-17716.5</v>
      </c>
    </row>
    <row r="805" spans="1:28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 s="188">
        <v>1000</v>
      </c>
      <c r="S805" s="8">
        <f t="shared" si="77"/>
        <v>-1000</v>
      </c>
      <c r="T805" s="234">
        <f t="shared" si="81"/>
        <v>-275999.99999996147</v>
      </c>
      <c r="U805" s="15">
        <v>25</v>
      </c>
      <c r="V805" s="8">
        <f t="shared" si="78"/>
        <v>-25</v>
      </c>
      <c r="W805" s="233">
        <f t="shared" si="79"/>
        <v>-17741.5</v>
      </c>
    </row>
    <row r="806" spans="1:28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 s="188">
        <v>1000</v>
      </c>
      <c r="S806" s="8">
        <f t="shared" si="77"/>
        <v>-1000</v>
      </c>
      <c r="T806" s="234">
        <f t="shared" si="81"/>
        <v>-276999.99999996147</v>
      </c>
      <c r="U806" s="15">
        <v>25</v>
      </c>
      <c r="V806" s="8">
        <f t="shared" si="78"/>
        <v>-25</v>
      </c>
      <c r="W806" s="233">
        <f t="shared" si="79"/>
        <v>-17766.5</v>
      </c>
    </row>
    <row r="807" spans="1:28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 s="188">
        <v>1000</v>
      </c>
      <c r="S807" s="8">
        <f t="shared" si="77"/>
        <v>-1000</v>
      </c>
      <c r="T807" s="234">
        <f>SUM(T806,S807)</f>
        <v>-277999.99999996147</v>
      </c>
      <c r="U807" s="15">
        <v>25</v>
      </c>
      <c r="V807" s="8">
        <f t="shared" si="78"/>
        <v>-25</v>
      </c>
      <c r="W807" s="233">
        <f t="shared" si="79"/>
        <v>-17791.5</v>
      </c>
    </row>
    <row r="808" spans="1:28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 s="188">
        <v>1000</v>
      </c>
      <c r="S808" s="8">
        <f t="shared" si="77"/>
        <v>-1000</v>
      </c>
      <c r="T808" s="234">
        <f t="shared" ref="T808:T871" si="82">SUM(T807,S808)</f>
        <v>-278999.99999996147</v>
      </c>
      <c r="U808" s="15">
        <v>25</v>
      </c>
      <c r="V808" s="8">
        <f t="shared" si="78"/>
        <v>-25</v>
      </c>
      <c r="W808" s="233">
        <f t="shared" si="79"/>
        <v>-17816.5</v>
      </c>
    </row>
    <row r="809" spans="1:28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 s="188">
        <v>1000</v>
      </c>
      <c r="S809" s="8">
        <f t="shared" si="77"/>
        <v>-1000</v>
      </c>
      <c r="T809" s="234">
        <f t="shared" si="82"/>
        <v>-279999.99999996147</v>
      </c>
      <c r="U809" s="15">
        <v>25</v>
      </c>
      <c r="V809" s="8">
        <f t="shared" si="78"/>
        <v>-25</v>
      </c>
      <c r="W809" s="233">
        <f t="shared" si="79"/>
        <v>-17841.5</v>
      </c>
    </row>
    <row r="810" spans="1:28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 s="188">
        <v>1000</v>
      </c>
      <c r="S810" s="8">
        <f t="shared" si="77"/>
        <v>-1000</v>
      </c>
      <c r="T810" s="234">
        <f t="shared" si="82"/>
        <v>-280999.99999996147</v>
      </c>
      <c r="U810" s="15">
        <v>25</v>
      </c>
      <c r="V810" s="8">
        <f t="shared" si="78"/>
        <v>-25</v>
      </c>
      <c r="W810" s="233">
        <f t="shared" si="79"/>
        <v>-17866.5</v>
      </c>
    </row>
    <row r="811" spans="1:28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 s="188">
        <v>1000</v>
      </c>
      <c r="S811" s="8">
        <f t="shared" si="77"/>
        <v>-1000</v>
      </c>
      <c r="T811" s="234">
        <f t="shared" si="82"/>
        <v>-281999.99999996147</v>
      </c>
      <c r="U811" s="15">
        <v>25</v>
      </c>
      <c r="V811" s="8">
        <f t="shared" si="78"/>
        <v>-25</v>
      </c>
      <c r="W811" s="233">
        <f t="shared" si="79"/>
        <v>-17891.5</v>
      </c>
    </row>
    <row r="812" spans="1:28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 s="188">
        <v>1000</v>
      </c>
      <c r="S812" s="8">
        <f t="shared" si="77"/>
        <v>-1000</v>
      </c>
      <c r="T812" s="234">
        <f t="shared" si="82"/>
        <v>-282999.99999996147</v>
      </c>
      <c r="U812" s="15">
        <v>25</v>
      </c>
      <c r="V812" s="8">
        <f t="shared" si="78"/>
        <v>-25</v>
      </c>
      <c r="W812" s="233">
        <f t="shared" si="79"/>
        <v>-17916.5</v>
      </c>
    </row>
    <row r="813" spans="1:28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 s="188">
        <v>1000</v>
      </c>
      <c r="S813" s="8">
        <f t="shared" si="77"/>
        <v>-1000</v>
      </c>
      <c r="T813" s="234">
        <f t="shared" si="82"/>
        <v>-283999.99999996147</v>
      </c>
      <c r="U813" s="15">
        <v>25</v>
      </c>
      <c r="V813" s="8">
        <f t="shared" si="78"/>
        <v>-25</v>
      </c>
      <c r="W813" s="233">
        <f t="shared" si="79"/>
        <v>-17941.5</v>
      </c>
    </row>
    <row r="814" spans="1:28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 s="188">
        <v>1000</v>
      </c>
      <c r="S814" s="8">
        <f t="shared" si="77"/>
        <v>-1000</v>
      </c>
      <c r="T814" s="234">
        <f t="shared" si="82"/>
        <v>-284999.99999996147</v>
      </c>
      <c r="U814" s="15">
        <v>25</v>
      </c>
      <c r="V814" s="8">
        <f t="shared" si="78"/>
        <v>-25</v>
      </c>
      <c r="W814" s="233">
        <f t="shared" si="79"/>
        <v>-17966.5</v>
      </c>
    </row>
    <row r="815" spans="1:28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 s="188">
        <v>1000</v>
      </c>
      <c r="S815" s="8">
        <f t="shared" si="77"/>
        <v>-1000</v>
      </c>
      <c r="T815" s="234">
        <f t="shared" si="82"/>
        <v>-285999.99999996147</v>
      </c>
      <c r="U815" s="15">
        <v>25</v>
      </c>
      <c r="V815" s="8">
        <f t="shared" si="78"/>
        <v>-25</v>
      </c>
      <c r="W815" s="233">
        <f t="shared" si="79"/>
        <v>-17991.5</v>
      </c>
    </row>
    <row r="816" spans="1:28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 s="188">
        <v>1000</v>
      </c>
      <c r="S816" s="8">
        <f t="shared" si="77"/>
        <v>-1000</v>
      </c>
      <c r="T816" s="234">
        <f t="shared" si="82"/>
        <v>-286999.99999996147</v>
      </c>
      <c r="U816" s="15">
        <v>25</v>
      </c>
      <c r="V816" s="8">
        <f t="shared" si="78"/>
        <v>-25</v>
      </c>
      <c r="W816" s="233">
        <f t="shared" si="79"/>
        <v>-18016.5</v>
      </c>
    </row>
    <row r="817" spans="1:2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 s="188">
        <v>1000</v>
      </c>
      <c r="S817" s="8">
        <f t="shared" si="77"/>
        <v>-1000</v>
      </c>
      <c r="T817" s="234">
        <f t="shared" si="82"/>
        <v>-287999.99999996147</v>
      </c>
      <c r="U817" s="15">
        <v>25</v>
      </c>
      <c r="V817" s="8">
        <f t="shared" si="78"/>
        <v>-25</v>
      </c>
      <c r="W817" s="233">
        <f t="shared" si="79"/>
        <v>-18041.5</v>
      </c>
    </row>
    <row r="818" spans="1:2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 s="188">
        <v>1000</v>
      </c>
      <c r="S818" s="8">
        <f t="shared" si="77"/>
        <v>-1000</v>
      </c>
      <c r="T818" s="234">
        <f t="shared" si="82"/>
        <v>-288999.99999996147</v>
      </c>
      <c r="U818" s="15">
        <v>25</v>
      </c>
      <c r="V818" s="8">
        <f t="shared" si="78"/>
        <v>-25</v>
      </c>
      <c r="W818" s="233">
        <f t="shared" si="79"/>
        <v>-18066.5</v>
      </c>
    </row>
    <row r="819" spans="1:2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 s="188">
        <v>1000</v>
      </c>
      <c r="S819" s="8">
        <f t="shared" si="77"/>
        <v>-1000</v>
      </c>
      <c r="T819" s="234">
        <f t="shared" si="82"/>
        <v>-289999.99999996147</v>
      </c>
      <c r="U819" s="15">
        <v>25</v>
      </c>
      <c r="V819" s="8">
        <f t="shared" si="78"/>
        <v>-25</v>
      </c>
      <c r="W819" s="233">
        <f t="shared" si="79"/>
        <v>-18091.5</v>
      </c>
    </row>
    <row r="820" spans="1:2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 s="188">
        <v>1000</v>
      </c>
      <c r="S820" s="8">
        <f t="shared" si="77"/>
        <v>-1000</v>
      </c>
      <c r="T820" s="234">
        <f t="shared" si="82"/>
        <v>-290999.99999996147</v>
      </c>
      <c r="U820" s="15">
        <v>25</v>
      </c>
      <c r="V820" s="8">
        <f t="shared" si="78"/>
        <v>-25</v>
      </c>
      <c r="W820" s="233">
        <f t="shared" si="79"/>
        <v>-18116.5</v>
      </c>
    </row>
    <row r="821" spans="1:2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 s="188">
        <v>1000</v>
      </c>
      <c r="S821" s="8">
        <f t="shared" si="77"/>
        <v>-1000</v>
      </c>
      <c r="T821" s="234">
        <f t="shared" si="82"/>
        <v>-291999.99999996147</v>
      </c>
      <c r="U821" s="15">
        <v>25</v>
      </c>
      <c r="V821" s="8">
        <f t="shared" si="78"/>
        <v>-25</v>
      </c>
      <c r="W821" s="233">
        <f t="shared" si="79"/>
        <v>-18141.5</v>
      </c>
    </row>
    <row r="822" spans="1:2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 s="188">
        <v>1000</v>
      </c>
      <c r="S822" s="8">
        <f t="shared" si="77"/>
        <v>-1000</v>
      </c>
      <c r="T822" s="234">
        <f t="shared" si="82"/>
        <v>-292999.99999996147</v>
      </c>
      <c r="U822" s="15">
        <v>25</v>
      </c>
      <c r="V822" s="8">
        <f t="shared" si="78"/>
        <v>-25</v>
      </c>
      <c r="W822" s="233">
        <f t="shared" si="79"/>
        <v>-18166.5</v>
      </c>
    </row>
    <row r="823" spans="1:2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 s="188">
        <v>1000</v>
      </c>
      <c r="S823" s="8">
        <f t="shared" si="77"/>
        <v>-1000</v>
      </c>
      <c r="T823" s="234">
        <f t="shared" si="82"/>
        <v>-293999.99999996147</v>
      </c>
      <c r="U823" s="15">
        <v>25</v>
      </c>
      <c r="V823" s="8">
        <f t="shared" si="78"/>
        <v>-25</v>
      </c>
      <c r="W823" s="233">
        <f t="shared" si="79"/>
        <v>-18191.5</v>
      </c>
    </row>
    <row r="824" spans="1:2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 s="188">
        <v>1000</v>
      </c>
      <c r="S824" s="8">
        <f t="shared" si="77"/>
        <v>-1000</v>
      </c>
      <c r="T824" s="234">
        <f t="shared" si="82"/>
        <v>-294999.99999996147</v>
      </c>
      <c r="U824" s="15">
        <v>25</v>
      </c>
      <c r="V824" s="8">
        <f t="shared" si="78"/>
        <v>-25</v>
      </c>
      <c r="W824" s="233">
        <f t="shared" si="79"/>
        <v>-18216.5</v>
      </c>
    </row>
    <row r="825" spans="1:2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 s="188">
        <v>1000</v>
      </c>
      <c r="S825" s="8">
        <f t="shared" si="77"/>
        <v>-1000</v>
      </c>
      <c r="T825" s="234">
        <f t="shared" si="82"/>
        <v>-295999.99999996147</v>
      </c>
      <c r="U825" s="15">
        <v>25</v>
      </c>
      <c r="V825" s="8">
        <f t="shared" si="78"/>
        <v>-25</v>
      </c>
      <c r="W825" s="233">
        <f t="shared" si="79"/>
        <v>-18241.5</v>
      </c>
    </row>
    <row r="826" spans="1:2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 s="188">
        <v>1000</v>
      </c>
      <c r="S826" s="8">
        <f t="shared" si="77"/>
        <v>-1000</v>
      </c>
      <c r="T826" s="234">
        <f t="shared" si="82"/>
        <v>-296999.99999996147</v>
      </c>
      <c r="U826" s="15">
        <v>25</v>
      </c>
      <c r="V826" s="8">
        <f t="shared" si="78"/>
        <v>-25</v>
      </c>
      <c r="W826" s="233">
        <f t="shared" si="79"/>
        <v>-18266.5</v>
      </c>
    </row>
    <row r="827" spans="1:2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 s="188">
        <v>1000</v>
      </c>
      <c r="S827" s="8">
        <f t="shared" si="77"/>
        <v>-1000</v>
      </c>
      <c r="T827" s="234">
        <f t="shared" si="82"/>
        <v>-297999.99999996147</v>
      </c>
      <c r="U827" s="15">
        <v>25</v>
      </c>
      <c r="V827" s="8">
        <f t="shared" si="78"/>
        <v>-25</v>
      </c>
      <c r="W827" s="233">
        <f t="shared" si="79"/>
        <v>-18291.5</v>
      </c>
    </row>
    <row r="828" spans="1:2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 s="188">
        <v>1000</v>
      </c>
      <c r="S828" s="8">
        <f t="shared" si="77"/>
        <v>-1000</v>
      </c>
      <c r="T828" s="234">
        <f t="shared" si="82"/>
        <v>-298999.99999996147</v>
      </c>
      <c r="U828" s="15">
        <v>25</v>
      </c>
      <c r="V828" s="8">
        <f t="shared" si="78"/>
        <v>-25</v>
      </c>
      <c r="W828" s="233">
        <f t="shared" si="79"/>
        <v>-18316.5</v>
      </c>
    </row>
    <row r="829" spans="1:2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 s="188">
        <v>1000</v>
      </c>
      <c r="S829" s="8">
        <f t="shared" si="77"/>
        <v>-1000</v>
      </c>
      <c r="T829" s="234">
        <f t="shared" si="82"/>
        <v>-299999.99999996147</v>
      </c>
      <c r="U829" s="15">
        <v>25</v>
      </c>
      <c r="V829" s="8">
        <f t="shared" si="78"/>
        <v>-25</v>
      </c>
      <c r="W829" s="233">
        <f t="shared" si="79"/>
        <v>-18341.5</v>
      </c>
    </row>
    <row r="830" spans="1:2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 s="188">
        <v>1000</v>
      </c>
      <c r="S830" s="8">
        <f t="shared" si="77"/>
        <v>-1000</v>
      </c>
      <c r="T830" s="234">
        <f t="shared" si="82"/>
        <v>-300999.99999996147</v>
      </c>
      <c r="U830" s="15">
        <v>25</v>
      </c>
      <c r="V830" s="8">
        <f t="shared" si="78"/>
        <v>-25</v>
      </c>
      <c r="W830" s="233">
        <f t="shared" si="79"/>
        <v>-18366.5</v>
      </c>
    </row>
    <row r="831" spans="1:2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 s="188">
        <v>1000</v>
      </c>
      <c r="S831" s="8">
        <f t="shared" si="77"/>
        <v>-1000</v>
      </c>
      <c r="T831" s="234">
        <f t="shared" si="82"/>
        <v>-301999.99999996147</v>
      </c>
      <c r="U831" s="15">
        <v>25</v>
      </c>
      <c r="V831" s="8">
        <f t="shared" si="78"/>
        <v>-25</v>
      </c>
      <c r="W831" s="233">
        <f t="shared" si="79"/>
        <v>-18391.5</v>
      </c>
    </row>
    <row r="832" spans="1:2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 s="188">
        <v>1000</v>
      </c>
      <c r="S832" s="8">
        <f t="shared" si="77"/>
        <v>-1000</v>
      </c>
      <c r="T832" s="234">
        <f t="shared" si="82"/>
        <v>-302999.99999996147</v>
      </c>
      <c r="U832" s="15">
        <v>25</v>
      </c>
      <c r="V832" s="8">
        <f t="shared" si="78"/>
        <v>-25</v>
      </c>
      <c r="W832" s="233">
        <f t="shared" si="79"/>
        <v>-18416.5</v>
      </c>
    </row>
    <row r="833" spans="1:2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 s="188">
        <v>1000</v>
      </c>
      <c r="S833" s="8">
        <f t="shared" si="77"/>
        <v>-1000</v>
      </c>
      <c r="T833" s="234">
        <f t="shared" si="82"/>
        <v>-303999.99999996147</v>
      </c>
      <c r="U833" s="15">
        <v>25</v>
      </c>
      <c r="V833" s="8">
        <f t="shared" si="78"/>
        <v>-25</v>
      </c>
      <c r="W833" s="233">
        <f t="shared" si="79"/>
        <v>-18441.5</v>
      </c>
    </row>
    <row r="834" spans="1:2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 s="188">
        <v>1000</v>
      </c>
      <c r="S834" s="8">
        <f t="shared" si="77"/>
        <v>-1000</v>
      </c>
      <c r="T834" s="234">
        <f t="shared" si="82"/>
        <v>-304999.99999996147</v>
      </c>
      <c r="U834" s="15">
        <v>25</v>
      </c>
      <c r="V834" s="8">
        <f t="shared" si="78"/>
        <v>-25</v>
      </c>
      <c r="W834" s="233">
        <f t="shared" si="79"/>
        <v>-18466.5</v>
      </c>
    </row>
    <row r="835" spans="1:2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 s="188">
        <v>1000</v>
      </c>
      <c r="S835" s="8">
        <f t="shared" ref="S835:S898" si="83">IF(O835="won",R835*0.18,-R835)</f>
        <v>-1000</v>
      </c>
      <c r="T835" s="234">
        <f t="shared" si="82"/>
        <v>-305999.99999996147</v>
      </c>
      <c r="U835" s="15">
        <v>25</v>
      </c>
      <c r="V835" s="8">
        <f t="shared" ref="V835:V898" si="84">IF(O835="won",U835*0.18,-U835)</f>
        <v>-25</v>
      </c>
      <c r="W835" s="233">
        <f t="shared" ref="W835:W898" si="85">SUM(W834,V835)</f>
        <v>-18491.5</v>
      </c>
    </row>
    <row r="836" spans="1:2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 s="188">
        <v>1000</v>
      </c>
      <c r="S836" s="8">
        <f t="shared" si="83"/>
        <v>-1000</v>
      </c>
      <c r="T836" s="234">
        <f t="shared" si="82"/>
        <v>-306999.99999996147</v>
      </c>
      <c r="U836" s="15">
        <v>25</v>
      </c>
      <c r="V836" s="8">
        <f t="shared" si="84"/>
        <v>-25</v>
      </c>
      <c r="W836" s="233">
        <f t="shared" si="85"/>
        <v>-18516.5</v>
      </c>
    </row>
    <row r="837" spans="1:2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 s="188">
        <v>1000</v>
      </c>
      <c r="S837" s="8">
        <f t="shared" si="83"/>
        <v>-1000</v>
      </c>
      <c r="T837" s="234">
        <f t="shared" si="82"/>
        <v>-307999.99999996147</v>
      </c>
      <c r="U837" s="15">
        <v>25</v>
      </c>
      <c r="V837" s="8">
        <f t="shared" si="84"/>
        <v>-25</v>
      </c>
      <c r="W837" s="233">
        <f t="shared" si="85"/>
        <v>-18541.5</v>
      </c>
    </row>
    <row r="838" spans="1:2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 s="188">
        <v>1000</v>
      </c>
      <c r="S838" s="8">
        <f t="shared" si="83"/>
        <v>-1000</v>
      </c>
      <c r="T838" s="234">
        <f t="shared" si="82"/>
        <v>-308999.99999996147</v>
      </c>
      <c r="U838" s="15">
        <v>25</v>
      </c>
      <c r="V838" s="8">
        <f t="shared" si="84"/>
        <v>-25</v>
      </c>
      <c r="W838" s="233">
        <f t="shared" si="85"/>
        <v>-18566.5</v>
      </c>
    </row>
    <row r="839" spans="1:2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 s="188">
        <v>1000</v>
      </c>
      <c r="S839" s="8">
        <f t="shared" si="83"/>
        <v>-1000</v>
      </c>
      <c r="T839" s="234">
        <f t="shared" si="82"/>
        <v>-309999.99999996147</v>
      </c>
      <c r="U839" s="15">
        <v>25</v>
      </c>
      <c r="V839" s="8">
        <f t="shared" si="84"/>
        <v>-25</v>
      </c>
      <c r="W839" s="233">
        <f t="shared" si="85"/>
        <v>-18591.5</v>
      </c>
    </row>
    <row r="840" spans="1:2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 s="188">
        <v>1000</v>
      </c>
      <c r="S840" s="8">
        <f t="shared" si="83"/>
        <v>-1000</v>
      </c>
      <c r="T840" s="234">
        <f t="shared" si="82"/>
        <v>-310999.99999996147</v>
      </c>
      <c r="U840" s="15">
        <v>25</v>
      </c>
      <c r="V840" s="8">
        <f t="shared" si="84"/>
        <v>-25</v>
      </c>
      <c r="W840" s="233">
        <f t="shared" si="85"/>
        <v>-18616.5</v>
      </c>
    </row>
    <row r="841" spans="1:2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 s="188">
        <v>1000</v>
      </c>
      <c r="S841" s="8">
        <f t="shared" si="83"/>
        <v>-1000</v>
      </c>
      <c r="T841" s="234">
        <f t="shared" si="82"/>
        <v>-311999.99999996147</v>
      </c>
      <c r="U841" s="15">
        <v>25</v>
      </c>
      <c r="V841" s="8">
        <f t="shared" si="84"/>
        <v>-25</v>
      </c>
      <c r="W841" s="233">
        <f t="shared" si="85"/>
        <v>-18641.5</v>
      </c>
    </row>
    <row r="842" spans="1:2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 s="188">
        <v>1000</v>
      </c>
      <c r="S842" s="8">
        <f t="shared" si="83"/>
        <v>-1000</v>
      </c>
      <c r="T842" s="234">
        <f t="shared" si="82"/>
        <v>-312999.99999996147</v>
      </c>
      <c r="U842" s="15">
        <v>25</v>
      </c>
      <c r="V842" s="8">
        <f t="shared" si="84"/>
        <v>-25</v>
      </c>
      <c r="W842" s="233">
        <f t="shared" si="85"/>
        <v>-18666.5</v>
      </c>
    </row>
    <row r="843" spans="1:2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 s="188">
        <v>1000</v>
      </c>
      <c r="S843" s="8">
        <f t="shared" si="83"/>
        <v>-1000</v>
      </c>
      <c r="T843" s="234">
        <f t="shared" si="82"/>
        <v>-313999.99999996147</v>
      </c>
      <c r="U843" s="15">
        <v>25</v>
      </c>
      <c r="V843" s="8">
        <f t="shared" si="84"/>
        <v>-25</v>
      </c>
      <c r="W843" s="233">
        <f t="shared" si="85"/>
        <v>-18691.5</v>
      </c>
    </row>
    <row r="844" spans="1:2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 s="188">
        <v>1000</v>
      </c>
      <c r="S844" s="8">
        <f t="shared" si="83"/>
        <v>-1000</v>
      </c>
      <c r="T844" s="234">
        <f t="shared" si="82"/>
        <v>-314999.99999996147</v>
      </c>
      <c r="U844" s="15">
        <v>25</v>
      </c>
      <c r="V844" s="8">
        <f t="shared" si="84"/>
        <v>-25</v>
      </c>
      <c r="W844" s="233">
        <f t="shared" si="85"/>
        <v>-18716.5</v>
      </c>
    </row>
    <row r="845" spans="1:2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 s="188">
        <v>1000</v>
      </c>
      <c r="S845" s="8">
        <f t="shared" si="83"/>
        <v>-1000</v>
      </c>
      <c r="T845" s="234">
        <f t="shared" si="82"/>
        <v>-315999.99999996147</v>
      </c>
      <c r="U845" s="15">
        <v>25</v>
      </c>
      <c r="V845" s="8">
        <f t="shared" si="84"/>
        <v>-25</v>
      </c>
      <c r="W845" s="233">
        <f t="shared" si="85"/>
        <v>-18741.5</v>
      </c>
    </row>
    <row r="846" spans="1:2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 s="188">
        <v>1000</v>
      </c>
      <c r="S846" s="8">
        <f t="shared" si="83"/>
        <v>-1000</v>
      </c>
      <c r="T846" s="234">
        <f t="shared" si="82"/>
        <v>-316999.99999996147</v>
      </c>
      <c r="U846" s="15">
        <v>25</v>
      </c>
      <c r="V846" s="8">
        <f t="shared" si="84"/>
        <v>-25</v>
      </c>
      <c r="W846" s="233">
        <f t="shared" si="85"/>
        <v>-18766.5</v>
      </c>
    </row>
    <row r="847" spans="1:2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 s="188">
        <v>1000</v>
      </c>
      <c r="S847" s="8">
        <f t="shared" si="83"/>
        <v>-1000</v>
      </c>
      <c r="T847" s="234">
        <f t="shared" si="82"/>
        <v>-317999.99999996147</v>
      </c>
      <c r="U847" s="15">
        <v>25</v>
      </c>
      <c r="V847" s="8">
        <f t="shared" si="84"/>
        <v>-25</v>
      </c>
      <c r="W847" s="233">
        <f t="shared" si="85"/>
        <v>-18791.5</v>
      </c>
    </row>
    <row r="848" spans="1:2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 s="188">
        <v>1000</v>
      </c>
      <c r="S848" s="8">
        <f t="shared" si="83"/>
        <v>-1000</v>
      </c>
      <c r="T848" s="234">
        <f t="shared" si="82"/>
        <v>-318999.99999996147</v>
      </c>
      <c r="U848" s="15">
        <v>25</v>
      </c>
      <c r="V848" s="8">
        <f t="shared" si="84"/>
        <v>-25</v>
      </c>
      <c r="W848" s="233">
        <f t="shared" si="85"/>
        <v>-18816.5</v>
      </c>
    </row>
    <row r="849" spans="1:2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 s="188">
        <v>1000</v>
      </c>
      <c r="S849" s="8">
        <f t="shared" si="83"/>
        <v>-1000</v>
      </c>
      <c r="T849" s="234">
        <f t="shared" si="82"/>
        <v>-319999.99999996147</v>
      </c>
      <c r="U849" s="15">
        <v>25</v>
      </c>
      <c r="V849" s="8">
        <f t="shared" si="84"/>
        <v>-25</v>
      </c>
      <c r="W849" s="233">
        <f t="shared" si="85"/>
        <v>-18841.5</v>
      </c>
    </row>
    <row r="850" spans="1:2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 s="188">
        <v>1000</v>
      </c>
      <c r="S850" s="8">
        <f t="shared" si="83"/>
        <v>-1000</v>
      </c>
      <c r="T850" s="234">
        <f t="shared" si="82"/>
        <v>-320999.99999996147</v>
      </c>
      <c r="U850" s="15">
        <v>25</v>
      </c>
      <c r="V850" s="8">
        <f t="shared" si="84"/>
        <v>-25</v>
      </c>
      <c r="W850" s="233">
        <f t="shared" si="85"/>
        <v>-18866.5</v>
      </c>
    </row>
    <row r="851" spans="1:2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 s="188">
        <v>1000</v>
      </c>
      <c r="S851" s="8">
        <f t="shared" si="83"/>
        <v>-1000</v>
      </c>
      <c r="T851" s="234">
        <f t="shared" si="82"/>
        <v>-321999.99999996147</v>
      </c>
      <c r="U851" s="15">
        <v>25</v>
      </c>
      <c r="V851" s="8">
        <f t="shared" si="84"/>
        <v>-25</v>
      </c>
      <c r="W851" s="233">
        <f t="shared" si="85"/>
        <v>-18891.5</v>
      </c>
    </row>
    <row r="852" spans="1:2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 s="188">
        <v>1000</v>
      </c>
      <c r="S852" s="8">
        <f t="shared" si="83"/>
        <v>-1000</v>
      </c>
      <c r="T852" s="234">
        <f t="shared" si="82"/>
        <v>-322999.99999996147</v>
      </c>
      <c r="U852" s="15">
        <v>25</v>
      </c>
      <c r="V852" s="8">
        <f t="shared" si="84"/>
        <v>-25</v>
      </c>
      <c r="W852" s="233">
        <f t="shared" si="85"/>
        <v>-18916.5</v>
      </c>
    </row>
    <row r="853" spans="1:2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 s="188">
        <v>1000</v>
      </c>
      <c r="S853" s="8">
        <f t="shared" si="83"/>
        <v>-1000</v>
      </c>
      <c r="T853" s="234">
        <f t="shared" si="82"/>
        <v>-323999.99999996147</v>
      </c>
      <c r="U853" s="15">
        <v>25</v>
      </c>
      <c r="V853" s="8">
        <f t="shared" si="84"/>
        <v>-25</v>
      </c>
      <c r="W853" s="233">
        <f t="shared" si="85"/>
        <v>-18941.5</v>
      </c>
    </row>
    <row r="854" spans="1:2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 s="188">
        <v>1000</v>
      </c>
      <c r="S854" s="8">
        <f t="shared" si="83"/>
        <v>-1000</v>
      </c>
      <c r="T854" s="234">
        <f t="shared" si="82"/>
        <v>-324999.99999996147</v>
      </c>
      <c r="U854" s="15">
        <v>25</v>
      </c>
      <c r="V854" s="8">
        <f t="shared" si="84"/>
        <v>-25</v>
      </c>
      <c r="W854" s="233">
        <f t="shared" si="85"/>
        <v>-18966.5</v>
      </c>
    </row>
    <row r="855" spans="1:2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 s="188">
        <v>1000</v>
      </c>
      <c r="S855" s="8">
        <f t="shared" si="83"/>
        <v>-1000</v>
      </c>
      <c r="T855" s="234">
        <f t="shared" si="82"/>
        <v>-325999.99999996147</v>
      </c>
      <c r="U855" s="15">
        <v>25</v>
      </c>
      <c r="V855" s="8">
        <f t="shared" si="84"/>
        <v>-25</v>
      </c>
      <c r="W855" s="233">
        <f t="shared" si="85"/>
        <v>-18991.5</v>
      </c>
    </row>
    <row r="856" spans="1:2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 s="188">
        <v>1000</v>
      </c>
      <c r="S856" s="8">
        <f t="shared" si="83"/>
        <v>-1000</v>
      </c>
      <c r="T856" s="234">
        <f t="shared" si="82"/>
        <v>-326999.99999996147</v>
      </c>
      <c r="U856" s="15">
        <v>25</v>
      </c>
      <c r="V856" s="8">
        <f t="shared" si="84"/>
        <v>-25</v>
      </c>
      <c r="W856" s="233">
        <f t="shared" si="85"/>
        <v>-19016.5</v>
      </c>
    </row>
    <row r="857" spans="1:2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 s="188">
        <v>1000</v>
      </c>
      <c r="S857" s="8">
        <f t="shared" si="83"/>
        <v>-1000</v>
      </c>
      <c r="T857" s="234">
        <f t="shared" si="82"/>
        <v>-327999.99999996147</v>
      </c>
      <c r="U857" s="15">
        <v>25</v>
      </c>
      <c r="V857" s="8">
        <f t="shared" si="84"/>
        <v>-25</v>
      </c>
      <c r="W857" s="233">
        <f t="shared" si="85"/>
        <v>-19041.5</v>
      </c>
    </row>
    <row r="858" spans="1:2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 s="188">
        <v>1000</v>
      </c>
      <c r="S858" s="8">
        <f t="shared" si="83"/>
        <v>-1000</v>
      </c>
      <c r="T858" s="234">
        <f t="shared" si="82"/>
        <v>-328999.99999996147</v>
      </c>
      <c r="U858" s="15">
        <v>25</v>
      </c>
      <c r="V858" s="8">
        <f t="shared" si="84"/>
        <v>-25</v>
      </c>
      <c r="W858" s="233">
        <f t="shared" si="85"/>
        <v>-19066.5</v>
      </c>
    </row>
    <row r="859" spans="1:2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 s="188">
        <v>1000</v>
      </c>
      <c r="S859" s="8">
        <f t="shared" si="83"/>
        <v>-1000</v>
      </c>
      <c r="T859" s="234">
        <f t="shared" si="82"/>
        <v>-329999.99999996147</v>
      </c>
      <c r="U859" s="15">
        <v>25</v>
      </c>
      <c r="V859" s="8">
        <f t="shared" si="84"/>
        <v>-25</v>
      </c>
      <c r="W859" s="233">
        <f t="shared" si="85"/>
        <v>-19091.5</v>
      </c>
    </row>
    <row r="860" spans="1:2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 s="188">
        <v>1000</v>
      </c>
      <c r="S860" s="8">
        <f t="shared" si="83"/>
        <v>-1000</v>
      </c>
      <c r="T860" s="234">
        <f t="shared" si="82"/>
        <v>-330999.99999996147</v>
      </c>
      <c r="U860" s="15">
        <v>25</v>
      </c>
      <c r="V860" s="8">
        <f t="shared" si="84"/>
        <v>-25</v>
      </c>
      <c r="W860" s="233">
        <f t="shared" si="85"/>
        <v>-19116.5</v>
      </c>
    </row>
    <row r="861" spans="1:2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 s="188">
        <v>1000</v>
      </c>
      <c r="S861" s="8">
        <f t="shared" si="83"/>
        <v>-1000</v>
      </c>
      <c r="T861" s="234">
        <f t="shared" si="82"/>
        <v>-331999.99999996147</v>
      </c>
      <c r="U861" s="15">
        <v>25</v>
      </c>
      <c r="V861" s="8">
        <f t="shared" si="84"/>
        <v>-25</v>
      </c>
      <c r="W861" s="233">
        <f t="shared" si="85"/>
        <v>-19141.5</v>
      </c>
    </row>
    <row r="862" spans="1:2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 s="188">
        <v>1000</v>
      </c>
      <c r="S862" s="8">
        <f t="shared" si="83"/>
        <v>-1000</v>
      </c>
      <c r="T862" s="234">
        <f t="shared" si="82"/>
        <v>-332999.99999996147</v>
      </c>
      <c r="U862" s="15">
        <v>25</v>
      </c>
      <c r="V862" s="8">
        <f t="shared" si="84"/>
        <v>-25</v>
      </c>
      <c r="W862" s="233">
        <f t="shared" si="85"/>
        <v>-19166.5</v>
      </c>
    </row>
    <row r="863" spans="1:2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 s="188">
        <v>1000</v>
      </c>
      <c r="S863" s="8">
        <f t="shared" si="83"/>
        <v>-1000</v>
      </c>
      <c r="T863" s="234">
        <f t="shared" si="82"/>
        <v>-333999.99999996147</v>
      </c>
      <c r="U863" s="15">
        <v>25</v>
      </c>
      <c r="V863" s="8">
        <f t="shared" si="84"/>
        <v>-25</v>
      </c>
      <c r="W863" s="233">
        <f t="shared" si="85"/>
        <v>-19191.5</v>
      </c>
    </row>
    <row r="864" spans="1:2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 s="188">
        <v>1000</v>
      </c>
      <c r="S864" s="8">
        <f t="shared" si="83"/>
        <v>-1000</v>
      </c>
      <c r="T864" s="234">
        <f t="shared" si="82"/>
        <v>-334999.99999996147</v>
      </c>
      <c r="U864" s="15">
        <v>25</v>
      </c>
      <c r="V864" s="8">
        <f t="shared" si="84"/>
        <v>-25</v>
      </c>
      <c r="W864" s="233">
        <f t="shared" si="85"/>
        <v>-19216.5</v>
      </c>
    </row>
    <row r="865" spans="1:2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 s="188">
        <v>1000</v>
      </c>
      <c r="S865" s="8">
        <f t="shared" si="83"/>
        <v>-1000</v>
      </c>
      <c r="T865" s="234">
        <f t="shared" si="82"/>
        <v>-335999.99999996147</v>
      </c>
      <c r="U865" s="15">
        <v>25</v>
      </c>
      <c r="V865" s="8">
        <f t="shared" si="84"/>
        <v>-25</v>
      </c>
      <c r="W865" s="233">
        <f t="shared" si="85"/>
        <v>-19241.5</v>
      </c>
    </row>
    <row r="866" spans="1:2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 s="188">
        <v>1000</v>
      </c>
      <c r="S866" s="8">
        <f t="shared" si="83"/>
        <v>-1000</v>
      </c>
      <c r="T866" s="234">
        <f t="shared" si="82"/>
        <v>-336999.99999996147</v>
      </c>
      <c r="U866" s="15">
        <v>25</v>
      </c>
      <c r="V866" s="8">
        <f t="shared" si="84"/>
        <v>-25</v>
      </c>
      <c r="W866" s="233">
        <f t="shared" si="85"/>
        <v>-19266.5</v>
      </c>
    </row>
    <row r="867" spans="1:2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 s="188">
        <v>1000</v>
      </c>
      <c r="S867" s="8">
        <f t="shared" si="83"/>
        <v>-1000</v>
      </c>
      <c r="T867" s="234">
        <f t="shared" si="82"/>
        <v>-337999.99999996147</v>
      </c>
      <c r="U867" s="15">
        <v>25</v>
      </c>
      <c r="V867" s="8">
        <f t="shared" si="84"/>
        <v>-25</v>
      </c>
      <c r="W867" s="233">
        <f t="shared" si="85"/>
        <v>-19291.5</v>
      </c>
    </row>
    <row r="868" spans="1:2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 s="188">
        <v>1000</v>
      </c>
      <c r="S868" s="8">
        <f t="shared" si="83"/>
        <v>-1000</v>
      </c>
      <c r="T868" s="234">
        <f t="shared" si="82"/>
        <v>-338999.99999996147</v>
      </c>
      <c r="U868" s="15">
        <v>25</v>
      </c>
      <c r="V868" s="8">
        <f t="shared" si="84"/>
        <v>-25</v>
      </c>
      <c r="W868" s="233">
        <f t="shared" si="85"/>
        <v>-19316.5</v>
      </c>
    </row>
    <row r="869" spans="1:2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 s="188">
        <v>1000</v>
      </c>
      <c r="S869" s="8">
        <f t="shared" si="83"/>
        <v>-1000</v>
      </c>
      <c r="T869" s="234">
        <f t="shared" si="82"/>
        <v>-339999.99999996147</v>
      </c>
      <c r="U869" s="15">
        <v>25</v>
      </c>
      <c r="V869" s="8">
        <f t="shared" si="84"/>
        <v>-25</v>
      </c>
      <c r="W869" s="233">
        <f t="shared" si="85"/>
        <v>-19341.5</v>
      </c>
    </row>
    <row r="870" spans="1:2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 s="188">
        <v>1000</v>
      </c>
      <c r="S870" s="8">
        <f t="shared" si="83"/>
        <v>-1000</v>
      </c>
      <c r="T870" s="234">
        <f t="shared" si="82"/>
        <v>-340999.99999996147</v>
      </c>
      <c r="U870" s="15">
        <v>25</v>
      </c>
      <c r="V870" s="8">
        <f t="shared" si="84"/>
        <v>-25</v>
      </c>
      <c r="W870" s="233">
        <f t="shared" si="85"/>
        <v>-19366.5</v>
      </c>
    </row>
    <row r="871" spans="1:2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 s="188">
        <v>1000</v>
      </c>
      <c r="S871" s="8">
        <f t="shared" si="83"/>
        <v>-1000</v>
      </c>
      <c r="T871" s="234">
        <f t="shared" si="82"/>
        <v>-341999.99999996147</v>
      </c>
      <c r="U871" s="15">
        <v>25</v>
      </c>
      <c r="V871" s="8">
        <f t="shared" si="84"/>
        <v>-25</v>
      </c>
      <c r="W871" s="233">
        <f t="shared" si="85"/>
        <v>-19391.5</v>
      </c>
    </row>
    <row r="872" spans="1:2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 s="188">
        <v>1000</v>
      </c>
      <c r="S872" s="8">
        <f t="shared" si="83"/>
        <v>-1000</v>
      </c>
      <c r="T872" s="234">
        <f t="shared" ref="T872:T900" si="86">SUM(T871,S872)</f>
        <v>-342999.99999996147</v>
      </c>
      <c r="U872" s="15">
        <v>25</v>
      </c>
      <c r="V872" s="8">
        <f t="shared" si="84"/>
        <v>-25</v>
      </c>
      <c r="W872" s="233">
        <f t="shared" si="85"/>
        <v>-19416.5</v>
      </c>
    </row>
    <row r="873" spans="1:2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 s="188">
        <v>1000</v>
      </c>
      <c r="S873" s="8">
        <f t="shared" si="83"/>
        <v>-1000</v>
      </c>
      <c r="T873" s="234">
        <f t="shared" si="86"/>
        <v>-343999.99999996147</v>
      </c>
      <c r="U873" s="15">
        <v>25</v>
      </c>
      <c r="V873" s="8">
        <f t="shared" si="84"/>
        <v>-25</v>
      </c>
      <c r="W873" s="233">
        <f t="shared" si="85"/>
        <v>-19441.5</v>
      </c>
    </row>
    <row r="874" spans="1:2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 s="188">
        <v>1000</v>
      </c>
      <c r="S874" s="8">
        <f t="shared" si="83"/>
        <v>-1000</v>
      </c>
      <c r="T874" s="234">
        <f t="shared" si="86"/>
        <v>-344999.99999996147</v>
      </c>
      <c r="U874" s="15">
        <v>25</v>
      </c>
      <c r="V874" s="8">
        <f t="shared" si="84"/>
        <v>-25</v>
      </c>
      <c r="W874" s="233">
        <f t="shared" si="85"/>
        <v>-19466.5</v>
      </c>
    </row>
    <row r="875" spans="1:2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 s="188">
        <v>1000</v>
      </c>
      <c r="S875" s="8">
        <f t="shared" si="83"/>
        <v>-1000</v>
      </c>
      <c r="T875" s="234">
        <f t="shared" si="86"/>
        <v>-345999.99999996147</v>
      </c>
      <c r="U875" s="15">
        <v>25</v>
      </c>
      <c r="V875" s="8">
        <f t="shared" si="84"/>
        <v>-25</v>
      </c>
      <c r="W875" s="233">
        <f t="shared" si="85"/>
        <v>-19491.5</v>
      </c>
    </row>
    <row r="876" spans="1:2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 s="188">
        <v>1000</v>
      </c>
      <c r="S876" s="8">
        <f t="shared" si="83"/>
        <v>-1000</v>
      </c>
      <c r="T876" s="234">
        <f t="shared" si="86"/>
        <v>-346999.99999996147</v>
      </c>
      <c r="U876" s="15">
        <v>25</v>
      </c>
      <c r="V876" s="8">
        <f t="shared" si="84"/>
        <v>-25</v>
      </c>
      <c r="W876" s="233">
        <f t="shared" si="85"/>
        <v>-19516.5</v>
      </c>
    </row>
    <row r="877" spans="1:2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 s="188">
        <v>1000</v>
      </c>
      <c r="S877" s="8">
        <f t="shared" si="83"/>
        <v>-1000</v>
      </c>
      <c r="T877" s="234">
        <f t="shared" si="86"/>
        <v>-347999.99999996147</v>
      </c>
      <c r="U877" s="15">
        <v>25</v>
      </c>
      <c r="V877" s="8">
        <f t="shared" si="84"/>
        <v>-25</v>
      </c>
      <c r="W877" s="233">
        <f t="shared" si="85"/>
        <v>-19541.5</v>
      </c>
    </row>
    <row r="878" spans="1:2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 s="188">
        <v>1000</v>
      </c>
      <c r="S878" s="8">
        <f t="shared" si="83"/>
        <v>-1000</v>
      </c>
      <c r="T878" s="234">
        <f t="shared" si="86"/>
        <v>-348999.99999996147</v>
      </c>
      <c r="U878" s="15">
        <v>25</v>
      </c>
      <c r="V878" s="8">
        <f t="shared" si="84"/>
        <v>-25</v>
      </c>
      <c r="W878" s="233">
        <f t="shared" si="85"/>
        <v>-19566.5</v>
      </c>
    </row>
    <row r="879" spans="1:2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 s="188">
        <v>1000</v>
      </c>
      <c r="S879" s="8">
        <f t="shared" si="83"/>
        <v>-1000</v>
      </c>
      <c r="T879" s="234">
        <f t="shared" si="86"/>
        <v>-349999.99999996147</v>
      </c>
      <c r="U879" s="15">
        <v>25</v>
      </c>
      <c r="V879" s="8">
        <f t="shared" si="84"/>
        <v>-25</v>
      </c>
      <c r="W879" s="233">
        <f t="shared" si="85"/>
        <v>-19591.5</v>
      </c>
    </row>
    <row r="880" spans="1:2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 s="188">
        <v>1000</v>
      </c>
      <c r="S880" s="8">
        <f t="shared" si="83"/>
        <v>-1000</v>
      </c>
      <c r="T880" s="234">
        <f t="shared" si="86"/>
        <v>-350999.99999996147</v>
      </c>
      <c r="U880" s="15">
        <v>25</v>
      </c>
      <c r="V880" s="8">
        <f t="shared" si="84"/>
        <v>-25</v>
      </c>
      <c r="W880" s="233">
        <f t="shared" si="85"/>
        <v>-19616.5</v>
      </c>
    </row>
    <row r="881" spans="1:2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 s="188">
        <v>1000</v>
      </c>
      <c r="S881" s="8">
        <f t="shared" si="83"/>
        <v>-1000</v>
      </c>
      <c r="T881" s="234">
        <f t="shared" si="86"/>
        <v>-351999.99999996147</v>
      </c>
      <c r="U881" s="15">
        <v>25</v>
      </c>
      <c r="V881" s="8">
        <f t="shared" si="84"/>
        <v>-25</v>
      </c>
      <c r="W881" s="233">
        <f t="shared" si="85"/>
        <v>-19641.5</v>
      </c>
    </row>
    <row r="882" spans="1:2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 s="188">
        <v>1000</v>
      </c>
      <c r="S882" s="8">
        <f t="shared" si="83"/>
        <v>-1000</v>
      </c>
      <c r="T882" s="234">
        <f t="shared" si="86"/>
        <v>-352999.99999996147</v>
      </c>
      <c r="U882" s="15">
        <v>25</v>
      </c>
      <c r="V882" s="8">
        <f t="shared" si="84"/>
        <v>-25</v>
      </c>
      <c r="W882" s="233">
        <f t="shared" si="85"/>
        <v>-19666.5</v>
      </c>
    </row>
    <row r="883" spans="1:2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 s="188">
        <v>1000</v>
      </c>
      <c r="S883" s="8">
        <f t="shared" si="83"/>
        <v>-1000</v>
      </c>
      <c r="T883" s="234">
        <f t="shared" si="86"/>
        <v>-353999.99999996147</v>
      </c>
      <c r="U883" s="15">
        <v>25</v>
      </c>
      <c r="V883" s="8">
        <f t="shared" si="84"/>
        <v>-25</v>
      </c>
      <c r="W883" s="233">
        <f t="shared" si="85"/>
        <v>-19691.5</v>
      </c>
    </row>
    <row r="884" spans="1:2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 s="188">
        <v>1000</v>
      </c>
      <c r="S884" s="8">
        <f t="shared" si="83"/>
        <v>-1000</v>
      </c>
      <c r="T884" s="234">
        <f t="shared" si="86"/>
        <v>-354999.99999996147</v>
      </c>
      <c r="U884" s="15">
        <v>25</v>
      </c>
      <c r="V884" s="8">
        <f t="shared" si="84"/>
        <v>-25</v>
      </c>
      <c r="W884" s="233">
        <f t="shared" si="85"/>
        <v>-19716.5</v>
      </c>
    </row>
    <row r="885" spans="1:2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 s="188">
        <v>1000</v>
      </c>
      <c r="S885" s="8">
        <f t="shared" si="83"/>
        <v>-1000</v>
      </c>
      <c r="T885" s="234">
        <f t="shared" si="86"/>
        <v>-355999.99999996147</v>
      </c>
      <c r="U885" s="15">
        <v>25</v>
      </c>
      <c r="V885" s="8">
        <f t="shared" si="84"/>
        <v>-25</v>
      </c>
      <c r="W885" s="233">
        <f t="shared" si="85"/>
        <v>-19741.5</v>
      </c>
    </row>
    <row r="886" spans="1:2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 s="188">
        <v>1000</v>
      </c>
      <c r="S886" s="8">
        <f t="shared" si="83"/>
        <v>-1000</v>
      </c>
      <c r="T886" s="234">
        <f t="shared" si="86"/>
        <v>-356999.99999996147</v>
      </c>
      <c r="U886" s="15">
        <v>25</v>
      </c>
      <c r="V886" s="8">
        <f t="shared" si="84"/>
        <v>-25</v>
      </c>
      <c r="W886" s="233">
        <f t="shared" si="85"/>
        <v>-19766.5</v>
      </c>
    </row>
    <row r="887" spans="1:2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 s="188">
        <v>1000</v>
      </c>
      <c r="S887" s="8">
        <f t="shared" si="83"/>
        <v>-1000</v>
      </c>
      <c r="T887" s="234">
        <f t="shared" si="86"/>
        <v>-357999.99999996147</v>
      </c>
      <c r="U887" s="15">
        <v>25</v>
      </c>
      <c r="V887" s="8">
        <f t="shared" si="84"/>
        <v>-25</v>
      </c>
      <c r="W887" s="233">
        <f t="shared" si="85"/>
        <v>-19791.5</v>
      </c>
    </row>
    <row r="888" spans="1:2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 s="188">
        <v>1000</v>
      </c>
      <c r="S888" s="8">
        <f t="shared" si="83"/>
        <v>-1000</v>
      </c>
      <c r="T888" s="234">
        <f t="shared" si="86"/>
        <v>-358999.99999996147</v>
      </c>
      <c r="U888" s="15">
        <v>25</v>
      </c>
      <c r="V888" s="8">
        <f t="shared" si="84"/>
        <v>-25</v>
      </c>
      <c r="W888" s="233">
        <f t="shared" si="85"/>
        <v>-19816.5</v>
      </c>
    </row>
    <row r="889" spans="1:2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 s="188">
        <v>1000</v>
      </c>
      <c r="S889" s="8">
        <f t="shared" si="83"/>
        <v>-1000</v>
      </c>
      <c r="T889" s="234">
        <f t="shared" si="86"/>
        <v>-359999.99999996147</v>
      </c>
      <c r="U889" s="15">
        <v>25</v>
      </c>
      <c r="V889" s="8">
        <f t="shared" si="84"/>
        <v>-25</v>
      </c>
      <c r="W889" s="233">
        <f t="shared" si="85"/>
        <v>-19841.5</v>
      </c>
    </row>
    <row r="890" spans="1:2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 s="188">
        <v>1000</v>
      </c>
      <c r="S890" s="8">
        <f t="shared" si="83"/>
        <v>-1000</v>
      </c>
      <c r="T890" s="234">
        <f t="shared" si="86"/>
        <v>-360999.99999996147</v>
      </c>
      <c r="U890" s="15">
        <v>25</v>
      </c>
      <c r="V890" s="8">
        <f t="shared" si="84"/>
        <v>-25</v>
      </c>
      <c r="W890" s="233">
        <f t="shared" si="85"/>
        <v>-19866.5</v>
      </c>
    </row>
    <row r="891" spans="1:2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 s="188">
        <v>1000</v>
      </c>
      <c r="S891" s="8">
        <f t="shared" si="83"/>
        <v>-1000</v>
      </c>
      <c r="T891" s="234">
        <f t="shared" si="86"/>
        <v>-361999.99999996147</v>
      </c>
      <c r="U891" s="15">
        <v>25</v>
      </c>
      <c r="V891" s="8">
        <f t="shared" si="84"/>
        <v>-25</v>
      </c>
      <c r="W891" s="233">
        <f t="shared" si="85"/>
        <v>-19891.5</v>
      </c>
    </row>
    <row r="892" spans="1:2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 s="188">
        <v>1000</v>
      </c>
      <c r="S892" s="8">
        <f t="shared" si="83"/>
        <v>-1000</v>
      </c>
      <c r="T892" s="234">
        <f t="shared" si="86"/>
        <v>-362999.99999996147</v>
      </c>
      <c r="U892" s="15">
        <v>25</v>
      </c>
      <c r="V892" s="8">
        <f t="shared" si="84"/>
        <v>-25</v>
      </c>
      <c r="W892" s="233">
        <f t="shared" si="85"/>
        <v>-19916.5</v>
      </c>
    </row>
    <row r="893" spans="1:2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 s="188">
        <v>1000</v>
      </c>
      <c r="S893" s="8">
        <f t="shared" si="83"/>
        <v>-1000</v>
      </c>
      <c r="T893" s="234">
        <f t="shared" si="86"/>
        <v>-363999.99999996147</v>
      </c>
      <c r="U893" s="15">
        <v>25</v>
      </c>
      <c r="V893" s="8">
        <f t="shared" si="84"/>
        <v>-25</v>
      </c>
      <c r="W893" s="233">
        <f t="shared" si="85"/>
        <v>-19941.5</v>
      </c>
    </row>
    <row r="894" spans="1:2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 s="188">
        <v>1000</v>
      </c>
      <c r="S894" s="8">
        <f t="shared" si="83"/>
        <v>-1000</v>
      </c>
      <c r="T894" s="234">
        <f t="shared" si="86"/>
        <v>-364999.99999996147</v>
      </c>
      <c r="U894" s="15">
        <v>25</v>
      </c>
      <c r="V894" s="8">
        <f t="shared" si="84"/>
        <v>-25</v>
      </c>
      <c r="W894" s="233">
        <f t="shared" si="85"/>
        <v>-19966.5</v>
      </c>
    </row>
    <row r="895" spans="1:2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 s="188">
        <v>1000</v>
      </c>
      <c r="S895" s="8">
        <f t="shared" si="83"/>
        <v>-1000</v>
      </c>
      <c r="T895" s="234">
        <f t="shared" si="86"/>
        <v>-365999.99999996147</v>
      </c>
      <c r="U895" s="15">
        <v>25</v>
      </c>
      <c r="V895" s="8">
        <f t="shared" si="84"/>
        <v>-25</v>
      </c>
      <c r="W895" s="233">
        <f t="shared" si="85"/>
        <v>-19991.5</v>
      </c>
    </row>
    <row r="896" spans="1:2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 s="188">
        <v>1000</v>
      </c>
      <c r="S896" s="8">
        <f t="shared" si="83"/>
        <v>-1000</v>
      </c>
      <c r="T896" s="234">
        <f t="shared" si="86"/>
        <v>-366999.99999996147</v>
      </c>
      <c r="U896" s="15">
        <v>25</v>
      </c>
      <c r="V896" s="8">
        <f t="shared" si="84"/>
        <v>-25</v>
      </c>
      <c r="W896" s="233">
        <f t="shared" si="85"/>
        <v>-20016.5</v>
      </c>
    </row>
    <row r="897" spans="1:28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 s="188">
        <v>1000</v>
      </c>
      <c r="S897" s="8">
        <f t="shared" si="83"/>
        <v>-1000</v>
      </c>
      <c r="T897" s="234">
        <f t="shared" si="86"/>
        <v>-367999.99999996147</v>
      </c>
      <c r="U897" s="15">
        <v>25</v>
      </c>
      <c r="V897" s="8">
        <f t="shared" si="84"/>
        <v>-25</v>
      </c>
      <c r="W897" s="233">
        <f t="shared" si="85"/>
        <v>-20041.5</v>
      </c>
    </row>
    <row r="898" spans="1:28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 s="188">
        <v>1000</v>
      </c>
      <c r="S898" s="8">
        <f t="shared" si="83"/>
        <v>-1000</v>
      </c>
      <c r="T898" s="234">
        <f t="shared" si="86"/>
        <v>-368999.99999996147</v>
      </c>
      <c r="U898" s="15">
        <v>25</v>
      </c>
      <c r="V898" s="8">
        <f t="shared" si="84"/>
        <v>-25</v>
      </c>
      <c r="W898" s="233">
        <f t="shared" si="85"/>
        <v>-20066.5</v>
      </c>
    </row>
    <row r="899" spans="1:28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 s="188">
        <v>1000</v>
      </c>
      <c r="S899" s="8">
        <f t="shared" ref="S899:S962" si="87">IF(O899="won",R899*0.18,-R899)</f>
        <v>-1000</v>
      </c>
      <c r="T899" s="234">
        <f t="shared" si="86"/>
        <v>-369999.99999996147</v>
      </c>
      <c r="U899" s="15">
        <v>25</v>
      </c>
      <c r="V899" s="8">
        <f t="shared" ref="V899:V962" si="88">IF(O899="won",U899*0.18,-U899)</f>
        <v>-25</v>
      </c>
      <c r="W899" s="233">
        <f t="shared" ref="W899:W962" si="89">SUM(W898,V899)</f>
        <v>-20091.5</v>
      </c>
    </row>
    <row r="900" spans="1:28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 s="188">
        <v>1000</v>
      </c>
      <c r="S900" s="8">
        <f t="shared" si="87"/>
        <v>-1000</v>
      </c>
      <c r="T900" s="234">
        <f t="shared" si="86"/>
        <v>-370999.99999996147</v>
      </c>
      <c r="U900" s="15">
        <v>25</v>
      </c>
      <c r="V900" s="8">
        <f t="shared" si="88"/>
        <v>-25</v>
      </c>
      <c r="W900" s="233">
        <f t="shared" si="89"/>
        <v>-20116.5</v>
      </c>
    </row>
    <row r="901" spans="1:28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 s="188">
        <v>1000</v>
      </c>
      <c r="S901" s="8">
        <f t="shared" si="87"/>
        <v>-1000</v>
      </c>
      <c r="T901" s="234">
        <f>SUM(T900,S901)</f>
        <v>-371999.99999996147</v>
      </c>
      <c r="U901" s="15">
        <v>25</v>
      </c>
      <c r="V901" s="8">
        <f t="shared" si="88"/>
        <v>-25</v>
      </c>
      <c r="W901" s="233">
        <f t="shared" si="89"/>
        <v>-20141.5</v>
      </c>
    </row>
    <row r="902" spans="1:28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 s="188">
        <v>1000</v>
      </c>
      <c r="S902" s="8">
        <f t="shared" si="87"/>
        <v>-1000</v>
      </c>
      <c r="T902" s="234">
        <f>SUM(T901,S902)</f>
        <v>-372999.99999996147</v>
      </c>
      <c r="U902" s="15">
        <v>25</v>
      </c>
      <c r="V902" s="8">
        <f t="shared" si="88"/>
        <v>-25</v>
      </c>
      <c r="W902" s="233">
        <f t="shared" si="89"/>
        <v>-20166.5</v>
      </c>
      <c r="Z902"/>
      <c r="AA902" s="1"/>
      <c r="AB902"/>
    </row>
    <row r="903" spans="1:28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 s="188">
        <v>1000</v>
      </c>
      <c r="S903" s="8">
        <f t="shared" si="87"/>
        <v>-1000</v>
      </c>
      <c r="T903" s="234">
        <f>SUM(T902,S903)</f>
        <v>-373999.99999996147</v>
      </c>
      <c r="U903" s="15">
        <v>25</v>
      </c>
      <c r="V903" s="8">
        <f t="shared" si="88"/>
        <v>-25</v>
      </c>
      <c r="W903" s="233">
        <f t="shared" si="89"/>
        <v>-20191.5</v>
      </c>
      <c r="Z903"/>
      <c r="AA903" s="1"/>
      <c r="AB903"/>
    </row>
    <row r="904" spans="1:28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 s="188">
        <v>1000</v>
      </c>
      <c r="S904" s="8">
        <f t="shared" si="87"/>
        <v>-1000</v>
      </c>
      <c r="T904" s="234">
        <f>SUM(T903,S904)</f>
        <v>-374999.99999996147</v>
      </c>
      <c r="U904" s="15">
        <v>25</v>
      </c>
      <c r="V904" s="8">
        <f t="shared" si="88"/>
        <v>-25</v>
      </c>
      <c r="W904" s="233">
        <f t="shared" si="89"/>
        <v>-20216.5</v>
      </c>
      <c r="Z904"/>
      <c r="AA904" s="1"/>
      <c r="AB904"/>
    </row>
    <row r="905" spans="1:28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 s="188">
        <v>1000</v>
      </c>
      <c r="S905" s="8">
        <f t="shared" si="87"/>
        <v>-1000</v>
      </c>
      <c r="T905" s="234">
        <f>SUM(T904,S905)</f>
        <v>-375999.99999996147</v>
      </c>
      <c r="U905" s="15">
        <v>25</v>
      </c>
      <c r="V905" s="8">
        <f t="shared" si="88"/>
        <v>-25</v>
      </c>
      <c r="W905" s="233">
        <f t="shared" si="89"/>
        <v>-20241.5</v>
      </c>
      <c r="Z905"/>
      <c r="AA905" s="1"/>
      <c r="AB905"/>
    </row>
    <row r="906" spans="1:28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 s="188">
        <v>1000</v>
      </c>
      <c r="S906" s="8">
        <f t="shared" si="87"/>
        <v>-1000</v>
      </c>
      <c r="T906" s="234">
        <f t="shared" ref="T906:T969" si="90">SUM(T905,S906)</f>
        <v>-376999.99999996147</v>
      </c>
      <c r="U906" s="15">
        <v>25</v>
      </c>
      <c r="V906" s="8">
        <f t="shared" si="88"/>
        <v>-25</v>
      </c>
      <c r="W906" s="233">
        <f t="shared" si="89"/>
        <v>-20266.5</v>
      </c>
      <c r="Z906"/>
      <c r="AA906" s="1"/>
      <c r="AB906"/>
    </row>
    <row r="907" spans="1:28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 s="188">
        <v>1000</v>
      </c>
      <c r="S907" s="8">
        <f t="shared" si="87"/>
        <v>-1000</v>
      </c>
      <c r="T907" s="234">
        <f t="shared" si="90"/>
        <v>-377999.99999996147</v>
      </c>
      <c r="U907" s="15">
        <v>25</v>
      </c>
      <c r="V907" s="8">
        <f t="shared" si="88"/>
        <v>-25</v>
      </c>
      <c r="W907" s="233">
        <f t="shared" si="89"/>
        <v>-20291.5</v>
      </c>
      <c r="Z907"/>
      <c r="AA907" s="1"/>
      <c r="AB907"/>
    </row>
    <row r="908" spans="1:28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 s="188">
        <v>1000</v>
      </c>
      <c r="S908" s="8">
        <f t="shared" si="87"/>
        <v>-1000</v>
      </c>
      <c r="T908" s="234">
        <f t="shared" si="90"/>
        <v>-378999.99999996147</v>
      </c>
      <c r="U908" s="15">
        <v>25</v>
      </c>
      <c r="V908" s="8">
        <f t="shared" si="88"/>
        <v>-25</v>
      </c>
      <c r="W908" s="233">
        <f t="shared" si="89"/>
        <v>-20316.5</v>
      </c>
      <c r="Z908"/>
      <c r="AA908" s="1"/>
      <c r="AB908"/>
    </row>
    <row r="909" spans="1:28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 s="188">
        <v>1000</v>
      </c>
      <c r="S909" s="8">
        <f t="shared" si="87"/>
        <v>-1000</v>
      </c>
      <c r="T909" s="234">
        <f t="shared" si="90"/>
        <v>-379999.99999996147</v>
      </c>
      <c r="U909" s="15">
        <v>25</v>
      </c>
      <c r="V909" s="8">
        <f t="shared" si="88"/>
        <v>-25</v>
      </c>
      <c r="W909" s="233">
        <f t="shared" si="89"/>
        <v>-20341.5</v>
      </c>
      <c r="Z909"/>
      <c r="AA909" s="1"/>
      <c r="AB909"/>
    </row>
    <row r="910" spans="1:28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 s="188">
        <v>1000</v>
      </c>
      <c r="S910" s="8">
        <f t="shared" si="87"/>
        <v>-1000</v>
      </c>
      <c r="T910" s="234">
        <f t="shared" si="90"/>
        <v>-380999.99999996147</v>
      </c>
      <c r="U910" s="15">
        <v>25</v>
      </c>
      <c r="V910" s="8">
        <f t="shared" si="88"/>
        <v>-25</v>
      </c>
      <c r="W910" s="233">
        <f t="shared" si="89"/>
        <v>-20366.5</v>
      </c>
      <c r="Z910"/>
      <c r="AA910" s="1"/>
      <c r="AB910"/>
    </row>
    <row r="911" spans="1:28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 s="188">
        <v>1000</v>
      </c>
      <c r="S911" s="8">
        <f t="shared" si="87"/>
        <v>-1000</v>
      </c>
      <c r="T911" s="234">
        <f t="shared" si="90"/>
        <v>-381999.99999996147</v>
      </c>
      <c r="U911" s="15">
        <v>25</v>
      </c>
      <c r="V911" s="8">
        <f t="shared" si="88"/>
        <v>-25</v>
      </c>
      <c r="W911" s="233">
        <f t="shared" si="89"/>
        <v>-20391.5</v>
      </c>
      <c r="Z911"/>
      <c r="AA911" s="1"/>
      <c r="AB911"/>
    </row>
    <row r="912" spans="1:28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 s="188">
        <v>1000</v>
      </c>
      <c r="S912" s="8">
        <f t="shared" si="87"/>
        <v>-1000</v>
      </c>
      <c r="T912" s="234">
        <f t="shared" si="90"/>
        <v>-382999.99999996147</v>
      </c>
      <c r="U912" s="15">
        <v>25</v>
      </c>
      <c r="V912" s="8">
        <f t="shared" si="88"/>
        <v>-25</v>
      </c>
      <c r="W912" s="233">
        <f t="shared" si="89"/>
        <v>-20416.5</v>
      </c>
      <c r="Z912"/>
      <c r="AA912" s="1"/>
      <c r="AB912"/>
    </row>
    <row r="913" spans="1:28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 s="188">
        <v>1000</v>
      </c>
      <c r="S913" s="8">
        <f t="shared" si="87"/>
        <v>-1000</v>
      </c>
      <c r="T913" s="234">
        <f t="shared" si="90"/>
        <v>-383999.99999996147</v>
      </c>
      <c r="U913" s="15">
        <v>25</v>
      </c>
      <c r="V913" s="8">
        <f t="shared" si="88"/>
        <v>-25</v>
      </c>
      <c r="W913" s="233">
        <f t="shared" si="89"/>
        <v>-20441.5</v>
      </c>
      <c r="Z913"/>
      <c r="AA913" s="1"/>
      <c r="AB913"/>
    </row>
    <row r="914" spans="1:28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 s="188">
        <v>1000</v>
      </c>
      <c r="S914" s="8">
        <f t="shared" si="87"/>
        <v>-1000</v>
      </c>
      <c r="T914" s="234">
        <f t="shared" si="90"/>
        <v>-384999.99999996147</v>
      </c>
      <c r="U914" s="15">
        <v>25</v>
      </c>
      <c r="V914" s="8">
        <f t="shared" si="88"/>
        <v>-25</v>
      </c>
      <c r="W914" s="233">
        <f t="shared" si="89"/>
        <v>-20466.5</v>
      </c>
      <c r="Z914"/>
      <c r="AA914" s="1"/>
      <c r="AB914"/>
    </row>
    <row r="915" spans="1:28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 s="188">
        <v>1000</v>
      </c>
      <c r="S915" s="8">
        <f t="shared" si="87"/>
        <v>-1000</v>
      </c>
      <c r="T915" s="234">
        <f t="shared" si="90"/>
        <v>-385999.99999996147</v>
      </c>
      <c r="U915" s="15">
        <v>25</v>
      </c>
      <c r="V915" s="8">
        <f t="shared" si="88"/>
        <v>-25</v>
      </c>
      <c r="W915" s="233">
        <f t="shared" si="89"/>
        <v>-20491.5</v>
      </c>
      <c r="Z915"/>
      <c r="AA915" s="1"/>
      <c r="AB915"/>
    </row>
    <row r="916" spans="1:28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 s="188">
        <v>1000</v>
      </c>
      <c r="S916" s="8">
        <f t="shared" si="87"/>
        <v>-1000</v>
      </c>
      <c r="T916" s="234">
        <f t="shared" si="90"/>
        <v>-386999.99999996147</v>
      </c>
      <c r="U916" s="15">
        <v>25</v>
      </c>
      <c r="V916" s="8">
        <f t="shared" si="88"/>
        <v>-25</v>
      </c>
      <c r="W916" s="233">
        <f t="shared" si="89"/>
        <v>-20516.5</v>
      </c>
      <c r="Z916"/>
      <c r="AA916" s="1"/>
      <c r="AB916"/>
    </row>
    <row r="917" spans="1:28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 s="188">
        <v>1000</v>
      </c>
      <c r="S917" s="8">
        <f t="shared" si="87"/>
        <v>-1000</v>
      </c>
      <c r="T917" s="234">
        <f t="shared" si="90"/>
        <v>-387999.99999996147</v>
      </c>
      <c r="U917" s="15">
        <v>25</v>
      </c>
      <c r="V917" s="8">
        <f t="shared" si="88"/>
        <v>-25</v>
      </c>
      <c r="W917" s="233">
        <f t="shared" si="89"/>
        <v>-20541.5</v>
      </c>
      <c r="Z917"/>
      <c r="AA917" s="1"/>
      <c r="AB917"/>
    </row>
    <row r="918" spans="1:28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 s="188">
        <v>1000</v>
      </c>
      <c r="S918" s="8">
        <f t="shared" si="87"/>
        <v>-1000</v>
      </c>
      <c r="T918" s="234">
        <f t="shared" si="90"/>
        <v>-388999.99999996147</v>
      </c>
      <c r="U918" s="15">
        <v>25</v>
      </c>
      <c r="V918" s="8">
        <f t="shared" si="88"/>
        <v>-25</v>
      </c>
      <c r="W918" s="233">
        <f t="shared" si="89"/>
        <v>-20566.5</v>
      </c>
      <c r="Z918"/>
      <c r="AA918" s="1"/>
      <c r="AB918"/>
    </row>
    <row r="919" spans="1:28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 s="188">
        <v>1000</v>
      </c>
      <c r="S919" s="8">
        <f t="shared" si="87"/>
        <v>-1000</v>
      </c>
      <c r="T919" s="234">
        <f t="shared" si="90"/>
        <v>-389999.99999996147</v>
      </c>
      <c r="U919" s="15">
        <v>25</v>
      </c>
      <c r="V919" s="8">
        <f t="shared" si="88"/>
        <v>-25</v>
      </c>
      <c r="W919" s="233">
        <f t="shared" si="89"/>
        <v>-20591.5</v>
      </c>
      <c r="Z919"/>
      <c r="AA919" s="1"/>
      <c r="AB919"/>
    </row>
    <row r="920" spans="1:28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 s="188">
        <v>1000</v>
      </c>
      <c r="S920" s="8">
        <f t="shared" si="87"/>
        <v>-1000</v>
      </c>
      <c r="T920" s="234">
        <f t="shared" si="90"/>
        <v>-390999.99999996147</v>
      </c>
      <c r="U920" s="15">
        <v>25</v>
      </c>
      <c r="V920" s="8">
        <f t="shared" si="88"/>
        <v>-25</v>
      </c>
      <c r="W920" s="233">
        <f t="shared" si="89"/>
        <v>-20616.5</v>
      </c>
      <c r="Z920"/>
      <c r="AA920" s="1"/>
      <c r="AB920"/>
    </row>
    <row r="921" spans="1:28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 s="188">
        <v>1000</v>
      </c>
      <c r="S921" s="8">
        <f t="shared" si="87"/>
        <v>-1000</v>
      </c>
      <c r="T921" s="234">
        <f t="shared" si="90"/>
        <v>-391999.99999996147</v>
      </c>
      <c r="U921" s="15">
        <v>25</v>
      </c>
      <c r="V921" s="8">
        <f t="shared" si="88"/>
        <v>-25</v>
      </c>
      <c r="W921" s="233">
        <f t="shared" si="89"/>
        <v>-20641.5</v>
      </c>
      <c r="Z921"/>
      <c r="AA921" s="1"/>
      <c r="AB921"/>
    </row>
    <row r="922" spans="1:28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 s="188">
        <v>1000</v>
      </c>
      <c r="S922" s="8">
        <f t="shared" si="87"/>
        <v>-1000</v>
      </c>
      <c r="T922" s="234">
        <f t="shared" si="90"/>
        <v>-392999.99999996147</v>
      </c>
      <c r="U922" s="15">
        <v>25</v>
      </c>
      <c r="V922" s="8">
        <f t="shared" si="88"/>
        <v>-25</v>
      </c>
      <c r="W922" s="233">
        <f t="shared" si="89"/>
        <v>-20666.5</v>
      </c>
      <c r="Z922"/>
      <c r="AA922" s="1"/>
      <c r="AB922"/>
    </row>
    <row r="923" spans="1:28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 s="188">
        <v>1000</v>
      </c>
      <c r="S923" s="8">
        <f t="shared" si="87"/>
        <v>-1000</v>
      </c>
      <c r="T923" s="234">
        <f t="shared" si="90"/>
        <v>-393999.99999996147</v>
      </c>
      <c r="U923" s="15">
        <v>25</v>
      </c>
      <c r="V923" s="8">
        <f t="shared" si="88"/>
        <v>-25</v>
      </c>
      <c r="W923" s="233">
        <f t="shared" si="89"/>
        <v>-20691.5</v>
      </c>
      <c r="Z923"/>
      <c r="AA923" s="1"/>
      <c r="AB923"/>
    </row>
    <row r="924" spans="1:28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 s="188">
        <v>1000</v>
      </c>
      <c r="S924" s="8">
        <f t="shared" si="87"/>
        <v>-1000</v>
      </c>
      <c r="T924" s="234">
        <f t="shared" si="90"/>
        <v>-394999.99999996147</v>
      </c>
      <c r="U924" s="15">
        <v>25</v>
      </c>
      <c r="V924" s="8">
        <f t="shared" si="88"/>
        <v>-25</v>
      </c>
      <c r="W924" s="233">
        <f t="shared" si="89"/>
        <v>-20716.5</v>
      </c>
      <c r="Z924"/>
      <c r="AA924" s="1"/>
      <c r="AB924"/>
    </row>
    <row r="925" spans="1:28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 s="188">
        <v>1000</v>
      </c>
      <c r="S925" s="8">
        <f t="shared" si="87"/>
        <v>-1000</v>
      </c>
      <c r="T925" s="234">
        <f t="shared" si="90"/>
        <v>-395999.99999996147</v>
      </c>
      <c r="U925" s="15">
        <v>25</v>
      </c>
      <c r="V925" s="8">
        <f t="shared" si="88"/>
        <v>-25</v>
      </c>
      <c r="W925" s="233">
        <f t="shared" si="89"/>
        <v>-20741.5</v>
      </c>
      <c r="Z925"/>
      <c r="AA925" s="1"/>
      <c r="AB925"/>
    </row>
    <row r="926" spans="1:28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 s="188">
        <v>1000</v>
      </c>
      <c r="S926" s="8">
        <f t="shared" si="87"/>
        <v>-1000</v>
      </c>
      <c r="T926" s="234">
        <f t="shared" si="90"/>
        <v>-396999.99999996147</v>
      </c>
      <c r="U926" s="15">
        <v>25</v>
      </c>
      <c r="V926" s="8">
        <f t="shared" si="88"/>
        <v>-25</v>
      </c>
      <c r="W926" s="233">
        <f t="shared" si="89"/>
        <v>-20766.5</v>
      </c>
      <c r="Z926"/>
      <c r="AA926" s="1"/>
      <c r="AB926"/>
    </row>
    <row r="927" spans="1:28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 s="188">
        <v>1000</v>
      </c>
      <c r="S927" s="8">
        <f t="shared" si="87"/>
        <v>-1000</v>
      </c>
      <c r="T927" s="234">
        <f t="shared" si="90"/>
        <v>-397999.99999996147</v>
      </c>
      <c r="U927" s="15">
        <v>25</v>
      </c>
      <c r="V927" s="8">
        <f t="shared" si="88"/>
        <v>-25</v>
      </c>
      <c r="W927" s="233">
        <f t="shared" si="89"/>
        <v>-20791.5</v>
      </c>
      <c r="Z927"/>
      <c r="AA927" s="1"/>
      <c r="AB927"/>
    </row>
    <row r="928" spans="1:28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 s="188">
        <v>1000</v>
      </c>
      <c r="S928" s="8">
        <f t="shared" si="87"/>
        <v>-1000</v>
      </c>
      <c r="T928" s="234">
        <f t="shared" si="90"/>
        <v>-398999.99999996147</v>
      </c>
      <c r="U928" s="15">
        <v>25</v>
      </c>
      <c r="V928" s="8">
        <f t="shared" si="88"/>
        <v>-25</v>
      </c>
      <c r="W928" s="233">
        <f t="shared" si="89"/>
        <v>-20816.5</v>
      </c>
      <c r="Z928"/>
      <c r="AA928" s="1"/>
      <c r="AB928"/>
    </row>
    <row r="929" spans="1:28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 s="188">
        <v>1000</v>
      </c>
      <c r="S929" s="8">
        <f t="shared" si="87"/>
        <v>-1000</v>
      </c>
      <c r="T929" s="234">
        <f t="shared" si="90"/>
        <v>-399999.99999996147</v>
      </c>
      <c r="U929" s="15">
        <v>25</v>
      </c>
      <c r="V929" s="8">
        <f t="shared" si="88"/>
        <v>-25</v>
      </c>
      <c r="W929" s="233">
        <f t="shared" si="89"/>
        <v>-20841.5</v>
      </c>
      <c r="Z929"/>
      <c r="AA929" s="1"/>
      <c r="AB929"/>
    </row>
    <row r="930" spans="1:28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 s="188">
        <v>1000</v>
      </c>
      <c r="S930" s="8">
        <f t="shared" si="87"/>
        <v>-1000</v>
      </c>
      <c r="T930" s="234">
        <f t="shared" si="90"/>
        <v>-400999.99999996147</v>
      </c>
      <c r="U930" s="15">
        <v>25</v>
      </c>
      <c r="V930" s="8">
        <f t="shared" si="88"/>
        <v>-25</v>
      </c>
      <c r="W930" s="233">
        <f t="shared" si="89"/>
        <v>-20866.5</v>
      </c>
      <c r="Z930"/>
      <c r="AA930" s="1"/>
      <c r="AB930"/>
    </row>
    <row r="931" spans="1:28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 s="188">
        <v>1000</v>
      </c>
      <c r="S931" s="8">
        <f t="shared" si="87"/>
        <v>-1000</v>
      </c>
      <c r="T931" s="234">
        <f t="shared" si="90"/>
        <v>-401999.99999996147</v>
      </c>
      <c r="U931" s="15">
        <v>25</v>
      </c>
      <c r="V931" s="8">
        <f t="shared" si="88"/>
        <v>-25</v>
      </c>
      <c r="W931" s="233">
        <f t="shared" si="89"/>
        <v>-20891.5</v>
      </c>
      <c r="Z931"/>
      <c r="AA931" s="1"/>
      <c r="AB931"/>
    </row>
    <row r="932" spans="1:28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 s="188">
        <v>1000</v>
      </c>
      <c r="S932" s="8">
        <f t="shared" si="87"/>
        <v>-1000</v>
      </c>
      <c r="T932" s="234">
        <f t="shared" si="90"/>
        <v>-402999.99999996147</v>
      </c>
      <c r="U932" s="15">
        <v>25</v>
      </c>
      <c r="V932" s="8">
        <f t="shared" si="88"/>
        <v>-25</v>
      </c>
      <c r="W932" s="233">
        <f t="shared" si="89"/>
        <v>-20916.5</v>
      </c>
      <c r="Z932"/>
      <c r="AA932" s="1"/>
      <c r="AB932"/>
    </row>
    <row r="933" spans="1:28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 s="188">
        <v>1000</v>
      </c>
      <c r="S933" s="8">
        <f t="shared" si="87"/>
        <v>-1000</v>
      </c>
      <c r="T933" s="234">
        <f t="shared" si="90"/>
        <v>-403999.99999996147</v>
      </c>
      <c r="U933" s="15">
        <v>25</v>
      </c>
      <c r="V933" s="8">
        <f t="shared" si="88"/>
        <v>-25</v>
      </c>
      <c r="W933" s="233">
        <f t="shared" si="89"/>
        <v>-20941.5</v>
      </c>
      <c r="Z933"/>
      <c r="AA933" s="1"/>
      <c r="AB933"/>
    </row>
    <row r="934" spans="1:28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 s="188">
        <v>1000</v>
      </c>
      <c r="S934" s="8">
        <f t="shared" si="87"/>
        <v>-1000</v>
      </c>
      <c r="T934" s="234">
        <f t="shared" si="90"/>
        <v>-404999.99999996147</v>
      </c>
      <c r="U934" s="15">
        <v>25</v>
      </c>
      <c r="V934" s="8">
        <f t="shared" si="88"/>
        <v>-25</v>
      </c>
      <c r="W934" s="233">
        <f t="shared" si="89"/>
        <v>-20966.5</v>
      </c>
      <c r="Z934"/>
      <c r="AA934" s="1"/>
      <c r="AB934"/>
    </row>
    <row r="935" spans="1:28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 s="188">
        <v>1000</v>
      </c>
      <c r="S935" s="8">
        <f t="shared" si="87"/>
        <v>-1000</v>
      </c>
      <c r="T935" s="234">
        <f t="shared" si="90"/>
        <v>-405999.99999996147</v>
      </c>
      <c r="U935" s="15">
        <v>25</v>
      </c>
      <c r="V935" s="8">
        <f t="shared" si="88"/>
        <v>-25</v>
      </c>
      <c r="W935" s="233">
        <f t="shared" si="89"/>
        <v>-20991.5</v>
      </c>
      <c r="Z935"/>
      <c r="AA935" s="1"/>
      <c r="AB935"/>
    </row>
    <row r="936" spans="1:28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 s="188">
        <v>1000</v>
      </c>
      <c r="S936" s="8">
        <f t="shared" si="87"/>
        <v>-1000</v>
      </c>
      <c r="T936" s="234">
        <f t="shared" si="90"/>
        <v>-406999.99999996147</v>
      </c>
      <c r="U936" s="15">
        <v>25</v>
      </c>
      <c r="V936" s="8">
        <f t="shared" si="88"/>
        <v>-25</v>
      </c>
      <c r="W936" s="233">
        <f t="shared" si="89"/>
        <v>-21016.5</v>
      </c>
      <c r="Z936"/>
      <c r="AA936" s="1"/>
      <c r="AB936"/>
    </row>
    <row r="937" spans="1:28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 s="188">
        <v>1000</v>
      </c>
      <c r="S937" s="8">
        <f t="shared" si="87"/>
        <v>-1000</v>
      </c>
      <c r="T937" s="234">
        <f t="shared" si="90"/>
        <v>-407999.99999996147</v>
      </c>
      <c r="U937" s="15">
        <v>25</v>
      </c>
      <c r="V937" s="8">
        <f t="shared" si="88"/>
        <v>-25</v>
      </c>
      <c r="W937" s="233">
        <f t="shared" si="89"/>
        <v>-21041.5</v>
      </c>
      <c r="Z937"/>
      <c r="AA937" s="1"/>
      <c r="AB937"/>
    </row>
    <row r="938" spans="1:28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 s="188">
        <v>1000</v>
      </c>
      <c r="S938" s="8">
        <f t="shared" si="87"/>
        <v>-1000</v>
      </c>
      <c r="T938" s="234">
        <f t="shared" si="90"/>
        <v>-408999.99999996147</v>
      </c>
      <c r="U938" s="15">
        <v>25</v>
      </c>
      <c r="V938" s="8">
        <f t="shared" si="88"/>
        <v>-25</v>
      </c>
      <c r="W938" s="233">
        <f t="shared" si="89"/>
        <v>-21066.5</v>
      </c>
      <c r="Z938"/>
      <c r="AA938" s="1"/>
      <c r="AB938"/>
    </row>
    <row r="939" spans="1:28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 s="188">
        <v>1000</v>
      </c>
      <c r="S939" s="8">
        <f t="shared" si="87"/>
        <v>-1000</v>
      </c>
      <c r="T939" s="234">
        <f t="shared" si="90"/>
        <v>-409999.99999996147</v>
      </c>
      <c r="U939" s="15">
        <v>25</v>
      </c>
      <c r="V939" s="8">
        <f t="shared" si="88"/>
        <v>-25</v>
      </c>
      <c r="W939" s="233">
        <f t="shared" si="89"/>
        <v>-21091.5</v>
      </c>
      <c r="Z939"/>
      <c r="AA939" s="1"/>
      <c r="AB939"/>
    </row>
    <row r="940" spans="1:28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 s="188">
        <v>1000</v>
      </c>
      <c r="S940" s="8">
        <f t="shared" si="87"/>
        <v>-1000</v>
      </c>
      <c r="T940" s="234">
        <f t="shared" si="90"/>
        <v>-410999.99999996147</v>
      </c>
      <c r="U940" s="15">
        <v>25</v>
      </c>
      <c r="V940" s="8">
        <f t="shared" si="88"/>
        <v>-25</v>
      </c>
      <c r="W940" s="233">
        <f t="shared" si="89"/>
        <v>-21116.5</v>
      </c>
    </row>
    <row r="941" spans="1:28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 s="188">
        <v>1000</v>
      </c>
      <c r="S941" s="8">
        <f t="shared" si="87"/>
        <v>-1000</v>
      </c>
      <c r="T941" s="234">
        <f t="shared" si="90"/>
        <v>-411999.99999996147</v>
      </c>
      <c r="U941" s="15">
        <v>25</v>
      </c>
      <c r="V941" s="8">
        <f t="shared" si="88"/>
        <v>-25</v>
      </c>
      <c r="W941" s="233">
        <f t="shared" si="89"/>
        <v>-21141.5</v>
      </c>
    </row>
    <row r="942" spans="1:28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 s="188">
        <v>1000</v>
      </c>
      <c r="S942" s="8">
        <f t="shared" si="87"/>
        <v>-1000</v>
      </c>
      <c r="T942" s="234">
        <f t="shared" si="90"/>
        <v>-412999.99999996147</v>
      </c>
      <c r="U942" s="15">
        <v>25</v>
      </c>
      <c r="V942" s="8">
        <f t="shared" si="88"/>
        <v>-25</v>
      </c>
      <c r="W942" s="233">
        <f t="shared" si="89"/>
        <v>-21166.5</v>
      </c>
    </row>
    <row r="943" spans="1:28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 s="188">
        <v>1000</v>
      </c>
      <c r="S943" s="8">
        <f t="shared" si="87"/>
        <v>-1000</v>
      </c>
      <c r="T943" s="234">
        <f t="shared" si="90"/>
        <v>-413999.99999996147</v>
      </c>
      <c r="U943" s="15">
        <v>25</v>
      </c>
      <c r="V943" s="8">
        <f t="shared" si="88"/>
        <v>-25</v>
      </c>
      <c r="W943" s="233">
        <f t="shared" si="89"/>
        <v>-21191.5</v>
      </c>
    </row>
    <row r="944" spans="1:28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 s="188">
        <v>1000</v>
      </c>
      <c r="S944" s="8">
        <f t="shared" si="87"/>
        <v>-1000</v>
      </c>
      <c r="T944" s="234">
        <f t="shared" si="90"/>
        <v>-414999.99999996147</v>
      </c>
      <c r="U944" s="15">
        <v>25</v>
      </c>
      <c r="V944" s="8">
        <f t="shared" si="88"/>
        <v>-25</v>
      </c>
      <c r="W944" s="233">
        <f t="shared" si="89"/>
        <v>-21216.5</v>
      </c>
    </row>
    <row r="945" spans="1:2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 s="188">
        <v>1000</v>
      </c>
      <c r="S945" s="8">
        <f t="shared" si="87"/>
        <v>-1000</v>
      </c>
      <c r="T945" s="234">
        <f t="shared" si="90"/>
        <v>-415999.99999996147</v>
      </c>
      <c r="U945" s="15">
        <v>25</v>
      </c>
      <c r="V945" s="8">
        <f t="shared" si="88"/>
        <v>-25</v>
      </c>
      <c r="W945" s="233">
        <f t="shared" si="89"/>
        <v>-21241.5</v>
      </c>
    </row>
    <row r="946" spans="1:2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 s="188">
        <v>1000</v>
      </c>
      <c r="S946" s="8">
        <f t="shared" si="87"/>
        <v>-1000</v>
      </c>
      <c r="T946" s="234">
        <f t="shared" si="90"/>
        <v>-416999.99999996147</v>
      </c>
      <c r="U946" s="15">
        <v>25</v>
      </c>
      <c r="V946" s="8">
        <f t="shared" si="88"/>
        <v>-25</v>
      </c>
      <c r="W946" s="233">
        <f t="shared" si="89"/>
        <v>-21266.5</v>
      </c>
    </row>
    <row r="947" spans="1:2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 s="188">
        <v>1000</v>
      </c>
      <c r="S947" s="8">
        <f t="shared" si="87"/>
        <v>-1000</v>
      </c>
      <c r="T947" s="234">
        <f t="shared" si="90"/>
        <v>-417999.99999996147</v>
      </c>
      <c r="U947" s="15">
        <v>25</v>
      </c>
      <c r="V947" s="8">
        <f t="shared" si="88"/>
        <v>-25</v>
      </c>
      <c r="W947" s="233">
        <f t="shared" si="89"/>
        <v>-21291.5</v>
      </c>
    </row>
    <row r="948" spans="1:2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 s="188">
        <v>1000</v>
      </c>
      <c r="S948" s="8">
        <f t="shared" si="87"/>
        <v>-1000</v>
      </c>
      <c r="T948" s="234">
        <f t="shared" si="90"/>
        <v>-418999.99999996147</v>
      </c>
      <c r="U948" s="15">
        <v>25</v>
      </c>
      <c r="V948" s="8">
        <f t="shared" si="88"/>
        <v>-25</v>
      </c>
      <c r="W948" s="233">
        <f t="shared" si="89"/>
        <v>-21316.5</v>
      </c>
    </row>
    <row r="949" spans="1:2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 s="188">
        <v>1000</v>
      </c>
      <c r="S949" s="8">
        <f t="shared" si="87"/>
        <v>-1000</v>
      </c>
      <c r="T949" s="234">
        <f t="shared" si="90"/>
        <v>-419999.99999996147</v>
      </c>
      <c r="U949" s="15">
        <v>25</v>
      </c>
      <c r="V949" s="8">
        <f t="shared" si="88"/>
        <v>-25</v>
      </c>
      <c r="W949" s="233">
        <f t="shared" si="89"/>
        <v>-21341.5</v>
      </c>
    </row>
    <row r="950" spans="1:2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 s="188">
        <v>1000</v>
      </c>
      <c r="S950" s="8">
        <f t="shared" si="87"/>
        <v>-1000</v>
      </c>
      <c r="T950" s="234">
        <f t="shared" si="90"/>
        <v>-420999.99999996147</v>
      </c>
      <c r="U950" s="15">
        <v>25</v>
      </c>
      <c r="V950" s="8">
        <f t="shared" si="88"/>
        <v>-25</v>
      </c>
      <c r="W950" s="233">
        <f t="shared" si="89"/>
        <v>-21366.5</v>
      </c>
    </row>
    <row r="951" spans="1:2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 s="188">
        <v>1000</v>
      </c>
      <c r="S951" s="8">
        <f t="shared" si="87"/>
        <v>-1000</v>
      </c>
      <c r="T951" s="234">
        <f t="shared" si="90"/>
        <v>-421999.99999996147</v>
      </c>
      <c r="U951" s="15">
        <v>25</v>
      </c>
      <c r="V951" s="8">
        <f t="shared" si="88"/>
        <v>-25</v>
      </c>
      <c r="W951" s="233">
        <f t="shared" si="89"/>
        <v>-21391.5</v>
      </c>
    </row>
    <row r="952" spans="1:2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 s="188">
        <v>1000</v>
      </c>
      <c r="S952" s="8">
        <f t="shared" si="87"/>
        <v>-1000</v>
      </c>
      <c r="T952" s="234">
        <f t="shared" si="90"/>
        <v>-422999.99999996147</v>
      </c>
      <c r="U952" s="15">
        <v>25</v>
      </c>
      <c r="V952" s="8">
        <f t="shared" si="88"/>
        <v>-25</v>
      </c>
      <c r="W952" s="233">
        <f t="shared" si="89"/>
        <v>-21416.5</v>
      </c>
    </row>
    <row r="953" spans="1:2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 s="188">
        <v>1000</v>
      </c>
      <c r="S953" s="8">
        <f t="shared" si="87"/>
        <v>-1000</v>
      </c>
      <c r="T953" s="234">
        <f t="shared" si="90"/>
        <v>-423999.99999996147</v>
      </c>
      <c r="U953" s="15">
        <v>25</v>
      </c>
      <c r="V953" s="8">
        <f t="shared" si="88"/>
        <v>-25</v>
      </c>
      <c r="W953" s="233">
        <f t="shared" si="89"/>
        <v>-21441.5</v>
      </c>
    </row>
    <row r="954" spans="1:2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 s="188">
        <v>1000</v>
      </c>
      <c r="S954" s="8">
        <f t="shared" si="87"/>
        <v>-1000</v>
      </c>
      <c r="T954" s="234">
        <f t="shared" si="90"/>
        <v>-424999.99999996147</v>
      </c>
      <c r="U954" s="15">
        <v>25</v>
      </c>
      <c r="V954" s="8">
        <f t="shared" si="88"/>
        <v>-25</v>
      </c>
      <c r="W954" s="233">
        <f t="shared" si="89"/>
        <v>-21466.5</v>
      </c>
    </row>
    <row r="955" spans="1:2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 s="188">
        <v>1000</v>
      </c>
      <c r="S955" s="8">
        <f t="shared" si="87"/>
        <v>-1000</v>
      </c>
      <c r="T955" s="234">
        <f t="shared" si="90"/>
        <v>-425999.99999996147</v>
      </c>
      <c r="U955" s="15">
        <v>25</v>
      </c>
      <c r="V955" s="8">
        <f t="shared" si="88"/>
        <v>-25</v>
      </c>
      <c r="W955" s="233">
        <f t="shared" si="89"/>
        <v>-21491.5</v>
      </c>
    </row>
    <row r="956" spans="1:2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 s="188">
        <v>1000</v>
      </c>
      <c r="S956" s="8">
        <f t="shared" si="87"/>
        <v>-1000</v>
      </c>
      <c r="T956" s="234">
        <f t="shared" si="90"/>
        <v>-426999.99999996147</v>
      </c>
      <c r="U956" s="15">
        <v>25</v>
      </c>
      <c r="V956" s="8">
        <f t="shared" si="88"/>
        <v>-25</v>
      </c>
      <c r="W956" s="233">
        <f t="shared" si="89"/>
        <v>-21516.5</v>
      </c>
    </row>
    <row r="957" spans="1:2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 s="188">
        <v>1000</v>
      </c>
      <c r="S957" s="8">
        <f t="shared" si="87"/>
        <v>-1000</v>
      </c>
      <c r="T957" s="234">
        <f t="shared" si="90"/>
        <v>-427999.99999996147</v>
      </c>
      <c r="U957" s="15">
        <v>25</v>
      </c>
      <c r="V957" s="8">
        <f t="shared" si="88"/>
        <v>-25</v>
      </c>
      <c r="W957" s="233">
        <f t="shared" si="89"/>
        <v>-21541.5</v>
      </c>
    </row>
    <row r="958" spans="1:2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 s="188">
        <v>1000</v>
      </c>
      <c r="S958" s="8">
        <f t="shared" si="87"/>
        <v>-1000</v>
      </c>
      <c r="T958" s="234">
        <f t="shared" si="90"/>
        <v>-428999.99999996147</v>
      </c>
      <c r="U958" s="15">
        <v>25</v>
      </c>
      <c r="V958" s="8">
        <f t="shared" si="88"/>
        <v>-25</v>
      </c>
      <c r="W958" s="233">
        <f t="shared" si="89"/>
        <v>-21566.5</v>
      </c>
    </row>
    <row r="959" spans="1:2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 s="188">
        <v>1000</v>
      </c>
      <c r="S959" s="8">
        <f t="shared" si="87"/>
        <v>-1000</v>
      </c>
      <c r="T959" s="234">
        <f t="shared" si="90"/>
        <v>-429999.99999996147</v>
      </c>
      <c r="U959" s="15">
        <v>25</v>
      </c>
      <c r="V959" s="8">
        <f t="shared" si="88"/>
        <v>-25</v>
      </c>
      <c r="W959" s="233">
        <f t="shared" si="89"/>
        <v>-21591.5</v>
      </c>
    </row>
    <row r="960" spans="1:2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 s="188">
        <v>1000</v>
      </c>
      <c r="S960" s="8">
        <f t="shared" si="87"/>
        <v>-1000</v>
      </c>
      <c r="T960" s="234">
        <f t="shared" si="90"/>
        <v>-430999.99999996147</v>
      </c>
      <c r="U960" s="15">
        <v>25</v>
      </c>
      <c r="V960" s="8">
        <f t="shared" si="88"/>
        <v>-25</v>
      </c>
      <c r="W960" s="233">
        <f t="shared" si="89"/>
        <v>-21616.5</v>
      </c>
    </row>
    <row r="961" spans="1:2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 s="188">
        <v>1000</v>
      </c>
      <c r="S961" s="8">
        <f t="shared" si="87"/>
        <v>-1000</v>
      </c>
      <c r="T961" s="234">
        <f t="shared" si="90"/>
        <v>-431999.99999996147</v>
      </c>
      <c r="U961" s="15">
        <v>25</v>
      </c>
      <c r="V961" s="8">
        <f t="shared" si="88"/>
        <v>-25</v>
      </c>
      <c r="W961" s="233">
        <f t="shared" si="89"/>
        <v>-21641.5</v>
      </c>
    </row>
    <row r="962" spans="1:2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 s="188">
        <v>1000</v>
      </c>
      <c r="S962" s="8">
        <f t="shared" si="87"/>
        <v>-1000</v>
      </c>
      <c r="T962" s="234">
        <f t="shared" si="90"/>
        <v>-432999.99999996147</v>
      </c>
      <c r="U962" s="15">
        <v>25</v>
      </c>
      <c r="V962" s="8">
        <f t="shared" si="88"/>
        <v>-25</v>
      </c>
      <c r="W962" s="233">
        <f t="shared" si="89"/>
        <v>-21666.5</v>
      </c>
    </row>
    <row r="963" spans="1:2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 s="188">
        <v>1000</v>
      </c>
      <c r="S963" s="8">
        <f t="shared" ref="S963:S1026" si="91">IF(O963="won",R963*0.18,-R963)</f>
        <v>-1000</v>
      </c>
      <c r="T963" s="234">
        <f t="shared" si="90"/>
        <v>-433999.99999996147</v>
      </c>
      <c r="U963" s="15">
        <v>25</v>
      </c>
      <c r="V963" s="8">
        <f t="shared" ref="V963:V1026" si="92">IF(O963="won",U963*0.18,-U963)</f>
        <v>-25</v>
      </c>
      <c r="W963" s="233">
        <f t="shared" ref="W963:W1026" si="93">SUM(W962,V963)</f>
        <v>-21691.5</v>
      </c>
    </row>
    <row r="964" spans="1:2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 s="188">
        <v>1000</v>
      </c>
      <c r="S964" s="8">
        <f t="shared" si="91"/>
        <v>-1000</v>
      </c>
      <c r="T964" s="234">
        <f t="shared" si="90"/>
        <v>-434999.99999996147</v>
      </c>
      <c r="U964" s="15">
        <v>25</v>
      </c>
      <c r="V964" s="8">
        <f t="shared" si="92"/>
        <v>-25</v>
      </c>
      <c r="W964" s="233">
        <f t="shared" si="93"/>
        <v>-21716.5</v>
      </c>
    </row>
    <row r="965" spans="1:2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 s="188">
        <v>1000</v>
      </c>
      <c r="S965" s="8">
        <f t="shared" si="91"/>
        <v>-1000</v>
      </c>
      <c r="T965" s="234">
        <f t="shared" si="90"/>
        <v>-435999.99999996147</v>
      </c>
      <c r="U965" s="15">
        <v>25</v>
      </c>
      <c r="V965" s="8">
        <f t="shared" si="92"/>
        <v>-25</v>
      </c>
      <c r="W965" s="233">
        <f t="shared" si="93"/>
        <v>-21741.5</v>
      </c>
    </row>
    <row r="966" spans="1:2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 s="188">
        <v>1000</v>
      </c>
      <c r="S966" s="8">
        <f t="shared" si="91"/>
        <v>-1000</v>
      </c>
      <c r="T966" s="234">
        <f t="shared" si="90"/>
        <v>-436999.99999996147</v>
      </c>
      <c r="U966" s="15">
        <v>25</v>
      </c>
      <c r="V966" s="8">
        <f t="shared" si="92"/>
        <v>-25</v>
      </c>
      <c r="W966" s="233">
        <f t="shared" si="93"/>
        <v>-21766.5</v>
      </c>
    </row>
    <row r="967" spans="1:2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 s="188">
        <v>1000</v>
      </c>
      <c r="S967" s="8">
        <f t="shared" si="91"/>
        <v>-1000</v>
      </c>
      <c r="T967" s="234">
        <f t="shared" si="90"/>
        <v>-437999.99999996147</v>
      </c>
      <c r="U967" s="15">
        <v>25</v>
      </c>
      <c r="V967" s="8">
        <f t="shared" si="92"/>
        <v>-25</v>
      </c>
      <c r="W967" s="233">
        <f t="shared" si="93"/>
        <v>-21791.5</v>
      </c>
    </row>
    <row r="968" spans="1:2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 s="188">
        <v>1000</v>
      </c>
      <c r="S968" s="8">
        <f t="shared" si="91"/>
        <v>-1000</v>
      </c>
      <c r="T968" s="234">
        <f t="shared" si="90"/>
        <v>-438999.99999996147</v>
      </c>
      <c r="U968" s="15">
        <v>25</v>
      </c>
      <c r="V968" s="8">
        <f t="shared" si="92"/>
        <v>-25</v>
      </c>
      <c r="W968" s="233">
        <f t="shared" si="93"/>
        <v>-21816.5</v>
      </c>
    </row>
    <row r="969" spans="1:2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 s="188">
        <v>1000</v>
      </c>
      <c r="S969" s="8">
        <f t="shared" si="91"/>
        <v>-1000</v>
      </c>
      <c r="T969" s="234">
        <f t="shared" si="90"/>
        <v>-439999.99999996147</v>
      </c>
      <c r="U969" s="15">
        <v>25</v>
      </c>
      <c r="V969" s="8">
        <f t="shared" si="92"/>
        <v>-25</v>
      </c>
      <c r="W969" s="233">
        <f t="shared" si="93"/>
        <v>-21841.5</v>
      </c>
    </row>
    <row r="970" spans="1:2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 s="188">
        <v>1000</v>
      </c>
      <c r="S970" s="8">
        <f t="shared" si="91"/>
        <v>-1000</v>
      </c>
      <c r="T970" s="234">
        <f t="shared" ref="T970:T1033" si="94">SUM(T969,S970)</f>
        <v>-440999.99999996147</v>
      </c>
      <c r="U970" s="15">
        <v>25</v>
      </c>
      <c r="V970" s="8">
        <f t="shared" si="92"/>
        <v>-25</v>
      </c>
      <c r="W970" s="233">
        <f t="shared" si="93"/>
        <v>-21866.5</v>
      </c>
    </row>
    <row r="971" spans="1:2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 s="188">
        <v>1000</v>
      </c>
      <c r="S971" s="8">
        <f t="shared" si="91"/>
        <v>-1000</v>
      </c>
      <c r="T971" s="234">
        <f t="shared" si="94"/>
        <v>-441999.99999996147</v>
      </c>
      <c r="U971" s="15">
        <v>25</v>
      </c>
      <c r="V971" s="8">
        <f t="shared" si="92"/>
        <v>-25</v>
      </c>
      <c r="W971" s="233">
        <f t="shared" si="93"/>
        <v>-21891.5</v>
      </c>
    </row>
    <row r="972" spans="1:2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 s="188">
        <v>1000</v>
      </c>
      <c r="S972" s="8">
        <f t="shared" si="91"/>
        <v>-1000</v>
      </c>
      <c r="T972" s="234">
        <f t="shared" si="94"/>
        <v>-442999.99999996147</v>
      </c>
      <c r="U972" s="15">
        <v>25</v>
      </c>
      <c r="V972" s="8">
        <f t="shared" si="92"/>
        <v>-25</v>
      </c>
      <c r="W972" s="233">
        <f t="shared" si="93"/>
        <v>-21916.5</v>
      </c>
    </row>
    <row r="973" spans="1:2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 s="188">
        <v>1000</v>
      </c>
      <c r="S973" s="8">
        <f t="shared" si="91"/>
        <v>-1000</v>
      </c>
      <c r="T973" s="234">
        <f t="shared" si="94"/>
        <v>-443999.99999996147</v>
      </c>
      <c r="U973" s="15">
        <v>25</v>
      </c>
      <c r="V973" s="8">
        <f t="shared" si="92"/>
        <v>-25</v>
      </c>
      <c r="W973" s="233">
        <f t="shared" si="93"/>
        <v>-21941.5</v>
      </c>
    </row>
    <row r="974" spans="1:2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 s="188">
        <v>1000</v>
      </c>
      <c r="S974" s="8">
        <f t="shared" si="91"/>
        <v>-1000</v>
      </c>
      <c r="T974" s="234">
        <f t="shared" si="94"/>
        <v>-444999.99999996147</v>
      </c>
      <c r="U974" s="15">
        <v>25</v>
      </c>
      <c r="V974" s="8">
        <f t="shared" si="92"/>
        <v>-25</v>
      </c>
      <c r="W974" s="233">
        <f t="shared" si="93"/>
        <v>-21966.5</v>
      </c>
    </row>
    <row r="975" spans="1:2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 s="188">
        <v>1000</v>
      </c>
      <c r="S975" s="8">
        <f t="shared" si="91"/>
        <v>-1000</v>
      </c>
      <c r="T975" s="234">
        <f t="shared" si="94"/>
        <v>-445999.99999996147</v>
      </c>
      <c r="U975" s="15">
        <v>25</v>
      </c>
      <c r="V975" s="8">
        <f t="shared" si="92"/>
        <v>-25</v>
      </c>
      <c r="W975" s="233">
        <f t="shared" si="93"/>
        <v>-21991.5</v>
      </c>
    </row>
    <row r="976" spans="1:2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 s="188">
        <v>1000</v>
      </c>
      <c r="S976" s="8">
        <f t="shared" si="91"/>
        <v>-1000</v>
      </c>
      <c r="T976" s="234">
        <f t="shared" si="94"/>
        <v>-446999.99999996147</v>
      </c>
      <c r="U976" s="15">
        <v>25</v>
      </c>
      <c r="V976" s="8">
        <f t="shared" si="92"/>
        <v>-25</v>
      </c>
      <c r="W976" s="233">
        <f t="shared" si="93"/>
        <v>-22016.5</v>
      </c>
    </row>
    <row r="977" spans="1:2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 s="188">
        <v>1000</v>
      </c>
      <c r="S977" s="8">
        <f t="shared" si="91"/>
        <v>-1000</v>
      </c>
      <c r="T977" s="234">
        <f t="shared" si="94"/>
        <v>-447999.99999996147</v>
      </c>
      <c r="U977" s="15">
        <v>25</v>
      </c>
      <c r="V977" s="8">
        <f t="shared" si="92"/>
        <v>-25</v>
      </c>
      <c r="W977" s="233">
        <f t="shared" si="93"/>
        <v>-22041.5</v>
      </c>
    </row>
    <row r="978" spans="1:2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 s="188">
        <v>1000</v>
      </c>
      <c r="S978" s="8">
        <f t="shared" si="91"/>
        <v>-1000</v>
      </c>
      <c r="T978" s="234">
        <f t="shared" si="94"/>
        <v>-448999.99999996147</v>
      </c>
      <c r="U978" s="15">
        <v>25</v>
      </c>
      <c r="V978" s="8">
        <f t="shared" si="92"/>
        <v>-25</v>
      </c>
      <c r="W978" s="233">
        <f t="shared" si="93"/>
        <v>-22066.5</v>
      </c>
    </row>
    <row r="979" spans="1:2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 s="188">
        <v>1000</v>
      </c>
      <c r="S979" s="8">
        <f t="shared" si="91"/>
        <v>-1000</v>
      </c>
      <c r="T979" s="234">
        <f t="shared" si="94"/>
        <v>-449999.99999996147</v>
      </c>
      <c r="U979" s="15">
        <v>25</v>
      </c>
      <c r="V979" s="8">
        <f t="shared" si="92"/>
        <v>-25</v>
      </c>
      <c r="W979" s="233">
        <f t="shared" si="93"/>
        <v>-22091.5</v>
      </c>
    </row>
    <row r="980" spans="1:2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 s="188">
        <v>1000</v>
      </c>
      <c r="S980" s="8">
        <f t="shared" si="91"/>
        <v>-1000</v>
      </c>
      <c r="T980" s="234">
        <f t="shared" si="94"/>
        <v>-450999.99999996147</v>
      </c>
      <c r="U980" s="15">
        <v>25</v>
      </c>
      <c r="V980" s="8">
        <f t="shared" si="92"/>
        <v>-25</v>
      </c>
      <c r="W980" s="233">
        <f t="shared" si="93"/>
        <v>-22116.5</v>
      </c>
    </row>
    <row r="981" spans="1:2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 s="188">
        <v>1000</v>
      </c>
      <c r="S981" s="8">
        <f t="shared" si="91"/>
        <v>-1000</v>
      </c>
      <c r="T981" s="234">
        <f t="shared" si="94"/>
        <v>-451999.99999996147</v>
      </c>
      <c r="U981" s="15">
        <v>25</v>
      </c>
      <c r="V981" s="8">
        <f t="shared" si="92"/>
        <v>-25</v>
      </c>
      <c r="W981" s="233">
        <f t="shared" si="93"/>
        <v>-22141.5</v>
      </c>
    </row>
    <row r="982" spans="1:2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 s="188">
        <v>1000</v>
      </c>
      <c r="S982" s="8">
        <f t="shared" si="91"/>
        <v>-1000</v>
      </c>
      <c r="T982" s="234">
        <f t="shared" si="94"/>
        <v>-452999.99999996147</v>
      </c>
      <c r="U982" s="15">
        <v>25</v>
      </c>
      <c r="V982" s="8">
        <f t="shared" si="92"/>
        <v>-25</v>
      </c>
      <c r="W982" s="233">
        <f t="shared" si="93"/>
        <v>-22166.5</v>
      </c>
    </row>
    <row r="983" spans="1:2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 s="188">
        <v>1000</v>
      </c>
      <c r="S983" s="8">
        <f t="shared" si="91"/>
        <v>-1000</v>
      </c>
      <c r="T983" s="234">
        <f t="shared" si="94"/>
        <v>-453999.99999996147</v>
      </c>
      <c r="U983" s="15">
        <v>25</v>
      </c>
      <c r="V983" s="8">
        <f t="shared" si="92"/>
        <v>-25</v>
      </c>
      <c r="W983" s="233">
        <f t="shared" si="93"/>
        <v>-22191.5</v>
      </c>
    </row>
    <row r="984" spans="1:2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 s="188">
        <v>1000</v>
      </c>
      <c r="S984" s="8">
        <f t="shared" si="91"/>
        <v>-1000</v>
      </c>
      <c r="T984" s="234">
        <f t="shared" si="94"/>
        <v>-454999.99999996147</v>
      </c>
      <c r="U984" s="15">
        <v>25</v>
      </c>
      <c r="V984" s="8">
        <f t="shared" si="92"/>
        <v>-25</v>
      </c>
      <c r="W984" s="233">
        <f t="shared" si="93"/>
        <v>-22216.5</v>
      </c>
    </row>
    <row r="985" spans="1:2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 s="188">
        <v>1000</v>
      </c>
      <c r="S985" s="8">
        <f t="shared" si="91"/>
        <v>-1000</v>
      </c>
      <c r="T985" s="234">
        <f t="shared" si="94"/>
        <v>-455999.99999996147</v>
      </c>
      <c r="U985" s="15">
        <v>25</v>
      </c>
      <c r="V985" s="8">
        <f t="shared" si="92"/>
        <v>-25</v>
      </c>
      <c r="W985" s="233">
        <f t="shared" si="93"/>
        <v>-22241.5</v>
      </c>
    </row>
    <row r="986" spans="1:2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 s="188">
        <v>1000</v>
      </c>
      <c r="S986" s="8">
        <f t="shared" si="91"/>
        <v>-1000</v>
      </c>
      <c r="T986" s="234">
        <f t="shared" si="94"/>
        <v>-456999.99999996147</v>
      </c>
      <c r="U986" s="15">
        <v>25</v>
      </c>
      <c r="V986" s="8">
        <f t="shared" si="92"/>
        <v>-25</v>
      </c>
      <c r="W986" s="233">
        <f t="shared" si="93"/>
        <v>-22266.5</v>
      </c>
    </row>
    <row r="987" spans="1:2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 s="188">
        <v>1000</v>
      </c>
      <c r="S987" s="8">
        <f t="shared" si="91"/>
        <v>-1000</v>
      </c>
      <c r="T987" s="234">
        <f t="shared" si="94"/>
        <v>-457999.99999996147</v>
      </c>
      <c r="U987" s="15">
        <v>25</v>
      </c>
      <c r="V987" s="8">
        <f t="shared" si="92"/>
        <v>-25</v>
      </c>
      <c r="W987" s="233">
        <f t="shared" si="93"/>
        <v>-22291.5</v>
      </c>
    </row>
    <row r="988" spans="1:2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 s="188">
        <v>1000</v>
      </c>
      <c r="S988" s="8">
        <f t="shared" si="91"/>
        <v>-1000</v>
      </c>
      <c r="T988" s="234">
        <f t="shared" si="94"/>
        <v>-458999.99999996147</v>
      </c>
      <c r="U988" s="15">
        <v>25</v>
      </c>
      <c r="V988" s="8">
        <f t="shared" si="92"/>
        <v>-25</v>
      </c>
      <c r="W988" s="233">
        <f t="shared" si="93"/>
        <v>-22316.5</v>
      </c>
    </row>
    <row r="989" spans="1:2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 s="188">
        <v>1000</v>
      </c>
      <c r="S989" s="8">
        <f t="shared" si="91"/>
        <v>-1000</v>
      </c>
      <c r="T989" s="234">
        <f t="shared" si="94"/>
        <v>-459999.99999996147</v>
      </c>
      <c r="U989" s="15">
        <v>25</v>
      </c>
      <c r="V989" s="8">
        <f t="shared" si="92"/>
        <v>-25</v>
      </c>
      <c r="W989" s="233">
        <f t="shared" si="93"/>
        <v>-22341.5</v>
      </c>
    </row>
    <row r="990" spans="1:2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 s="188">
        <v>1000</v>
      </c>
      <c r="S990" s="8">
        <f t="shared" si="91"/>
        <v>-1000</v>
      </c>
      <c r="T990" s="234">
        <f t="shared" si="94"/>
        <v>-460999.99999996147</v>
      </c>
      <c r="U990" s="15">
        <v>25</v>
      </c>
      <c r="V990" s="8">
        <f t="shared" si="92"/>
        <v>-25</v>
      </c>
      <c r="W990" s="233">
        <f t="shared" si="93"/>
        <v>-22366.5</v>
      </c>
    </row>
    <row r="991" spans="1:2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 s="188">
        <v>1000</v>
      </c>
      <c r="S991" s="8">
        <f t="shared" si="91"/>
        <v>-1000</v>
      </c>
      <c r="T991" s="234">
        <f t="shared" si="94"/>
        <v>-461999.99999996147</v>
      </c>
      <c r="U991" s="15">
        <v>25</v>
      </c>
      <c r="V991" s="8">
        <f t="shared" si="92"/>
        <v>-25</v>
      </c>
      <c r="W991" s="233">
        <f t="shared" si="93"/>
        <v>-22391.5</v>
      </c>
    </row>
    <row r="992" spans="1:2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 s="188">
        <v>1000</v>
      </c>
      <c r="S992" s="8">
        <f t="shared" si="91"/>
        <v>-1000</v>
      </c>
      <c r="T992" s="234">
        <f t="shared" si="94"/>
        <v>-462999.99999996147</v>
      </c>
      <c r="U992" s="15">
        <v>25</v>
      </c>
      <c r="V992" s="8">
        <f t="shared" si="92"/>
        <v>-25</v>
      </c>
      <c r="W992" s="233">
        <f t="shared" si="93"/>
        <v>-22416.5</v>
      </c>
    </row>
    <row r="993" spans="1:2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 s="188">
        <v>1000</v>
      </c>
      <c r="S993" s="8">
        <f t="shared" si="91"/>
        <v>-1000</v>
      </c>
      <c r="T993" s="234">
        <f t="shared" si="94"/>
        <v>-463999.99999996147</v>
      </c>
      <c r="U993" s="15">
        <v>25</v>
      </c>
      <c r="V993" s="8">
        <f t="shared" si="92"/>
        <v>-25</v>
      </c>
      <c r="W993" s="233">
        <f t="shared" si="93"/>
        <v>-22441.5</v>
      </c>
    </row>
    <row r="994" spans="1:2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 s="188">
        <v>1000</v>
      </c>
      <c r="S994" s="8">
        <f t="shared" si="91"/>
        <v>-1000</v>
      </c>
      <c r="T994" s="234">
        <f t="shared" si="94"/>
        <v>-464999.99999996147</v>
      </c>
      <c r="U994" s="15">
        <v>25</v>
      </c>
      <c r="V994" s="8">
        <f t="shared" si="92"/>
        <v>-25</v>
      </c>
      <c r="W994" s="233">
        <f t="shared" si="93"/>
        <v>-22466.5</v>
      </c>
    </row>
    <row r="995" spans="1:2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 s="188">
        <v>1000</v>
      </c>
      <c r="S995" s="8">
        <f t="shared" si="91"/>
        <v>-1000</v>
      </c>
      <c r="T995" s="234">
        <f t="shared" si="94"/>
        <v>-465999.99999996147</v>
      </c>
      <c r="U995" s="15">
        <v>25</v>
      </c>
      <c r="V995" s="8">
        <f t="shared" si="92"/>
        <v>-25</v>
      </c>
      <c r="W995" s="233">
        <f t="shared" si="93"/>
        <v>-22491.5</v>
      </c>
    </row>
    <row r="996" spans="1:2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 s="188">
        <v>1000</v>
      </c>
      <c r="S996" s="8">
        <f t="shared" si="91"/>
        <v>-1000</v>
      </c>
      <c r="T996" s="234">
        <f t="shared" si="94"/>
        <v>-466999.99999996147</v>
      </c>
      <c r="U996" s="15">
        <v>25</v>
      </c>
      <c r="V996" s="8">
        <f t="shared" si="92"/>
        <v>-25</v>
      </c>
      <c r="W996" s="233">
        <f t="shared" si="93"/>
        <v>-22516.5</v>
      </c>
    </row>
    <row r="997" spans="1:2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 s="188">
        <v>1000</v>
      </c>
      <c r="S997" s="8">
        <f t="shared" si="91"/>
        <v>-1000</v>
      </c>
      <c r="T997" s="234">
        <f t="shared" si="94"/>
        <v>-467999.99999996147</v>
      </c>
      <c r="U997" s="15">
        <v>25</v>
      </c>
      <c r="V997" s="8">
        <f t="shared" si="92"/>
        <v>-25</v>
      </c>
      <c r="W997" s="233">
        <f t="shared" si="93"/>
        <v>-22541.5</v>
      </c>
    </row>
    <row r="998" spans="1:2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 s="188">
        <v>1000</v>
      </c>
      <c r="S998" s="8">
        <f t="shared" si="91"/>
        <v>-1000</v>
      </c>
      <c r="T998" s="234">
        <f t="shared" si="94"/>
        <v>-468999.99999996147</v>
      </c>
      <c r="U998" s="15">
        <v>25</v>
      </c>
      <c r="V998" s="8">
        <f t="shared" si="92"/>
        <v>-25</v>
      </c>
      <c r="W998" s="233">
        <f t="shared" si="93"/>
        <v>-22566.5</v>
      </c>
    </row>
    <row r="999" spans="1:2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 s="188">
        <v>1000</v>
      </c>
      <c r="S999" s="8">
        <f t="shared" si="91"/>
        <v>-1000</v>
      </c>
      <c r="T999" s="234">
        <f t="shared" si="94"/>
        <v>-469999.99999996147</v>
      </c>
      <c r="U999" s="15">
        <v>25</v>
      </c>
      <c r="V999" s="8">
        <f t="shared" si="92"/>
        <v>-25</v>
      </c>
      <c r="W999" s="233">
        <f t="shared" si="93"/>
        <v>-22591.5</v>
      </c>
    </row>
    <row r="1000" spans="1:2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 s="188">
        <v>1000</v>
      </c>
      <c r="S1000" s="8">
        <f t="shared" si="91"/>
        <v>-1000</v>
      </c>
      <c r="T1000" s="234">
        <f t="shared" si="94"/>
        <v>-470999.99999996147</v>
      </c>
      <c r="U1000" s="15">
        <v>25</v>
      </c>
      <c r="V1000" s="8">
        <f t="shared" si="92"/>
        <v>-25</v>
      </c>
      <c r="W1000" s="233">
        <f t="shared" si="93"/>
        <v>-22616.5</v>
      </c>
    </row>
    <row r="1001" spans="1:2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 s="188">
        <v>1000</v>
      </c>
      <c r="S1001" s="8">
        <f t="shared" si="91"/>
        <v>-1000</v>
      </c>
      <c r="T1001" s="234">
        <f t="shared" si="94"/>
        <v>-471999.99999996147</v>
      </c>
      <c r="U1001" s="15">
        <v>25</v>
      </c>
      <c r="V1001" s="8">
        <f t="shared" si="92"/>
        <v>-25</v>
      </c>
      <c r="W1001" s="233">
        <f t="shared" si="93"/>
        <v>-22641.5</v>
      </c>
    </row>
    <row r="1002" spans="1:2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 s="188">
        <v>1000</v>
      </c>
      <c r="S1002" s="8">
        <f t="shared" si="91"/>
        <v>-1000</v>
      </c>
      <c r="T1002" s="234">
        <f t="shared" si="94"/>
        <v>-472999.99999996147</v>
      </c>
      <c r="U1002" s="15">
        <v>25</v>
      </c>
      <c r="V1002" s="8">
        <f t="shared" si="92"/>
        <v>-25</v>
      </c>
      <c r="W1002" s="233">
        <f t="shared" si="93"/>
        <v>-22666.5</v>
      </c>
    </row>
    <row r="1003" spans="1:2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 s="188">
        <v>1000</v>
      </c>
      <c r="S1003" s="8">
        <f t="shared" si="91"/>
        <v>-1000</v>
      </c>
      <c r="T1003" s="234">
        <f t="shared" si="94"/>
        <v>-473999.99999996147</v>
      </c>
      <c r="U1003" s="15">
        <v>25</v>
      </c>
      <c r="V1003" s="8">
        <f t="shared" si="92"/>
        <v>-25</v>
      </c>
      <c r="W1003" s="233">
        <f t="shared" si="93"/>
        <v>-22691.5</v>
      </c>
    </row>
    <row r="1004" spans="1:2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 s="188">
        <v>1000</v>
      </c>
      <c r="S1004" s="8">
        <f t="shared" si="91"/>
        <v>-1000</v>
      </c>
      <c r="T1004" s="234">
        <f t="shared" si="94"/>
        <v>-474999.99999996147</v>
      </c>
      <c r="U1004" s="15">
        <v>25</v>
      </c>
      <c r="V1004" s="8">
        <f t="shared" si="92"/>
        <v>-25</v>
      </c>
      <c r="W1004" s="233">
        <f t="shared" si="93"/>
        <v>-22716.5</v>
      </c>
    </row>
    <row r="1005" spans="1:2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 s="188">
        <v>1000</v>
      </c>
      <c r="S1005" s="8">
        <f t="shared" si="91"/>
        <v>-1000</v>
      </c>
      <c r="T1005" s="234">
        <f t="shared" si="94"/>
        <v>-475999.99999996147</v>
      </c>
      <c r="U1005" s="15">
        <v>25</v>
      </c>
      <c r="V1005" s="8">
        <f t="shared" si="92"/>
        <v>-25</v>
      </c>
      <c r="W1005" s="233">
        <f t="shared" si="93"/>
        <v>-22741.5</v>
      </c>
    </row>
    <row r="1006" spans="1:2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 s="188">
        <v>1000</v>
      </c>
      <c r="S1006" s="8">
        <f t="shared" si="91"/>
        <v>-1000</v>
      </c>
      <c r="T1006" s="234">
        <f t="shared" si="94"/>
        <v>-476999.99999996147</v>
      </c>
      <c r="U1006" s="15">
        <v>25</v>
      </c>
      <c r="V1006" s="8">
        <f t="shared" si="92"/>
        <v>-25</v>
      </c>
      <c r="W1006" s="233">
        <f t="shared" si="93"/>
        <v>-22766.5</v>
      </c>
    </row>
    <row r="1007" spans="1:2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 s="188">
        <v>1000</v>
      </c>
      <c r="S1007" s="8">
        <f t="shared" si="91"/>
        <v>-1000</v>
      </c>
      <c r="T1007" s="234">
        <f t="shared" si="94"/>
        <v>-477999.99999996147</v>
      </c>
      <c r="U1007" s="15">
        <v>25</v>
      </c>
      <c r="V1007" s="8">
        <f t="shared" si="92"/>
        <v>-25</v>
      </c>
      <c r="W1007" s="233">
        <f t="shared" si="93"/>
        <v>-22791.5</v>
      </c>
    </row>
    <row r="1008" spans="1:2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 s="188">
        <v>1000</v>
      </c>
      <c r="S1008" s="8">
        <f t="shared" si="91"/>
        <v>-1000</v>
      </c>
      <c r="T1008" s="234">
        <f t="shared" si="94"/>
        <v>-478999.99999996147</v>
      </c>
      <c r="U1008" s="15">
        <v>25</v>
      </c>
      <c r="V1008" s="8">
        <f t="shared" si="92"/>
        <v>-25</v>
      </c>
      <c r="W1008" s="233">
        <f t="shared" si="93"/>
        <v>-22816.5</v>
      </c>
    </row>
    <row r="1009" spans="1:2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 s="188">
        <v>1000</v>
      </c>
      <c r="S1009" s="8">
        <f t="shared" si="91"/>
        <v>-1000</v>
      </c>
      <c r="T1009" s="234">
        <f t="shared" si="94"/>
        <v>-479999.99999996147</v>
      </c>
      <c r="U1009" s="15">
        <v>25</v>
      </c>
      <c r="V1009" s="8">
        <f t="shared" si="92"/>
        <v>-25</v>
      </c>
      <c r="W1009" s="233">
        <f t="shared" si="93"/>
        <v>-22841.5</v>
      </c>
    </row>
    <row r="1010" spans="1:2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 s="188">
        <v>1000</v>
      </c>
      <c r="S1010" s="8">
        <f t="shared" si="91"/>
        <v>-1000</v>
      </c>
      <c r="T1010" s="234">
        <f t="shared" si="94"/>
        <v>-480999.99999996147</v>
      </c>
      <c r="U1010" s="15">
        <v>25</v>
      </c>
      <c r="V1010" s="8">
        <f t="shared" si="92"/>
        <v>-25</v>
      </c>
      <c r="W1010" s="233">
        <f t="shared" si="93"/>
        <v>-22866.5</v>
      </c>
    </row>
    <row r="1011" spans="1:2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 s="188">
        <v>1000</v>
      </c>
      <c r="S1011" s="8">
        <f t="shared" si="91"/>
        <v>-1000</v>
      </c>
      <c r="T1011" s="234">
        <f t="shared" si="94"/>
        <v>-481999.99999996147</v>
      </c>
      <c r="U1011" s="15">
        <v>25</v>
      </c>
      <c r="V1011" s="8">
        <f t="shared" si="92"/>
        <v>-25</v>
      </c>
      <c r="W1011" s="233">
        <f t="shared" si="93"/>
        <v>-22891.5</v>
      </c>
    </row>
    <row r="1012" spans="1:2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 s="188">
        <v>1000</v>
      </c>
      <c r="S1012" s="8">
        <f t="shared" si="91"/>
        <v>-1000</v>
      </c>
      <c r="T1012" s="234">
        <f t="shared" si="94"/>
        <v>-482999.99999996147</v>
      </c>
      <c r="U1012" s="15">
        <v>25</v>
      </c>
      <c r="V1012" s="8">
        <f t="shared" si="92"/>
        <v>-25</v>
      </c>
      <c r="W1012" s="233">
        <f t="shared" si="93"/>
        <v>-22916.5</v>
      </c>
    </row>
    <row r="1013" spans="1:2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 s="188">
        <v>1000</v>
      </c>
      <c r="S1013" s="8">
        <f t="shared" si="91"/>
        <v>-1000</v>
      </c>
      <c r="T1013" s="234">
        <f t="shared" si="94"/>
        <v>-483999.99999996147</v>
      </c>
      <c r="U1013" s="15">
        <v>25</v>
      </c>
      <c r="V1013" s="8">
        <f t="shared" si="92"/>
        <v>-25</v>
      </c>
      <c r="W1013" s="233">
        <f t="shared" si="93"/>
        <v>-22941.5</v>
      </c>
    </row>
    <row r="1014" spans="1:2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 s="188">
        <v>1000</v>
      </c>
      <c r="S1014" s="8">
        <f t="shared" si="91"/>
        <v>-1000</v>
      </c>
      <c r="T1014" s="234">
        <f t="shared" si="94"/>
        <v>-484999.99999996147</v>
      </c>
      <c r="U1014" s="15">
        <v>25</v>
      </c>
      <c r="V1014" s="8">
        <f t="shared" si="92"/>
        <v>-25</v>
      </c>
      <c r="W1014" s="233">
        <f t="shared" si="93"/>
        <v>-22966.5</v>
      </c>
    </row>
    <row r="1015" spans="1:2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 s="188">
        <v>1000</v>
      </c>
      <c r="S1015" s="8">
        <f t="shared" si="91"/>
        <v>-1000</v>
      </c>
      <c r="T1015" s="234">
        <f t="shared" si="94"/>
        <v>-485999.99999996147</v>
      </c>
      <c r="U1015" s="15">
        <v>25</v>
      </c>
      <c r="V1015" s="8">
        <f t="shared" si="92"/>
        <v>-25</v>
      </c>
      <c r="W1015" s="233">
        <f t="shared" si="93"/>
        <v>-22991.5</v>
      </c>
    </row>
    <row r="1016" spans="1:2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 s="188">
        <v>1000</v>
      </c>
      <c r="S1016" s="8">
        <f t="shared" si="91"/>
        <v>-1000</v>
      </c>
      <c r="T1016" s="234">
        <f t="shared" si="94"/>
        <v>-486999.99999996147</v>
      </c>
      <c r="U1016" s="15">
        <v>25</v>
      </c>
      <c r="V1016" s="8">
        <f t="shared" si="92"/>
        <v>-25</v>
      </c>
      <c r="W1016" s="233">
        <f t="shared" si="93"/>
        <v>-23016.5</v>
      </c>
    </row>
    <row r="1017" spans="1:2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 s="188">
        <v>1000</v>
      </c>
      <c r="S1017" s="8">
        <f t="shared" si="91"/>
        <v>-1000</v>
      </c>
      <c r="T1017" s="234">
        <f t="shared" si="94"/>
        <v>-487999.99999996147</v>
      </c>
      <c r="U1017" s="15">
        <v>25</v>
      </c>
      <c r="V1017" s="8">
        <f t="shared" si="92"/>
        <v>-25</v>
      </c>
      <c r="W1017" s="233">
        <f t="shared" si="93"/>
        <v>-23041.5</v>
      </c>
    </row>
    <row r="1018" spans="1:2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 s="188">
        <v>1000</v>
      </c>
      <c r="S1018" s="8">
        <f t="shared" si="91"/>
        <v>-1000</v>
      </c>
      <c r="T1018" s="234">
        <f t="shared" si="94"/>
        <v>-488999.99999996147</v>
      </c>
      <c r="U1018" s="15">
        <v>25</v>
      </c>
      <c r="V1018" s="8">
        <f t="shared" si="92"/>
        <v>-25</v>
      </c>
      <c r="W1018" s="233">
        <f t="shared" si="93"/>
        <v>-23066.5</v>
      </c>
    </row>
    <row r="1019" spans="1:2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 s="188">
        <v>1000</v>
      </c>
      <c r="S1019" s="8">
        <f t="shared" si="91"/>
        <v>-1000</v>
      </c>
      <c r="T1019" s="234">
        <f t="shared" si="94"/>
        <v>-489999.99999996147</v>
      </c>
      <c r="U1019" s="15">
        <v>25</v>
      </c>
      <c r="V1019" s="8">
        <f t="shared" si="92"/>
        <v>-25</v>
      </c>
      <c r="W1019" s="233">
        <f t="shared" si="93"/>
        <v>-23091.5</v>
      </c>
    </row>
    <row r="1020" spans="1:2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 s="188">
        <v>1000</v>
      </c>
      <c r="S1020" s="8">
        <f t="shared" si="91"/>
        <v>-1000</v>
      </c>
      <c r="T1020" s="234">
        <f t="shared" si="94"/>
        <v>-490999.99999996147</v>
      </c>
      <c r="U1020" s="15">
        <v>25</v>
      </c>
      <c r="V1020" s="8">
        <f t="shared" si="92"/>
        <v>-25</v>
      </c>
      <c r="W1020" s="233">
        <f t="shared" si="93"/>
        <v>-23116.5</v>
      </c>
    </row>
    <row r="1021" spans="1:2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 s="188">
        <v>1000</v>
      </c>
      <c r="S1021" s="8">
        <f t="shared" si="91"/>
        <v>-1000</v>
      </c>
      <c r="T1021" s="234">
        <f t="shared" si="94"/>
        <v>-491999.99999996147</v>
      </c>
      <c r="U1021" s="15">
        <v>25</v>
      </c>
      <c r="V1021" s="8">
        <f t="shared" si="92"/>
        <v>-25</v>
      </c>
      <c r="W1021" s="233">
        <f t="shared" si="93"/>
        <v>-23141.5</v>
      </c>
    </row>
    <row r="1022" spans="1:2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 s="188">
        <v>1000</v>
      </c>
      <c r="S1022" s="8">
        <f t="shared" si="91"/>
        <v>-1000</v>
      </c>
      <c r="T1022" s="234">
        <f t="shared" si="94"/>
        <v>-492999.99999996147</v>
      </c>
      <c r="U1022" s="15">
        <v>25</v>
      </c>
      <c r="V1022" s="8">
        <f t="shared" si="92"/>
        <v>-25</v>
      </c>
      <c r="W1022" s="233">
        <f t="shared" si="93"/>
        <v>-23166.5</v>
      </c>
    </row>
    <row r="1023" spans="1:2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 s="188">
        <v>1000</v>
      </c>
      <c r="S1023" s="8">
        <f t="shared" si="91"/>
        <v>-1000</v>
      </c>
      <c r="T1023" s="234">
        <f t="shared" si="94"/>
        <v>-493999.99999996147</v>
      </c>
      <c r="U1023" s="15">
        <v>25</v>
      </c>
      <c r="V1023" s="8">
        <f t="shared" si="92"/>
        <v>-25</v>
      </c>
      <c r="W1023" s="233">
        <f t="shared" si="93"/>
        <v>-23191.5</v>
      </c>
    </row>
    <row r="1024" spans="1:2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 s="188">
        <v>1000</v>
      </c>
      <c r="S1024" s="8">
        <f t="shared" si="91"/>
        <v>-1000</v>
      </c>
      <c r="T1024" s="234">
        <f t="shared" si="94"/>
        <v>-494999.99999996147</v>
      </c>
      <c r="U1024" s="15">
        <v>25</v>
      </c>
      <c r="V1024" s="8">
        <f t="shared" si="92"/>
        <v>-25</v>
      </c>
      <c r="W1024" s="233">
        <f t="shared" si="93"/>
        <v>-23216.5</v>
      </c>
    </row>
    <row r="1025" spans="1:2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 s="188">
        <v>1000</v>
      </c>
      <c r="S1025" s="8">
        <f t="shared" si="91"/>
        <v>-1000</v>
      </c>
      <c r="T1025" s="234">
        <f t="shared" si="94"/>
        <v>-495999.99999996147</v>
      </c>
      <c r="U1025" s="15">
        <v>25</v>
      </c>
      <c r="V1025" s="8">
        <f t="shared" si="92"/>
        <v>-25</v>
      </c>
      <c r="W1025" s="233">
        <f t="shared" si="93"/>
        <v>-23241.5</v>
      </c>
    </row>
    <row r="1026" spans="1:2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 s="188">
        <v>1000</v>
      </c>
      <c r="S1026" s="8">
        <f t="shared" si="91"/>
        <v>-1000</v>
      </c>
      <c r="T1026" s="234">
        <f t="shared" si="94"/>
        <v>-496999.99999996147</v>
      </c>
      <c r="U1026" s="15">
        <v>25</v>
      </c>
      <c r="V1026" s="8">
        <f t="shared" si="92"/>
        <v>-25</v>
      </c>
      <c r="W1026" s="233">
        <f t="shared" si="93"/>
        <v>-23266.5</v>
      </c>
    </row>
    <row r="1027" spans="1:2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 s="188">
        <v>1000</v>
      </c>
      <c r="S1027" s="8">
        <f t="shared" ref="S1027:S1090" si="95">IF(O1027="won",R1027*0.18,-R1027)</f>
        <v>-1000</v>
      </c>
      <c r="T1027" s="234">
        <f t="shared" si="94"/>
        <v>-497999.99999996147</v>
      </c>
      <c r="U1027" s="15">
        <v>25</v>
      </c>
      <c r="V1027" s="8">
        <f t="shared" ref="V1027:V1090" si="96">IF(O1027="won",U1027*0.18,-U1027)</f>
        <v>-25</v>
      </c>
      <c r="W1027" s="233">
        <f t="shared" ref="W1027:W1090" si="97">SUM(W1026,V1027)</f>
        <v>-23291.5</v>
      </c>
    </row>
    <row r="1028" spans="1:2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 s="188">
        <v>1000</v>
      </c>
      <c r="S1028" s="8">
        <f t="shared" si="95"/>
        <v>-1000</v>
      </c>
      <c r="T1028" s="234">
        <f t="shared" si="94"/>
        <v>-498999.99999996147</v>
      </c>
      <c r="U1028" s="15">
        <v>25</v>
      </c>
      <c r="V1028" s="8">
        <f t="shared" si="96"/>
        <v>-25</v>
      </c>
      <c r="W1028" s="233">
        <f t="shared" si="97"/>
        <v>-23316.5</v>
      </c>
    </row>
    <row r="1029" spans="1:2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 s="188">
        <v>1000</v>
      </c>
      <c r="S1029" s="8">
        <f t="shared" si="95"/>
        <v>-1000</v>
      </c>
      <c r="T1029" s="234">
        <f t="shared" si="94"/>
        <v>-499999.99999996147</v>
      </c>
      <c r="U1029" s="15">
        <v>25</v>
      </c>
      <c r="V1029" s="8">
        <f t="shared" si="96"/>
        <v>-25</v>
      </c>
      <c r="W1029" s="233">
        <f t="shared" si="97"/>
        <v>-23341.5</v>
      </c>
    </row>
    <row r="1030" spans="1:2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 s="188">
        <v>1000</v>
      </c>
      <c r="S1030" s="8">
        <f t="shared" si="95"/>
        <v>-1000</v>
      </c>
      <c r="T1030" s="234">
        <f t="shared" si="94"/>
        <v>-500999.99999996147</v>
      </c>
      <c r="U1030" s="15">
        <v>25</v>
      </c>
      <c r="V1030" s="8">
        <f t="shared" si="96"/>
        <v>-25</v>
      </c>
      <c r="W1030" s="233">
        <f t="shared" si="97"/>
        <v>-23366.5</v>
      </c>
    </row>
    <row r="1031" spans="1:2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 s="188">
        <v>1000</v>
      </c>
      <c r="S1031" s="8">
        <f t="shared" si="95"/>
        <v>-1000</v>
      </c>
      <c r="T1031" s="234">
        <f t="shared" si="94"/>
        <v>-501999.99999996147</v>
      </c>
      <c r="U1031" s="15">
        <v>25</v>
      </c>
      <c r="V1031" s="8">
        <f t="shared" si="96"/>
        <v>-25</v>
      </c>
      <c r="W1031" s="233">
        <f t="shared" si="97"/>
        <v>-23391.5</v>
      </c>
    </row>
    <row r="1032" spans="1:2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 s="188">
        <v>1000</v>
      </c>
      <c r="S1032" s="8">
        <f t="shared" si="95"/>
        <v>-1000</v>
      </c>
      <c r="T1032" s="234">
        <f t="shared" si="94"/>
        <v>-502999.99999996147</v>
      </c>
      <c r="U1032" s="15">
        <v>25</v>
      </c>
      <c r="V1032" s="8">
        <f t="shared" si="96"/>
        <v>-25</v>
      </c>
      <c r="W1032" s="233">
        <f t="shared" si="97"/>
        <v>-23416.5</v>
      </c>
    </row>
    <row r="1033" spans="1:2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 s="188">
        <v>1000</v>
      </c>
      <c r="S1033" s="8">
        <f t="shared" si="95"/>
        <v>-1000</v>
      </c>
      <c r="T1033" s="234">
        <f t="shared" si="94"/>
        <v>-503999.99999996147</v>
      </c>
      <c r="U1033" s="15">
        <v>25</v>
      </c>
      <c r="V1033" s="8">
        <f t="shared" si="96"/>
        <v>-25</v>
      </c>
      <c r="W1033" s="233">
        <f t="shared" si="97"/>
        <v>-23441.5</v>
      </c>
    </row>
    <row r="1034" spans="1:2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 s="188">
        <v>1000</v>
      </c>
      <c r="S1034" s="8">
        <f t="shared" si="95"/>
        <v>-1000</v>
      </c>
      <c r="T1034" s="234">
        <f t="shared" ref="T1034:T1097" si="98">SUM(T1033,S1034)</f>
        <v>-504999.99999996147</v>
      </c>
      <c r="U1034" s="15">
        <v>25</v>
      </c>
      <c r="V1034" s="8">
        <f t="shared" si="96"/>
        <v>-25</v>
      </c>
      <c r="W1034" s="233">
        <f t="shared" si="97"/>
        <v>-23466.5</v>
      </c>
    </row>
    <row r="1035" spans="1:2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 s="188">
        <v>1000</v>
      </c>
      <c r="S1035" s="8">
        <f t="shared" si="95"/>
        <v>-1000</v>
      </c>
      <c r="T1035" s="234">
        <f t="shared" si="98"/>
        <v>-505999.99999996147</v>
      </c>
      <c r="U1035" s="15">
        <v>25</v>
      </c>
      <c r="V1035" s="8">
        <f t="shared" si="96"/>
        <v>-25</v>
      </c>
      <c r="W1035" s="233">
        <f t="shared" si="97"/>
        <v>-23491.5</v>
      </c>
    </row>
    <row r="1036" spans="1:2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 s="188">
        <v>1000</v>
      </c>
      <c r="S1036" s="8">
        <f t="shared" si="95"/>
        <v>-1000</v>
      </c>
      <c r="T1036" s="234">
        <f t="shared" si="98"/>
        <v>-506999.99999996147</v>
      </c>
      <c r="U1036" s="15">
        <v>25</v>
      </c>
      <c r="V1036" s="8">
        <f t="shared" si="96"/>
        <v>-25</v>
      </c>
      <c r="W1036" s="233">
        <f t="shared" si="97"/>
        <v>-23516.5</v>
      </c>
    </row>
    <row r="1037" spans="1:2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 s="188">
        <v>1000</v>
      </c>
      <c r="S1037" s="8">
        <f t="shared" si="95"/>
        <v>-1000</v>
      </c>
      <c r="T1037" s="234">
        <f t="shared" si="98"/>
        <v>-507999.99999996147</v>
      </c>
      <c r="U1037" s="15">
        <v>25</v>
      </c>
      <c r="V1037" s="8">
        <f t="shared" si="96"/>
        <v>-25</v>
      </c>
      <c r="W1037" s="233">
        <f t="shared" si="97"/>
        <v>-23541.5</v>
      </c>
    </row>
    <row r="1038" spans="1:2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 s="188">
        <v>1000</v>
      </c>
      <c r="S1038" s="8">
        <f t="shared" si="95"/>
        <v>-1000</v>
      </c>
      <c r="T1038" s="234">
        <f t="shared" si="98"/>
        <v>-508999.99999996147</v>
      </c>
      <c r="U1038" s="15">
        <v>25</v>
      </c>
      <c r="V1038" s="8">
        <f t="shared" si="96"/>
        <v>-25</v>
      </c>
      <c r="W1038" s="233">
        <f t="shared" si="97"/>
        <v>-23566.5</v>
      </c>
    </row>
    <row r="1039" spans="1:2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 s="188">
        <v>1000</v>
      </c>
      <c r="S1039" s="8">
        <f t="shared" si="95"/>
        <v>-1000</v>
      </c>
      <c r="T1039" s="234">
        <f t="shared" si="98"/>
        <v>-509999.99999996147</v>
      </c>
      <c r="U1039" s="15">
        <v>25</v>
      </c>
      <c r="V1039" s="8">
        <f t="shared" si="96"/>
        <v>-25</v>
      </c>
      <c r="W1039" s="233">
        <f t="shared" si="97"/>
        <v>-23591.5</v>
      </c>
    </row>
    <row r="1040" spans="1:2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 s="188">
        <v>1000</v>
      </c>
      <c r="S1040" s="8">
        <f t="shared" si="95"/>
        <v>-1000</v>
      </c>
      <c r="T1040" s="234">
        <f t="shared" si="98"/>
        <v>-510999.99999996147</v>
      </c>
      <c r="U1040" s="15">
        <v>25</v>
      </c>
      <c r="V1040" s="8">
        <f t="shared" si="96"/>
        <v>-25</v>
      </c>
      <c r="W1040" s="233">
        <f t="shared" si="97"/>
        <v>-23616.5</v>
      </c>
    </row>
    <row r="1041" spans="1:2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 s="188">
        <v>1000</v>
      </c>
      <c r="S1041" s="8">
        <f t="shared" si="95"/>
        <v>-1000</v>
      </c>
      <c r="T1041" s="234">
        <f t="shared" si="98"/>
        <v>-511999.99999996147</v>
      </c>
      <c r="U1041" s="15">
        <v>25</v>
      </c>
      <c r="V1041" s="8">
        <f t="shared" si="96"/>
        <v>-25</v>
      </c>
      <c r="W1041" s="233">
        <f t="shared" si="97"/>
        <v>-23641.5</v>
      </c>
    </row>
    <row r="1042" spans="1:2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 s="188">
        <v>1000</v>
      </c>
      <c r="S1042" s="8">
        <f t="shared" si="95"/>
        <v>-1000</v>
      </c>
      <c r="T1042" s="234">
        <f t="shared" si="98"/>
        <v>-512999.99999996147</v>
      </c>
      <c r="U1042" s="15">
        <v>25</v>
      </c>
      <c r="V1042" s="8">
        <f t="shared" si="96"/>
        <v>-25</v>
      </c>
      <c r="W1042" s="233">
        <f t="shared" si="97"/>
        <v>-23666.5</v>
      </c>
    </row>
    <row r="1043" spans="1:2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 s="188">
        <v>1000</v>
      </c>
      <c r="S1043" s="8">
        <f t="shared" si="95"/>
        <v>-1000</v>
      </c>
      <c r="T1043" s="234">
        <f t="shared" si="98"/>
        <v>-513999.99999996147</v>
      </c>
      <c r="U1043" s="15">
        <v>25</v>
      </c>
      <c r="V1043" s="8">
        <f t="shared" si="96"/>
        <v>-25</v>
      </c>
      <c r="W1043" s="233">
        <f t="shared" si="97"/>
        <v>-23691.5</v>
      </c>
    </row>
    <row r="1044" spans="1:2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 s="188">
        <v>1000</v>
      </c>
      <c r="S1044" s="8">
        <f t="shared" si="95"/>
        <v>-1000</v>
      </c>
      <c r="T1044" s="234">
        <f t="shared" si="98"/>
        <v>-514999.99999996147</v>
      </c>
      <c r="U1044" s="15">
        <v>25</v>
      </c>
      <c r="V1044" s="8">
        <f t="shared" si="96"/>
        <v>-25</v>
      </c>
      <c r="W1044" s="233">
        <f t="shared" si="97"/>
        <v>-23716.5</v>
      </c>
    </row>
    <row r="1045" spans="1:2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 s="188">
        <v>1000</v>
      </c>
      <c r="S1045" s="8">
        <f t="shared" si="95"/>
        <v>-1000</v>
      </c>
      <c r="T1045" s="234">
        <f t="shared" si="98"/>
        <v>-515999.99999996147</v>
      </c>
      <c r="U1045" s="15">
        <v>25</v>
      </c>
      <c r="V1045" s="8">
        <f t="shared" si="96"/>
        <v>-25</v>
      </c>
      <c r="W1045" s="233">
        <f t="shared" si="97"/>
        <v>-23741.5</v>
      </c>
    </row>
    <row r="1046" spans="1:2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 s="188">
        <v>1000</v>
      </c>
      <c r="S1046" s="8">
        <f t="shared" si="95"/>
        <v>-1000</v>
      </c>
      <c r="T1046" s="234">
        <f t="shared" si="98"/>
        <v>-516999.99999996147</v>
      </c>
      <c r="U1046" s="15">
        <v>25</v>
      </c>
      <c r="V1046" s="8">
        <f t="shared" si="96"/>
        <v>-25</v>
      </c>
      <c r="W1046" s="233">
        <f t="shared" si="97"/>
        <v>-23766.5</v>
      </c>
    </row>
    <row r="1047" spans="1:2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 s="188">
        <v>1000</v>
      </c>
      <c r="S1047" s="8">
        <f t="shared" si="95"/>
        <v>-1000</v>
      </c>
      <c r="T1047" s="234">
        <f t="shared" si="98"/>
        <v>-517999.99999996147</v>
      </c>
      <c r="U1047" s="15">
        <v>25</v>
      </c>
      <c r="V1047" s="8">
        <f t="shared" si="96"/>
        <v>-25</v>
      </c>
      <c r="W1047" s="233">
        <f t="shared" si="97"/>
        <v>-23791.5</v>
      </c>
    </row>
    <row r="1048" spans="1:2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 s="188">
        <v>1000</v>
      </c>
      <c r="S1048" s="8">
        <f t="shared" si="95"/>
        <v>-1000</v>
      </c>
      <c r="T1048" s="234">
        <f t="shared" si="98"/>
        <v>-518999.99999996147</v>
      </c>
      <c r="U1048" s="15">
        <v>25</v>
      </c>
      <c r="V1048" s="8">
        <f t="shared" si="96"/>
        <v>-25</v>
      </c>
      <c r="W1048" s="233">
        <f t="shared" si="97"/>
        <v>-23816.5</v>
      </c>
    </row>
    <row r="1049" spans="1:2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 s="188">
        <v>1000</v>
      </c>
      <c r="S1049" s="8">
        <f t="shared" si="95"/>
        <v>-1000</v>
      </c>
      <c r="T1049" s="234">
        <f t="shared" si="98"/>
        <v>-519999.99999996147</v>
      </c>
      <c r="U1049" s="15">
        <v>25</v>
      </c>
      <c r="V1049" s="8">
        <f t="shared" si="96"/>
        <v>-25</v>
      </c>
      <c r="W1049" s="233">
        <f t="shared" si="97"/>
        <v>-23841.5</v>
      </c>
    </row>
    <row r="1050" spans="1:2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 s="188">
        <v>1000</v>
      </c>
      <c r="S1050" s="8">
        <f t="shared" si="95"/>
        <v>-1000</v>
      </c>
      <c r="T1050" s="234">
        <f t="shared" si="98"/>
        <v>-520999.99999996147</v>
      </c>
      <c r="U1050" s="15">
        <v>25</v>
      </c>
      <c r="V1050" s="8">
        <f t="shared" si="96"/>
        <v>-25</v>
      </c>
      <c r="W1050" s="233">
        <f t="shared" si="97"/>
        <v>-23866.5</v>
      </c>
    </row>
    <row r="1051" spans="1:2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 s="188">
        <v>1000</v>
      </c>
      <c r="S1051" s="8">
        <f t="shared" si="95"/>
        <v>-1000</v>
      </c>
      <c r="T1051" s="234">
        <f t="shared" si="98"/>
        <v>-521999.99999996147</v>
      </c>
      <c r="U1051" s="15">
        <v>25</v>
      </c>
      <c r="V1051" s="8">
        <f t="shared" si="96"/>
        <v>-25</v>
      </c>
      <c r="W1051" s="233">
        <f t="shared" si="97"/>
        <v>-23891.5</v>
      </c>
    </row>
    <row r="1052" spans="1:2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 s="188">
        <v>1000</v>
      </c>
      <c r="S1052" s="8">
        <f t="shared" si="95"/>
        <v>-1000</v>
      </c>
      <c r="T1052" s="234">
        <f t="shared" si="98"/>
        <v>-522999.99999996147</v>
      </c>
      <c r="U1052" s="15">
        <v>25</v>
      </c>
      <c r="V1052" s="8">
        <f t="shared" si="96"/>
        <v>-25</v>
      </c>
      <c r="W1052" s="233">
        <f t="shared" si="97"/>
        <v>-23916.5</v>
      </c>
    </row>
    <row r="1053" spans="1:2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 s="188">
        <v>1000</v>
      </c>
      <c r="S1053" s="8">
        <f t="shared" si="95"/>
        <v>-1000</v>
      </c>
      <c r="T1053" s="234">
        <f t="shared" si="98"/>
        <v>-523999.99999996147</v>
      </c>
      <c r="U1053" s="15">
        <v>25</v>
      </c>
      <c r="V1053" s="8">
        <f t="shared" si="96"/>
        <v>-25</v>
      </c>
      <c r="W1053" s="233">
        <f t="shared" si="97"/>
        <v>-23941.5</v>
      </c>
    </row>
    <row r="1054" spans="1:2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 s="188">
        <v>1000</v>
      </c>
      <c r="S1054" s="8">
        <f t="shared" si="95"/>
        <v>-1000</v>
      </c>
      <c r="T1054" s="234">
        <f t="shared" si="98"/>
        <v>-524999.99999996147</v>
      </c>
      <c r="U1054" s="15">
        <v>25</v>
      </c>
      <c r="V1054" s="8">
        <f t="shared" si="96"/>
        <v>-25</v>
      </c>
      <c r="W1054" s="233">
        <f t="shared" si="97"/>
        <v>-23966.5</v>
      </c>
    </row>
    <row r="1055" spans="1:2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 s="188">
        <v>1000</v>
      </c>
      <c r="S1055" s="8">
        <f t="shared" si="95"/>
        <v>-1000</v>
      </c>
      <c r="T1055" s="234">
        <f t="shared" si="98"/>
        <v>-525999.99999996147</v>
      </c>
      <c r="U1055" s="15">
        <v>25</v>
      </c>
      <c r="V1055" s="8">
        <f t="shared" si="96"/>
        <v>-25</v>
      </c>
      <c r="W1055" s="233">
        <f t="shared" si="97"/>
        <v>-23991.5</v>
      </c>
    </row>
    <row r="1056" spans="1:2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 s="188">
        <v>1000</v>
      </c>
      <c r="S1056" s="8">
        <f t="shared" si="95"/>
        <v>-1000</v>
      </c>
      <c r="T1056" s="234">
        <f t="shared" si="98"/>
        <v>-526999.99999996147</v>
      </c>
      <c r="U1056" s="15">
        <v>25</v>
      </c>
      <c r="V1056" s="8">
        <f t="shared" si="96"/>
        <v>-25</v>
      </c>
      <c r="W1056" s="233">
        <f t="shared" si="97"/>
        <v>-24016.5</v>
      </c>
    </row>
    <row r="1057" spans="1:2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 s="188">
        <v>1000</v>
      </c>
      <c r="S1057" s="8">
        <f t="shared" si="95"/>
        <v>-1000</v>
      </c>
      <c r="T1057" s="234">
        <f t="shared" si="98"/>
        <v>-527999.99999996147</v>
      </c>
      <c r="U1057" s="15">
        <v>25</v>
      </c>
      <c r="V1057" s="8">
        <f t="shared" si="96"/>
        <v>-25</v>
      </c>
      <c r="W1057" s="233">
        <f t="shared" si="97"/>
        <v>-24041.5</v>
      </c>
    </row>
    <row r="1058" spans="1:2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 s="188">
        <v>1000</v>
      </c>
      <c r="S1058" s="8">
        <f t="shared" si="95"/>
        <v>-1000</v>
      </c>
      <c r="T1058" s="234">
        <f t="shared" si="98"/>
        <v>-528999.99999996147</v>
      </c>
      <c r="U1058" s="15">
        <v>25</v>
      </c>
      <c r="V1058" s="8">
        <f t="shared" si="96"/>
        <v>-25</v>
      </c>
      <c r="W1058" s="233">
        <f t="shared" si="97"/>
        <v>-24066.5</v>
      </c>
    </row>
    <row r="1059" spans="1:2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 s="188">
        <v>1000</v>
      </c>
      <c r="S1059" s="8">
        <f t="shared" si="95"/>
        <v>-1000</v>
      </c>
      <c r="T1059" s="234">
        <f t="shared" si="98"/>
        <v>-529999.99999996147</v>
      </c>
      <c r="U1059" s="15">
        <v>25</v>
      </c>
      <c r="V1059" s="8">
        <f t="shared" si="96"/>
        <v>-25</v>
      </c>
      <c r="W1059" s="233">
        <f t="shared" si="97"/>
        <v>-24091.5</v>
      </c>
    </row>
    <row r="1060" spans="1:2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 s="188">
        <v>1000</v>
      </c>
      <c r="S1060" s="8">
        <f t="shared" si="95"/>
        <v>-1000</v>
      </c>
      <c r="T1060" s="234">
        <f t="shared" si="98"/>
        <v>-530999.99999996147</v>
      </c>
      <c r="U1060" s="15">
        <v>25</v>
      </c>
      <c r="V1060" s="8">
        <f t="shared" si="96"/>
        <v>-25</v>
      </c>
      <c r="W1060" s="233">
        <f t="shared" si="97"/>
        <v>-24116.5</v>
      </c>
    </row>
    <row r="1061" spans="1:2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 s="188">
        <v>1000</v>
      </c>
      <c r="S1061" s="8">
        <f t="shared" si="95"/>
        <v>-1000</v>
      </c>
      <c r="T1061" s="234">
        <f t="shared" si="98"/>
        <v>-531999.99999996147</v>
      </c>
      <c r="U1061" s="15">
        <v>25</v>
      </c>
      <c r="V1061" s="8">
        <f t="shared" si="96"/>
        <v>-25</v>
      </c>
      <c r="W1061" s="233">
        <f t="shared" si="97"/>
        <v>-24141.5</v>
      </c>
    </row>
    <row r="1062" spans="1:2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 s="188">
        <v>1000</v>
      </c>
      <c r="S1062" s="8">
        <f t="shared" si="95"/>
        <v>-1000</v>
      </c>
      <c r="T1062" s="234">
        <f t="shared" si="98"/>
        <v>-532999.99999996147</v>
      </c>
      <c r="U1062" s="15">
        <v>25</v>
      </c>
      <c r="V1062" s="8">
        <f t="shared" si="96"/>
        <v>-25</v>
      </c>
      <c r="W1062" s="233">
        <f t="shared" si="97"/>
        <v>-24166.5</v>
      </c>
    </row>
    <row r="1063" spans="1:2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 s="188">
        <v>1000</v>
      </c>
      <c r="S1063" s="8">
        <f t="shared" si="95"/>
        <v>-1000</v>
      </c>
      <c r="T1063" s="234">
        <f t="shared" si="98"/>
        <v>-533999.99999996147</v>
      </c>
      <c r="U1063" s="15">
        <v>25</v>
      </c>
      <c r="V1063" s="8">
        <f t="shared" si="96"/>
        <v>-25</v>
      </c>
      <c r="W1063" s="233">
        <f t="shared" si="97"/>
        <v>-24191.5</v>
      </c>
    </row>
    <row r="1064" spans="1:2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 s="188">
        <v>1000</v>
      </c>
      <c r="S1064" s="8">
        <f t="shared" si="95"/>
        <v>-1000</v>
      </c>
      <c r="T1064" s="234">
        <f t="shared" si="98"/>
        <v>-534999.99999996147</v>
      </c>
      <c r="U1064" s="15">
        <v>25</v>
      </c>
      <c r="V1064" s="8">
        <f t="shared" si="96"/>
        <v>-25</v>
      </c>
      <c r="W1064" s="233">
        <f t="shared" si="97"/>
        <v>-24216.5</v>
      </c>
    </row>
    <row r="1065" spans="1:2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 s="188">
        <v>1000</v>
      </c>
      <c r="S1065" s="8">
        <f t="shared" si="95"/>
        <v>-1000</v>
      </c>
      <c r="T1065" s="234">
        <f t="shared" si="98"/>
        <v>-535999.99999996147</v>
      </c>
      <c r="U1065" s="15">
        <v>25</v>
      </c>
      <c r="V1065" s="8">
        <f t="shared" si="96"/>
        <v>-25</v>
      </c>
      <c r="W1065" s="233">
        <f t="shared" si="97"/>
        <v>-24241.5</v>
      </c>
    </row>
    <row r="1066" spans="1:2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 s="188">
        <v>1000</v>
      </c>
      <c r="S1066" s="8">
        <f t="shared" si="95"/>
        <v>-1000</v>
      </c>
      <c r="T1066" s="234">
        <f t="shared" si="98"/>
        <v>-536999.99999996147</v>
      </c>
      <c r="U1066" s="15">
        <v>25</v>
      </c>
      <c r="V1066" s="8">
        <f t="shared" si="96"/>
        <v>-25</v>
      </c>
      <c r="W1066" s="233">
        <f t="shared" si="97"/>
        <v>-24266.5</v>
      </c>
    </row>
    <row r="1067" spans="1:2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 s="188">
        <v>1000</v>
      </c>
      <c r="S1067" s="8">
        <f t="shared" si="95"/>
        <v>-1000</v>
      </c>
      <c r="T1067" s="234">
        <f t="shared" si="98"/>
        <v>-537999.99999996147</v>
      </c>
      <c r="U1067" s="15">
        <v>25</v>
      </c>
      <c r="V1067" s="8">
        <f t="shared" si="96"/>
        <v>-25</v>
      </c>
      <c r="W1067" s="233">
        <f t="shared" si="97"/>
        <v>-24291.5</v>
      </c>
    </row>
    <row r="1068" spans="1:2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 s="188">
        <v>1000</v>
      </c>
      <c r="S1068" s="8">
        <f t="shared" si="95"/>
        <v>-1000</v>
      </c>
      <c r="T1068" s="234">
        <f t="shared" si="98"/>
        <v>-538999.99999996147</v>
      </c>
      <c r="U1068" s="15">
        <v>25</v>
      </c>
      <c r="V1068" s="8">
        <f t="shared" si="96"/>
        <v>-25</v>
      </c>
      <c r="W1068" s="233">
        <f t="shared" si="97"/>
        <v>-24316.5</v>
      </c>
    </row>
    <row r="1069" spans="1:2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 s="188">
        <v>1000</v>
      </c>
      <c r="S1069" s="8">
        <f t="shared" si="95"/>
        <v>-1000</v>
      </c>
      <c r="T1069" s="234">
        <f t="shared" si="98"/>
        <v>-539999.99999996147</v>
      </c>
      <c r="U1069" s="15">
        <v>25</v>
      </c>
      <c r="V1069" s="8">
        <f t="shared" si="96"/>
        <v>-25</v>
      </c>
      <c r="W1069" s="233">
        <f t="shared" si="97"/>
        <v>-24341.5</v>
      </c>
    </row>
    <row r="1070" spans="1:2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 s="188">
        <v>1000</v>
      </c>
      <c r="S1070" s="8">
        <f t="shared" si="95"/>
        <v>-1000</v>
      </c>
      <c r="T1070" s="234">
        <f t="shared" si="98"/>
        <v>-540999.99999996147</v>
      </c>
      <c r="U1070" s="15">
        <v>25</v>
      </c>
      <c r="V1070" s="8">
        <f t="shared" si="96"/>
        <v>-25</v>
      </c>
      <c r="W1070" s="233">
        <f t="shared" si="97"/>
        <v>-24366.5</v>
      </c>
    </row>
    <row r="1071" spans="1:2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 s="188">
        <v>1000</v>
      </c>
      <c r="S1071" s="8">
        <f t="shared" si="95"/>
        <v>-1000</v>
      </c>
      <c r="T1071" s="234">
        <f t="shared" si="98"/>
        <v>-541999.99999996147</v>
      </c>
      <c r="U1071" s="15">
        <v>25</v>
      </c>
      <c r="V1071" s="8">
        <f t="shared" si="96"/>
        <v>-25</v>
      </c>
      <c r="W1071" s="233">
        <f t="shared" si="97"/>
        <v>-24391.5</v>
      </c>
    </row>
    <row r="1072" spans="1:2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 s="188">
        <v>1000</v>
      </c>
      <c r="S1072" s="8">
        <f t="shared" si="95"/>
        <v>-1000</v>
      </c>
      <c r="T1072" s="234">
        <f t="shared" si="98"/>
        <v>-542999.99999996147</v>
      </c>
      <c r="U1072" s="15">
        <v>25</v>
      </c>
      <c r="V1072" s="8">
        <f t="shared" si="96"/>
        <v>-25</v>
      </c>
      <c r="W1072" s="233">
        <f t="shared" si="97"/>
        <v>-24416.5</v>
      </c>
    </row>
    <row r="1073" spans="1:2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 s="188">
        <v>1000</v>
      </c>
      <c r="S1073" s="8">
        <f t="shared" si="95"/>
        <v>-1000</v>
      </c>
      <c r="T1073" s="234">
        <f t="shared" si="98"/>
        <v>-543999.99999996147</v>
      </c>
      <c r="U1073" s="15">
        <v>25</v>
      </c>
      <c r="V1073" s="8">
        <f t="shared" si="96"/>
        <v>-25</v>
      </c>
      <c r="W1073" s="233">
        <f t="shared" si="97"/>
        <v>-24441.5</v>
      </c>
    </row>
    <row r="1074" spans="1:2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 s="188">
        <v>1000</v>
      </c>
      <c r="S1074" s="8">
        <f t="shared" si="95"/>
        <v>-1000</v>
      </c>
      <c r="T1074" s="234">
        <f t="shared" si="98"/>
        <v>-544999.99999996147</v>
      </c>
      <c r="U1074" s="15">
        <v>25</v>
      </c>
      <c r="V1074" s="8">
        <f t="shared" si="96"/>
        <v>-25</v>
      </c>
      <c r="W1074" s="233">
        <f t="shared" si="97"/>
        <v>-24466.5</v>
      </c>
    </row>
    <row r="1075" spans="1:2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 s="188">
        <v>1000</v>
      </c>
      <c r="S1075" s="8">
        <f t="shared" si="95"/>
        <v>-1000</v>
      </c>
      <c r="T1075" s="234">
        <f t="shared" si="98"/>
        <v>-545999.99999996147</v>
      </c>
      <c r="U1075" s="15">
        <v>25</v>
      </c>
      <c r="V1075" s="8">
        <f t="shared" si="96"/>
        <v>-25</v>
      </c>
      <c r="W1075" s="233">
        <f t="shared" si="97"/>
        <v>-24491.5</v>
      </c>
    </row>
    <row r="1076" spans="1:2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 s="188">
        <v>1000</v>
      </c>
      <c r="S1076" s="8">
        <f t="shared" si="95"/>
        <v>-1000</v>
      </c>
      <c r="T1076" s="234">
        <f t="shared" si="98"/>
        <v>-546999.99999996147</v>
      </c>
      <c r="U1076" s="15">
        <v>25</v>
      </c>
      <c r="V1076" s="8">
        <f t="shared" si="96"/>
        <v>-25</v>
      </c>
      <c r="W1076" s="233">
        <f t="shared" si="97"/>
        <v>-24516.5</v>
      </c>
    </row>
    <row r="1077" spans="1:2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 s="188">
        <v>1000</v>
      </c>
      <c r="S1077" s="8">
        <f t="shared" si="95"/>
        <v>-1000</v>
      </c>
      <c r="T1077" s="234">
        <f t="shared" si="98"/>
        <v>-547999.99999996147</v>
      </c>
      <c r="U1077" s="15">
        <v>25</v>
      </c>
      <c r="V1077" s="8">
        <f t="shared" si="96"/>
        <v>-25</v>
      </c>
      <c r="W1077" s="233">
        <f t="shared" si="97"/>
        <v>-24541.5</v>
      </c>
    </row>
    <row r="1078" spans="1:2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 s="188">
        <v>1000</v>
      </c>
      <c r="S1078" s="8">
        <f t="shared" si="95"/>
        <v>-1000</v>
      </c>
      <c r="T1078" s="234">
        <f t="shared" si="98"/>
        <v>-548999.99999996147</v>
      </c>
      <c r="U1078" s="15">
        <v>25</v>
      </c>
      <c r="V1078" s="8">
        <f t="shared" si="96"/>
        <v>-25</v>
      </c>
      <c r="W1078" s="233">
        <f t="shared" si="97"/>
        <v>-24566.5</v>
      </c>
    </row>
    <row r="1079" spans="1:2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 s="188">
        <v>1000</v>
      </c>
      <c r="S1079" s="8">
        <f t="shared" si="95"/>
        <v>-1000</v>
      </c>
      <c r="T1079" s="234">
        <f t="shared" si="98"/>
        <v>-549999.99999996147</v>
      </c>
      <c r="U1079" s="15">
        <v>25</v>
      </c>
      <c r="V1079" s="8">
        <f t="shared" si="96"/>
        <v>-25</v>
      </c>
      <c r="W1079" s="233">
        <f t="shared" si="97"/>
        <v>-24591.5</v>
      </c>
    </row>
    <row r="1080" spans="1:2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 s="188">
        <v>1000</v>
      </c>
      <c r="S1080" s="8">
        <f t="shared" si="95"/>
        <v>-1000</v>
      </c>
      <c r="T1080" s="234">
        <f t="shared" si="98"/>
        <v>-550999.99999996147</v>
      </c>
      <c r="U1080" s="15">
        <v>25</v>
      </c>
      <c r="V1080" s="8">
        <f t="shared" si="96"/>
        <v>-25</v>
      </c>
      <c r="W1080" s="233">
        <f t="shared" si="97"/>
        <v>-24616.5</v>
      </c>
    </row>
    <row r="1081" spans="1:2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 s="188">
        <v>1000</v>
      </c>
      <c r="S1081" s="8">
        <f t="shared" si="95"/>
        <v>-1000</v>
      </c>
      <c r="T1081" s="234">
        <f t="shared" si="98"/>
        <v>-551999.99999996147</v>
      </c>
      <c r="U1081" s="15">
        <v>25</v>
      </c>
      <c r="V1081" s="8">
        <f t="shared" si="96"/>
        <v>-25</v>
      </c>
      <c r="W1081" s="233">
        <f t="shared" si="97"/>
        <v>-24641.5</v>
      </c>
    </row>
    <row r="1082" spans="1:2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 s="188">
        <v>1000</v>
      </c>
      <c r="S1082" s="8">
        <f t="shared" si="95"/>
        <v>-1000</v>
      </c>
      <c r="T1082" s="234">
        <f t="shared" si="98"/>
        <v>-552999.99999996147</v>
      </c>
      <c r="U1082" s="15">
        <v>25</v>
      </c>
      <c r="V1082" s="8">
        <f t="shared" si="96"/>
        <v>-25</v>
      </c>
      <c r="W1082" s="233">
        <f t="shared" si="97"/>
        <v>-24666.5</v>
      </c>
    </row>
    <row r="1083" spans="1:2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 s="188">
        <v>1000</v>
      </c>
      <c r="S1083" s="8">
        <f t="shared" si="95"/>
        <v>-1000</v>
      </c>
      <c r="T1083" s="234">
        <f t="shared" si="98"/>
        <v>-553999.99999996147</v>
      </c>
      <c r="U1083" s="15">
        <v>25</v>
      </c>
      <c r="V1083" s="8">
        <f t="shared" si="96"/>
        <v>-25</v>
      </c>
      <c r="W1083" s="233">
        <f t="shared" si="97"/>
        <v>-24691.5</v>
      </c>
    </row>
    <row r="1084" spans="1:2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 s="188">
        <v>1000</v>
      </c>
      <c r="S1084" s="8">
        <f t="shared" si="95"/>
        <v>-1000</v>
      </c>
      <c r="T1084" s="234">
        <f t="shared" si="98"/>
        <v>-554999.99999996147</v>
      </c>
      <c r="U1084" s="15">
        <v>25</v>
      </c>
      <c r="V1084" s="8">
        <f t="shared" si="96"/>
        <v>-25</v>
      </c>
      <c r="W1084" s="233">
        <f t="shared" si="97"/>
        <v>-24716.5</v>
      </c>
    </row>
    <row r="1085" spans="1:2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 s="188">
        <v>1000</v>
      </c>
      <c r="S1085" s="8">
        <f t="shared" si="95"/>
        <v>-1000</v>
      </c>
      <c r="T1085" s="234">
        <f t="shared" si="98"/>
        <v>-555999.99999996147</v>
      </c>
      <c r="U1085" s="15">
        <v>25</v>
      </c>
      <c r="V1085" s="8">
        <f t="shared" si="96"/>
        <v>-25</v>
      </c>
      <c r="W1085" s="233">
        <f t="shared" si="97"/>
        <v>-24741.5</v>
      </c>
    </row>
    <row r="1086" spans="1:2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 s="188">
        <v>1000</v>
      </c>
      <c r="S1086" s="8">
        <f t="shared" si="95"/>
        <v>-1000</v>
      </c>
      <c r="T1086" s="234">
        <f t="shared" si="98"/>
        <v>-556999.99999996147</v>
      </c>
      <c r="U1086" s="15">
        <v>25</v>
      </c>
      <c r="V1086" s="8">
        <f t="shared" si="96"/>
        <v>-25</v>
      </c>
      <c r="W1086" s="233">
        <f t="shared" si="97"/>
        <v>-24766.5</v>
      </c>
    </row>
    <row r="1087" spans="1:2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 s="188">
        <v>1000</v>
      </c>
      <c r="S1087" s="8">
        <f t="shared" si="95"/>
        <v>-1000</v>
      </c>
      <c r="T1087" s="234">
        <f t="shared" si="98"/>
        <v>-557999.99999996147</v>
      </c>
      <c r="U1087" s="15">
        <v>25</v>
      </c>
      <c r="V1087" s="8">
        <f t="shared" si="96"/>
        <v>-25</v>
      </c>
      <c r="W1087" s="233">
        <f t="shared" si="97"/>
        <v>-24791.5</v>
      </c>
    </row>
    <row r="1088" spans="1:2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 s="188">
        <v>1000</v>
      </c>
      <c r="S1088" s="8">
        <f t="shared" si="95"/>
        <v>-1000</v>
      </c>
      <c r="T1088" s="234">
        <f t="shared" si="98"/>
        <v>-558999.99999996147</v>
      </c>
      <c r="U1088" s="15">
        <v>25</v>
      </c>
      <c r="V1088" s="8">
        <f t="shared" si="96"/>
        <v>-25</v>
      </c>
      <c r="W1088" s="233">
        <f t="shared" si="97"/>
        <v>-24816.5</v>
      </c>
    </row>
    <row r="1089" spans="1:2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 s="188">
        <v>1000</v>
      </c>
      <c r="S1089" s="8">
        <f t="shared" si="95"/>
        <v>-1000</v>
      </c>
      <c r="T1089" s="234">
        <f t="shared" si="98"/>
        <v>-559999.99999996147</v>
      </c>
      <c r="U1089" s="15">
        <v>25</v>
      </c>
      <c r="V1089" s="8">
        <f t="shared" si="96"/>
        <v>-25</v>
      </c>
      <c r="W1089" s="233">
        <f t="shared" si="97"/>
        <v>-24841.5</v>
      </c>
    </row>
    <row r="1090" spans="1:2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 s="188">
        <v>1000</v>
      </c>
      <c r="S1090" s="8">
        <f t="shared" si="95"/>
        <v>-1000</v>
      </c>
      <c r="T1090" s="234">
        <f t="shared" si="98"/>
        <v>-560999.99999996147</v>
      </c>
      <c r="U1090" s="15">
        <v>25</v>
      </c>
      <c r="V1090" s="8">
        <f t="shared" si="96"/>
        <v>-25</v>
      </c>
      <c r="W1090" s="233">
        <f t="shared" si="97"/>
        <v>-24866.5</v>
      </c>
    </row>
    <row r="1091" spans="1:2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 s="188">
        <v>1000</v>
      </c>
      <c r="S1091" s="8">
        <f t="shared" ref="S1091:S1154" si="99">IF(O1091="won",R1091*0.18,-R1091)</f>
        <v>-1000</v>
      </c>
      <c r="T1091" s="234">
        <f t="shared" si="98"/>
        <v>-561999.99999996147</v>
      </c>
      <c r="U1091" s="15">
        <v>25</v>
      </c>
      <c r="V1091" s="8">
        <f t="shared" ref="V1091:V1154" si="100">IF(O1091="won",U1091*0.18,-U1091)</f>
        <v>-25</v>
      </c>
      <c r="W1091" s="233">
        <f t="shared" ref="W1091:W1154" si="101">SUM(W1090,V1091)</f>
        <v>-24891.5</v>
      </c>
    </row>
    <row r="1092" spans="1:2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 s="188">
        <v>1000</v>
      </c>
      <c r="S1092" s="8">
        <f t="shared" si="99"/>
        <v>-1000</v>
      </c>
      <c r="T1092" s="234">
        <f t="shared" si="98"/>
        <v>-562999.99999996147</v>
      </c>
      <c r="U1092" s="15">
        <v>25</v>
      </c>
      <c r="V1092" s="8">
        <f t="shared" si="100"/>
        <v>-25</v>
      </c>
      <c r="W1092" s="233">
        <f t="shared" si="101"/>
        <v>-24916.5</v>
      </c>
    </row>
    <row r="1093" spans="1:2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 s="188">
        <v>1000</v>
      </c>
      <c r="S1093" s="8">
        <f t="shared" si="99"/>
        <v>-1000</v>
      </c>
      <c r="T1093" s="234">
        <f t="shared" si="98"/>
        <v>-563999.99999996147</v>
      </c>
      <c r="U1093" s="15">
        <v>25</v>
      </c>
      <c r="V1093" s="8">
        <f t="shared" si="100"/>
        <v>-25</v>
      </c>
      <c r="W1093" s="233">
        <f t="shared" si="101"/>
        <v>-24941.5</v>
      </c>
    </row>
    <row r="1094" spans="1:2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 s="188">
        <v>1000</v>
      </c>
      <c r="S1094" s="8">
        <f t="shared" si="99"/>
        <v>-1000</v>
      </c>
      <c r="T1094" s="234">
        <f t="shared" si="98"/>
        <v>-564999.99999996147</v>
      </c>
      <c r="U1094" s="15">
        <v>25</v>
      </c>
      <c r="V1094" s="8">
        <f t="shared" si="100"/>
        <v>-25</v>
      </c>
      <c r="W1094" s="233">
        <f t="shared" si="101"/>
        <v>-24966.5</v>
      </c>
    </row>
    <row r="1095" spans="1:2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 s="188">
        <v>1000</v>
      </c>
      <c r="S1095" s="8">
        <f t="shared" si="99"/>
        <v>-1000</v>
      </c>
      <c r="T1095" s="234">
        <f t="shared" si="98"/>
        <v>-565999.99999996147</v>
      </c>
      <c r="U1095" s="15">
        <v>25</v>
      </c>
      <c r="V1095" s="8">
        <f t="shared" si="100"/>
        <v>-25</v>
      </c>
      <c r="W1095" s="233">
        <f t="shared" si="101"/>
        <v>-24991.5</v>
      </c>
    </row>
    <row r="1096" spans="1:2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 s="188">
        <v>1000</v>
      </c>
      <c r="S1096" s="8">
        <f t="shared" si="99"/>
        <v>-1000</v>
      </c>
      <c r="T1096" s="234">
        <f t="shared" si="98"/>
        <v>-566999.99999996147</v>
      </c>
      <c r="U1096" s="15">
        <v>25</v>
      </c>
      <c r="V1096" s="8">
        <f t="shared" si="100"/>
        <v>-25</v>
      </c>
      <c r="W1096" s="233">
        <f t="shared" si="101"/>
        <v>-25016.5</v>
      </c>
    </row>
    <row r="1097" spans="1:2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 s="188">
        <v>1000</v>
      </c>
      <c r="S1097" s="8">
        <f t="shared" si="99"/>
        <v>-1000</v>
      </c>
      <c r="T1097" s="234">
        <f t="shared" si="98"/>
        <v>-567999.99999996147</v>
      </c>
      <c r="U1097" s="15">
        <v>25</v>
      </c>
      <c r="V1097" s="8">
        <f t="shared" si="100"/>
        <v>-25</v>
      </c>
      <c r="W1097" s="233">
        <f t="shared" si="101"/>
        <v>-25041.5</v>
      </c>
    </row>
    <row r="1098" spans="1:2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 s="188">
        <v>1000</v>
      </c>
      <c r="S1098" s="8">
        <f t="shared" si="99"/>
        <v>-1000</v>
      </c>
      <c r="T1098" s="234">
        <f t="shared" ref="T1098:T1161" si="102">SUM(T1097,S1098)</f>
        <v>-568999.99999996147</v>
      </c>
      <c r="U1098" s="15">
        <v>25</v>
      </c>
      <c r="V1098" s="8">
        <f t="shared" si="100"/>
        <v>-25</v>
      </c>
      <c r="W1098" s="233">
        <f t="shared" si="101"/>
        <v>-25066.5</v>
      </c>
    </row>
    <row r="1099" spans="1:2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 s="188">
        <v>1000</v>
      </c>
      <c r="S1099" s="8">
        <f t="shared" si="99"/>
        <v>-1000</v>
      </c>
      <c r="T1099" s="234">
        <f t="shared" si="102"/>
        <v>-569999.99999996147</v>
      </c>
      <c r="U1099" s="15">
        <v>25</v>
      </c>
      <c r="V1099" s="8">
        <f t="shared" si="100"/>
        <v>-25</v>
      </c>
      <c r="W1099" s="233">
        <f t="shared" si="101"/>
        <v>-25091.5</v>
      </c>
    </row>
    <row r="1100" spans="1:2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 s="188">
        <v>1000</v>
      </c>
      <c r="S1100" s="8">
        <f t="shared" si="99"/>
        <v>-1000</v>
      </c>
      <c r="T1100" s="234">
        <f t="shared" si="102"/>
        <v>-570999.99999996147</v>
      </c>
      <c r="U1100" s="15">
        <v>25</v>
      </c>
      <c r="V1100" s="8">
        <f t="shared" si="100"/>
        <v>-25</v>
      </c>
      <c r="W1100" s="233">
        <f t="shared" si="101"/>
        <v>-25116.5</v>
      </c>
    </row>
    <row r="1101" spans="1:2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 s="188">
        <v>1000</v>
      </c>
      <c r="S1101" s="8">
        <f t="shared" si="99"/>
        <v>-1000</v>
      </c>
      <c r="T1101" s="234">
        <f t="shared" si="102"/>
        <v>-571999.99999996147</v>
      </c>
      <c r="U1101" s="15">
        <v>25</v>
      </c>
      <c r="V1101" s="8">
        <f t="shared" si="100"/>
        <v>-25</v>
      </c>
      <c r="W1101" s="233">
        <f t="shared" si="101"/>
        <v>-25141.5</v>
      </c>
    </row>
    <row r="1102" spans="1:2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 s="188">
        <v>1000</v>
      </c>
      <c r="S1102" s="8">
        <f t="shared" si="99"/>
        <v>-1000</v>
      </c>
      <c r="T1102" s="234">
        <f t="shared" si="102"/>
        <v>-572999.99999996147</v>
      </c>
      <c r="U1102" s="15">
        <v>25</v>
      </c>
      <c r="V1102" s="8">
        <f t="shared" si="100"/>
        <v>-25</v>
      </c>
      <c r="W1102" s="233">
        <f t="shared" si="101"/>
        <v>-25166.5</v>
      </c>
    </row>
    <row r="1103" spans="1:2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 s="188">
        <v>1000</v>
      </c>
      <c r="S1103" s="8">
        <f t="shared" si="99"/>
        <v>-1000</v>
      </c>
      <c r="T1103" s="234">
        <f t="shared" si="102"/>
        <v>-573999.99999996147</v>
      </c>
      <c r="U1103" s="15">
        <v>25</v>
      </c>
      <c r="V1103" s="8">
        <f t="shared" si="100"/>
        <v>-25</v>
      </c>
      <c r="W1103" s="233">
        <f t="shared" si="101"/>
        <v>-25191.5</v>
      </c>
    </row>
    <row r="1104" spans="1:2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 s="188">
        <v>1000</v>
      </c>
      <c r="S1104" s="8">
        <f t="shared" si="99"/>
        <v>-1000</v>
      </c>
      <c r="T1104" s="234">
        <f t="shared" si="102"/>
        <v>-574999.99999996147</v>
      </c>
      <c r="U1104" s="15">
        <v>25</v>
      </c>
      <c r="V1104" s="8">
        <f t="shared" si="100"/>
        <v>-25</v>
      </c>
      <c r="W1104" s="233">
        <f t="shared" si="101"/>
        <v>-25216.5</v>
      </c>
    </row>
    <row r="1105" spans="1:2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 s="188">
        <v>1000</v>
      </c>
      <c r="S1105" s="8">
        <f t="shared" si="99"/>
        <v>-1000</v>
      </c>
      <c r="T1105" s="234">
        <f t="shared" si="102"/>
        <v>-575999.99999996147</v>
      </c>
      <c r="U1105" s="15">
        <v>25</v>
      </c>
      <c r="V1105" s="8">
        <f t="shared" si="100"/>
        <v>-25</v>
      </c>
      <c r="W1105" s="233">
        <f t="shared" si="101"/>
        <v>-25241.5</v>
      </c>
    </row>
    <row r="1106" spans="1:2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 s="188">
        <v>1000</v>
      </c>
      <c r="S1106" s="8">
        <f t="shared" si="99"/>
        <v>-1000</v>
      </c>
      <c r="T1106" s="234">
        <f t="shared" si="102"/>
        <v>-576999.99999996147</v>
      </c>
      <c r="U1106" s="15">
        <v>25</v>
      </c>
      <c r="V1106" s="8">
        <f t="shared" si="100"/>
        <v>-25</v>
      </c>
      <c r="W1106" s="233">
        <f t="shared" si="101"/>
        <v>-25266.5</v>
      </c>
    </row>
    <row r="1107" spans="1:2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 s="188">
        <v>1000</v>
      </c>
      <c r="S1107" s="8">
        <f t="shared" si="99"/>
        <v>-1000</v>
      </c>
      <c r="T1107" s="234">
        <f t="shared" si="102"/>
        <v>-577999.99999996147</v>
      </c>
      <c r="U1107" s="15">
        <v>25</v>
      </c>
      <c r="V1107" s="8">
        <f t="shared" si="100"/>
        <v>-25</v>
      </c>
      <c r="W1107" s="233">
        <f t="shared" si="101"/>
        <v>-25291.5</v>
      </c>
    </row>
    <row r="1108" spans="1:2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 s="188">
        <v>1000</v>
      </c>
      <c r="S1108" s="8">
        <f t="shared" si="99"/>
        <v>-1000</v>
      </c>
      <c r="T1108" s="234">
        <f t="shared" si="102"/>
        <v>-578999.99999996147</v>
      </c>
      <c r="U1108" s="15">
        <v>25</v>
      </c>
      <c r="V1108" s="8">
        <f t="shared" si="100"/>
        <v>-25</v>
      </c>
      <c r="W1108" s="233">
        <f t="shared" si="101"/>
        <v>-25316.5</v>
      </c>
    </row>
    <row r="1109" spans="1:2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 s="188">
        <v>1000</v>
      </c>
      <c r="S1109" s="8">
        <f t="shared" si="99"/>
        <v>-1000</v>
      </c>
      <c r="T1109" s="234">
        <f t="shared" si="102"/>
        <v>-579999.99999996147</v>
      </c>
      <c r="U1109" s="15">
        <v>25</v>
      </c>
      <c r="V1109" s="8">
        <f t="shared" si="100"/>
        <v>-25</v>
      </c>
      <c r="W1109" s="233">
        <f t="shared" si="101"/>
        <v>-25341.5</v>
      </c>
    </row>
    <row r="1110" spans="1:2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 s="188">
        <v>1000</v>
      </c>
      <c r="S1110" s="8">
        <f t="shared" si="99"/>
        <v>-1000</v>
      </c>
      <c r="T1110" s="234">
        <f t="shared" si="102"/>
        <v>-580999.99999996147</v>
      </c>
      <c r="U1110" s="15">
        <v>25</v>
      </c>
      <c r="V1110" s="8">
        <f t="shared" si="100"/>
        <v>-25</v>
      </c>
      <c r="W1110" s="233">
        <f t="shared" si="101"/>
        <v>-25366.5</v>
      </c>
    </row>
    <row r="1111" spans="1:2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 s="188">
        <v>1000</v>
      </c>
      <c r="S1111" s="8">
        <f t="shared" si="99"/>
        <v>-1000</v>
      </c>
      <c r="T1111" s="234">
        <f t="shared" si="102"/>
        <v>-581999.99999996147</v>
      </c>
      <c r="U1111" s="15">
        <v>25</v>
      </c>
      <c r="V1111" s="8">
        <f t="shared" si="100"/>
        <v>-25</v>
      </c>
      <c r="W1111" s="233">
        <f t="shared" si="101"/>
        <v>-25391.5</v>
      </c>
    </row>
    <row r="1112" spans="1:2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 s="188">
        <v>1000</v>
      </c>
      <c r="S1112" s="8">
        <f t="shared" si="99"/>
        <v>-1000</v>
      </c>
      <c r="T1112" s="234">
        <f t="shared" si="102"/>
        <v>-582999.99999996147</v>
      </c>
      <c r="U1112" s="15">
        <v>25</v>
      </c>
      <c r="V1112" s="8">
        <f t="shared" si="100"/>
        <v>-25</v>
      </c>
      <c r="W1112" s="233">
        <f t="shared" si="101"/>
        <v>-25416.5</v>
      </c>
    </row>
    <row r="1113" spans="1:2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 s="188">
        <v>1000</v>
      </c>
      <c r="S1113" s="8">
        <f t="shared" si="99"/>
        <v>-1000</v>
      </c>
      <c r="T1113" s="234">
        <f t="shared" si="102"/>
        <v>-583999.99999996147</v>
      </c>
      <c r="U1113" s="15">
        <v>25</v>
      </c>
      <c r="V1113" s="8">
        <f t="shared" si="100"/>
        <v>-25</v>
      </c>
      <c r="W1113" s="233">
        <f t="shared" si="101"/>
        <v>-25441.5</v>
      </c>
    </row>
    <row r="1114" spans="1:2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 s="188">
        <v>1000</v>
      </c>
      <c r="S1114" s="8">
        <f t="shared" si="99"/>
        <v>-1000</v>
      </c>
      <c r="T1114" s="234">
        <f t="shared" si="102"/>
        <v>-584999.99999996147</v>
      </c>
      <c r="U1114" s="15">
        <v>25</v>
      </c>
      <c r="V1114" s="8">
        <f t="shared" si="100"/>
        <v>-25</v>
      </c>
      <c r="W1114" s="233">
        <f t="shared" si="101"/>
        <v>-25466.5</v>
      </c>
    </row>
    <row r="1115" spans="1:2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 s="188">
        <v>1000</v>
      </c>
      <c r="S1115" s="8">
        <f t="shared" si="99"/>
        <v>-1000</v>
      </c>
      <c r="T1115" s="234">
        <f t="shared" si="102"/>
        <v>-585999.99999996147</v>
      </c>
      <c r="U1115" s="15">
        <v>25</v>
      </c>
      <c r="V1115" s="8">
        <f t="shared" si="100"/>
        <v>-25</v>
      </c>
      <c r="W1115" s="233">
        <f t="shared" si="101"/>
        <v>-25491.5</v>
      </c>
    </row>
    <row r="1116" spans="1:2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 s="188">
        <v>1000</v>
      </c>
      <c r="S1116" s="8">
        <f t="shared" si="99"/>
        <v>-1000</v>
      </c>
      <c r="T1116" s="234">
        <f t="shared" si="102"/>
        <v>-586999.99999996147</v>
      </c>
      <c r="U1116" s="15">
        <v>25</v>
      </c>
      <c r="V1116" s="8">
        <f t="shared" si="100"/>
        <v>-25</v>
      </c>
      <c r="W1116" s="233">
        <f t="shared" si="101"/>
        <v>-25516.5</v>
      </c>
    </row>
    <row r="1117" spans="1:2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 s="188">
        <v>1000</v>
      </c>
      <c r="S1117" s="8">
        <f t="shared" si="99"/>
        <v>-1000</v>
      </c>
      <c r="T1117" s="234">
        <f t="shared" si="102"/>
        <v>-587999.99999996147</v>
      </c>
      <c r="U1117" s="15">
        <v>25</v>
      </c>
      <c r="V1117" s="8">
        <f t="shared" si="100"/>
        <v>-25</v>
      </c>
      <c r="W1117" s="233">
        <f t="shared" si="101"/>
        <v>-25541.5</v>
      </c>
    </row>
    <row r="1118" spans="1:2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 s="188">
        <v>1000</v>
      </c>
      <c r="S1118" s="8">
        <f t="shared" si="99"/>
        <v>-1000</v>
      </c>
      <c r="T1118" s="234">
        <f t="shared" si="102"/>
        <v>-588999.99999996147</v>
      </c>
      <c r="U1118" s="15">
        <v>25</v>
      </c>
      <c r="V1118" s="8">
        <f t="shared" si="100"/>
        <v>-25</v>
      </c>
      <c r="W1118" s="233">
        <f t="shared" si="101"/>
        <v>-25566.5</v>
      </c>
    </row>
    <row r="1119" spans="1:2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 s="188">
        <v>1000</v>
      </c>
      <c r="S1119" s="8">
        <f t="shared" si="99"/>
        <v>-1000</v>
      </c>
      <c r="T1119" s="234">
        <f t="shared" si="102"/>
        <v>-589999.99999996147</v>
      </c>
      <c r="U1119" s="15">
        <v>25</v>
      </c>
      <c r="V1119" s="8">
        <f t="shared" si="100"/>
        <v>-25</v>
      </c>
      <c r="W1119" s="233">
        <f t="shared" si="101"/>
        <v>-25591.5</v>
      </c>
    </row>
    <row r="1120" spans="1:2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 s="188">
        <v>1000</v>
      </c>
      <c r="S1120" s="8">
        <f t="shared" si="99"/>
        <v>-1000</v>
      </c>
      <c r="T1120" s="234">
        <f t="shared" si="102"/>
        <v>-590999.99999996147</v>
      </c>
      <c r="U1120" s="15">
        <v>25</v>
      </c>
      <c r="V1120" s="8">
        <f t="shared" si="100"/>
        <v>-25</v>
      </c>
      <c r="W1120" s="233">
        <f t="shared" si="101"/>
        <v>-25616.5</v>
      </c>
    </row>
    <row r="1121" spans="1:2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 s="188">
        <v>1000</v>
      </c>
      <c r="S1121" s="8">
        <f t="shared" si="99"/>
        <v>-1000</v>
      </c>
      <c r="T1121" s="234">
        <f t="shared" si="102"/>
        <v>-591999.99999996147</v>
      </c>
      <c r="U1121" s="15">
        <v>25</v>
      </c>
      <c r="V1121" s="8">
        <f t="shared" si="100"/>
        <v>-25</v>
      </c>
      <c r="W1121" s="233">
        <f t="shared" si="101"/>
        <v>-25641.5</v>
      </c>
    </row>
    <row r="1122" spans="1:2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 s="188">
        <v>1000</v>
      </c>
      <c r="S1122" s="8">
        <f t="shared" si="99"/>
        <v>-1000</v>
      </c>
      <c r="T1122" s="234">
        <f t="shared" si="102"/>
        <v>-592999.99999996147</v>
      </c>
      <c r="U1122" s="15">
        <v>25</v>
      </c>
      <c r="V1122" s="8">
        <f t="shared" si="100"/>
        <v>-25</v>
      </c>
      <c r="W1122" s="233">
        <f t="shared" si="101"/>
        <v>-25666.5</v>
      </c>
    </row>
    <row r="1123" spans="1:2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 s="188">
        <v>1000</v>
      </c>
      <c r="S1123" s="8">
        <f t="shared" si="99"/>
        <v>-1000</v>
      </c>
      <c r="T1123" s="234">
        <f t="shared" si="102"/>
        <v>-593999.99999996147</v>
      </c>
      <c r="U1123" s="15">
        <v>25</v>
      </c>
      <c r="V1123" s="8">
        <f t="shared" si="100"/>
        <v>-25</v>
      </c>
      <c r="W1123" s="233">
        <f t="shared" si="101"/>
        <v>-25691.5</v>
      </c>
    </row>
    <row r="1124" spans="1:2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 s="188">
        <v>1000</v>
      </c>
      <c r="S1124" s="8">
        <f t="shared" si="99"/>
        <v>-1000</v>
      </c>
      <c r="T1124" s="234">
        <f t="shared" si="102"/>
        <v>-594999.99999996147</v>
      </c>
      <c r="U1124" s="15">
        <v>25</v>
      </c>
      <c r="V1124" s="8">
        <f t="shared" si="100"/>
        <v>-25</v>
      </c>
      <c r="W1124" s="233">
        <f t="shared" si="101"/>
        <v>-25716.5</v>
      </c>
    </row>
    <row r="1125" spans="1:2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 s="188">
        <v>1000</v>
      </c>
      <c r="S1125" s="8">
        <f t="shared" si="99"/>
        <v>-1000</v>
      </c>
      <c r="T1125" s="234">
        <f t="shared" si="102"/>
        <v>-595999.99999996147</v>
      </c>
      <c r="U1125" s="15">
        <v>25</v>
      </c>
      <c r="V1125" s="8">
        <f t="shared" si="100"/>
        <v>-25</v>
      </c>
      <c r="W1125" s="233">
        <f t="shared" si="101"/>
        <v>-25741.5</v>
      </c>
    </row>
    <row r="1126" spans="1:2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 s="188">
        <v>1000</v>
      </c>
      <c r="S1126" s="8">
        <f t="shared" si="99"/>
        <v>-1000</v>
      </c>
      <c r="T1126" s="234">
        <f t="shared" si="102"/>
        <v>-596999.99999996147</v>
      </c>
      <c r="U1126" s="15">
        <v>25</v>
      </c>
      <c r="V1126" s="8">
        <f t="shared" si="100"/>
        <v>-25</v>
      </c>
      <c r="W1126" s="233">
        <f t="shared" si="101"/>
        <v>-25766.5</v>
      </c>
    </row>
    <row r="1127" spans="1:2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 s="188">
        <v>1000</v>
      </c>
      <c r="S1127" s="8">
        <f t="shared" si="99"/>
        <v>-1000</v>
      </c>
      <c r="T1127" s="234">
        <f t="shared" si="102"/>
        <v>-597999.99999996147</v>
      </c>
      <c r="U1127" s="15">
        <v>25</v>
      </c>
      <c r="V1127" s="8">
        <f t="shared" si="100"/>
        <v>-25</v>
      </c>
      <c r="W1127" s="233">
        <f t="shared" si="101"/>
        <v>-25791.5</v>
      </c>
    </row>
    <row r="1128" spans="1:2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 s="188">
        <v>1000</v>
      </c>
      <c r="S1128" s="8">
        <f t="shared" si="99"/>
        <v>-1000</v>
      </c>
      <c r="T1128" s="234">
        <f t="shared" si="102"/>
        <v>-598999.99999996147</v>
      </c>
      <c r="U1128" s="15">
        <v>25</v>
      </c>
      <c r="V1128" s="8">
        <f t="shared" si="100"/>
        <v>-25</v>
      </c>
      <c r="W1128" s="233">
        <f t="shared" si="101"/>
        <v>-25816.5</v>
      </c>
    </row>
    <row r="1129" spans="1:2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 s="188">
        <v>1000</v>
      </c>
      <c r="S1129" s="8">
        <f t="shared" si="99"/>
        <v>-1000</v>
      </c>
      <c r="T1129" s="234">
        <f t="shared" si="102"/>
        <v>-599999.99999996147</v>
      </c>
      <c r="U1129" s="15">
        <v>25</v>
      </c>
      <c r="V1129" s="8">
        <f t="shared" si="100"/>
        <v>-25</v>
      </c>
      <c r="W1129" s="233">
        <f t="shared" si="101"/>
        <v>-25841.5</v>
      </c>
    </row>
    <row r="1130" spans="1:2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 s="188">
        <v>1000</v>
      </c>
      <c r="S1130" s="8">
        <f t="shared" si="99"/>
        <v>-1000</v>
      </c>
      <c r="T1130" s="234">
        <f t="shared" si="102"/>
        <v>-600999.99999996147</v>
      </c>
      <c r="U1130" s="15">
        <v>25</v>
      </c>
      <c r="V1130" s="8">
        <f t="shared" si="100"/>
        <v>-25</v>
      </c>
      <c r="W1130" s="233">
        <f t="shared" si="101"/>
        <v>-25866.5</v>
      </c>
    </row>
    <row r="1131" spans="1:2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 s="188">
        <v>1000</v>
      </c>
      <c r="S1131" s="8">
        <f t="shared" si="99"/>
        <v>-1000</v>
      </c>
      <c r="T1131" s="234">
        <f t="shared" si="102"/>
        <v>-601999.99999996147</v>
      </c>
      <c r="U1131" s="15">
        <v>25</v>
      </c>
      <c r="V1131" s="8">
        <f t="shared" si="100"/>
        <v>-25</v>
      </c>
      <c r="W1131" s="233">
        <f t="shared" si="101"/>
        <v>-25891.5</v>
      </c>
    </row>
    <row r="1132" spans="1:2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 s="188">
        <v>1000</v>
      </c>
      <c r="S1132" s="8">
        <f t="shared" si="99"/>
        <v>-1000</v>
      </c>
      <c r="T1132" s="234">
        <f t="shared" si="102"/>
        <v>-602999.99999996147</v>
      </c>
      <c r="U1132" s="15">
        <v>25</v>
      </c>
      <c r="V1132" s="8">
        <f t="shared" si="100"/>
        <v>-25</v>
      </c>
      <c r="W1132" s="233">
        <f t="shared" si="101"/>
        <v>-25916.5</v>
      </c>
    </row>
    <row r="1133" spans="1:2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 s="188">
        <v>1000</v>
      </c>
      <c r="S1133" s="8">
        <f t="shared" si="99"/>
        <v>-1000</v>
      </c>
      <c r="T1133" s="234">
        <f t="shared" si="102"/>
        <v>-603999.99999996147</v>
      </c>
      <c r="U1133" s="15">
        <v>25</v>
      </c>
      <c r="V1133" s="8">
        <f t="shared" si="100"/>
        <v>-25</v>
      </c>
      <c r="W1133" s="233">
        <f t="shared" si="101"/>
        <v>-25941.5</v>
      </c>
    </row>
    <row r="1134" spans="1:2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 s="188">
        <v>1000</v>
      </c>
      <c r="S1134" s="8">
        <f t="shared" si="99"/>
        <v>-1000</v>
      </c>
      <c r="T1134" s="234">
        <f t="shared" si="102"/>
        <v>-604999.99999996147</v>
      </c>
      <c r="U1134" s="15">
        <v>25</v>
      </c>
      <c r="V1134" s="8">
        <f t="shared" si="100"/>
        <v>-25</v>
      </c>
      <c r="W1134" s="233">
        <f t="shared" si="101"/>
        <v>-25966.5</v>
      </c>
    </row>
    <row r="1135" spans="1:2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 s="188">
        <v>1000</v>
      </c>
      <c r="S1135" s="8">
        <f t="shared" si="99"/>
        <v>-1000</v>
      </c>
      <c r="T1135" s="234">
        <f t="shared" si="102"/>
        <v>-605999.99999996147</v>
      </c>
      <c r="U1135" s="15">
        <v>25</v>
      </c>
      <c r="V1135" s="8">
        <f t="shared" si="100"/>
        <v>-25</v>
      </c>
      <c r="W1135" s="233">
        <f t="shared" si="101"/>
        <v>-25991.5</v>
      </c>
    </row>
    <row r="1136" spans="1:2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 s="188">
        <v>1000</v>
      </c>
      <c r="S1136" s="8">
        <f t="shared" si="99"/>
        <v>-1000</v>
      </c>
      <c r="T1136" s="234">
        <f t="shared" si="102"/>
        <v>-606999.99999996147</v>
      </c>
      <c r="U1136" s="15">
        <v>25</v>
      </c>
      <c r="V1136" s="8">
        <f t="shared" si="100"/>
        <v>-25</v>
      </c>
      <c r="W1136" s="233">
        <f t="shared" si="101"/>
        <v>-26016.5</v>
      </c>
    </row>
    <row r="1137" spans="1:2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 s="188">
        <v>1000</v>
      </c>
      <c r="S1137" s="8">
        <f t="shared" si="99"/>
        <v>-1000</v>
      </c>
      <c r="T1137" s="234">
        <f t="shared" si="102"/>
        <v>-607999.99999996147</v>
      </c>
      <c r="U1137" s="15">
        <v>25</v>
      </c>
      <c r="V1137" s="8">
        <f t="shared" si="100"/>
        <v>-25</v>
      </c>
      <c r="W1137" s="233">
        <f t="shared" si="101"/>
        <v>-26041.5</v>
      </c>
    </row>
    <row r="1138" spans="1:2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 s="188">
        <v>1000</v>
      </c>
      <c r="S1138" s="8">
        <f t="shared" si="99"/>
        <v>-1000</v>
      </c>
      <c r="T1138" s="234">
        <f t="shared" si="102"/>
        <v>-608999.99999996147</v>
      </c>
      <c r="U1138" s="15">
        <v>25</v>
      </c>
      <c r="V1138" s="8">
        <f t="shared" si="100"/>
        <v>-25</v>
      </c>
      <c r="W1138" s="233">
        <f t="shared" si="101"/>
        <v>-26066.5</v>
      </c>
    </row>
    <row r="1139" spans="1:2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 s="188">
        <v>1000</v>
      </c>
      <c r="S1139" s="8">
        <f t="shared" si="99"/>
        <v>-1000</v>
      </c>
      <c r="T1139" s="234">
        <f t="shared" si="102"/>
        <v>-609999.99999996147</v>
      </c>
      <c r="U1139" s="15">
        <v>25</v>
      </c>
      <c r="V1139" s="8">
        <f t="shared" si="100"/>
        <v>-25</v>
      </c>
      <c r="W1139" s="233">
        <f t="shared" si="101"/>
        <v>-26091.5</v>
      </c>
    </row>
    <row r="1140" spans="1:2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 s="188">
        <v>1000</v>
      </c>
      <c r="S1140" s="8">
        <f t="shared" si="99"/>
        <v>-1000</v>
      </c>
      <c r="T1140" s="234">
        <f t="shared" si="102"/>
        <v>-610999.99999996147</v>
      </c>
      <c r="U1140" s="15">
        <v>25</v>
      </c>
      <c r="V1140" s="8">
        <f t="shared" si="100"/>
        <v>-25</v>
      </c>
      <c r="W1140" s="233">
        <f t="shared" si="101"/>
        <v>-26116.5</v>
      </c>
    </row>
    <row r="1141" spans="1:2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 s="188">
        <v>1000</v>
      </c>
      <c r="S1141" s="8">
        <f t="shared" si="99"/>
        <v>-1000</v>
      </c>
      <c r="T1141" s="234">
        <f t="shared" si="102"/>
        <v>-611999.99999996147</v>
      </c>
      <c r="U1141" s="15">
        <v>25</v>
      </c>
      <c r="V1141" s="8">
        <f t="shared" si="100"/>
        <v>-25</v>
      </c>
      <c r="W1141" s="233">
        <f t="shared" si="101"/>
        <v>-26141.5</v>
      </c>
    </row>
    <row r="1142" spans="1:2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 s="188">
        <v>1000</v>
      </c>
      <c r="S1142" s="8">
        <f t="shared" si="99"/>
        <v>-1000</v>
      </c>
      <c r="T1142" s="234">
        <f t="shared" si="102"/>
        <v>-612999.99999996147</v>
      </c>
      <c r="U1142" s="15">
        <v>25</v>
      </c>
      <c r="V1142" s="8">
        <f t="shared" si="100"/>
        <v>-25</v>
      </c>
      <c r="W1142" s="233">
        <f t="shared" si="101"/>
        <v>-26166.5</v>
      </c>
    </row>
    <row r="1143" spans="1:2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 s="188">
        <v>1000</v>
      </c>
      <c r="S1143" s="8">
        <f t="shared" si="99"/>
        <v>-1000</v>
      </c>
      <c r="T1143" s="234">
        <f t="shared" si="102"/>
        <v>-613999.99999996147</v>
      </c>
      <c r="U1143" s="15">
        <v>25</v>
      </c>
      <c r="V1143" s="8">
        <f t="shared" si="100"/>
        <v>-25</v>
      </c>
      <c r="W1143" s="233">
        <f t="shared" si="101"/>
        <v>-26191.5</v>
      </c>
    </row>
    <row r="1144" spans="1:2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 s="188">
        <v>1000</v>
      </c>
      <c r="S1144" s="8">
        <f t="shared" si="99"/>
        <v>-1000</v>
      </c>
      <c r="T1144" s="234">
        <f t="shared" si="102"/>
        <v>-614999.99999996147</v>
      </c>
      <c r="U1144" s="15">
        <v>25</v>
      </c>
      <c r="V1144" s="8">
        <f t="shared" si="100"/>
        <v>-25</v>
      </c>
      <c r="W1144" s="233">
        <f t="shared" si="101"/>
        <v>-26216.5</v>
      </c>
    </row>
    <row r="1145" spans="1:2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 s="188">
        <v>1000</v>
      </c>
      <c r="S1145" s="8">
        <f t="shared" si="99"/>
        <v>-1000</v>
      </c>
      <c r="T1145" s="234">
        <f t="shared" si="102"/>
        <v>-615999.99999996147</v>
      </c>
      <c r="U1145" s="15">
        <v>25</v>
      </c>
      <c r="V1145" s="8">
        <f t="shared" si="100"/>
        <v>-25</v>
      </c>
      <c r="W1145" s="233">
        <f t="shared" si="101"/>
        <v>-26241.5</v>
      </c>
    </row>
    <row r="1146" spans="1:2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 s="188">
        <v>1000</v>
      </c>
      <c r="S1146" s="8">
        <f t="shared" si="99"/>
        <v>-1000</v>
      </c>
      <c r="T1146" s="234">
        <f t="shared" si="102"/>
        <v>-616999.99999996147</v>
      </c>
      <c r="U1146" s="15">
        <v>25</v>
      </c>
      <c r="V1146" s="8">
        <f t="shared" si="100"/>
        <v>-25</v>
      </c>
      <c r="W1146" s="233">
        <f t="shared" si="101"/>
        <v>-26266.5</v>
      </c>
    </row>
    <row r="1147" spans="1:2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 s="188">
        <v>1000</v>
      </c>
      <c r="S1147" s="8">
        <f t="shared" si="99"/>
        <v>-1000</v>
      </c>
      <c r="T1147" s="234">
        <f t="shared" si="102"/>
        <v>-617999.99999996147</v>
      </c>
      <c r="U1147" s="15">
        <v>25</v>
      </c>
      <c r="V1147" s="8">
        <f t="shared" si="100"/>
        <v>-25</v>
      </c>
      <c r="W1147" s="233">
        <f t="shared" si="101"/>
        <v>-26291.5</v>
      </c>
    </row>
    <row r="1148" spans="1:2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 s="188">
        <v>1000</v>
      </c>
      <c r="S1148" s="8">
        <f t="shared" si="99"/>
        <v>-1000</v>
      </c>
      <c r="T1148" s="234">
        <f t="shared" si="102"/>
        <v>-618999.99999996147</v>
      </c>
      <c r="U1148" s="15">
        <v>25</v>
      </c>
      <c r="V1148" s="8">
        <f t="shared" si="100"/>
        <v>-25</v>
      </c>
      <c r="W1148" s="233">
        <f t="shared" si="101"/>
        <v>-26316.5</v>
      </c>
    </row>
    <row r="1149" spans="1:2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 s="188">
        <v>1000</v>
      </c>
      <c r="S1149" s="8">
        <f t="shared" si="99"/>
        <v>-1000</v>
      </c>
      <c r="T1149" s="234">
        <f t="shared" si="102"/>
        <v>-619999.99999996147</v>
      </c>
      <c r="U1149" s="15">
        <v>25</v>
      </c>
      <c r="V1149" s="8">
        <f t="shared" si="100"/>
        <v>-25</v>
      </c>
      <c r="W1149" s="233">
        <f t="shared" si="101"/>
        <v>-26341.5</v>
      </c>
    </row>
    <row r="1150" spans="1:2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 s="188">
        <v>1000</v>
      </c>
      <c r="S1150" s="8">
        <f t="shared" si="99"/>
        <v>-1000</v>
      </c>
      <c r="T1150" s="234">
        <f t="shared" si="102"/>
        <v>-620999.99999996147</v>
      </c>
      <c r="U1150" s="15">
        <v>25</v>
      </c>
      <c r="V1150" s="8">
        <f t="shared" si="100"/>
        <v>-25</v>
      </c>
      <c r="W1150" s="233">
        <f t="shared" si="101"/>
        <v>-26366.5</v>
      </c>
    </row>
    <row r="1151" spans="1:2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 s="188">
        <v>1000</v>
      </c>
      <c r="S1151" s="8">
        <f t="shared" si="99"/>
        <v>-1000</v>
      </c>
      <c r="T1151" s="234">
        <f t="shared" si="102"/>
        <v>-621999.99999996147</v>
      </c>
      <c r="U1151" s="15">
        <v>25</v>
      </c>
      <c r="V1151" s="8">
        <f t="shared" si="100"/>
        <v>-25</v>
      </c>
      <c r="W1151" s="233">
        <f t="shared" si="101"/>
        <v>-26391.5</v>
      </c>
    </row>
    <row r="1152" spans="1:2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 s="188">
        <v>1000</v>
      </c>
      <c r="S1152" s="8">
        <f t="shared" si="99"/>
        <v>-1000</v>
      </c>
      <c r="T1152" s="234">
        <f t="shared" si="102"/>
        <v>-622999.99999996147</v>
      </c>
      <c r="U1152" s="15">
        <v>25</v>
      </c>
      <c r="V1152" s="8">
        <f t="shared" si="100"/>
        <v>-25</v>
      </c>
      <c r="W1152" s="233">
        <f t="shared" si="101"/>
        <v>-26416.5</v>
      </c>
    </row>
    <row r="1153" spans="1:2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 s="188">
        <v>1000</v>
      </c>
      <c r="S1153" s="8">
        <f t="shared" si="99"/>
        <v>-1000</v>
      </c>
      <c r="T1153" s="234">
        <f t="shared" si="102"/>
        <v>-623999.99999996147</v>
      </c>
      <c r="U1153" s="15">
        <v>25</v>
      </c>
      <c r="V1153" s="8">
        <f t="shared" si="100"/>
        <v>-25</v>
      </c>
      <c r="W1153" s="233">
        <f t="shared" si="101"/>
        <v>-26441.5</v>
      </c>
    </row>
    <row r="1154" spans="1:2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 s="188">
        <v>1000</v>
      </c>
      <c r="S1154" s="8">
        <f t="shared" si="99"/>
        <v>-1000</v>
      </c>
      <c r="T1154" s="234">
        <f t="shared" si="102"/>
        <v>-624999.99999996147</v>
      </c>
      <c r="U1154" s="15">
        <v>25</v>
      </c>
      <c r="V1154" s="8">
        <f t="shared" si="100"/>
        <v>-25</v>
      </c>
      <c r="W1154" s="233">
        <f t="shared" si="101"/>
        <v>-26466.5</v>
      </c>
    </row>
    <row r="1155" spans="1:2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 s="188">
        <v>1000</v>
      </c>
      <c r="S1155" s="8">
        <f t="shared" ref="S1155:S1218" si="103">IF(O1155="won",R1155*0.18,-R1155)</f>
        <v>-1000</v>
      </c>
      <c r="T1155" s="234">
        <f t="shared" si="102"/>
        <v>-625999.99999996147</v>
      </c>
      <c r="U1155" s="15">
        <v>25</v>
      </c>
      <c r="V1155" s="8">
        <f t="shared" ref="V1155:V1218" si="104">IF(O1155="won",U1155*0.18,-U1155)</f>
        <v>-25</v>
      </c>
      <c r="W1155" s="233">
        <f t="shared" ref="W1155:W1218" si="105">SUM(W1154,V1155)</f>
        <v>-26491.5</v>
      </c>
    </row>
    <row r="1156" spans="1:2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 s="188">
        <v>1000</v>
      </c>
      <c r="S1156" s="8">
        <f t="shared" si="103"/>
        <v>-1000</v>
      </c>
      <c r="T1156" s="234">
        <f t="shared" si="102"/>
        <v>-626999.99999996147</v>
      </c>
      <c r="U1156" s="15">
        <v>25</v>
      </c>
      <c r="V1156" s="8">
        <f t="shared" si="104"/>
        <v>-25</v>
      </c>
      <c r="W1156" s="233">
        <f t="shared" si="105"/>
        <v>-26516.5</v>
      </c>
    </row>
    <row r="1157" spans="1:2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 s="188">
        <v>1000</v>
      </c>
      <c r="S1157" s="8">
        <f t="shared" si="103"/>
        <v>-1000</v>
      </c>
      <c r="T1157" s="234">
        <f t="shared" si="102"/>
        <v>-627999.99999996147</v>
      </c>
      <c r="U1157" s="15">
        <v>25</v>
      </c>
      <c r="V1157" s="8">
        <f t="shared" si="104"/>
        <v>-25</v>
      </c>
      <c r="W1157" s="233">
        <f t="shared" si="105"/>
        <v>-26541.5</v>
      </c>
    </row>
    <row r="1158" spans="1:2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 s="188">
        <v>1000</v>
      </c>
      <c r="S1158" s="8">
        <f t="shared" si="103"/>
        <v>-1000</v>
      </c>
      <c r="T1158" s="234">
        <f t="shared" si="102"/>
        <v>-628999.99999996147</v>
      </c>
      <c r="U1158" s="15">
        <v>25</v>
      </c>
      <c r="V1158" s="8">
        <f t="shared" si="104"/>
        <v>-25</v>
      </c>
      <c r="W1158" s="233">
        <f t="shared" si="105"/>
        <v>-26566.5</v>
      </c>
    </row>
    <row r="1159" spans="1:2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 s="188">
        <v>1000</v>
      </c>
      <c r="S1159" s="8">
        <f t="shared" si="103"/>
        <v>-1000</v>
      </c>
      <c r="T1159" s="234">
        <f t="shared" si="102"/>
        <v>-629999.99999996147</v>
      </c>
      <c r="U1159" s="15">
        <v>25</v>
      </c>
      <c r="V1159" s="8">
        <f t="shared" si="104"/>
        <v>-25</v>
      </c>
      <c r="W1159" s="233">
        <f t="shared" si="105"/>
        <v>-26591.5</v>
      </c>
    </row>
    <row r="1160" spans="1:2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 s="188">
        <v>1000</v>
      </c>
      <c r="S1160" s="8">
        <f t="shared" si="103"/>
        <v>-1000</v>
      </c>
      <c r="T1160" s="234">
        <f t="shared" si="102"/>
        <v>-630999.99999996147</v>
      </c>
      <c r="U1160" s="15">
        <v>25</v>
      </c>
      <c r="V1160" s="8">
        <f t="shared" si="104"/>
        <v>-25</v>
      </c>
      <c r="W1160" s="233">
        <f t="shared" si="105"/>
        <v>-26616.5</v>
      </c>
    </row>
    <row r="1161" spans="1:2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 s="188">
        <v>1000</v>
      </c>
      <c r="S1161" s="8">
        <f t="shared" si="103"/>
        <v>-1000</v>
      </c>
      <c r="T1161" s="234">
        <f t="shared" si="102"/>
        <v>-631999.99999996147</v>
      </c>
      <c r="U1161" s="15">
        <v>25</v>
      </c>
      <c r="V1161" s="8">
        <f t="shared" si="104"/>
        <v>-25</v>
      </c>
      <c r="W1161" s="233">
        <f t="shared" si="105"/>
        <v>-26641.5</v>
      </c>
    </row>
    <row r="1162" spans="1:2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 s="188">
        <v>1000</v>
      </c>
      <c r="S1162" s="8">
        <f t="shared" si="103"/>
        <v>-1000</v>
      </c>
      <c r="T1162" s="234">
        <f t="shared" ref="T1162:T1225" si="106">SUM(T1161,S1162)</f>
        <v>-632999.99999996147</v>
      </c>
      <c r="U1162" s="15">
        <v>25</v>
      </c>
      <c r="V1162" s="8">
        <f t="shared" si="104"/>
        <v>-25</v>
      </c>
      <c r="W1162" s="233">
        <f t="shared" si="105"/>
        <v>-26666.5</v>
      </c>
    </row>
    <row r="1163" spans="1:2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 s="188">
        <v>1000</v>
      </c>
      <c r="S1163" s="8">
        <f t="shared" si="103"/>
        <v>-1000</v>
      </c>
      <c r="T1163" s="234">
        <f t="shared" si="106"/>
        <v>-633999.99999996147</v>
      </c>
      <c r="U1163" s="15">
        <v>25</v>
      </c>
      <c r="V1163" s="8">
        <f t="shared" si="104"/>
        <v>-25</v>
      </c>
      <c r="W1163" s="233">
        <f t="shared" si="105"/>
        <v>-26691.5</v>
      </c>
    </row>
    <row r="1164" spans="1:2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 s="188">
        <v>1000</v>
      </c>
      <c r="S1164" s="8">
        <f t="shared" si="103"/>
        <v>-1000</v>
      </c>
      <c r="T1164" s="234">
        <f t="shared" si="106"/>
        <v>-634999.99999996147</v>
      </c>
      <c r="U1164" s="15">
        <v>25</v>
      </c>
      <c r="V1164" s="8">
        <f t="shared" si="104"/>
        <v>-25</v>
      </c>
      <c r="W1164" s="233">
        <f t="shared" si="105"/>
        <v>-26716.5</v>
      </c>
    </row>
    <row r="1165" spans="1:2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 s="188">
        <v>1000</v>
      </c>
      <c r="S1165" s="8">
        <f t="shared" si="103"/>
        <v>-1000</v>
      </c>
      <c r="T1165" s="234">
        <f t="shared" si="106"/>
        <v>-635999.99999996147</v>
      </c>
      <c r="U1165" s="15">
        <v>25</v>
      </c>
      <c r="V1165" s="8">
        <f t="shared" si="104"/>
        <v>-25</v>
      </c>
      <c r="W1165" s="233">
        <f t="shared" si="105"/>
        <v>-26741.5</v>
      </c>
    </row>
    <row r="1166" spans="1:2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 s="188">
        <v>1000</v>
      </c>
      <c r="S1166" s="8">
        <f t="shared" si="103"/>
        <v>-1000</v>
      </c>
      <c r="T1166" s="234">
        <f t="shared" si="106"/>
        <v>-636999.99999996147</v>
      </c>
      <c r="U1166" s="15">
        <v>25</v>
      </c>
      <c r="V1166" s="8">
        <f t="shared" si="104"/>
        <v>-25</v>
      </c>
      <c r="W1166" s="233">
        <f t="shared" si="105"/>
        <v>-26766.5</v>
      </c>
    </row>
    <row r="1167" spans="1:2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 s="188">
        <v>1000</v>
      </c>
      <c r="S1167" s="8">
        <f t="shared" si="103"/>
        <v>-1000</v>
      </c>
      <c r="T1167" s="234">
        <f t="shared" si="106"/>
        <v>-637999.99999996147</v>
      </c>
      <c r="U1167" s="15">
        <v>25</v>
      </c>
      <c r="V1167" s="8">
        <f t="shared" si="104"/>
        <v>-25</v>
      </c>
      <c r="W1167" s="233">
        <f t="shared" si="105"/>
        <v>-26791.5</v>
      </c>
    </row>
    <row r="1168" spans="1:2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 s="188">
        <v>1000</v>
      </c>
      <c r="S1168" s="8">
        <f t="shared" si="103"/>
        <v>-1000</v>
      </c>
      <c r="T1168" s="234">
        <f t="shared" si="106"/>
        <v>-638999.99999996147</v>
      </c>
      <c r="U1168" s="15">
        <v>25</v>
      </c>
      <c r="V1168" s="8">
        <f t="shared" si="104"/>
        <v>-25</v>
      </c>
      <c r="W1168" s="233">
        <f t="shared" si="105"/>
        <v>-26816.5</v>
      </c>
    </row>
    <row r="1169" spans="1:2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 s="188">
        <v>1000</v>
      </c>
      <c r="S1169" s="8">
        <f t="shared" si="103"/>
        <v>-1000</v>
      </c>
      <c r="T1169" s="234">
        <f t="shared" si="106"/>
        <v>-639999.99999996147</v>
      </c>
      <c r="U1169" s="15">
        <v>25</v>
      </c>
      <c r="V1169" s="8">
        <f t="shared" si="104"/>
        <v>-25</v>
      </c>
      <c r="W1169" s="233">
        <f t="shared" si="105"/>
        <v>-26841.5</v>
      </c>
    </row>
    <row r="1170" spans="1:2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 s="188">
        <v>1000</v>
      </c>
      <c r="S1170" s="8">
        <f t="shared" si="103"/>
        <v>-1000</v>
      </c>
      <c r="T1170" s="234">
        <f t="shared" si="106"/>
        <v>-640999.99999996147</v>
      </c>
      <c r="U1170" s="15">
        <v>25</v>
      </c>
      <c r="V1170" s="8">
        <f t="shared" si="104"/>
        <v>-25</v>
      </c>
      <c r="W1170" s="233">
        <f t="shared" si="105"/>
        <v>-26866.5</v>
      </c>
    </row>
    <row r="1171" spans="1:2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 s="188">
        <v>1000</v>
      </c>
      <c r="S1171" s="8">
        <f t="shared" si="103"/>
        <v>-1000</v>
      </c>
      <c r="T1171" s="234">
        <f t="shared" si="106"/>
        <v>-641999.99999996147</v>
      </c>
      <c r="U1171" s="15">
        <v>25</v>
      </c>
      <c r="V1171" s="8">
        <f t="shared" si="104"/>
        <v>-25</v>
      </c>
      <c r="W1171" s="233">
        <f t="shared" si="105"/>
        <v>-26891.5</v>
      </c>
    </row>
    <row r="1172" spans="1:2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 s="188">
        <v>1000</v>
      </c>
      <c r="S1172" s="8">
        <f t="shared" si="103"/>
        <v>-1000</v>
      </c>
      <c r="T1172" s="234">
        <f t="shared" si="106"/>
        <v>-642999.99999996147</v>
      </c>
      <c r="U1172" s="15">
        <v>25</v>
      </c>
      <c r="V1172" s="8">
        <f t="shared" si="104"/>
        <v>-25</v>
      </c>
      <c r="W1172" s="233">
        <f t="shared" si="105"/>
        <v>-26916.5</v>
      </c>
    </row>
    <row r="1173" spans="1:2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 s="188">
        <v>1000</v>
      </c>
      <c r="S1173" s="8">
        <f t="shared" si="103"/>
        <v>-1000</v>
      </c>
      <c r="T1173" s="234">
        <f t="shared" si="106"/>
        <v>-643999.99999996147</v>
      </c>
      <c r="U1173" s="15">
        <v>25</v>
      </c>
      <c r="V1173" s="8">
        <f t="shared" si="104"/>
        <v>-25</v>
      </c>
      <c r="W1173" s="233">
        <f t="shared" si="105"/>
        <v>-26941.5</v>
      </c>
    </row>
    <row r="1174" spans="1:2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 s="188">
        <v>1000</v>
      </c>
      <c r="S1174" s="8">
        <f t="shared" si="103"/>
        <v>-1000</v>
      </c>
      <c r="T1174" s="234">
        <f t="shared" si="106"/>
        <v>-644999.99999996147</v>
      </c>
      <c r="U1174" s="15">
        <v>25</v>
      </c>
      <c r="V1174" s="8">
        <f t="shared" si="104"/>
        <v>-25</v>
      </c>
      <c r="W1174" s="233">
        <f t="shared" si="105"/>
        <v>-26966.5</v>
      </c>
    </row>
    <row r="1175" spans="1:2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 s="188">
        <v>1000</v>
      </c>
      <c r="S1175" s="8">
        <f t="shared" si="103"/>
        <v>-1000</v>
      </c>
      <c r="T1175" s="234">
        <f t="shared" si="106"/>
        <v>-645999.99999996147</v>
      </c>
      <c r="U1175" s="15">
        <v>25</v>
      </c>
      <c r="V1175" s="8">
        <f t="shared" si="104"/>
        <v>-25</v>
      </c>
      <c r="W1175" s="233">
        <f t="shared" si="105"/>
        <v>-26991.5</v>
      </c>
    </row>
    <row r="1176" spans="1:2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 s="188">
        <v>1000</v>
      </c>
      <c r="S1176" s="8">
        <f t="shared" si="103"/>
        <v>-1000</v>
      </c>
      <c r="T1176" s="234">
        <f t="shared" si="106"/>
        <v>-646999.99999996147</v>
      </c>
      <c r="U1176" s="15">
        <v>25</v>
      </c>
      <c r="V1176" s="8">
        <f t="shared" si="104"/>
        <v>-25</v>
      </c>
      <c r="W1176" s="233">
        <f t="shared" si="105"/>
        <v>-27016.5</v>
      </c>
    </row>
    <row r="1177" spans="1:2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 s="188">
        <v>1000</v>
      </c>
      <c r="S1177" s="8">
        <f t="shared" si="103"/>
        <v>-1000</v>
      </c>
      <c r="T1177" s="234">
        <f t="shared" si="106"/>
        <v>-647999.99999996147</v>
      </c>
      <c r="U1177" s="15">
        <v>25</v>
      </c>
      <c r="V1177" s="8">
        <f t="shared" si="104"/>
        <v>-25</v>
      </c>
      <c r="W1177" s="233">
        <f t="shared" si="105"/>
        <v>-27041.5</v>
      </c>
    </row>
    <row r="1178" spans="1:2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 s="188">
        <v>1000</v>
      </c>
      <c r="S1178" s="8">
        <f t="shared" si="103"/>
        <v>-1000</v>
      </c>
      <c r="T1178" s="234">
        <f t="shared" si="106"/>
        <v>-648999.99999996147</v>
      </c>
      <c r="U1178" s="15">
        <v>25</v>
      </c>
      <c r="V1178" s="8">
        <f t="shared" si="104"/>
        <v>-25</v>
      </c>
      <c r="W1178" s="233">
        <f t="shared" si="105"/>
        <v>-27066.5</v>
      </c>
    </row>
    <row r="1179" spans="1:2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 s="188">
        <v>1000</v>
      </c>
      <c r="S1179" s="8">
        <f t="shared" si="103"/>
        <v>-1000</v>
      </c>
      <c r="T1179" s="234">
        <f t="shared" si="106"/>
        <v>-649999.99999996147</v>
      </c>
      <c r="U1179" s="15">
        <v>25</v>
      </c>
      <c r="V1179" s="8">
        <f t="shared" si="104"/>
        <v>-25</v>
      </c>
      <c r="W1179" s="233">
        <f t="shared" si="105"/>
        <v>-27091.5</v>
      </c>
    </row>
    <row r="1180" spans="1:2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 s="188">
        <v>1000</v>
      </c>
      <c r="S1180" s="8">
        <f t="shared" si="103"/>
        <v>-1000</v>
      </c>
      <c r="T1180" s="234">
        <f t="shared" si="106"/>
        <v>-650999.99999996147</v>
      </c>
      <c r="U1180" s="15">
        <v>25</v>
      </c>
      <c r="V1180" s="8">
        <f t="shared" si="104"/>
        <v>-25</v>
      </c>
      <c r="W1180" s="233">
        <f t="shared" si="105"/>
        <v>-27116.5</v>
      </c>
    </row>
    <row r="1181" spans="1:2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 s="188">
        <v>1000</v>
      </c>
      <c r="S1181" s="8">
        <f t="shared" si="103"/>
        <v>-1000</v>
      </c>
      <c r="T1181" s="234">
        <f t="shared" si="106"/>
        <v>-651999.99999996147</v>
      </c>
      <c r="U1181" s="15">
        <v>25</v>
      </c>
      <c r="V1181" s="8">
        <f t="shared" si="104"/>
        <v>-25</v>
      </c>
      <c r="W1181" s="233">
        <f t="shared" si="105"/>
        <v>-27141.5</v>
      </c>
    </row>
    <row r="1182" spans="1:2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 s="188">
        <v>1000</v>
      </c>
      <c r="S1182" s="8">
        <f t="shared" si="103"/>
        <v>-1000</v>
      </c>
      <c r="T1182" s="234">
        <f t="shared" si="106"/>
        <v>-652999.99999996147</v>
      </c>
      <c r="U1182" s="15">
        <v>25</v>
      </c>
      <c r="V1182" s="8">
        <f t="shared" si="104"/>
        <v>-25</v>
      </c>
      <c r="W1182" s="233">
        <f t="shared" si="105"/>
        <v>-27166.5</v>
      </c>
    </row>
    <row r="1183" spans="1:2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 s="188">
        <v>1000</v>
      </c>
      <c r="S1183" s="8">
        <f t="shared" si="103"/>
        <v>-1000</v>
      </c>
      <c r="T1183" s="234">
        <f t="shared" si="106"/>
        <v>-653999.99999996147</v>
      </c>
      <c r="U1183" s="15">
        <v>25</v>
      </c>
      <c r="V1183" s="8">
        <f t="shared" si="104"/>
        <v>-25</v>
      </c>
      <c r="W1183" s="233">
        <f t="shared" si="105"/>
        <v>-27191.5</v>
      </c>
    </row>
    <row r="1184" spans="1:2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 s="188">
        <v>1000</v>
      </c>
      <c r="S1184" s="8">
        <f t="shared" si="103"/>
        <v>-1000</v>
      </c>
      <c r="T1184" s="234">
        <f t="shared" si="106"/>
        <v>-654999.99999996147</v>
      </c>
      <c r="U1184" s="15">
        <v>25</v>
      </c>
      <c r="V1184" s="8">
        <f t="shared" si="104"/>
        <v>-25</v>
      </c>
      <c r="W1184" s="233">
        <f t="shared" si="105"/>
        <v>-27216.5</v>
      </c>
    </row>
    <row r="1185" spans="1:2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 s="188">
        <v>1000</v>
      </c>
      <c r="S1185" s="8">
        <f t="shared" si="103"/>
        <v>-1000</v>
      </c>
      <c r="T1185" s="234">
        <f t="shared" si="106"/>
        <v>-655999.99999996147</v>
      </c>
      <c r="U1185" s="15">
        <v>25</v>
      </c>
      <c r="V1185" s="8">
        <f t="shared" si="104"/>
        <v>-25</v>
      </c>
      <c r="W1185" s="233">
        <f t="shared" si="105"/>
        <v>-27241.5</v>
      </c>
    </row>
    <row r="1186" spans="1:2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 s="188">
        <v>1000</v>
      </c>
      <c r="S1186" s="8">
        <f t="shared" si="103"/>
        <v>-1000</v>
      </c>
      <c r="T1186" s="234">
        <f t="shared" si="106"/>
        <v>-656999.99999996147</v>
      </c>
      <c r="U1186" s="15">
        <v>25</v>
      </c>
      <c r="V1186" s="8">
        <f t="shared" si="104"/>
        <v>-25</v>
      </c>
      <c r="W1186" s="233">
        <f t="shared" si="105"/>
        <v>-27266.5</v>
      </c>
    </row>
    <row r="1187" spans="1:2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 s="188">
        <v>1000</v>
      </c>
      <c r="S1187" s="8">
        <f t="shared" si="103"/>
        <v>-1000</v>
      </c>
      <c r="T1187" s="234">
        <f t="shared" si="106"/>
        <v>-657999.99999996147</v>
      </c>
      <c r="U1187" s="15">
        <v>25</v>
      </c>
      <c r="V1187" s="8">
        <f t="shared" si="104"/>
        <v>-25</v>
      </c>
      <c r="W1187" s="233">
        <f t="shared" si="105"/>
        <v>-27291.5</v>
      </c>
    </row>
    <row r="1188" spans="1:2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 s="188">
        <v>1000</v>
      </c>
      <c r="S1188" s="8">
        <f t="shared" si="103"/>
        <v>-1000</v>
      </c>
      <c r="T1188" s="234">
        <f t="shared" si="106"/>
        <v>-658999.99999996147</v>
      </c>
      <c r="U1188" s="15">
        <v>25</v>
      </c>
      <c r="V1188" s="8">
        <f t="shared" si="104"/>
        <v>-25</v>
      </c>
      <c r="W1188" s="233">
        <f t="shared" si="105"/>
        <v>-27316.5</v>
      </c>
    </row>
    <row r="1189" spans="1:2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 s="188">
        <v>1000</v>
      </c>
      <c r="S1189" s="8">
        <f t="shared" si="103"/>
        <v>-1000</v>
      </c>
      <c r="T1189" s="234">
        <f t="shared" si="106"/>
        <v>-659999.99999996147</v>
      </c>
      <c r="U1189" s="15">
        <v>25</v>
      </c>
      <c r="V1189" s="8">
        <f t="shared" si="104"/>
        <v>-25</v>
      </c>
      <c r="W1189" s="233">
        <f t="shared" si="105"/>
        <v>-27341.5</v>
      </c>
    </row>
    <row r="1190" spans="1:2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 s="188">
        <v>1000</v>
      </c>
      <c r="S1190" s="8">
        <f t="shared" si="103"/>
        <v>-1000</v>
      </c>
      <c r="T1190" s="234">
        <f t="shared" si="106"/>
        <v>-660999.99999996147</v>
      </c>
      <c r="U1190" s="15">
        <v>25</v>
      </c>
      <c r="V1190" s="8">
        <f t="shared" si="104"/>
        <v>-25</v>
      </c>
      <c r="W1190" s="233">
        <f t="shared" si="105"/>
        <v>-27366.5</v>
      </c>
    </row>
    <row r="1191" spans="1:2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 s="188">
        <v>1000</v>
      </c>
      <c r="S1191" s="8">
        <f t="shared" si="103"/>
        <v>-1000</v>
      </c>
      <c r="T1191" s="234">
        <f t="shared" si="106"/>
        <v>-661999.99999996147</v>
      </c>
      <c r="U1191" s="15">
        <v>25</v>
      </c>
      <c r="V1191" s="8">
        <f t="shared" si="104"/>
        <v>-25</v>
      </c>
      <c r="W1191" s="233">
        <f t="shared" si="105"/>
        <v>-27391.5</v>
      </c>
    </row>
    <row r="1192" spans="1:2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 s="188">
        <v>1000</v>
      </c>
      <c r="S1192" s="8">
        <f t="shared" si="103"/>
        <v>-1000</v>
      </c>
      <c r="T1192" s="234">
        <f t="shared" si="106"/>
        <v>-662999.99999996147</v>
      </c>
      <c r="U1192" s="15">
        <v>25</v>
      </c>
      <c r="V1192" s="8">
        <f t="shared" si="104"/>
        <v>-25</v>
      </c>
      <c r="W1192" s="233">
        <f t="shared" si="105"/>
        <v>-27416.5</v>
      </c>
    </row>
    <row r="1193" spans="1:2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 s="188">
        <v>1000</v>
      </c>
      <c r="S1193" s="8">
        <f t="shared" si="103"/>
        <v>-1000</v>
      </c>
      <c r="T1193" s="234">
        <f t="shared" si="106"/>
        <v>-663999.99999996147</v>
      </c>
      <c r="U1193" s="15">
        <v>25</v>
      </c>
      <c r="V1193" s="8">
        <f t="shared" si="104"/>
        <v>-25</v>
      </c>
      <c r="W1193" s="233">
        <f t="shared" si="105"/>
        <v>-27441.5</v>
      </c>
    </row>
    <row r="1194" spans="1:2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 s="188">
        <v>1000</v>
      </c>
      <c r="S1194" s="8">
        <f t="shared" si="103"/>
        <v>-1000</v>
      </c>
      <c r="T1194" s="234">
        <f t="shared" si="106"/>
        <v>-664999.99999996147</v>
      </c>
      <c r="U1194" s="15">
        <v>25</v>
      </c>
      <c r="V1194" s="8">
        <f t="shared" si="104"/>
        <v>-25</v>
      </c>
      <c r="W1194" s="233">
        <f t="shared" si="105"/>
        <v>-27466.5</v>
      </c>
    </row>
    <row r="1195" spans="1:2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 s="188">
        <v>1000</v>
      </c>
      <c r="S1195" s="8">
        <f t="shared" si="103"/>
        <v>-1000</v>
      </c>
      <c r="T1195" s="234">
        <f t="shared" si="106"/>
        <v>-665999.99999996147</v>
      </c>
      <c r="U1195" s="15">
        <v>25</v>
      </c>
      <c r="V1195" s="8">
        <f t="shared" si="104"/>
        <v>-25</v>
      </c>
      <c r="W1195" s="233">
        <f t="shared" si="105"/>
        <v>-27491.5</v>
      </c>
    </row>
    <row r="1196" spans="1:2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 s="188">
        <v>1000</v>
      </c>
      <c r="S1196" s="8">
        <f t="shared" si="103"/>
        <v>-1000</v>
      </c>
      <c r="T1196" s="234">
        <f t="shared" si="106"/>
        <v>-666999.99999996147</v>
      </c>
      <c r="U1196" s="15">
        <v>25</v>
      </c>
      <c r="V1196" s="8">
        <f t="shared" si="104"/>
        <v>-25</v>
      </c>
      <c r="W1196" s="233">
        <f t="shared" si="105"/>
        <v>-27516.5</v>
      </c>
    </row>
    <row r="1197" spans="1:2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 s="188">
        <v>1000</v>
      </c>
      <c r="S1197" s="8">
        <f t="shared" si="103"/>
        <v>-1000</v>
      </c>
      <c r="T1197" s="234">
        <f t="shared" si="106"/>
        <v>-667999.99999996147</v>
      </c>
      <c r="U1197" s="15">
        <v>25</v>
      </c>
      <c r="V1197" s="8">
        <f t="shared" si="104"/>
        <v>-25</v>
      </c>
      <c r="W1197" s="233">
        <f t="shared" si="105"/>
        <v>-27541.5</v>
      </c>
    </row>
    <row r="1198" spans="1:2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 s="188">
        <v>1000</v>
      </c>
      <c r="S1198" s="8">
        <f t="shared" si="103"/>
        <v>-1000</v>
      </c>
      <c r="T1198" s="234">
        <f t="shared" si="106"/>
        <v>-668999.99999996147</v>
      </c>
      <c r="U1198" s="15">
        <v>25</v>
      </c>
      <c r="V1198" s="8">
        <f t="shared" si="104"/>
        <v>-25</v>
      </c>
      <c r="W1198" s="233">
        <f t="shared" si="105"/>
        <v>-27566.5</v>
      </c>
    </row>
    <row r="1199" spans="1:2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 s="188">
        <v>1000</v>
      </c>
      <c r="S1199" s="8">
        <f t="shared" si="103"/>
        <v>-1000</v>
      </c>
      <c r="T1199" s="234">
        <f t="shared" si="106"/>
        <v>-669999.99999996147</v>
      </c>
      <c r="U1199" s="15">
        <v>25</v>
      </c>
      <c r="V1199" s="8">
        <f t="shared" si="104"/>
        <v>-25</v>
      </c>
      <c r="W1199" s="233">
        <f t="shared" si="105"/>
        <v>-27591.5</v>
      </c>
    </row>
    <row r="1200" spans="1:2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 s="188">
        <v>1000</v>
      </c>
      <c r="S1200" s="8">
        <f t="shared" si="103"/>
        <v>-1000</v>
      </c>
      <c r="T1200" s="234">
        <f t="shared" si="106"/>
        <v>-670999.99999996147</v>
      </c>
      <c r="U1200" s="15">
        <v>25</v>
      </c>
      <c r="V1200" s="8">
        <f t="shared" si="104"/>
        <v>-25</v>
      </c>
      <c r="W1200" s="233">
        <f t="shared" si="105"/>
        <v>-27616.5</v>
      </c>
    </row>
    <row r="1201" spans="1:2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 s="188">
        <v>1000</v>
      </c>
      <c r="S1201" s="8">
        <f t="shared" si="103"/>
        <v>-1000</v>
      </c>
      <c r="T1201" s="234">
        <f t="shared" si="106"/>
        <v>-671999.99999996147</v>
      </c>
      <c r="U1201" s="15">
        <v>25</v>
      </c>
      <c r="V1201" s="8">
        <f t="shared" si="104"/>
        <v>-25</v>
      </c>
      <c r="W1201" s="233">
        <f t="shared" si="105"/>
        <v>-27641.5</v>
      </c>
    </row>
    <row r="1202" spans="1:2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 s="188">
        <v>1000</v>
      </c>
      <c r="S1202" s="8">
        <f t="shared" si="103"/>
        <v>-1000</v>
      </c>
      <c r="T1202" s="234">
        <f t="shared" si="106"/>
        <v>-672999.99999996147</v>
      </c>
      <c r="U1202" s="15">
        <v>25</v>
      </c>
      <c r="V1202" s="8">
        <f t="shared" si="104"/>
        <v>-25</v>
      </c>
      <c r="W1202" s="233">
        <f t="shared" si="105"/>
        <v>-27666.5</v>
      </c>
    </row>
    <row r="1203" spans="1:2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 s="188">
        <v>1000</v>
      </c>
      <c r="S1203" s="8">
        <f t="shared" si="103"/>
        <v>-1000</v>
      </c>
      <c r="T1203" s="234">
        <f t="shared" si="106"/>
        <v>-673999.99999996147</v>
      </c>
      <c r="U1203" s="15">
        <v>25</v>
      </c>
      <c r="V1203" s="8">
        <f t="shared" si="104"/>
        <v>-25</v>
      </c>
      <c r="W1203" s="233">
        <f t="shared" si="105"/>
        <v>-27691.5</v>
      </c>
    </row>
    <row r="1204" spans="1:2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 s="188">
        <v>1000</v>
      </c>
      <c r="S1204" s="8">
        <f t="shared" si="103"/>
        <v>-1000</v>
      </c>
      <c r="T1204" s="234">
        <f t="shared" si="106"/>
        <v>-674999.99999996147</v>
      </c>
      <c r="U1204" s="15">
        <v>25</v>
      </c>
      <c r="V1204" s="8">
        <f t="shared" si="104"/>
        <v>-25</v>
      </c>
      <c r="W1204" s="233">
        <f t="shared" si="105"/>
        <v>-27716.5</v>
      </c>
    </row>
    <row r="1205" spans="1:2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 s="188">
        <v>1000</v>
      </c>
      <c r="S1205" s="8">
        <f t="shared" si="103"/>
        <v>-1000</v>
      </c>
      <c r="T1205" s="234">
        <f t="shared" si="106"/>
        <v>-675999.99999996147</v>
      </c>
      <c r="U1205" s="15">
        <v>25</v>
      </c>
      <c r="V1205" s="8">
        <f t="shared" si="104"/>
        <v>-25</v>
      </c>
      <c r="W1205" s="233">
        <f t="shared" si="105"/>
        <v>-27741.5</v>
      </c>
    </row>
    <row r="1206" spans="1:2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 s="188">
        <v>1000</v>
      </c>
      <c r="S1206" s="8">
        <f t="shared" si="103"/>
        <v>-1000</v>
      </c>
      <c r="T1206" s="234">
        <f t="shared" si="106"/>
        <v>-676999.99999996147</v>
      </c>
      <c r="U1206" s="15">
        <v>25</v>
      </c>
      <c r="V1206" s="8">
        <f t="shared" si="104"/>
        <v>-25</v>
      </c>
      <c r="W1206" s="233">
        <f t="shared" si="105"/>
        <v>-27766.5</v>
      </c>
    </row>
    <row r="1207" spans="1:2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 s="188">
        <v>1000</v>
      </c>
      <c r="S1207" s="8">
        <f t="shared" si="103"/>
        <v>-1000</v>
      </c>
      <c r="T1207" s="234">
        <f t="shared" si="106"/>
        <v>-677999.99999996147</v>
      </c>
      <c r="U1207" s="15">
        <v>25</v>
      </c>
      <c r="V1207" s="8">
        <f t="shared" si="104"/>
        <v>-25</v>
      </c>
      <c r="W1207" s="233">
        <f t="shared" si="105"/>
        <v>-27791.5</v>
      </c>
    </row>
    <row r="1208" spans="1:2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 s="188">
        <v>1000</v>
      </c>
      <c r="S1208" s="8">
        <f t="shared" si="103"/>
        <v>-1000</v>
      </c>
      <c r="T1208" s="234">
        <f t="shared" si="106"/>
        <v>-678999.99999996147</v>
      </c>
      <c r="U1208" s="15">
        <v>25</v>
      </c>
      <c r="V1208" s="8">
        <f t="shared" si="104"/>
        <v>-25</v>
      </c>
      <c r="W1208" s="233">
        <f t="shared" si="105"/>
        <v>-27816.5</v>
      </c>
    </row>
    <row r="1209" spans="1:2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 s="188">
        <v>1000</v>
      </c>
      <c r="S1209" s="8">
        <f t="shared" si="103"/>
        <v>-1000</v>
      </c>
      <c r="T1209" s="234">
        <f t="shared" si="106"/>
        <v>-679999.99999996147</v>
      </c>
      <c r="U1209" s="15">
        <v>25</v>
      </c>
      <c r="V1209" s="8">
        <f t="shared" si="104"/>
        <v>-25</v>
      </c>
      <c r="W1209" s="233">
        <f t="shared" si="105"/>
        <v>-27841.5</v>
      </c>
    </row>
    <row r="1210" spans="1:2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 s="188">
        <v>1000</v>
      </c>
      <c r="S1210" s="8">
        <f t="shared" si="103"/>
        <v>-1000</v>
      </c>
      <c r="T1210" s="234">
        <f t="shared" si="106"/>
        <v>-680999.99999996147</v>
      </c>
      <c r="U1210" s="15">
        <v>25</v>
      </c>
      <c r="V1210" s="8">
        <f t="shared" si="104"/>
        <v>-25</v>
      </c>
      <c r="W1210" s="233">
        <f t="shared" si="105"/>
        <v>-27866.5</v>
      </c>
    </row>
    <row r="1211" spans="1:2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 s="188">
        <v>1000</v>
      </c>
      <c r="S1211" s="8">
        <f t="shared" si="103"/>
        <v>-1000</v>
      </c>
      <c r="T1211" s="234">
        <f t="shared" si="106"/>
        <v>-681999.99999996147</v>
      </c>
      <c r="U1211" s="15">
        <v>25</v>
      </c>
      <c r="V1211" s="8">
        <f t="shared" si="104"/>
        <v>-25</v>
      </c>
      <c r="W1211" s="233">
        <f t="shared" si="105"/>
        <v>-27891.5</v>
      </c>
    </row>
    <row r="1212" spans="1:2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 s="188">
        <v>1000</v>
      </c>
      <c r="S1212" s="8">
        <f t="shared" si="103"/>
        <v>-1000</v>
      </c>
      <c r="T1212" s="234">
        <f t="shared" si="106"/>
        <v>-682999.99999996147</v>
      </c>
      <c r="U1212" s="15">
        <v>25</v>
      </c>
      <c r="V1212" s="8">
        <f t="shared" si="104"/>
        <v>-25</v>
      </c>
      <c r="W1212" s="233">
        <f t="shared" si="105"/>
        <v>-27916.5</v>
      </c>
    </row>
    <row r="1213" spans="1:2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 s="188">
        <v>1000</v>
      </c>
      <c r="S1213" s="8">
        <f t="shared" si="103"/>
        <v>-1000</v>
      </c>
      <c r="T1213" s="234">
        <f t="shared" si="106"/>
        <v>-683999.99999996147</v>
      </c>
      <c r="U1213" s="15">
        <v>25</v>
      </c>
      <c r="V1213" s="8">
        <f t="shared" si="104"/>
        <v>-25</v>
      </c>
      <c r="W1213" s="233">
        <f t="shared" si="105"/>
        <v>-27941.5</v>
      </c>
    </row>
    <row r="1214" spans="1:2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 s="188">
        <v>1000</v>
      </c>
      <c r="S1214" s="8">
        <f t="shared" si="103"/>
        <v>-1000</v>
      </c>
      <c r="T1214" s="234">
        <f t="shared" si="106"/>
        <v>-684999.99999996147</v>
      </c>
      <c r="U1214" s="15">
        <v>25</v>
      </c>
      <c r="V1214" s="8">
        <f t="shared" si="104"/>
        <v>-25</v>
      </c>
      <c r="W1214" s="233">
        <f t="shared" si="105"/>
        <v>-27966.5</v>
      </c>
    </row>
    <row r="1215" spans="1:2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 s="188">
        <v>1000</v>
      </c>
      <c r="S1215" s="8">
        <f t="shared" si="103"/>
        <v>-1000</v>
      </c>
      <c r="T1215" s="234">
        <f t="shared" si="106"/>
        <v>-685999.99999996147</v>
      </c>
      <c r="U1215" s="15">
        <v>25</v>
      </c>
      <c r="V1215" s="8">
        <f t="shared" si="104"/>
        <v>-25</v>
      </c>
      <c r="W1215" s="233">
        <f t="shared" si="105"/>
        <v>-27991.5</v>
      </c>
    </row>
    <row r="1216" spans="1:2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 s="188">
        <v>1000</v>
      </c>
      <c r="S1216" s="8">
        <f t="shared" si="103"/>
        <v>-1000</v>
      </c>
      <c r="T1216" s="234">
        <f t="shared" si="106"/>
        <v>-686999.99999996147</v>
      </c>
      <c r="U1216" s="15">
        <v>25</v>
      </c>
      <c r="V1216" s="8">
        <f t="shared" si="104"/>
        <v>-25</v>
      </c>
      <c r="W1216" s="233">
        <f t="shared" si="105"/>
        <v>-28016.5</v>
      </c>
    </row>
    <row r="1217" spans="1:2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 s="188">
        <v>1000</v>
      </c>
      <c r="S1217" s="8">
        <f t="shared" si="103"/>
        <v>-1000</v>
      </c>
      <c r="T1217" s="234">
        <f t="shared" si="106"/>
        <v>-687999.99999996147</v>
      </c>
      <c r="U1217" s="15">
        <v>25</v>
      </c>
      <c r="V1217" s="8">
        <f t="shared" si="104"/>
        <v>-25</v>
      </c>
      <c r="W1217" s="233">
        <f t="shared" si="105"/>
        <v>-28041.5</v>
      </c>
    </row>
    <row r="1218" spans="1:2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 s="188">
        <v>1000</v>
      </c>
      <c r="S1218" s="8">
        <f t="shared" si="103"/>
        <v>-1000</v>
      </c>
      <c r="T1218" s="234">
        <f t="shared" si="106"/>
        <v>-688999.99999996147</v>
      </c>
      <c r="U1218" s="15">
        <v>25</v>
      </c>
      <c r="V1218" s="8">
        <f t="shared" si="104"/>
        <v>-25</v>
      </c>
      <c r="W1218" s="233">
        <f t="shared" si="105"/>
        <v>-28066.5</v>
      </c>
    </row>
    <row r="1219" spans="1:2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 s="188">
        <v>1000</v>
      </c>
      <c r="S1219" s="8">
        <f t="shared" ref="S1219:S1282" si="107">IF(O1219="won",R1219*0.18,-R1219)</f>
        <v>-1000</v>
      </c>
      <c r="T1219" s="234">
        <f t="shared" si="106"/>
        <v>-689999.99999996147</v>
      </c>
      <c r="U1219" s="15">
        <v>25</v>
      </c>
      <c r="V1219" s="8">
        <f t="shared" ref="V1219:V1282" si="108">IF(O1219="won",U1219*0.18,-U1219)</f>
        <v>-25</v>
      </c>
      <c r="W1219" s="233">
        <f t="shared" ref="W1219:W1282" si="109">SUM(W1218,V1219)</f>
        <v>-28091.5</v>
      </c>
    </row>
    <row r="1220" spans="1:2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 s="188">
        <v>1000</v>
      </c>
      <c r="S1220" s="8">
        <f t="shared" si="107"/>
        <v>-1000</v>
      </c>
      <c r="T1220" s="234">
        <f t="shared" si="106"/>
        <v>-690999.99999996147</v>
      </c>
      <c r="U1220" s="15">
        <v>25</v>
      </c>
      <c r="V1220" s="8">
        <f t="shared" si="108"/>
        <v>-25</v>
      </c>
      <c r="W1220" s="233">
        <f t="shared" si="109"/>
        <v>-28116.5</v>
      </c>
    </row>
    <row r="1221" spans="1:2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 s="188">
        <v>1000</v>
      </c>
      <c r="S1221" s="8">
        <f t="shared" si="107"/>
        <v>-1000</v>
      </c>
      <c r="T1221" s="234">
        <f t="shared" si="106"/>
        <v>-691999.99999996147</v>
      </c>
      <c r="U1221" s="15">
        <v>25</v>
      </c>
      <c r="V1221" s="8">
        <f t="shared" si="108"/>
        <v>-25</v>
      </c>
      <c r="W1221" s="233">
        <f t="shared" si="109"/>
        <v>-28141.5</v>
      </c>
    </row>
    <row r="1222" spans="1:2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 s="188">
        <v>1000</v>
      </c>
      <c r="S1222" s="8">
        <f t="shared" si="107"/>
        <v>-1000</v>
      </c>
      <c r="T1222" s="234">
        <f t="shared" si="106"/>
        <v>-692999.99999996147</v>
      </c>
      <c r="U1222" s="15">
        <v>25</v>
      </c>
      <c r="V1222" s="8">
        <f t="shared" si="108"/>
        <v>-25</v>
      </c>
      <c r="W1222" s="233">
        <f t="shared" si="109"/>
        <v>-28166.5</v>
      </c>
    </row>
    <row r="1223" spans="1:2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 s="188">
        <v>1000</v>
      </c>
      <c r="S1223" s="8">
        <f t="shared" si="107"/>
        <v>-1000</v>
      </c>
      <c r="T1223" s="234">
        <f t="shared" si="106"/>
        <v>-693999.99999996147</v>
      </c>
      <c r="U1223" s="15">
        <v>25</v>
      </c>
      <c r="V1223" s="8">
        <f t="shared" si="108"/>
        <v>-25</v>
      </c>
      <c r="W1223" s="233">
        <f t="shared" si="109"/>
        <v>-28191.5</v>
      </c>
    </row>
    <row r="1224" spans="1:2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 s="188">
        <v>1000</v>
      </c>
      <c r="S1224" s="8">
        <f t="shared" si="107"/>
        <v>-1000</v>
      </c>
      <c r="T1224" s="234">
        <f t="shared" si="106"/>
        <v>-694999.99999996147</v>
      </c>
      <c r="U1224" s="15">
        <v>25</v>
      </c>
      <c r="V1224" s="8">
        <f t="shared" si="108"/>
        <v>-25</v>
      </c>
      <c r="W1224" s="233">
        <f t="shared" si="109"/>
        <v>-28216.5</v>
      </c>
    </row>
    <row r="1225" spans="1:2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 s="188">
        <v>1000</v>
      </c>
      <c r="S1225" s="8">
        <f t="shared" si="107"/>
        <v>-1000</v>
      </c>
      <c r="T1225" s="234">
        <f t="shared" si="106"/>
        <v>-695999.99999996147</v>
      </c>
      <c r="U1225" s="15">
        <v>25</v>
      </c>
      <c r="V1225" s="8">
        <f t="shared" si="108"/>
        <v>-25</v>
      </c>
      <c r="W1225" s="233">
        <f t="shared" si="109"/>
        <v>-28241.5</v>
      </c>
    </row>
    <row r="1226" spans="1:2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 s="188">
        <v>1000</v>
      </c>
      <c r="S1226" s="8">
        <f t="shared" si="107"/>
        <v>-1000</v>
      </c>
      <c r="T1226" s="234">
        <f t="shared" ref="T1226:T1289" si="110">SUM(T1225,S1226)</f>
        <v>-696999.99999996147</v>
      </c>
      <c r="U1226" s="15">
        <v>25</v>
      </c>
      <c r="V1226" s="8">
        <f t="shared" si="108"/>
        <v>-25</v>
      </c>
      <c r="W1226" s="233">
        <f t="shared" si="109"/>
        <v>-28266.5</v>
      </c>
    </row>
    <row r="1227" spans="1:2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 s="188">
        <v>1000</v>
      </c>
      <c r="S1227" s="8">
        <f t="shared" si="107"/>
        <v>-1000</v>
      </c>
      <c r="T1227" s="234">
        <f t="shared" si="110"/>
        <v>-697999.99999996147</v>
      </c>
      <c r="U1227" s="15">
        <v>25</v>
      </c>
      <c r="V1227" s="8">
        <f t="shared" si="108"/>
        <v>-25</v>
      </c>
      <c r="W1227" s="233">
        <f t="shared" si="109"/>
        <v>-28291.5</v>
      </c>
    </row>
    <row r="1228" spans="1:2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 s="188">
        <v>1000</v>
      </c>
      <c r="S1228" s="8">
        <f t="shared" si="107"/>
        <v>-1000</v>
      </c>
      <c r="T1228" s="234">
        <f t="shared" si="110"/>
        <v>-698999.99999996147</v>
      </c>
      <c r="U1228" s="15">
        <v>25</v>
      </c>
      <c r="V1228" s="8">
        <f t="shared" si="108"/>
        <v>-25</v>
      </c>
      <c r="W1228" s="233">
        <f t="shared" si="109"/>
        <v>-28316.5</v>
      </c>
    </row>
    <row r="1229" spans="1:2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 s="188">
        <v>1000</v>
      </c>
      <c r="S1229" s="8">
        <f t="shared" si="107"/>
        <v>-1000</v>
      </c>
      <c r="T1229" s="234">
        <f t="shared" si="110"/>
        <v>-699999.99999996147</v>
      </c>
      <c r="U1229" s="15">
        <v>25</v>
      </c>
      <c r="V1229" s="8">
        <f t="shared" si="108"/>
        <v>-25</v>
      </c>
      <c r="W1229" s="233">
        <f t="shared" si="109"/>
        <v>-28341.5</v>
      </c>
    </row>
    <row r="1230" spans="1:2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 s="188">
        <v>1000</v>
      </c>
      <c r="S1230" s="8">
        <f t="shared" si="107"/>
        <v>-1000</v>
      </c>
      <c r="T1230" s="234">
        <f t="shared" si="110"/>
        <v>-700999.99999996147</v>
      </c>
      <c r="U1230" s="15">
        <v>25</v>
      </c>
      <c r="V1230" s="8">
        <f t="shared" si="108"/>
        <v>-25</v>
      </c>
      <c r="W1230" s="233">
        <f t="shared" si="109"/>
        <v>-28366.5</v>
      </c>
    </row>
    <row r="1231" spans="1:2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 s="188">
        <v>1000</v>
      </c>
      <c r="S1231" s="8">
        <f t="shared" si="107"/>
        <v>-1000</v>
      </c>
      <c r="T1231" s="234">
        <f t="shared" si="110"/>
        <v>-701999.99999996147</v>
      </c>
      <c r="U1231" s="15">
        <v>25</v>
      </c>
      <c r="V1231" s="8">
        <f t="shared" si="108"/>
        <v>-25</v>
      </c>
      <c r="W1231" s="233">
        <f t="shared" si="109"/>
        <v>-28391.5</v>
      </c>
    </row>
    <row r="1232" spans="1:2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 s="188">
        <v>1000</v>
      </c>
      <c r="S1232" s="8">
        <f t="shared" si="107"/>
        <v>-1000</v>
      </c>
      <c r="T1232" s="234">
        <f t="shared" si="110"/>
        <v>-702999.99999996147</v>
      </c>
      <c r="U1232" s="15">
        <v>25</v>
      </c>
      <c r="V1232" s="8">
        <f t="shared" si="108"/>
        <v>-25</v>
      </c>
      <c r="W1232" s="233">
        <f t="shared" si="109"/>
        <v>-28416.5</v>
      </c>
    </row>
    <row r="1233" spans="1:2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 s="188">
        <v>1000</v>
      </c>
      <c r="S1233" s="8">
        <f t="shared" si="107"/>
        <v>-1000</v>
      </c>
      <c r="T1233" s="234">
        <f t="shared" si="110"/>
        <v>-703999.99999996147</v>
      </c>
      <c r="U1233" s="15">
        <v>25</v>
      </c>
      <c r="V1233" s="8">
        <f t="shared" si="108"/>
        <v>-25</v>
      </c>
      <c r="W1233" s="233">
        <f t="shared" si="109"/>
        <v>-28441.5</v>
      </c>
    </row>
    <row r="1234" spans="1:2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 s="188">
        <v>1000</v>
      </c>
      <c r="S1234" s="8">
        <f t="shared" si="107"/>
        <v>-1000</v>
      </c>
      <c r="T1234" s="234">
        <f t="shared" si="110"/>
        <v>-704999.99999996147</v>
      </c>
      <c r="U1234" s="15">
        <v>25</v>
      </c>
      <c r="V1234" s="8">
        <f t="shared" si="108"/>
        <v>-25</v>
      </c>
      <c r="W1234" s="233">
        <f t="shared" si="109"/>
        <v>-28466.5</v>
      </c>
    </row>
    <row r="1235" spans="1:2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 s="188">
        <v>1000</v>
      </c>
      <c r="S1235" s="8">
        <f t="shared" si="107"/>
        <v>-1000</v>
      </c>
      <c r="T1235" s="234">
        <f t="shared" si="110"/>
        <v>-705999.99999996147</v>
      </c>
      <c r="U1235" s="15">
        <v>25</v>
      </c>
      <c r="V1235" s="8">
        <f t="shared" si="108"/>
        <v>-25</v>
      </c>
      <c r="W1235" s="233">
        <f t="shared" si="109"/>
        <v>-28491.5</v>
      </c>
    </row>
    <row r="1236" spans="1:2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 s="188">
        <v>1000</v>
      </c>
      <c r="S1236" s="8">
        <f t="shared" si="107"/>
        <v>-1000</v>
      </c>
      <c r="T1236" s="234">
        <f t="shared" si="110"/>
        <v>-706999.99999996147</v>
      </c>
      <c r="U1236" s="15">
        <v>25</v>
      </c>
      <c r="V1236" s="8">
        <f t="shared" si="108"/>
        <v>-25</v>
      </c>
      <c r="W1236" s="233">
        <f t="shared" si="109"/>
        <v>-28516.5</v>
      </c>
    </row>
    <row r="1237" spans="1:2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 s="188">
        <v>1000</v>
      </c>
      <c r="S1237" s="8">
        <f t="shared" si="107"/>
        <v>-1000</v>
      </c>
      <c r="T1237" s="234">
        <f t="shared" si="110"/>
        <v>-707999.99999996147</v>
      </c>
      <c r="U1237" s="15">
        <v>25</v>
      </c>
      <c r="V1237" s="8">
        <f t="shared" si="108"/>
        <v>-25</v>
      </c>
      <c r="W1237" s="233">
        <f t="shared" si="109"/>
        <v>-28541.5</v>
      </c>
    </row>
    <row r="1238" spans="1:2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 s="188">
        <v>1000</v>
      </c>
      <c r="S1238" s="8">
        <f t="shared" si="107"/>
        <v>-1000</v>
      </c>
      <c r="T1238" s="234">
        <f t="shared" si="110"/>
        <v>-708999.99999996147</v>
      </c>
      <c r="U1238" s="15">
        <v>25</v>
      </c>
      <c r="V1238" s="8">
        <f t="shared" si="108"/>
        <v>-25</v>
      </c>
      <c r="W1238" s="233">
        <f t="shared" si="109"/>
        <v>-28566.5</v>
      </c>
    </row>
    <row r="1239" spans="1:2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 s="188">
        <v>1000</v>
      </c>
      <c r="S1239" s="8">
        <f t="shared" si="107"/>
        <v>-1000</v>
      </c>
      <c r="T1239" s="234">
        <f t="shared" si="110"/>
        <v>-709999.99999996147</v>
      </c>
      <c r="U1239" s="15">
        <v>25</v>
      </c>
      <c r="V1239" s="8">
        <f t="shared" si="108"/>
        <v>-25</v>
      </c>
      <c r="W1239" s="233">
        <f t="shared" si="109"/>
        <v>-28591.5</v>
      </c>
    </row>
    <row r="1240" spans="1:2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 s="188">
        <v>1000</v>
      </c>
      <c r="S1240" s="8">
        <f t="shared" si="107"/>
        <v>-1000</v>
      </c>
      <c r="T1240" s="234">
        <f t="shared" si="110"/>
        <v>-710999.99999996147</v>
      </c>
      <c r="U1240" s="15">
        <v>25</v>
      </c>
      <c r="V1240" s="8">
        <f t="shared" si="108"/>
        <v>-25</v>
      </c>
      <c r="W1240" s="233">
        <f t="shared" si="109"/>
        <v>-28616.5</v>
      </c>
    </row>
    <row r="1241" spans="1:2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 s="188">
        <v>1000</v>
      </c>
      <c r="S1241" s="8">
        <f t="shared" si="107"/>
        <v>-1000</v>
      </c>
      <c r="T1241" s="234">
        <f t="shared" si="110"/>
        <v>-711999.99999996147</v>
      </c>
      <c r="U1241" s="15">
        <v>25</v>
      </c>
      <c r="V1241" s="8">
        <f t="shared" si="108"/>
        <v>-25</v>
      </c>
      <c r="W1241" s="233">
        <f t="shared" si="109"/>
        <v>-28641.5</v>
      </c>
    </row>
    <row r="1242" spans="1:2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 s="188">
        <v>1000</v>
      </c>
      <c r="S1242" s="8">
        <f t="shared" si="107"/>
        <v>-1000</v>
      </c>
      <c r="T1242" s="234">
        <f t="shared" si="110"/>
        <v>-712999.99999996147</v>
      </c>
      <c r="U1242" s="15">
        <v>25</v>
      </c>
      <c r="V1242" s="8">
        <f t="shared" si="108"/>
        <v>-25</v>
      </c>
      <c r="W1242" s="233">
        <f t="shared" si="109"/>
        <v>-28666.5</v>
      </c>
    </row>
    <row r="1243" spans="1:2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 s="188">
        <v>1000</v>
      </c>
      <c r="S1243" s="8">
        <f t="shared" si="107"/>
        <v>-1000</v>
      </c>
      <c r="T1243" s="234">
        <f t="shared" si="110"/>
        <v>-713999.99999996147</v>
      </c>
      <c r="U1243" s="15">
        <v>25</v>
      </c>
      <c r="V1243" s="8">
        <f t="shared" si="108"/>
        <v>-25</v>
      </c>
      <c r="W1243" s="233">
        <f t="shared" si="109"/>
        <v>-28691.5</v>
      </c>
    </row>
    <row r="1244" spans="1:2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 s="188">
        <v>1000</v>
      </c>
      <c r="S1244" s="8">
        <f t="shared" si="107"/>
        <v>-1000</v>
      </c>
      <c r="T1244" s="234">
        <f t="shared" si="110"/>
        <v>-714999.99999996147</v>
      </c>
      <c r="U1244" s="15">
        <v>25</v>
      </c>
      <c r="V1244" s="8">
        <f t="shared" si="108"/>
        <v>-25</v>
      </c>
      <c r="W1244" s="233">
        <f t="shared" si="109"/>
        <v>-28716.5</v>
      </c>
    </row>
    <row r="1245" spans="1:2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 s="188">
        <v>1000</v>
      </c>
      <c r="S1245" s="8">
        <f t="shared" si="107"/>
        <v>-1000</v>
      </c>
      <c r="T1245" s="234">
        <f t="shared" si="110"/>
        <v>-715999.99999996147</v>
      </c>
      <c r="U1245" s="15">
        <v>25</v>
      </c>
      <c r="V1245" s="8">
        <f t="shared" si="108"/>
        <v>-25</v>
      </c>
      <c r="W1245" s="233">
        <f t="shared" si="109"/>
        <v>-28741.5</v>
      </c>
    </row>
    <row r="1246" spans="1:2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 s="188">
        <v>1000</v>
      </c>
      <c r="S1246" s="8">
        <f t="shared" si="107"/>
        <v>-1000</v>
      </c>
      <c r="T1246" s="234">
        <f t="shared" si="110"/>
        <v>-716999.99999996147</v>
      </c>
      <c r="U1246" s="15">
        <v>25</v>
      </c>
      <c r="V1246" s="8">
        <f t="shared" si="108"/>
        <v>-25</v>
      </c>
      <c r="W1246" s="233">
        <f t="shared" si="109"/>
        <v>-28766.5</v>
      </c>
    </row>
    <row r="1247" spans="1:2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 s="188">
        <v>1000</v>
      </c>
      <c r="S1247" s="8">
        <f t="shared" si="107"/>
        <v>-1000</v>
      </c>
      <c r="T1247" s="234">
        <f t="shared" si="110"/>
        <v>-717999.99999996147</v>
      </c>
      <c r="U1247" s="15">
        <v>25</v>
      </c>
      <c r="V1247" s="8">
        <f t="shared" si="108"/>
        <v>-25</v>
      </c>
      <c r="W1247" s="233">
        <f t="shared" si="109"/>
        <v>-28791.5</v>
      </c>
    </row>
    <row r="1248" spans="1:2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 s="188">
        <v>1000</v>
      </c>
      <c r="S1248" s="8">
        <f t="shared" si="107"/>
        <v>-1000</v>
      </c>
      <c r="T1248" s="234">
        <f t="shared" si="110"/>
        <v>-718999.99999996147</v>
      </c>
      <c r="U1248" s="15">
        <v>25</v>
      </c>
      <c r="V1248" s="8">
        <f t="shared" si="108"/>
        <v>-25</v>
      </c>
      <c r="W1248" s="233">
        <f t="shared" si="109"/>
        <v>-28816.5</v>
      </c>
    </row>
    <row r="1249" spans="1:2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 s="188">
        <v>1000</v>
      </c>
      <c r="S1249" s="8">
        <f t="shared" si="107"/>
        <v>-1000</v>
      </c>
      <c r="T1249" s="234">
        <f t="shared" si="110"/>
        <v>-719999.99999996147</v>
      </c>
      <c r="U1249" s="15">
        <v>25</v>
      </c>
      <c r="V1249" s="8">
        <f t="shared" si="108"/>
        <v>-25</v>
      </c>
      <c r="W1249" s="233">
        <f t="shared" si="109"/>
        <v>-28841.5</v>
      </c>
    </row>
    <row r="1250" spans="1:2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 s="188">
        <v>1000</v>
      </c>
      <c r="S1250" s="8">
        <f t="shared" si="107"/>
        <v>-1000</v>
      </c>
      <c r="T1250" s="234">
        <f t="shared" si="110"/>
        <v>-720999.99999996147</v>
      </c>
      <c r="U1250" s="15">
        <v>25</v>
      </c>
      <c r="V1250" s="8">
        <f t="shared" si="108"/>
        <v>-25</v>
      </c>
      <c r="W1250" s="233">
        <f t="shared" si="109"/>
        <v>-28866.5</v>
      </c>
    </row>
    <row r="1251" spans="1:2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 s="188">
        <v>1000</v>
      </c>
      <c r="S1251" s="8">
        <f t="shared" si="107"/>
        <v>-1000</v>
      </c>
      <c r="T1251" s="234">
        <f t="shared" si="110"/>
        <v>-721999.99999996147</v>
      </c>
      <c r="U1251" s="15">
        <v>25</v>
      </c>
      <c r="V1251" s="8">
        <f t="shared" si="108"/>
        <v>-25</v>
      </c>
      <c r="W1251" s="233">
        <f t="shared" si="109"/>
        <v>-28891.5</v>
      </c>
    </row>
    <row r="1252" spans="1:2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 s="188">
        <v>1000</v>
      </c>
      <c r="S1252" s="8">
        <f t="shared" si="107"/>
        <v>-1000</v>
      </c>
      <c r="T1252" s="234">
        <f t="shared" si="110"/>
        <v>-722999.99999996147</v>
      </c>
      <c r="U1252" s="15">
        <v>25</v>
      </c>
      <c r="V1252" s="8">
        <f t="shared" si="108"/>
        <v>-25</v>
      </c>
      <c r="W1252" s="233">
        <f t="shared" si="109"/>
        <v>-28916.5</v>
      </c>
    </row>
    <row r="1253" spans="1:2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 s="188">
        <v>1000</v>
      </c>
      <c r="S1253" s="8">
        <f t="shared" si="107"/>
        <v>-1000</v>
      </c>
      <c r="T1253" s="234">
        <f t="shared" si="110"/>
        <v>-723999.99999996147</v>
      </c>
      <c r="U1253" s="15">
        <v>25</v>
      </c>
      <c r="V1253" s="8">
        <f t="shared" si="108"/>
        <v>-25</v>
      </c>
      <c r="W1253" s="233">
        <f t="shared" si="109"/>
        <v>-28941.5</v>
      </c>
    </row>
    <row r="1254" spans="1:2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 s="188">
        <v>1000</v>
      </c>
      <c r="S1254" s="8">
        <f t="shared" si="107"/>
        <v>-1000</v>
      </c>
      <c r="T1254" s="234">
        <f t="shared" si="110"/>
        <v>-724999.99999996147</v>
      </c>
      <c r="U1254" s="15">
        <v>25</v>
      </c>
      <c r="V1254" s="8">
        <f t="shared" si="108"/>
        <v>-25</v>
      </c>
      <c r="W1254" s="233">
        <f t="shared" si="109"/>
        <v>-28966.5</v>
      </c>
    </row>
    <row r="1255" spans="1:2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 s="188">
        <v>1000</v>
      </c>
      <c r="S1255" s="8">
        <f t="shared" si="107"/>
        <v>-1000</v>
      </c>
      <c r="T1255" s="234">
        <f t="shared" si="110"/>
        <v>-725999.99999996147</v>
      </c>
      <c r="U1255" s="15">
        <v>25</v>
      </c>
      <c r="V1255" s="8">
        <f t="shared" si="108"/>
        <v>-25</v>
      </c>
      <c r="W1255" s="233">
        <f t="shared" si="109"/>
        <v>-28991.5</v>
      </c>
    </row>
    <row r="1256" spans="1:2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 s="188">
        <v>1000</v>
      </c>
      <c r="S1256" s="8">
        <f t="shared" si="107"/>
        <v>-1000</v>
      </c>
      <c r="T1256" s="234">
        <f t="shared" si="110"/>
        <v>-726999.99999996147</v>
      </c>
      <c r="U1256" s="15">
        <v>25</v>
      </c>
      <c r="V1256" s="8">
        <f t="shared" si="108"/>
        <v>-25</v>
      </c>
      <c r="W1256" s="233">
        <f t="shared" si="109"/>
        <v>-29016.5</v>
      </c>
    </row>
    <row r="1257" spans="1:2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 s="188">
        <v>1000</v>
      </c>
      <c r="S1257" s="8">
        <f t="shared" si="107"/>
        <v>-1000</v>
      </c>
      <c r="T1257" s="234">
        <f t="shared" si="110"/>
        <v>-727999.99999996147</v>
      </c>
      <c r="U1257" s="15">
        <v>25</v>
      </c>
      <c r="V1257" s="8">
        <f t="shared" si="108"/>
        <v>-25</v>
      </c>
      <c r="W1257" s="233">
        <f t="shared" si="109"/>
        <v>-29041.5</v>
      </c>
    </row>
    <row r="1258" spans="1:2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 s="188">
        <v>1000</v>
      </c>
      <c r="S1258" s="8">
        <f t="shared" si="107"/>
        <v>-1000</v>
      </c>
      <c r="T1258" s="234">
        <f t="shared" si="110"/>
        <v>-728999.99999996147</v>
      </c>
      <c r="U1258" s="15">
        <v>25</v>
      </c>
      <c r="V1258" s="8">
        <f t="shared" si="108"/>
        <v>-25</v>
      </c>
      <c r="W1258" s="233">
        <f t="shared" si="109"/>
        <v>-29066.5</v>
      </c>
    </row>
    <row r="1259" spans="1:2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 s="188">
        <v>1000</v>
      </c>
      <c r="S1259" s="8">
        <f t="shared" si="107"/>
        <v>-1000</v>
      </c>
      <c r="T1259" s="234">
        <f t="shared" si="110"/>
        <v>-729999.99999996147</v>
      </c>
      <c r="U1259" s="15">
        <v>25</v>
      </c>
      <c r="V1259" s="8">
        <f t="shared" si="108"/>
        <v>-25</v>
      </c>
      <c r="W1259" s="233">
        <f t="shared" si="109"/>
        <v>-29091.5</v>
      </c>
    </row>
    <row r="1260" spans="1:2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 s="188">
        <v>1000</v>
      </c>
      <c r="S1260" s="8">
        <f t="shared" si="107"/>
        <v>-1000</v>
      </c>
      <c r="T1260" s="234">
        <f t="shared" si="110"/>
        <v>-730999.99999996147</v>
      </c>
      <c r="U1260" s="15">
        <v>25</v>
      </c>
      <c r="V1260" s="8">
        <f t="shared" si="108"/>
        <v>-25</v>
      </c>
      <c r="W1260" s="233">
        <f t="shared" si="109"/>
        <v>-29116.5</v>
      </c>
    </row>
    <row r="1261" spans="1:2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 s="188">
        <v>1000</v>
      </c>
      <c r="S1261" s="8">
        <f t="shared" si="107"/>
        <v>-1000</v>
      </c>
      <c r="T1261" s="234">
        <f t="shared" si="110"/>
        <v>-731999.99999996147</v>
      </c>
      <c r="U1261" s="15">
        <v>25</v>
      </c>
      <c r="V1261" s="8">
        <f t="shared" si="108"/>
        <v>-25</v>
      </c>
      <c r="W1261" s="233">
        <f t="shared" si="109"/>
        <v>-29141.5</v>
      </c>
    </row>
    <row r="1262" spans="1:2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 s="188">
        <v>1000</v>
      </c>
      <c r="S1262" s="8">
        <f t="shared" si="107"/>
        <v>-1000</v>
      </c>
      <c r="T1262" s="234">
        <f t="shared" si="110"/>
        <v>-732999.99999996147</v>
      </c>
      <c r="U1262" s="15">
        <v>25</v>
      </c>
      <c r="V1262" s="8">
        <f t="shared" si="108"/>
        <v>-25</v>
      </c>
      <c r="W1262" s="233">
        <f t="shared" si="109"/>
        <v>-29166.5</v>
      </c>
    </row>
    <row r="1263" spans="1:2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 s="188">
        <v>1000</v>
      </c>
      <c r="S1263" s="8">
        <f t="shared" si="107"/>
        <v>-1000</v>
      </c>
      <c r="T1263" s="234">
        <f t="shared" si="110"/>
        <v>-733999.99999996147</v>
      </c>
      <c r="U1263" s="15">
        <v>25</v>
      </c>
      <c r="V1263" s="8">
        <f t="shared" si="108"/>
        <v>-25</v>
      </c>
      <c r="W1263" s="233">
        <f t="shared" si="109"/>
        <v>-29191.5</v>
      </c>
    </row>
    <row r="1264" spans="1:2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 s="188">
        <v>1000</v>
      </c>
      <c r="S1264" s="8">
        <f t="shared" si="107"/>
        <v>-1000</v>
      </c>
      <c r="T1264" s="234">
        <f t="shared" si="110"/>
        <v>-734999.99999996147</v>
      </c>
      <c r="U1264" s="15">
        <v>25</v>
      </c>
      <c r="V1264" s="8">
        <f t="shared" si="108"/>
        <v>-25</v>
      </c>
      <c r="W1264" s="233">
        <f t="shared" si="109"/>
        <v>-29216.5</v>
      </c>
    </row>
    <row r="1265" spans="1:2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 s="188">
        <v>1000</v>
      </c>
      <c r="S1265" s="8">
        <f t="shared" si="107"/>
        <v>-1000</v>
      </c>
      <c r="T1265" s="234">
        <f t="shared" si="110"/>
        <v>-735999.99999996147</v>
      </c>
      <c r="U1265" s="15">
        <v>25</v>
      </c>
      <c r="V1265" s="8">
        <f t="shared" si="108"/>
        <v>-25</v>
      </c>
      <c r="W1265" s="233">
        <f t="shared" si="109"/>
        <v>-29241.5</v>
      </c>
    </row>
    <row r="1266" spans="1:2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 s="188">
        <v>1000</v>
      </c>
      <c r="S1266" s="8">
        <f t="shared" si="107"/>
        <v>-1000</v>
      </c>
      <c r="T1266" s="234">
        <f t="shared" si="110"/>
        <v>-736999.99999996147</v>
      </c>
      <c r="U1266" s="15">
        <v>25</v>
      </c>
      <c r="V1266" s="8">
        <f t="shared" si="108"/>
        <v>-25</v>
      </c>
      <c r="W1266" s="233">
        <f t="shared" si="109"/>
        <v>-29266.5</v>
      </c>
    </row>
    <row r="1267" spans="1:2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 s="188">
        <v>1000</v>
      </c>
      <c r="S1267" s="8">
        <f t="shared" si="107"/>
        <v>-1000</v>
      </c>
      <c r="T1267" s="234">
        <f t="shared" si="110"/>
        <v>-737999.99999996147</v>
      </c>
      <c r="U1267" s="15">
        <v>25</v>
      </c>
      <c r="V1267" s="8">
        <f t="shared" si="108"/>
        <v>-25</v>
      </c>
      <c r="W1267" s="233">
        <f t="shared" si="109"/>
        <v>-29291.5</v>
      </c>
    </row>
    <row r="1268" spans="1:2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 s="188">
        <v>1000</v>
      </c>
      <c r="S1268" s="8">
        <f t="shared" si="107"/>
        <v>-1000</v>
      </c>
      <c r="T1268" s="234">
        <f t="shared" si="110"/>
        <v>-738999.99999996147</v>
      </c>
      <c r="U1268" s="15">
        <v>25</v>
      </c>
      <c r="V1268" s="8">
        <f t="shared" si="108"/>
        <v>-25</v>
      </c>
      <c r="W1268" s="233">
        <f t="shared" si="109"/>
        <v>-29316.5</v>
      </c>
    </row>
    <row r="1269" spans="1:2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 s="188">
        <v>1000</v>
      </c>
      <c r="S1269" s="8">
        <f t="shared" si="107"/>
        <v>-1000</v>
      </c>
      <c r="T1269" s="234">
        <f t="shared" si="110"/>
        <v>-739999.99999996147</v>
      </c>
      <c r="U1269" s="15">
        <v>25</v>
      </c>
      <c r="V1269" s="8">
        <f t="shared" si="108"/>
        <v>-25</v>
      </c>
      <c r="W1269" s="233">
        <f t="shared" si="109"/>
        <v>-29341.5</v>
      </c>
    </row>
    <row r="1270" spans="1:2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 s="188">
        <v>1000</v>
      </c>
      <c r="S1270" s="8">
        <f t="shared" si="107"/>
        <v>-1000</v>
      </c>
      <c r="T1270" s="234">
        <f t="shared" si="110"/>
        <v>-740999.99999996147</v>
      </c>
      <c r="U1270" s="15">
        <v>25</v>
      </c>
      <c r="V1270" s="8">
        <f t="shared" si="108"/>
        <v>-25</v>
      </c>
      <c r="W1270" s="233">
        <f t="shared" si="109"/>
        <v>-29366.5</v>
      </c>
    </row>
    <row r="1271" spans="1:2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 s="188">
        <v>1000</v>
      </c>
      <c r="S1271" s="8">
        <f t="shared" si="107"/>
        <v>-1000</v>
      </c>
      <c r="T1271" s="234">
        <f t="shared" si="110"/>
        <v>-741999.99999996147</v>
      </c>
      <c r="U1271" s="15">
        <v>25</v>
      </c>
      <c r="V1271" s="8">
        <f t="shared" si="108"/>
        <v>-25</v>
      </c>
      <c r="W1271" s="233">
        <f t="shared" si="109"/>
        <v>-29391.5</v>
      </c>
    </row>
    <row r="1272" spans="1:2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 s="188">
        <v>1000</v>
      </c>
      <c r="S1272" s="8">
        <f t="shared" si="107"/>
        <v>-1000</v>
      </c>
      <c r="T1272" s="234">
        <f t="shared" si="110"/>
        <v>-742999.99999996147</v>
      </c>
      <c r="U1272" s="15">
        <v>25</v>
      </c>
      <c r="V1272" s="8">
        <f t="shared" si="108"/>
        <v>-25</v>
      </c>
      <c r="W1272" s="233">
        <f t="shared" si="109"/>
        <v>-29416.5</v>
      </c>
    </row>
    <row r="1273" spans="1:2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 s="188">
        <v>1000</v>
      </c>
      <c r="S1273" s="8">
        <f t="shared" si="107"/>
        <v>-1000</v>
      </c>
      <c r="T1273" s="234">
        <f t="shared" si="110"/>
        <v>-743999.99999996147</v>
      </c>
      <c r="U1273" s="15">
        <v>25</v>
      </c>
      <c r="V1273" s="8">
        <f t="shared" si="108"/>
        <v>-25</v>
      </c>
      <c r="W1273" s="233">
        <f t="shared" si="109"/>
        <v>-29441.5</v>
      </c>
    </row>
    <row r="1274" spans="1:2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 s="188">
        <v>1000</v>
      </c>
      <c r="S1274" s="8">
        <f t="shared" si="107"/>
        <v>-1000</v>
      </c>
      <c r="T1274" s="234">
        <f t="shared" si="110"/>
        <v>-744999.99999996147</v>
      </c>
      <c r="U1274" s="15">
        <v>25</v>
      </c>
      <c r="V1274" s="8">
        <f t="shared" si="108"/>
        <v>-25</v>
      </c>
      <c r="W1274" s="233">
        <f t="shared" si="109"/>
        <v>-29466.5</v>
      </c>
    </row>
    <row r="1275" spans="1:2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 s="188">
        <v>1000</v>
      </c>
      <c r="S1275" s="8">
        <f t="shared" si="107"/>
        <v>-1000</v>
      </c>
      <c r="T1275" s="234">
        <f t="shared" si="110"/>
        <v>-745999.99999996147</v>
      </c>
      <c r="U1275" s="15">
        <v>25</v>
      </c>
      <c r="V1275" s="8">
        <f t="shared" si="108"/>
        <v>-25</v>
      </c>
      <c r="W1275" s="233">
        <f t="shared" si="109"/>
        <v>-29491.5</v>
      </c>
    </row>
    <row r="1276" spans="1:2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 s="188">
        <v>1000</v>
      </c>
      <c r="S1276" s="8">
        <f t="shared" si="107"/>
        <v>-1000</v>
      </c>
      <c r="T1276" s="234">
        <f t="shared" si="110"/>
        <v>-746999.99999996147</v>
      </c>
      <c r="U1276" s="15">
        <v>25</v>
      </c>
      <c r="V1276" s="8">
        <f t="shared" si="108"/>
        <v>-25</v>
      </c>
      <c r="W1276" s="233">
        <f t="shared" si="109"/>
        <v>-29516.5</v>
      </c>
    </row>
    <row r="1277" spans="1:2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 s="188">
        <v>1000</v>
      </c>
      <c r="S1277" s="8">
        <f t="shared" si="107"/>
        <v>-1000</v>
      </c>
      <c r="T1277" s="234">
        <f t="shared" si="110"/>
        <v>-747999.99999996147</v>
      </c>
      <c r="U1277" s="15">
        <v>25</v>
      </c>
      <c r="V1277" s="8">
        <f t="shared" si="108"/>
        <v>-25</v>
      </c>
      <c r="W1277" s="233">
        <f t="shared" si="109"/>
        <v>-29541.5</v>
      </c>
    </row>
    <row r="1278" spans="1:2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 s="188">
        <v>1000</v>
      </c>
      <c r="S1278" s="8">
        <f t="shared" si="107"/>
        <v>-1000</v>
      </c>
      <c r="T1278" s="234">
        <f t="shared" si="110"/>
        <v>-748999.99999996147</v>
      </c>
      <c r="U1278" s="15">
        <v>25</v>
      </c>
      <c r="V1278" s="8">
        <f t="shared" si="108"/>
        <v>-25</v>
      </c>
      <c r="W1278" s="233">
        <f t="shared" si="109"/>
        <v>-29566.5</v>
      </c>
    </row>
    <row r="1279" spans="1:2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 s="188">
        <v>1000</v>
      </c>
      <c r="S1279" s="8">
        <f t="shared" si="107"/>
        <v>-1000</v>
      </c>
      <c r="T1279" s="234">
        <f t="shared" si="110"/>
        <v>-749999.99999996147</v>
      </c>
      <c r="U1279" s="15">
        <v>25</v>
      </c>
      <c r="V1279" s="8">
        <f t="shared" si="108"/>
        <v>-25</v>
      </c>
      <c r="W1279" s="233">
        <f t="shared" si="109"/>
        <v>-29591.5</v>
      </c>
    </row>
    <row r="1280" spans="1:2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 s="188">
        <v>1000</v>
      </c>
      <c r="S1280" s="8">
        <f t="shared" si="107"/>
        <v>-1000</v>
      </c>
      <c r="T1280" s="234">
        <f t="shared" si="110"/>
        <v>-750999.99999996147</v>
      </c>
      <c r="U1280" s="15">
        <v>25</v>
      </c>
      <c r="V1280" s="8">
        <f t="shared" si="108"/>
        <v>-25</v>
      </c>
      <c r="W1280" s="233">
        <f t="shared" si="109"/>
        <v>-29616.5</v>
      </c>
    </row>
    <row r="1281" spans="1:2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 s="188">
        <v>1000</v>
      </c>
      <c r="S1281" s="8">
        <f t="shared" si="107"/>
        <v>-1000</v>
      </c>
      <c r="T1281" s="234">
        <f t="shared" si="110"/>
        <v>-751999.99999996147</v>
      </c>
      <c r="U1281" s="15">
        <v>25</v>
      </c>
      <c r="V1281" s="8">
        <f t="shared" si="108"/>
        <v>-25</v>
      </c>
      <c r="W1281" s="233">
        <f t="shared" si="109"/>
        <v>-29641.5</v>
      </c>
    </row>
    <row r="1282" spans="1:2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 s="188">
        <v>1000</v>
      </c>
      <c r="S1282" s="8">
        <f t="shared" si="107"/>
        <v>-1000</v>
      </c>
      <c r="T1282" s="234">
        <f t="shared" si="110"/>
        <v>-752999.99999996147</v>
      </c>
      <c r="U1282" s="15">
        <v>25</v>
      </c>
      <c r="V1282" s="8">
        <f t="shared" si="108"/>
        <v>-25</v>
      </c>
      <c r="W1282" s="233">
        <f t="shared" si="109"/>
        <v>-29666.5</v>
      </c>
    </row>
    <row r="1283" spans="1:2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 s="188">
        <v>1000</v>
      </c>
      <c r="S1283" s="8">
        <f t="shared" ref="S1283:S1346" si="111">IF(O1283="won",R1283*0.18,-R1283)</f>
        <v>-1000</v>
      </c>
      <c r="T1283" s="234">
        <f t="shared" si="110"/>
        <v>-753999.99999996147</v>
      </c>
      <c r="U1283" s="15">
        <v>25</v>
      </c>
      <c r="V1283" s="8">
        <f t="shared" ref="V1283:V1346" si="112">IF(O1283="won",U1283*0.18,-U1283)</f>
        <v>-25</v>
      </c>
      <c r="W1283" s="233">
        <f t="shared" ref="W1283:W1346" si="113">SUM(W1282,V1283)</f>
        <v>-29691.5</v>
      </c>
    </row>
    <row r="1284" spans="1:2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 s="188">
        <v>1000</v>
      </c>
      <c r="S1284" s="8">
        <f t="shared" si="111"/>
        <v>-1000</v>
      </c>
      <c r="T1284" s="234">
        <f t="shared" si="110"/>
        <v>-754999.99999996147</v>
      </c>
      <c r="U1284" s="15">
        <v>25</v>
      </c>
      <c r="V1284" s="8">
        <f t="shared" si="112"/>
        <v>-25</v>
      </c>
      <c r="W1284" s="233">
        <f t="shared" si="113"/>
        <v>-29716.5</v>
      </c>
    </row>
    <row r="1285" spans="1:2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 s="188">
        <v>1000</v>
      </c>
      <c r="S1285" s="8">
        <f t="shared" si="111"/>
        <v>-1000</v>
      </c>
      <c r="T1285" s="234">
        <f t="shared" si="110"/>
        <v>-755999.99999996147</v>
      </c>
      <c r="U1285" s="15">
        <v>25</v>
      </c>
      <c r="V1285" s="8">
        <f t="shared" si="112"/>
        <v>-25</v>
      </c>
      <c r="W1285" s="233">
        <f t="shared" si="113"/>
        <v>-29741.5</v>
      </c>
    </row>
    <row r="1286" spans="1:2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 s="188">
        <v>1000</v>
      </c>
      <c r="S1286" s="8">
        <f t="shared" si="111"/>
        <v>-1000</v>
      </c>
      <c r="T1286" s="234">
        <f t="shared" si="110"/>
        <v>-756999.99999996147</v>
      </c>
      <c r="U1286" s="15">
        <v>25</v>
      </c>
      <c r="V1286" s="8">
        <f t="shared" si="112"/>
        <v>-25</v>
      </c>
      <c r="W1286" s="233">
        <f t="shared" si="113"/>
        <v>-29766.5</v>
      </c>
    </row>
    <row r="1287" spans="1:2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 s="188">
        <v>1000</v>
      </c>
      <c r="S1287" s="8">
        <f t="shared" si="111"/>
        <v>-1000</v>
      </c>
      <c r="T1287" s="234">
        <f t="shared" si="110"/>
        <v>-757999.99999996147</v>
      </c>
      <c r="U1287" s="15">
        <v>25</v>
      </c>
      <c r="V1287" s="8">
        <f t="shared" si="112"/>
        <v>-25</v>
      </c>
      <c r="W1287" s="233">
        <f t="shared" si="113"/>
        <v>-29791.5</v>
      </c>
    </row>
    <row r="1288" spans="1:2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 s="188">
        <v>1000</v>
      </c>
      <c r="S1288" s="8">
        <f t="shared" si="111"/>
        <v>-1000</v>
      </c>
      <c r="T1288" s="234">
        <f t="shared" si="110"/>
        <v>-758999.99999996147</v>
      </c>
      <c r="U1288" s="15">
        <v>25</v>
      </c>
      <c r="V1288" s="8">
        <f t="shared" si="112"/>
        <v>-25</v>
      </c>
      <c r="W1288" s="233">
        <f t="shared" si="113"/>
        <v>-29816.5</v>
      </c>
    </row>
    <row r="1289" spans="1:2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 s="188">
        <v>1000</v>
      </c>
      <c r="S1289" s="8">
        <f t="shared" si="111"/>
        <v>-1000</v>
      </c>
      <c r="T1289" s="234">
        <f t="shared" si="110"/>
        <v>-759999.99999996147</v>
      </c>
      <c r="U1289" s="15">
        <v>25</v>
      </c>
      <c r="V1289" s="8">
        <f t="shared" si="112"/>
        <v>-25</v>
      </c>
      <c r="W1289" s="233">
        <f t="shared" si="113"/>
        <v>-29841.5</v>
      </c>
    </row>
    <row r="1290" spans="1:2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 s="188">
        <v>1000</v>
      </c>
      <c r="S1290" s="8">
        <f t="shared" si="111"/>
        <v>-1000</v>
      </c>
      <c r="T1290" s="234">
        <f t="shared" ref="T1290:T1353" si="114">SUM(T1289,S1290)</f>
        <v>-760999.99999996147</v>
      </c>
      <c r="U1290" s="15">
        <v>25</v>
      </c>
      <c r="V1290" s="8">
        <f t="shared" si="112"/>
        <v>-25</v>
      </c>
      <c r="W1290" s="233">
        <f t="shared" si="113"/>
        <v>-29866.5</v>
      </c>
    </row>
    <row r="1291" spans="1:2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 s="188">
        <v>1000</v>
      </c>
      <c r="S1291" s="8">
        <f t="shared" si="111"/>
        <v>-1000</v>
      </c>
      <c r="T1291" s="234">
        <f t="shared" si="114"/>
        <v>-761999.99999996147</v>
      </c>
      <c r="U1291" s="15">
        <v>25</v>
      </c>
      <c r="V1291" s="8">
        <f t="shared" si="112"/>
        <v>-25</v>
      </c>
      <c r="W1291" s="233">
        <f t="shared" si="113"/>
        <v>-29891.5</v>
      </c>
    </row>
    <row r="1292" spans="1:2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 s="188">
        <v>1000</v>
      </c>
      <c r="S1292" s="8">
        <f t="shared" si="111"/>
        <v>-1000</v>
      </c>
      <c r="T1292" s="234">
        <f t="shared" si="114"/>
        <v>-762999.99999996147</v>
      </c>
      <c r="U1292" s="15">
        <v>25</v>
      </c>
      <c r="V1292" s="8">
        <f t="shared" si="112"/>
        <v>-25</v>
      </c>
      <c r="W1292" s="233">
        <f t="shared" si="113"/>
        <v>-29916.5</v>
      </c>
    </row>
    <row r="1293" spans="1:2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 s="188">
        <v>1000</v>
      </c>
      <c r="S1293" s="8">
        <f t="shared" si="111"/>
        <v>-1000</v>
      </c>
      <c r="T1293" s="234">
        <f t="shared" si="114"/>
        <v>-763999.99999996147</v>
      </c>
      <c r="U1293" s="15">
        <v>25</v>
      </c>
      <c r="V1293" s="8">
        <f t="shared" si="112"/>
        <v>-25</v>
      </c>
      <c r="W1293" s="233">
        <f t="shared" si="113"/>
        <v>-29941.5</v>
      </c>
    </row>
    <row r="1294" spans="1:2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 s="188">
        <v>1000</v>
      </c>
      <c r="S1294" s="8">
        <f t="shared" si="111"/>
        <v>-1000</v>
      </c>
      <c r="T1294" s="234">
        <f t="shared" si="114"/>
        <v>-764999.99999996147</v>
      </c>
      <c r="U1294" s="15">
        <v>25</v>
      </c>
      <c r="V1294" s="8">
        <f t="shared" si="112"/>
        <v>-25</v>
      </c>
      <c r="W1294" s="233">
        <f t="shared" si="113"/>
        <v>-29966.5</v>
      </c>
    </row>
    <row r="1295" spans="1:2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 s="188">
        <v>1000</v>
      </c>
      <c r="S1295" s="8">
        <f t="shared" si="111"/>
        <v>-1000</v>
      </c>
      <c r="T1295" s="234">
        <f t="shared" si="114"/>
        <v>-765999.99999996147</v>
      </c>
      <c r="U1295" s="15">
        <v>25</v>
      </c>
      <c r="V1295" s="8">
        <f t="shared" si="112"/>
        <v>-25</v>
      </c>
      <c r="W1295" s="233">
        <f t="shared" si="113"/>
        <v>-29991.5</v>
      </c>
    </row>
    <row r="1296" spans="1:2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 s="188">
        <v>1000</v>
      </c>
      <c r="S1296" s="8">
        <f t="shared" si="111"/>
        <v>-1000</v>
      </c>
      <c r="T1296" s="234">
        <f t="shared" si="114"/>
        <v>-766999.99999996147</v>
      </c>
      <c r="U1296" s="15">
        <v>25</v>
      </c>
      <c r="V1296" s="8">
        <f t="shared" si="112"/>
        <v>-25</v>
      </c>
      <c r="W1296" s="233">
        <f t="shared" si="113"/>
        <v>-30016.5</v>
      </c>
    </row>
    <row r="1297" spans="1:2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 s="188">
        <v>1000</v>
      </c>
      <c r="S1297" s="8">
        <f t="shared" si="111"/>
        <v>-1000</v>
      </c>
      <c r="T1297" s="234">
        <f t="shared" si="114"/>
        <v>-767999.99999996147</v>
      </c>
      <c r="U1297" s="15">
        <v>25</v>
      </c>
      <c r="V1297" s="8">
        <f t="shared" si="112"/>
        <v>-25</v>
      </c>
      <c r="W1297" s="233">
        <f t="shared" si="113"/>
        <v>-30041.5</v>
      </c>
    </row>
    <row r="1298" spans="1:2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 s="188">
        <v>1000</v>
      </c>
      <c r="S1298" s="8">
        <f t="shared" si="111"/>
        <v>-1000</v>
      </c>
      <c r="T1298" s="234">
        <f t="shared" si="114"/>
        <v>-768999.99999996147</v>
      </c>
      <c r="U1298" s="15">
        <v>25</v>
      </c>
      <c r="V1298" s="8">
        <f t="shared" si="112"/>
        <v>-25</v>
      </c>
      <c r="W1298" s="233">
        <f t="shared" si="113"/>
        <v>-30066.5</v>
      </c>
    </row>
    <row r="1299" spans="1:2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 s="188">
        <v>1000</v>
      </c>
      <c r="S1299" s="8">
        <f t="shared" si="111"/>
        <v>-1000</v>
      </c>
      <c r="T1299" s="234">
        <f t="shared" si="114"/>
        <v>-769999.99999996147</v>
      </c>
      <c r="U1299" s="15">
        <v>25</v>
      </c>
      <c r="V1299" s="8">
        <f t="shared" si="112"/>
        <v>-25</v>
      </c>
      <c r="W1299" s="233">
        <f t="shared" si="113"/>
        <v>-30091.5</v>
      </c>
    </row>
    <row r="1300" spans="1:2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 s="188">
        <v>1000</v>
      </c>
      <c r="S1300" s="8">
        <f t="shared" si="111"/>
        <v>-1000</v>
      </c>
      <c r="T1300" s="234">
        <f t="shared" si="114"/>
        <v>-770999.99999996147</v>
      </c>
      <c r="U1300" s="15">
        <v>25</v>
      </c>
      <c r="V1300" s="8">
        <f t="shared" si="112"/>
        <v>-25</v>
      </c>
      <c r="W1300" s="233">
        <f t="shared" si="113"/>
        <v>-30116.5</v>
      </c>
    </row>
    <row r="1301" spans="1:2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 s="188">
        <v>1000</v>
      </c>
      <c r="S1301" s="8">
        <f t="shared" si="111"/>
        <v>-1000</v>
      </c>
      <c r="T1301" s="234">
        <f t="shared" si="114"/>
        <v>-771999.99999996147</v>
      </c>
      <c r="U1301" s="15">
        <v>25</v>
      </c>
      <c r="V1301" s="8">
        <f t="shared" si="112"/>
        <v>-25</v>
      </c>
      <c r="W1301" s="233">
        <f t="shared" si="113"/>
        <v>-30141.5</v>
      </c>
    </row>
    <row r="1302" spans="1:2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 s="188">
        <v>1000</v>
      </c>
      <c r="S1302" s="8">
        <f t="shared" si="111"/>
        <v>-1000</v>
      </c>
      <c r="T1302" s="234">
        <f t="shared" si="114"/>
        <v>-772999.99999996147</v>
      </c>
      <c r="U1302" s="15">
        <v>25</v>
      </c>
      <c r="V1302" s="8">
        <f t="shared" si="112"/>
        <v>-25</v>
      </c>
      <c r="W1302" s="233">
        <f t="shared" si="113"/>
        <v>-30166.5</v>
      </c>
    </row>
    <row r="1303" spans="1:2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 s="188">
        <v>1000</v>
      </c>
      <c r="S1303" s="8">
        <f t="shared" si="111"/>
        <v>-1000</v>
      </c>
      <c r="T1303" s="234">
        <f t="shared" si="114"/>
        <v>-773999.99999996147</v>
      </c>
      <c r="U1303" s="15">
        <v>25</v>
      </c>
      <c r="V1303" s="8">
        <f t="shared" si="112"/>
        <v>-25</v>
      </c>
      <c r="W1303" s="233">
        <f t="shared" si="113"/>
        <v>-30191.5</v>
      </c>
    </row>
    <row r="1304" spans="1:2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 s="188">
        <v>1000</v>
      </c>
      <c r="S1304" s="8">
        <f t="shared" si="111"/>
        <v>-1000</v>
      </c>
      <c r="T1304" s="234">
        <f t="shared" si="114"/>
        <v>-774999.99999996147</v>
      </c>
      <c r="U1304" s="15">
        <v>25</v>
      </c>
      <c r="V1304" s="8">
        <f t="shared" si="112"/>
        <v>-25</v>
      </c>
      <c r="W1304" s="233">
        <f t="shared" si="113"/>
        <v>-30216.5</v>
      </c>
    </row>
    <row r="1305" spans="1:2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 s="188">
        <v>1000</v>
      </c>
      <c r="S1305" s="8">
        <f t="shared" si="111"/>
        <v>-1000</v>
      </c>
      <c r="T1305" s="234">
        <f t="shared" si="114"/>
        <v>-775999.99999996147</v>
      </c>
      <c r="U1305" s="15">
        <v>25</v>
      </c>
      <c r="V1305" s="8">
        <f t="shared" si="112"/>
        <v>-25</v>
      </c>
      <c r="W1305" s="233">
        <f t="shared" si="113"/>
        <v>-30241.5</v>
      </c>
    </row>
    <row r="1306" spans="1:2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 s="188">
        <v>1000</v>
      </c>
      <c r="S1306" s="8">
        <f t="shared" si="111"/>
        <v>-1000</v>
      </c>
      <c r="T1306" s="234">
        <f t="shared" si="114"/>
        <v>-776999.99999996147</v>
      </c>
      <c r="U1306" s="15">
        <v>25</v>
      </c>
      <c r="V1306" s="8">
        <f t="shared" si="112"/>
        <v>-25</v>
      </c>
      <c r="W1306" s="233">
        <f t="shared" si="113"/>
        <v>-30266.5</v>
      </c>
    </row>
    <row r="1307" spans="1:2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 s="188">
        <v>1000</v>
      </c>
      <c r="S1307" s="8">
        <f t="shared" si="111"/>
        <v>-1000</v>
      </c>
      <c r="T1307" s="234">
        <f t="shared" si="114"/>
        <v>-777999.99999996147</v>
      </c>
      <c r="U1307" s="15">
        <v>25</v>
      </c>
      <c r="V1307" s="8">
        <f t="shared" si="112"/>
        <v>-25</v>
      </c>
      <c r="W1307" s="233">
        <f t="shared" si="113"/>
        <v>-30291.5</v>
      </c>
    </row>
    <row r="1308" spans="1:2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 s="188">
        <v>1000</v>
      </c>
      <c r="S1308" s="8">
        <f t="shared" si="111"/>
        <v>-1000</v>
      </c>
      <c r="T1308" s="234">
        <f t="shared" si="114"/>
        <v>-778999.99999996147</v>
      </c>
      <c r="U1308" s="15">
        <v>25</v>
      </c>
      <c r="V1308" s="8">
        <f t="shared" si="112"/>
        <v>-25</v>
      </c>
      <c r="W1308" s="233">
        <f t="shared" si="113"/>
        <v>-30316.5</v>
      </c>
    </row>
    <row r="1309" spans="1:2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 s="188">
        <v>1000</v>
      </c>
      <c r="S1309" s="8">
        <f t="shared" si="111"/>
        <v>-1000</v>
      </c>
      <c r="T1309" s="234">
        <f t="shared" si="114"/>
        <v>-779999.99999996147</v>
      </c>
      <c r="U1309" s="15">
        <v>25</v>
      </c>
      <c r="V1309" s="8">
        <f t="shared" si="112"/>
        <v>-25</v>
      </c>
      <c r="W1309" s="233">
        <f t="shared" si="113"/>
        <v>-30341.5</v>
      </c>
    </row>
    <row r="1310" spans="1:2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 s="188">
        <v>1000</v>
      </c>
      <c r="S1310" s="8">
        <f t="shared" si="111"/>
        <v>-1000</v>
      </c>
      <c r="T1310" s="234">
        <f t="shared" si="114"/>
        <v>-780999.99999996147</v>
      </c>
      <c r="U1310" s="15">
        <v>25</v>
      </c>
      <c r="V1310" s="8">
        <f t="shared" si="112"/>
        <v>-25</v>
      </c>
      <c r="W1310" s="233">
        <f t="shared" si="113"/>
        <v>-30366.5</v>
      </c>
    </row>
    <row r="1311" spans="1:2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 s="188">
        <v>1000</v>
      </c>
      <c r="S1311" s="8">
        <f t="shared" si="111"/>
        <v>-1000</v>
      </c>
      <c r="T1311" s="234">
        <f t="shared" si="114"/>
        <v>-781999.99999996147</v>
      </c>
      <c r="U1311" s="15">
        <v>25</v>
      </c>
      <c r="V1311" s="8">
        <f t="shared" si="112"/>
        <v>-25</v>
      </c>
      <c r="W1311" s="233">
        <f t="shared" si="113"/>
        <v>-30391.5</v>
      </c>
    </row>
    <row r="1312" spans="1:2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 s="188">
        <v>1000</v>
      </c>
      <c r="S1312" s="8">
        <f t="shared" si="111"/>
        <v>-1000</v>
      </c>
      <c r="T1312" s="234">
        <f t="shared" si="114"/>
        <v>-782999.99999996147</v>
      </c>
      <c r="U1312" s="15">
        <v>25</v>
      </c>
      <c r="V1312" s="8">
        <f t="shared" si="112"/>
        <v>-25</v>
      </c>
      <c r="W1312" s="233">
        <f t="shared" si="113"/>
        <v>-30416.5</v>
      </c>
    </row>
    <row r="1313" spans="1:2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 s="188">
        <v>1000</v>
      </c>
      <c r="S1313" s="8">
        <f t="shared" si="111"/>
        <v>-1000</v>
      </c>
      <c r="T1313" s="234">
        <f t="shared" si="114"/>
        <v>-783999.99999996147</v>
      </c>
      <c r="U1313" s="15">
        <v>25</v>
      </c>
      <c r="V1313" s="8">
        <f t="shared" si="112"/>
        <v>-25</v>
      </c>
      <c r="W1313" s="233">
        <f t="shared" si="113"/>
        <v>-30441.5</v>
      </c>
    </row>
    <row r="1314" spans="1:2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 s="188">
        <v>1000</v>
      </c>
      <c r="S1314" s="8">
        <f t="shared" si="111"/>
        <v>-1000</v>
      </c>
      <c r="T1314" s="234">
        <f t="shared" si="114"/>
        <v>-784999.99999996147</v>
      </c>
      <c r="U1314" s="15">
        <v>25</v>
      </c>
      <c r="V1314" s="8">
        <f t="shared" si="112"/>
        <v>-25</v>
      </c>
      <c r="W1314" s="233">
        <f t="shared" si="113"/>
        <v>-30466.5</v>
      </c>
    </row>
    <row r="1315" spans="1:2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 s="188">
        <v>1000</v>
      </c>
      <c r="S1315" s="8">
        <f t="shared" si="111"/>
        <v>-1000</v>
      </c>
      <c r="T1315" s="234">
        <f t="shared" si="114"/>
        <v>-785999.99999996147</v>
      </c>
      <c r="U1315" s="15">
        <v>25</v>
      </c>
      <c r="V1315" s="8">
        <f t="shared" si="112"/>
        <v>-25</v>
      </c>
      <c r="W1315" s="233">
        <f t="shared" si="113"/>
        <v>-30491.5</v>
      </c>
    </row>
    <row r="1316" spans="1:2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 s="188">
        <v>1000</v>
      </c>
      <c r="S1316" s="8">
        <f t="shared" si="111"/>
        <v>-1000</v>
      </c>
      <c r="T1316" s="234">
        <f t="shared" si="114"/>
        <v>-786999.99999996147</v>
      </c>
      <c r="U1316" s="15">
        <v>25</v>
      </c>
      <c r="V1316" s="8">
        <f t="shared" si="112"/>
        <v>-25</v>
      </c>
      <c r="W1316" s="233">
        <f t="shared" si="113"/>
        <v>-30516.5</v>
      </c>
    </row>
    <row r="1317" spans="1:2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 s="188">
        <v>1000</v>
      </c>
      <c r="S1317" s="8">
        <f t="shared" si="111"/>
        <v>-1000</v>
      </c>
      <c r="T1317" s="234">
        <f t="shared" si="114"/>
        <v>-787999.99999996147</v>
      </c>
      <c r="U1317" s="15">
        <v>25</v>
      </c>
      <c r="V1317" s="8">
        <f t="shared" si="112"/>
        <v>-25</v>
      </c>
      <c r="W1317" s="233">
        <f t="shared" si="113"/>
        <v>-30541.5</v>
      </c>
    </row>
    <row r="1318" spans="1:2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 s="188">
        <v>1000</v>
      </c>
      <c r="S1318" s="8">
        <f t="shared" si="111"/>
        <v>-1000</v>
      </c>
      <c r="T1318" s="234">
        <f t="shared" si="114"/>
        <v>-788999.99999996147</v>
      </c>
      <c r="U1318" s="15">
        <v>25</v>
      </c>
      <c r="V1318" s="8">
        <f t="shared" si="112"/>
        <v>-25</v>
      </c>
      <c r="W1318" s="233">
        <f t="shared" si="113"/>
        <v>-30566.5</v>
      </c>
    </row>
    <row r="1319" spans="1:2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 s="188">
        <v>1000</v>
      </c>
      <c r="S1319" s="8">
        <f t="shared" si="111"/>
        <v>-1000</v>
      </c>
      <c r="T1319" s="234">
        <f t="shared" si="114"/>
        <v>-789999.99999996147</v>
      </c>
      <c r="U1319" s="15">
        <v>25</v>
      </c>
      <c r="V1319" s="8">
        <f t="shared" si="112"/>
        <v>-25</v>
      </c>
      <c r="W1319" s="233">
        <f t="shared" si="113"/>
        <v>-30591.5</v>
      </c>
    </row>
    <row r="1320" spans="1:2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 s="188">
        <v>1000</v>
      </c>
      <c r="S1320" s="8">
        <f t="shared" si="111"/>
        <v>-1000</v>
      </c>
      <c r="T1320" s="234">
        <f t="shared" si="114"/>
        <v>-790999.99999996147</v>
      </c>
      <c r="U1320" s="15">
        <v>25</v>
      </c>
      <c r="V1320" s="8">
        <f t="shared" si="112"/>
        <v>-25</v>
      </c>
      <c r="W1320" s="233">
        <f t="shared" si="113"/>
        <v>-30616.5</v>
      </c>
    </row>
    <row r="1321" spans="1:2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 s="188">
        <v>1000</v>
      </c>
      <c r="S1321" s="8">
        <f t="shared" si="111"/>
        <v>-1000</v>
      </c>
      <c r="T1321" s="234">
        <f t="shared" si="114"/>
        <v>-791999.99999996147</v>
      </c>
      <c r="U1321" s="15">
        <v>25</v>
      </c>
      <c r="V1321" s="8">
        <f t="shared" si="112"/>
        <v>-25</v>
      </c>
      <c r="W1321" s="233">
        <f t="shared" si="113"/>
        <v>-30641.5</v>
      </c>
    </row>
    <row r="1322" spans="1:2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 s="188">
        <v>1000</v>
      </c>
      <c r="S1322" s="8">
        <f t="shared" si="111"/>
        <v>-1000</v>
      </c>
      <c r="T1322" s="234">
        <f t="shared" si="114"/>
        <v>-792999.99999996147</v>
      </c>
      <c r="U1322" s="15">
        <v>25</v>
      </c>
      <c r="V1322" s="8">
        <f t="shared" si="112"/>
        <v>-25</v>
      </c>
      <c r="W1322" s="233">
        <f t="shared" si="113"/>
        <v>-30666.5</v>
      </c>
    </row>
    <row r="1323" spans="1:2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 s="188">
        <v>1000</v>
      </c>
      <c r="S1323" s="8">
        <f t="shared" si="111"/>
        <v>-1000</v>
      </c>
      <c r="T1323" s="234">
        <f t="shared" si="114"/>
        <v>-793999.99999996147</v>
      </c>
      <c r="U1323" s="15">
        <v>25</v>
      </c>
      <c r="V1323" s="8">
        <f t="shared" si="112"/>
        <v>-25</v>
      </c>
      <c r="W1323" s="233">
        <f t="shared" si="113"/>
        <v>-30691.5</v>
      </c>
    </row>
    <row r="1324" spans="1:2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 s="188">
        <v>1000</v>
      </c>
      <c r="S1324" s="8">
        <f t="shared" si="111"/>
        <v>-1000</v>
      </c>
      <c r="T1324" s="234">
        <f t="shared" si="114"/>
        <v>-794999.99999996147</v>
      </c>
      <c r="U1324" s="15">
        <v>25</v>
      </c>
      <c r="V1324" s="8">
        <f t="shared" si="112"/>
        <v>-25</v>
      </c>
      <c r="W1324" s="233">
        <f t="shared" si="113"/>
        <v>-30716.5</v>
      </c>
    </row>
    <row r="1325" spans="1:2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 s="188">
        <v>1000</v>
      </c>
      <c r="S1325" s="8">
        <f t="shared" si="111"/>
        <v>-1000</v>
      </c>
      <c r="T1325" s="234">
        <f t="shared" si="114"/>
        <v>-795999.99999996147</v>
      </c>
      <c r="U1325" s="15">
        <v>25</v>
      </c>
      <c r="V1325" s="8">
        <f t="shared" si="112"/>
        <v>-25</v>
      </c>
      <c r="W1325" s="233">
        <f t="shared" si="113"/>
        <v>-30741.5</v>
      </c>
    </row>
    <row r="1326" spans="1:2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 s="188">
        <v>1000</v>
      </c>
      <c r="S1326" s="8">
        <f t="shared" si="111"/>
        <v>-1000</v>
      </c>
      <c r="T1326" s="234">
        <f t="shared" si="114"/>
        <v>-796999.99999996147</v>
      </c>
      <c r="U1326" s="15">
        <v>25</v>
      </c>
      <c r="V1326" s="8">
        <f t="shared" si="112"/>
        <v>-25</v>
      </c>
      <c r="W1326" s="233">
        <f t="shared" si="113"/>
        <v>-30766.5</v>
      </c>
    </row>
    <row r="1327" spans="1:2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 s="188">
        <v>1000</v>
      </c>
      <c r="S1327" s="8">
        <f t="shared" si="111"/>
        <v>-1000</v>
      </c>
      <c r="T1327" s="234">
        <f t="shared" si="114"/>
        <v>-797999.99999996147</v>
      </c>
      <c r="U1327" s="15">
        <v>25</v>
      </c>
      <c r="V1327" s="8">
        <f t="shared" si="112"/>
        <v>-25</v>
      </c>
      <c r="W1327" s="233">
        <f t="shared" si="113"/>
        <v>-30791.5</v>
      </c>
    </row>
    <row r="1328" spans="1:2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 s="188">
        <v>1000</v>
      </c>
      <c r="S1328" s="8">
        <f t="shared" si="111"/>
        <v>-1000</v>
      </c>
      <c r="T1328" s="234">
        <f t="shared" si="114"/>
        <v>-798999.99999996147</v>
      </c>
      <c r="U1328" s="15">
        <v>25</v>
      </c>
      <c r="V1328" s="8">
        <f t="shared" si="112"/>
        <v>-25</v>
      </c>
      <c r="W1328" s="233">
        <f t="shared" si="113"/>
        <v>-30816.5</v>
      </c>
    </row>
    <row r="1329" spans="1:2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 s="188">
        <v>1000</v>
      </c>
      <c r="S1329" s="8">
        <f t="shared" si="111"/>
        <v>-1000</v>
      </c>
      <c r="T1329" s="234">
        <f t="shared" si="114"/>
        <v>-799999.99999996147</v>
      </c>
      <c r="U1329" s="15">
        <v>25</v>
      </c>
      <c r="V1329" s="8">
        <f t="shared" si="112"/>
        <v>-25</v>
      </c>
      <c r="W1329" s="233">
        <f t="shared" si="113"/>
        <v>-30841.5</v>
      </c>
    </row>
    <row r="1330" spans="1:2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 s="188">
        <v>1000</v>
      </c>
      <c r="S1330" s="8">
        <f t="shared" si="111"/>
        <v>-1000</v>
      </c>
      <c r="T1330" s="234">
        <f t="shared" si="114"/>
        <v>-800999.99999996147</v>
      </c>
      <c r="U1330" s="15">
        <v>25</v>
      </c>
      <c r="V1330" s="8">
        <f t="shared" si="112"/>
        <v>-25</v>
      </c>
      <c r="W1330" s="233">
        <f t="shared" si="113"/>
        <v>-30866.5</v>
      </c>
    </row>
    <row r="1331" spans="1:2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 s="188">
        <v>1000</v>
      </c>
      <c r="S1331" s="8">
        <f t="shared" si="111"/>
        <v>-1000</v>
      </c>
      <c r="T1331" s="234">
        <f t="shared" si="114"/>
        <v>-801999.99999996147</v>
      </c>
      <c r="U1331" s="15">
        <v>25</v>
      </c>
      <c r="V1331" s="8">
        <f t="shared" si="112"/>
        <v>-25</v>
      </c>
      <c r="W1331" s="233">
        <f t="shared" si="113"/>
        <v>-30891.5</v>
      </c>
    </row>
    <row r="1332" spans="1:2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 s="188">
        <v>1000</v>
      </c>
      <c r="S1332" s="8">
        <f t="shared" si="111"/>
        <v>-1000</v>
      </c>
      <c r="T1332" s="234">
        <f t="shared" si="114"/>
        <v>-802999.99999996147</v>
      </c>
      <c r="U1332" s="15">
        <v>25</v>
      </c>
      <c r="V1332" s="8">
        <f t="shared" si="112"/>
        <v>-25</v>
      </c>
      <c r="W1332" s="233">
        <f t="shared" si="113"/>
        <v>-30916.5</v>
      </c>
    </row>
    <row r="1333" spans="1:2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 s="188">
        <v>1000</v>
      </c>
      <c r="S1333" s="8">
        <f t="shared" si="111"/>
        <v>-1000</v>
      </c>
      <c r="T1333" s="234">
        <f t="shared" si="114"/>
        <v>-803999.99999996147</v>
      </c>
      <c r="U1333" s="15">
        <v>25</v>
      </c>
      <c r="V1333" s="8">
        <f t="shared" si="112"/>
        <v>-25</v>
      </c>
      <c r="W1333" s="233">
        <f t="shared" si="113"/>
        <v>-30941.5</v>
      </c>
    </row>
    <row r="1334" spans="1:2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 s="188">
        <v>1000</v>
      </c>
      <c r="S1334" s="8">
        <f t="shared" si="111"/>
        <v>-1000</v>
      </c>
      <c r="T1334" s="234">
        <f t="shared" si="114"/>
        <v>-804999.99999996147</v>
      </c>
      <c r="U1334" s="15">
        <v>25</v>
      </c>
      <c r="V1334" s="8">
        <f t="shared" si="112"/>
        <v>-25</v>
      </c>
      <c r="W1334" s="233">
        <f t="shared" si="113"/>
        <v>-30966.5</v>
      </c>
    </row>
    <row r="1335" spans="1:2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 s="188">
        <v>1000</v>
      </c>
      <c r="S1335" s="8">
        <f t="shared" si="111"/>
        <v>-1000</v>
      </c>
      <c r="T1335" s="234">
        <f t="shared" si="114"/>
        <v>-805999.99999996147</v>
      </c>
      <c r="U1335" s="15">
        <v>25</v>
      </c>
      <c r="V1335" s="8">
        <f t="shared" si="112"/>
        <v>-25</v>
      </c>
      <c r="W1335" s="233">
        <f t="shared" si="113"/>
        <v>-30991.5</v>
      </c>
    </row>
    <row r="1336" spans="1:2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 s="188">
        <v>1000</v>
      </c>
      <c r="S1336" s="8">
        <f t="shared" si="111"/>
        <v>-1000</v>
      </c>
      <c r="T1336" s="234">
        <f t="shared" si="114"/>
        <v>-806999.99999996147</v>
      </c>
      <c r="U1336" s="15">
        <v>25</v>
      </c>
      <c r="V1336" s="8">
        <f t="shared" si="112"/>
        <v>-25</v>
      </c>
      <c r="W1336" s="233">
        <f t="shared" si="113"/>
        <v>-31016.5</v>
      </c>
    </row>
    <row r="1337" spans="1:2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 s="188">
        <v>1000</v>
      </c>
      <c r="S1337" s="8">
        <f t="shared" si="111"/>
        <v>-1000</v>
      </c>
      <c r="T1337" s="234">
        <f t="shared" si="114"/>
        <v>-807999.99999996147</v>
      </c>
      <c r="U1337" s="15">
        <v>25</v>
      </c>
      <c r="V1337" s="8">
        <f t="shared" si="112"/>
        <v>-25</v>
      </c>
      <c r="W1337" s="233">
        <f t="shared" si="113"/>
        <v>-31041.5</v>
      </c>
    </row>
    <row r="1338" spans="1:2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 s="188">
        <v>1000</v>
      </c>
      <c r="S1338" s="8">
        <f t="shared" si="111"/>
        <v>-1000</v>
      </c>
      <c r="T1338" s="234">
        <f t="shared" si="114"/>
        <v>-808999.99999996147</v>
      </c>
      <c r="U1338" s="15">
        <v>25</v>
      </c>
      <c r="V1338" s="8">
        <f t="shared" si="112"/>
        <v>-25</v>
      </c>
      <c r="W1338" s="233">
        <f t="shared" si="113"/>
        <v>-31066.5</v>
      </c>
    </row>
    <row r="1339" spans="1:2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 s="188">
        <v>1000</v>
      </c>
      <c r="S1339" s="8">
        <f t="shared" si="111"/>
        <v>-1000</v>
      </c>
      <c r="T1339" s="234">
        <f t="shared" si="114"/>
        <v>-809999.99999996147</v>
      </c>
      <c r="U1339" s="15">
        <v>25</v>
      </c>
      <c r="V1339" s="8">
        <f t="shared" si="112"/>
        <v>-25</v>
      </c>
      <c r="W1339" s="233">
        <f t="shared" si="113"/>
        <v>-31091.5</v>
      </c>
    </row>
    <row r="1340" spans="1:2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 s="188">
        <v>1000</v>
      </c>
      <c r="S1340" s="8">
        <f t="shared" si="111"/>
        <v>-1000</v>
      </c>
      <c r="T1340" s="234">
        <f t="shared" si="114"/>
        <v>-810999.99999996147</v>
      </c>
      <c r="U1340" s="15">
        <v>25</v>
      </c>
      <c r="V1340" s="8">
        <f t="shared" si="112"/>
        <v>-25</v>
      </c>
      <c r="W1340" s="233">
        <f t="shared" si="113"/>
        <v>-31116.5</v>
      </c>
    </row>
    <row r="1341" spans="1:2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 s="188">
        <v>1000</v>
      </c>
      <c r="S1341" s="8">
        <f t="shared" si="111"/>
        <v>-1000</v>
      </c>
      <c r="T1341" s="234">
        <f t="shared" si="114"/>
        <v>-811999.99999996147</v>
      </c>
      <c r="U1341" s="15">
        <v>25</v>
      </c>
      <c r="V1341" s="8">
        <f t="shared" si="112"/>
        <v>-25</v>
      </c>
      <c r="W1341" s="233">
        <f t="shared" si="113"/>
        <v>-31141.5</v>
      </c>
    </row>
    <row r="1342" spans="1:2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 s="188">
        <v>1000</v>
      </c>
      <c r="S1342" s="8">
        <f t="shared" si="111"/>
        <v>-1000</v>
      </c>
      <c r="T1342" s="234">
        <f t="shared" si="114"/>
        <v>-812999.99999996147</v>
      </c>
      <c r="U1342" s="15">
        <v>25</v>
      </c>
      <c r="V1342" s="8">
        <f t="shared" si="112"/>
        <v>-25</v>
      </c>
      <c r="W1342" s="233">
        <f t="shared" si="113"/>
        <v>-31166.5</v>
      </c>
    </row>
    <row r="1343" spans="1:2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 s="188">
        <v>1000</v>
      </c>
      <c r="S1343" s="8">
        <f t="shared" si="111"/>
        <v>-1000</v>
      </c>
      <c r="T1343" s="234">
        <f t="shared" si="114"/>
        <v>-813999.99999996147</v>
      </c>
      <c r="U1343" s="15">
        <v>25</v>
      </c>
      <c r="V1343" s="8">
        <f t="shared" si="112"/>
        <v>-25</v>
      </c>
      <c r="W1343" s="233">
        <f t="shared" si="113"/>
        <v>-31191.5</v>
      </c>
    </row>
    <row r="1344" spans="1:2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 s="188">
        <v>1000</v>
      </c>
      <c r="S1344" s="8">
        <f t="shared" si="111"/>
        <v>-1000</v>
      </c>
      <c r="T1344" s="234">
        <f t="shared" si="114"/>
        <v>-814999.99999996147</v>
      </c>
      <c r="U1344" s="15">
        <v>25</v>
      </c>
      <c r="V1344" s="8">
        <f t="shared" si="112"/>
        <v>-25</v>
      </c>
      <c r="W1344" s="233">
        <f t="shared" si="113"/>
        <v>-31216.5</v>
      </c>
    </row>
    <row r="1345" spans="1:2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 s="188">
        <v>1000</v>
      </c>
      <c r="S1345" s="8">
        <f t="shared" si="111"/>
        <v>-1000</v>
      </c>
      <c r="T1345" s="234">
        <f t="shared" si="114"/>
        <v>-815999.99999996147</v>
      </c>
      <c r="U1345" s="15">
        <v>25</v>
      </c>
      <c r="V1345" s="8">
        <f t="shared" si="112"/>
        <v>-25</v>
      </c>
      <c r="W1345" s="233">
        <f t="shared" si="113"/>
        <v>-31241.5</v>
      </c>
    </row>
    <row r="1346" spans="1:2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 s="188">
        <v>1000</v>
      </c>
      <c r="S1346" s="8">
        <f t="shared" si="111"/>
        <v>-1000</v>
      </c>
      <c r="T1346" s="234">
        <f t="shared" si="114"/>
        <v>-816999.99999996147</v>
      </c>
      <c r="U1346" s="15">
        <v>25</v>
      </c>
      <c r="V1346" s="8">
        <f t="shared" si="112"/>
        <v>-25</v>
      </c>
      <c r="W1346" s="233">
        <f t="shared" si="113"/>
        <v>-31266.5</v>
      </c>
    </row>
    <row r="1347" spans="1:2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 s="188">
        <v>1000</v>
      </c>
      <c r="S1347" s="8">
        <f t="shared" ref="S1347:S1410" si="115">IF(O1347="won",R1347*0.18,-R1347)</f>
        <v>-1000</v>
      </c>
      <c r="T1347" s="234">
        <f t="shared" si="114"/>
        <v>-817999.99999996147</v>
      </c>
      <c r="U1347" s="15">
        <v>25</v>
      </c>
      <c r="V1347" s="8">
        <f t="shared" ref="V1347:V1410" si="116">IF(O1347="won",U1347*0.18,-U1347)</f>
        <v>-25</v>
      </c>
      <c r="W1347" s="233">
        <f t="shared" ref="W1347:W1410" si="117">SUM(W1346,V1347)</f>
        <v>-31291.5</v>
      </c>
    </row>
    <row r="1348" spans="1:2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 s="188">
        <v>1000</v>
      </c>
      <c r="S1348" s="8">
        <f t="shared" si="115"/>
        <v>-1000</v>
      </c>
      <c r="T1348" s="234">
        <f t="shared" si="114"/>
        <v>-818999.99999996147</v>
      </c>
      <c r="U1348" s="15">
        <v>25</v>
      </c>
      <c r="V1348" s="8">
        <f t="shared" si="116"/>
        <v>-25</v>
      </c>
      <c r="W1348" s="233">
        <f t="shared" si="117"/>
        <v>-31316.5</v>
      </c>
    </row>
    <row r="1349" spans="1:2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 s="188">
        <v>1000</v>
      </c>
      <c r="S1349" s="8">
        <f t="shared" si="115"/>
        <v>-1000</v>
      </c>
      <c r="T1349" s="234">
        <f t="shared" si="114"/>
        <v>-819999.99999996147</v>
      </c>
      <c r="U1349" s="15">
        <v>25</v>
      </c>
      <c r="V1349" s="8">
        <f t="shared" si="116"/>
        <v>-25</v>
      </c>
      <c r="W1349" s="233">
        <f t="shared" si="117"/>
        <v>-31341.5</v>
      </c>
    </row>
    <row r="1350" spans="1:2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 s="188">
        <v>1000</v>
      </c>
      <c r="S1350" s="8">
        <f t="shared" si="115"/>
        <v>-1000</v>
      </c>
      <c r="T1350" s="234">
        <f t="shared" si="114"/>
        <v>-820999.99999996147</v>
      </c>
      <c r="U1350" s="15">
        <v>25</v>
      </c>
      <c r="V1350" s="8">
        <f t="shared" si="116"/>
        <v>-25</v>
      </c>
      <c r="W1350" s="233">
        <f t="shared" si="117"/>
        <v>-31366.5</v>
      </c>
    </row>
    <row r="1351" spans="1:2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 s="188">
        <v>1000</v>
      </c>
      <c r="S1351" s="8">
        <f t="shared" si="115"/>
        <v>-1000</v>
      </c>
      <c r="T1351" s="234">
        <f t="shared" si="114"/>
        <v>-821999.99999996147</v>
      </c>
      <c r="U1351" s="15">
        <v>25</v>
      </c>
      <c r="V1351" s="8">
        <f t="shared" si="116"/>
        <v>-25</v>
      </c>
      <c r="W1351" s="233">
        <f t="shared" si="117"/>
        <v>-31391.5</v>
      </c>
    </row>
    <row r="1352" spans="1:2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 s="188">
        <v>1000</v>
      </c>
      <c r="S1352" s="8">
        <f t="shared" si="115"/>
        <v>-1000</v>
      </c>
      <c r="T1352" s="234">
        <f t="shared" si="114"/>
        <v>-822999.99999996147</v>
      </c>
      <c r="U1352" s="15">
        <v>25</v>
      </c>
      <c r="V1352" s="8">
        <f t="shared" si="116"/>
        <v>-25</v>
      </c>
      <c r="W1352" s="233">
        <f t="shared" si="117"/>
        <v>-31416.5</v>
      </c>
    </row>
    <row r="1353" spans="1:2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 s="188">
        <v>1000</v>
      </c>
      <c r="S1353" s="8">
        <f t="shared" si="115"/>
        <v>-1000</v>
      </c>
      <c r="T1353" s="234">
        <f t="shared" si="114"/>
        <v>-823999.99999996147</v>
      </c>
      <c r="U1353" s="15">
        <v>25</v>
      </c>
      <c r="V1353" s="8">
        <f t="shared" si="116"/>
        <v>-25</v>
      </c>
      <c r="W1353" s="233">
        <f t="shared" si="117"/>
        <v>-31441.5</v>
      </c>
    </row>
    <row r="1354" spans="1:2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 s="188">
        <v>1000</v>
      </c>
      <c r="S1354" s="8">
        <f t="shared" si="115"/>
        <v>-1000</v>
      </c>
      <c r="T1354" s="234">
        <f t="shared" ref="T1354:T1417" si="118">SUM(T1353,S1354)</f>
        <v>-824999.99999996147</v>
      </c>
      <c r="U1354" s="15">
        <v>25</v>
      </c>
      <c r="V1354" s="8">
        <f t="shared" si="116"/>
        <v>-25</v>
      </c>
      <c r="W1354" s="233">
        <f t="shared" si="117"/>
        <v>-31466.5</v>
      </c>
    </row>
    <row r="1355" spans="1:2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 s="188">
        <v>1000</v>
      </c>
      <c r="S1355" s="8">
        <f t="shared" si="115"/>
        <v>-1000</v>
      </c>
      <c r="T1355" s="234">
        <f t="shared" si="118"/>
        <v>-825999.99999996147</v>
      </c>
      <c r="U1355" s="15">
        <v>25</v>
      </c>
      <c r="V1355" s="8">
        <f t="shared" si="116"/>
        <v>-25</v>
      </c>
      <c r="W1355" s="233">
        <f t="shared" si="117"/>
        <v>-31491.5</v>
      </c>
    </row>
    <row r="1356" spans="1:2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 s="188">
        <v>1000</v>
      </c>
      <c r="S1356" s="8">
        <f t="shared" si="115"/>
        <v>-1000</v>
      </c>
      <c r="T1356" s="234">
        <f t="shared" si="118"/>
        <v>-826999.99999996147</v>
      </c>
      <c r="U1356" s="15">
        <v>25</v>
      </c>
      <c r="V1356" s="8">
        <f t="shared" si="116"/>
        <v>-25</v>
      </c>
      <c r="W1356" s="233">
        <f t="shared" si="117"/>
        <v>-31516.5</v>
      </c>
    </row>
    <row r="1357" spans="1:2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 s="188">
        <v>1000</v>
      </c>
      <c r="S1357" s="8">
        <f t="shared" si="115"/>
        <v>-1000</v>
      </c>
      <c r="T1357" s="234">
        <f t="shared" si="118"/>
        <v>-827999.99999996147</v>
      </c>
      <c r="U1357" s="15">
        <v>25</v>
      </c>
      <c r="V1357" s="8">
        <f t="shared" si="116"/>
        <v>-25</v>
      </c>
      <c r="W1357" s="233">
        <f t="shared" si="117"/>
        <v>-31541.5</v>
      </c>
    </row>
    <row r="1358" spans="1:2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 s="188">
        <v>1000</v>
      </c>
      <c r="S1358" s="8">
        <f t="shared" si="115"/>
        <v>-1000</v>
      </c>
      <c r="T1358" s="234">
        <f t="shared" si="118"/>
        <v>-828999.99999996147</v>
      </c>
      <c r="U1358" s="15">
        <v>25</v>
      </c>
      <c r="V1358" s="8">
        <f t="shared" si="116"/>
        <v>-25</v>
      </c>
      <c r="W1358" s="233">
        <f t="shared" si="117"/>
        <v>-31566.5</v>
      </c>
    </row>
    <row r="1359" spans="1:2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 s="188">
        <v>1000</v>
      </c>
      <c r="S1359" s="8">
        <f t="shared" si="115"/>
        <v>-1000</v>
      </c>
      <c r="T1359" s="234">
        <f t="shared" si="118"/>
        <v>-829999.99999996147</v>
      </c>
      <c r="U1359" s="15">
        <v>25</v>
      </c>
      <c r="V1359" s="8">
        <f t="shared" si="116"/>
        <v>-25</v>
      </c>
      <c r="W1359" s="233">
        <f t="shared" si="117"/>
        <v>-31591.5</v>
      </c>
    </row>
    <row r="1360" spans="1:2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 s="188">
        <v>1000</v>
      </c>
      <c r="S1360" s="8">
        <f t="shared" si="115"/>
        <v>-1000</v>
      </c>
      <c r="T1360" s="234">
        <f t="shared" si="118"/>
        <v>-830999.99999996147</v>
      </c>
      <c r="U1360" s="15">
        <v>25</v>
      </c>
      <c r="V1360" s="8">
        <f t="shared" si="116"/>
        <v>-25</v>
      </c>
      <c r="W1360" s="233">
        <f t="shared" si="117"/>
        <v>-31616.5</v>
      </c>
    </row>
    <row r="1361" spans="1:28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 s="188">
        <v>1000</v>
      </c>
      <c r="S1361" s="8">
        <f t="shared" si="115"/>
        <v>-1000</v>
      </c>
      <c r="T1361" s="234">
        <f t="shared" si="118"/>
        <v>-831999.99999996147</v>
      </c>
      <c r="U1361" s="15">
        <v>25</v>
      </c>
      <c r="V1361" s="8">
        <f t="shared" si="116"/>
        <v>-25</v>
      </c>
      <c r="W1361" s="233">
        <f t="shared" si="117"/>
        <v>-31641.5</v>
      </c>
    </row>
    <row r="1362" spans="1:28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 s="188">
        <v>1000</v>
      </c>
      <c r="S1362" s="8">
        <f t="shared" si="115"/>
        <v>-1000</v>
      </c>
      <c r="T1362" s="234">
        <f t="shared" si="118"/>
        <v>-832999.99999996147</v>
      </c>
      <c r="U1362" s="15">
        <v>25</v>
      </c>
      <c r="V1362" s="8">
        <f t="shared" si="116"/>
        <v>-25</v>
      </c>
      <c r="W1362" s="233">
        <f t="shared" si="117"/>
        <v>-31666.5</v>
      </c>
    </row>
    <row r="1363" spans="1:28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 s="188">
        <v>1000</v>
      </c>
      <c r="S1363" s="8">
        <f t="shared" si="115"/>
        <v>-1000</v>
      </c>
      <c r="T1363" s="234">
        <f t="shared" si="118"/>
        <v>-833999.99999996147</v>
      </c>
      <c r="U1363" s="15">
        <v>25</v>
      </c>
      <c r="V1363" s="8">
        <f t="shared" si="116"/>
        <v>-25</v>
      </c>
      <c r="W1363" s="233">
        <f t="shared" si="117"/>
        <v>-31691.5</v>
      </c>
    </row>
    <row r="1364" spans="1:28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 s="188">
        <v>1000</v>
      </c>
      <c r="S1364" s="8">
        <f t="shared" si="115"/>
        <v>-1000</v>
      </c>
      <c r="T1364" s="234">
        <f t="shared" si="118"/>
        <v>-834999.99999996147</v>
      </c>
      <c r="U1364" s="15">
        <v>25</v>
      </c>
      <c r="V1364" s="8">
        <f t="shared" si="116"/>
        <v>-25</v>
      </c>
      <c r="W1364" s="233">
        <f t="shared" si="117"/>
        <v>-31716.5</v>
      </c>
    </row>
    <row r="1365" spans="1:28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 s="188">
        <v>1000</v>
      </c>
      <c r="S1365" s="8">
        <f t="shared" si="115"/>
        <v>-1000</v>
      </c>
      <c r="T1365" s="234">
        <f t="shared" si="118"/>
        <v>-835999.99999996147</v>
      </c>
      <c r="U1365" s="15">
        <v>25</v>
      </c>
      <c r="V1365" s="8">
        <f t="shared" si="116"/>
        <v>-25</v>
      </c>
      <c r="W1365" s="233">
        <f t="shared" si="117"/>
        <v>-31741.5</v>
      </c>
    </row>
    <row r="1366" spans="1:28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 s="188">
        <v>1000</v>
      </c>
      <c r="S1366" s="8">
        <f t="shared" si="115"/>
        <v>-1000</v>
      </c>
      <c r="T1366" s="234">
        <f t="shared" si="118"/>
        <v>-836999.99999996147</v>
      </c>
      <c r="U1366" s="15">
        <v>25</v>
      </c>
      <c r="V1366" s="8">
        <f t="shared" si="116"/>
        <v>-25</v>
      </c>
      <c r="W1366" s="233">
        <f t="shared" si="117"/>
        <v>-31766.5</v>
      </c>
    </row>
    <row r="1367" spans="1:28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 s="188">
        <v>1000</v>
      </c>
      <c r="S1367" s="8">
        <f t="shared" si="115"/>
        <v>-1000</v>
      </c>
      <c r="T1367" s="234">
        <f t="shared" si="118"/>
        <v>-837999.99999996147</v>
      </c>
      <c r="U1367" s="15">
        <v>25</v>
      </c>
      <c r="V1367" s="8">
        <f t="shared" si="116"/>
        <v>-25</v>
      </c>
      <c r="W1367" s="233">
        <f t="shared" si="117"/>
        <v>-31791.5</v>
      </c>
    </row>
    <row r="1368" spans="1:28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 s="188">
        <v>1000</v>
      </c>
      <c r="S1368" s="8">
        <f t="shared" si="115"/>
        <v>-1000</v>
      </c>
      <c r="T1368" s="234">
        <f t="shared" si="118"/>
        <v>-838999.99999996147</v>
      </c>
      <c r="U1368" s="15">
        <v>25</v>
      </c>
      <c r="V1368" s="8">
        <f t="shared" si="116"/>
        <v>-25</v>
      </c>
      <c r="W1368" s="233">
        <f t="shared" si="117"/>
        <v>-31816.5</v>
      </c>
    </row>
    <row r="1369" spans="1:28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 s="188">
        <v>1000</v>
      </c>
      <c r="S1369" s="8">
        <f t="shared" si="115"/>
        <v>-1000</v>
      </c>
      <c r="T1369" s="234">
        <f t="shared" si="118"/>
        <v>-839999.99999996147</v>
      </c>
      <c r="U1369" s="15">
        <v>25</v>
      </c>
      <c r="V1369" s="8">
        <f t="shared" si="116"/>
        <v>-25</v>
      </c>
      <c r="W1369" s="233">
        <f t="shared" si="117"/>
        <v>-31841.5</v>
      </c>
    </row>
    <row r="1370" spans="1:28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 s="188">
        <v>1000</v>
      </c>
      <c r="S1370" s="8">
        <f t="shared" si="115"/>
        <v>-1000</v>
      </c>
      <c r="T1370" s="234">
        <f t="shared" si="118"/>
        <v>-840999.99999996147</v>
      </c>
      <c r="U1370" s="15">
        <v>25</v>
      </c>
      <c r="V1370" s="8">
        <f t="shared" si="116"/>
        <v>-25</v>
      </c>
      <c r="W1370" s="233">
        <f t="shared" si="117"/>
        <v>-31866.5</v>
      </c>
    </row>
    <row r="1371" spans="1:28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 s="188">
        <v>1000</v>
      </c>
      <c r="S1371" s="8">
        <f t="shared" si="115"/>
        <v>-1000</v>
      </c>
      <c r="T1371" s="234">
        <f t="shared" si="118"/>
        <v>-841999.99999996147</v>
      </c>
      <c r="U1371" s="15">
        <v>25</v>
      </c>
      <c r="V1371" s="8">
        <f t="shared" si="116"/>
        <v>-25</v>
      </c>
      <c r="W1371" s="233">
        <f t="shared" si="117"/>
        <v>-31891.5</v>
      </c>
    </row>
    <row r="1372" spans="1:28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 s="188">
        <v>1000</v>
      </c>
      <c r="S1372" s="8">
        <f t="shared" si="115"/>
        <v>-1000</v>
      </c>
      <c r="T1372" s="234">
        <f t="shared" si="118"/>
        <v>-842999.99999996147</v>
      </c>
      <c r="U1372" s="15">
        <v>25</v>
      </c>
      <c r="V1372" s="8">
        <f t="shared" si="116"/>
        <v>-25</v>
      </c>
      <c r="W1372" s="233">
        <f t="shared" si="117"/>
        <v>-31916.5</v>
      </c>
      <c r="Z1372"/>
      <c r="AA1372" s="1"/>
      <c r="AB1372"/>
    </row>
    <row r="1373" spans="1:28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 s="188">
        <v>1000</v>
      </c>
      <c r="S1373" s="8">
        <f t="shared" si="115"/>
        <v>-1000</v>
      </c>
      <c r="T1373" s="234">
        <f t="shared" si="118"/>
        <v>-843999.99999996147</v>
      </c>
      <c r="U1373" s="15">
        <v>25</v>
      </c>
      <c r="V1373" s="8">
        <f t="shared" si="116"/>
        <v>-25</v>
      </c>
      <c r="W1373" s="233">
        <f t="shared" si="117"/>
        <v>-31941.5</v>
      </c>
      <c r="Z1373"/>
      <c r="AA1373" s="1"/>
      <c r="AB1373"/>
    </row>
    <row r="1374" spans="1:28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 s="188">
        <v>1000</v>
      </c>
      <c r="S1374" s="8">
        <f t="shared" si="115"/>
        <v>-1000</v>
      </c>
      <c r="T1374" s="234">
        <f t="shared" si="118"/>
        <v>-844999.99999996147</v>
      </c>
      <c r="U1374" s="15">
        <v>25</v>
      </c>
      <c r="V1374" s="8">
        <f t="shared" si="116"/>
        <v>-25</v>
      </c>
      <c r="W1374" s="233">
        <f t="shared" si="117"/>
        <v>-31966.5</v>
      </c>
      <c r="Z1374"/>
      <c r="AA1374" s="1"/>
      <c r="AB1374"/>
    </row>
    <row r="1375" spans="1:28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 s="188">
        <v>1000</v>
      </c>
      <c r="S1375" s="8">
        <f t="shared" si="115"/>
        <v>-1000</v>
      </c>
      <c r="T1375" s="234">
        <f t="shared" si="118"/>
        <v>-845999.99999996147</v>
      </c>
      <c r="U1375" s="15">
        <v>25</v>
      </c>
      <c r="V1375" s="8">
        <f t="shared" si="116"/>
        <v>-25</v>
      </c>
      <c r="W1375" s="233">
        <f t="shared" si="117"/>
        <v>-31991.5</v>
      </c>
      <c r="Z1375"/>
      <c r="AA1375" s="1"/>
      <c r="AB1375"/>
    </row>
    <row r="1376" spans="1:28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 s="188">
        <v>1000</v>
      </c>
      <c r="S1376" s="8">
        <f t="shared" si="115"/>
        <v>-1000</v>
      </c>
      <c r="T1376" s="234">
        <f t="shared" si="118"/>
        <v>-846999.99999996147</v>
      </c>
      <c r="U1376" s="15">
        <v>25</v>
      </c>
      <c r="V1376" s="8">
        <f t="shared" si="116"/>
        <v>-25</v>
      </c>
      <c r="W1376" s="233">
        <f t="shared" si="117"/>
        <v>-32016.5</v>
      </c>
    </row>
    <row r="1377" spans="1:2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 s="188">
        <v>1000</v>
      </c>
      <c r="S1377" s="8">
        <f t="shared" si="115"/>
        <v>-1000</v>
      </c>
      <c r="T1377" s="234">
        <f t="shared" si="118"/>
        <v>-847999.99999996147</v>
      </c>
      <c r="U1377" s="15">
        <v>25</v>
      </c>
      <c r="V1377" s="8">
        <f t="shared" si="116"/>
        <v>-25</v>
      </c>
      <c r="W1377" s="233">
        <f t="shared" si="117"/>
        <v>-32041.5</v>
      </c>
    </row>
    <row r="1378" spans="1:2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 s="188">
        <v>1000</v>
      </c>
      <c r="S1378" s="8">
        <f t="shared" si="115"/>
        <v>-1000</v>
      </c>
      <c r="T1378" s="234">
        <f t="shared" si="118"/>
        <v>-848999.99999996147</v>
      </c>
      <c r="U1378" s="15">
        <v>25</v>
      </c>
      <c r="V1378" s="8">
        <f t="shared" si="116"/>
        <v>-25</v>
      </c>
      <c r="W1378" s="233">
        <f t="shared" si="117"/>
        <v>-32066.5</v>
      </c>
    </row>
    <row r="1379" spans="1:2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 s="188">
        <v>1000</v>
      </c>
      <c r="S1379" s="8">
        <f t="shared" si="115"/>
        <v>-1000</v>
      </c>
      <c r="T1379" s="234">
        <f t="shared" si="118"/>
        <v>-849999.99999996147</v>
      </c>
      <c r="U1379" s="15">
        <v>25</v>
      </c>
      <c r="V1379" s="8">
        <f t="shared" si="116"/>
        <v>-25</v>
      </c>
      <c r="W1379" s="233">
        <f t="shared" si="117"/>
        <v>-32091.5</v>
      </c>
    </row>
    <row r="1380" spans="1:2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 s="188">
        <v>1000</v>
      </c>
      <c r="S1380" s="8">
        <f t="shared" si="115"/>
        <v>-1000</v>
      </c>
      <c r="T1380" s="234">
        <f t="shared" si="118"/>
        <v>-850999.99999996147</v>
      </c>
      <c r="U1380" s="15">
        <v>25</v>
      </c>
      <c r="V1380" s="8">
        <f t="shared" si="116"/>
        <v>-25</v>
      </c>
      <c r="W1380" s="233">
        <f t="shared" si="117"/>
        <v>-32116.5</v>
      </c>
    </row>
    <row r="1381" spans="1:2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 s="188">
        <v>1000</v>
      </c>
      <c r="S1381" s="8">
        <f t="shared" si="115"/>
        <v>-1000</v>
      </c>
      <c r="T1381" s="234">
        <f t="shared" si="118"/>
        <v>-851999.99999996147</v>
      </c>
      <c r="U1381" s="15">
        <v>25</v>
      </c>
      <c r="V1381" s="8">
        <f t="shared" si="116"/>
        <v>-25</v>
      </c>
      <c r="W1381" s="233">
        <f t="shared" si="117"/>
        <v>-32141.5</v>
      </c>
    </row>
    <row r="1382" spans="1:2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 s="188">
        <v>1000</v>
      </c>
      <c r="S1382" s="8">
        <f t="shared" si="115"/>
        <v>-1000</v>
      </c>
      <c r="T1382" s="234">
        <f t="shared" si="118"/>
        <v>-852999.99999996147</v>
      </c>
      <c r="U1382" s="15">
        <v>25</v>
      </c>
      <c r="V1382" s="8">
        <f t="shared" si="116"/>
        <v>-25</v>
      </c>
      <c r="W1382" s="233">
        <f t="shared" si="117"/>
        <v>-32166.5</v>
      </c>
    </row>
    <row r="1383" spans="1:2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 s="188">
        <v>1000</v>
      </c>
      <c r="S1383" s="8">
        <f t="shared" si="115"/>
        <v>-1000</v>
      </c>
      <c r="T1383" s="234">
        <f t="shared" si="118"/>
        <v>-853999.99999996147</v>
      </c>
      <c r="U1383" s="15">
        <v>25</v>
      </c>
      <c r="V1383" s="8">
        <f t="shared" si="116"/>
        <v>-25</v>
      </c>
      <c r="W1383" s="233">
        <f t="shared" si="117"/>
        <v>-32191.5</v>
      </c>
    </row>
    <row r="1384" spans="1:2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 s="188">
        <v>1000</v>
      </c>
      <c r="S1384" s="8">
        <f t="shared" si="115"/>
        <v>-1000</v>
      </c>
      <c r="T1384" s="234">
        <f t="shared" si="118"/>
        <v>-854999.99999996147</v>
      </c>
      <c r="U1384" s="15">
        <v>25</v>
      </c>
      <c r="V1384" s="8">
        <f t="shared" si="116"/>
        <v>-25</v>
      </c>
      <c r="W1384" s="233">
        <f t="shared" si="117"/>
        <v>-32216.5</v>
      </c>
    </row>
    <row r="1385" spans="1:2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 s="188">
        <v>1000</v>
      </c>
      <c r="S1385" s="8">
        <f t="shared" si="115"/>
        <v>-1000</v>
      </c>
      <c r="T1385" s="234">
        <f t="shared" si="118"/>
        <v>-855999.99999996147</v>
      </c>
      <c r="U1385" s="15">
        <v>25</v>
      </c>
      <c r="V1385" s="8">
        <f t="shared" si="116"/>
        <v>-25</v>
      </c>
      <c r="W1385" s="233">
        <f t="shared" si="117"/>
        <v>-32241.5</v>
      </c>
    </row>
    <row r="1386" spans="1:2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 s="188">
        <v>1000</v>
      </c>
      <c r="S1386" s="8">
        <f t="shared" si="115"/>
        <v>-1000</v>
      </c>
      <c r="T1386" s="234">
        <f t="shared" si="118"/>
        <v>-856999.99999996147</v>
      </c>
      <c r="U1386" s="15">
        <v>25</v>
      </c>
      <c r="V1386" s="8">
        <f t="shared" si="116"/>
        <v>-25</v>
      </c>
      <c r="W1386" s="233">
        <f t="shared" si="117"/>
        <v>-32266.5</v>
      </c>
    </row>
    <row r="1387" spans="1:2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 s="188">
        <v>1000</v>
      </c>
      <c r="S1387" s="8">
        <f t="shared" si="115"/>
        <v>-1000</v>
      </c>
      <c r="T1387" s="234">
        <f t="shared" si="118"/>
        <v>-857999.99999996147</v>
      </c>
      <c r="U1387" s="15">
        <v>25</v>
      </c>
      <c r="V1387" s="8">
        <f t="shared" si="116"/>
        <v>-25</v>
      </c>
      <c r="W1387" s="233">
        <f t="shared" si="117"/>
        <v>-32291.5</v>
      </c>
    </row>
    <row r="1388" spans="1:2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 s="188">
        <v>1000</v>
      </c>
      <c r="S1388" s="8">
        <f t="shared" si="115"/>
        <v>-1000</v>
      </c>
      <c r="T1388" s="234">
        <f t="shared" si="118"/>
        <v>-858999.99999996147</v>
      </c>
      <c r="U1388" s="15">
        <v>25</v>
      </c>
      <c r="V1388" s="8">
        <f t="shared" si="116"/>
        <v>-25</v>
      </c>
      <c r="W1388" s="233">
        <f t="shared" si="117"/>
        <v>-32316.5</v>
      </c>
    </row>
    <row r="1389" spans="1:2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 s="188">
        <v>1000</v>
      </c>
      <c r="S1389" s="8">
        <f t="shared" si="115"/>
        <v>-1000</v>
      </c>
      <c r="T1389" s="234">
        <f t="shared" si="118"/>
        <v>-859999.99999996147</v>
      </c>
      <c r="U1389" s="15">
        <v>25</v>
      </c>
      <c r="V1389" s="8">
        <f t="shared" si="116"/>
        <v>-25</v>
      </c>
      <c r="W1389" s="233">
        <f t="shared" si="117"/>
        <v>-32341.5</v>
      </c>
    </row>
    <row r="1390" spans="1:2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 s="188">
        <v>1000</v>
      </c>
      <c r="S1390" s="8">
        <f t="shared" si="115"/>
        <v>-1000</v>
      </c>
      <c r="T1390" s="234">
        <f t="shared" si="118"/>
        <v>-860999.99999996147</v>
      </c>
      <c r="U1390" s="15">
        <v>25</v>
      </c>
      <c r="V1390" s="8">
        <f t="shared" si="116"/>
        <v>-25</v>
      </c>
      <c r="W1390" s="233">
        <f t="shared" si="117"/>
        <v>-32366.5</v>
      </c>
    </row>
    <row r="1391" spans="1:2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 s="188">
        <v>1000</v>
      </c>
      <c r="S1391" s="8">
        <f t="shared" si="115"/>
        <v>-1000</v>
      </c>
      <c r="T1391" s="234">
        <f t="shared" si="118"/>
        <v>-861999.99999996147</v>
      </c>
      <c r="U1391" s="15">
        <v>25</v>
      </c>
      <c r="V1391" s="8">
        <f t="shared" si="116"/>
        <v>-25</v>
      </c>
      <c r="W1391" s="233">
        <f t="shared" si="117"/>
        <v>-32391.5</v>
      </c>
    </row>
    <row r="1392" spans="1:2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 s="188">
        <v>1000</v>
      </c>
      <c r="S1392" s="8">
        <f t="shared" si="115"/>
        <v>-1000</v>
      </c>
      <c r="T1392" s="234">
        <f t="shared" si="118"/>
        <v>-862999.99999996147</v>
      </c>
      <c r="U1392" s="15">
        <v>25</v>
      </c>
      <c r="V1392" s="8">
        <f t="shared" si="116"/>
        <v>-25</v>
      </c>
      <c r="W1392" s="233">
        <f t="shared" si="117"/>
        <v>-32416.5</v>
      </c>
    </row>
    <row r="1393" spans="1:2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 s="188">
        <v>1000</v>
      </c>
      <c r="S1393" s="8">
        <f t="shared" si="115"/>
        <v>-1000</v>
      </c>
      <c r="T1393" s="234">
        <f t="shared" si="118"/>
        <v>-863999.99999996147</v>
      </c>
      <c r="U1393" s="15">
        <v>25</v>
      </c>
      <c r="V1393" s="8">
        <f t="shared" si="116"/>
        <v>-25</v>
      </c>
      <c r="W1393" s="233">
        <f t="shared" si="117"/>
        <v>-32441.5</v>
      </c>
    </row>
    <row r="1394" spans="1:2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 s="188">
        <v>1000</v>
      </c>
      <c r="S1394" s="8">
        <f t="shared" si="115"/>
        <v>-1000</v>
      </c>
      <c r="T1394" s="234">
        <f t="shared" si="118"/>
        <v>-864999.99999996147</v>
      </c>
      <c r="U1394" s="15">
        <v>25</v>
      </c>
      <c r="V1394" s="8">
        <f t="shared" si="116"/>
        <v>-25</v>
      </c>
      <c r="W1394" s="233">
        <f t="shared" si="117"/>
        <v>-32466.5</v>
      </c>
    </row>
    <row r="1395" spans="1:2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 s="188">
        <v>1000</v>
      </c>
      <c r="S1395" s="8">
        <f t="shared" si="115"/>
        <v>-1000</v>
      </c>
      <c r="T1395" s="234">
        <f t="shared" si="118"/>
        <v>-865999.99999996147</v>
      </c>
      <c r="U1395" s="15">
        <v>25</v>
      </c>
      <c r="V1395" s="8">
        <f t="shared" si="116"/>
        <v>-25</v>
      </c>
      <c r="W1395" s="233">
        <f t="shared" si="117"/>
        <v>-32491.5</v>
      </c>
    </row>
    <row r="1396" spans="1:2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 s="188">
        <v>1000</v>
      </c>
      <c r="S1396" s="8">
        <f t="shared" si="115"/>
        <v>-1000</v>
      </c>
      <c r="T1396" s="234">
        <f t="shared" si="118"/>
        <v>-866999.99999996147</v>
      </c>
      <c r="U1396" s="15">
        <v>25</v>
      </c>
      <c r="V1396" s="8">
        <f t="shared" si="116"/>
        <v>-25</v>
      </c>
      <c r="W1396" s="233">
        <f t="shared" si="117"/>
        <v>-32516.5</v>
      </c>
    </row>
    <row r="1397" spans="1:2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 s="188">
        <v>1000</v>
      </c>
      <c r="S1397" s="8">
        <f t="shared" si="115"/>
        <v>-1000</v>
      </c>
      <c r="T1397" s="234">
        <f t="shared" si="118"/>
        <v>-867999.99999996147</v>
      </c>
      <c r="U1397" s="15">
        <v>25</v>
      </c>
      <c r="V1397" s="8">
        <f t="shared" si="116"/>
        <v>-25</v>
      </c>
      <c r="W1397" s="233">
        <f t="shared" si="117"/>
        <v>-32541.5</v>
      </c>
    </row>
    <row r="1398" spans="1:2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 s="188">
        <v>1000</v>
      </c>
      <c r="S1398" s="8">
        <f t="shared" si="115"/>
        <v>-1000</v>
      </c>
      <c r="T1398" s="234">
        <f t="shared" si="118"/>
        <v>-868999.99999996147</v>
      </c>
      <c r="U1398" s="15">
        <v>25</v>
      </c>
      <c r="V1398" s="8">
        <f t="shared" si="116"/>
        <v>-25</v>
      </c>
      <c r="W1398" s="233">
        <f t="shared" si="117"/>
        <v>-32566.5</v>
      </c>
    </row>
    <row r="1399" spans="1:2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 s="188">
        <v>1000</v>
      </c>
      <c r="S1399" s="8">
        <f t="shared" si="115"/>
        <v>-1000</v>
      </c>
      <c r="T1399" s="234">
        <f t="shared" si="118"/>
        <v>-869999.99999996147</v>
      </c>
      <c r="U1399" s="15">
        <v>25</v>
      </c>
      <c r="V1399" s="8">
        <f t="shared" si="116"/>
        <v>-25</v>
      </c>
      <c r="W1399" s="233">
        <f t="shared" si="117"/>
        <v>-32591.5</v>
      </c>
    </row>
    <row r="1400" spans="1:2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 s="188">
        <v>1000</v>
      </c>
      <c r="S1400" s="8">
        <f t="shared" si="115"/>
        <v>-1000</v>
      </c>
      <c r="T1400" s="234">
        <f t="shared" si="118"/>
        <v>-870999.99999996147</v>
      </c>
      <c r="U1400" s="15">
        <v>25</v>
      </c>
      <c r="V1400" s="8">
        <f t="shared" si="116"/>
        <v>-25</v>
      </c>
      <c r="W1400" s="233">
        <f t="shared" si="117"/>
        <v>-32616.5</v>
      </c>
    </row>
    <row r="1401" spans="1:2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 s="188">
        <v>1000</v>
      </c>
      <c r="S1401" s="8">
        <f t="shared" si="115"/>
        <v>-1000</v>
      </c>
      <c r="T1401" s="234">
        <f t="shared" si="118"/>
        <v>-871999.99999996147</v>
      </c>
      <c r="U1401" s="15">
        <v>25</v>
      </c>
      <c r="V1401" s="8">
        <f t="shared" si="116"/>
        <v>-25</v>
      </c>
      <c r="W1401" s="233">
        <f t="shared" si="117"/>
        <v>-32641.5</v>
      </c>
    </row>
    <row r="1402" spans="1:2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 s="188">
        <v>1000</v>
      </c>
      <c r="S1402" s="8">
        <f t="shared" si="115"/>
        <v>-1000</v>
      </c>
      <c r="T1402" s="234">
        <f t="shared" si="118"/>
        <v>-872999.99999996147</v>
      </c>
      <c r="U1402" s="15">
        <v>25</v>
      </c>
      <c r="V1402" s="8">
        <f t="shared" si="116"/>
        <v>-25</v>
      </c>
      <c r="W1402" s="233">
        <f t="shared" si="117"/>
        <v>-32666.5</v>
      </c>
    </row>
    <row r="1403" spans="1:2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 s="188">
        <v>1000</v>
      </c>
      <c r="S1403" s="8">
        <f t="shared" si="115"/>
        <v>-1000</v>
      </c>
      <c r="T1403" s="234">
        <f t="shared" si="118"/>
        <v>-873999.99999996147</v>
      </c>
      <c r="U1403" s="15">
        <v>25</v>
      </c>
      <c r="V1403" s="8">
        <f t="shared" si="116"/>
        <v>-25</v>
      </c>
      <c r="W1403" s="233">
        <f t="shared" si="117"/>
        <v>-32691.5</v>
      </c>
    </row>
    <row r="1404" spans="1:2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 s="188">
        <v>1000</v>
      </c>
      <c r="S1404" s="8">
        <f t="shared" si="115"/>
        <v>-1000</v>
      </c>
      <c r="T1404" s="234">
        <f t="shared" si="118"/>
        <v>-874999.99999996147</v>
      </c>
      <c r="U1404" s="15">
        <v>25</v>
      </c>
      <c r="V1404" s="8">
        <f t="shared" si="116"/>
        <v>-25</v>
      </c>
      <c r="W1404" s="233">
        <f t="shared" si="117"/>
        <v>-32716.5</v>
      </c>
    </row>
    <row r="1405" spans="1:2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 s="188">
        <v>1000</v>
      </c>
      <c r="S1405" s="8">
        <f t="shared" si="115"/>
        <v>-1000</v>
      </c>
      <c r="T1405" s="234">
        <f t="shared" si="118"/>
        <v>-875999.99999996147</v>
      </c>
      <c r="U1405" s="15">
        <v>25</v>
      </c>
      <c r="V1405" s="8">
        <f t="shared" si="116"/>
        <v>-25</v>
      </c>
      <c r="W1405" s="233">
        <f t="shared" si="117"/>
        <v>-32741.5</v>
      </c>
    </row>
    <row r="1406" spans="1:2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 s="188">
        <v>1000</v>
      </c>
      <c r="S1406" s="8">
        <f t="shared" si="115"/>
        <v>-1000</v>
      </c>
      <c r="T1406" s="234">
        <f t="shared" si="118"/>
        <v>-876999.99999996147</v>
      </c>
      <c r="U1406" s="15">
        <v>25</v>
      </c>
      <c r="V1406" s="8">
        <f t="shared" si="116"/>
        <v>-25</v>
      </c>
      <c r="W1406" s="233">
        <f t="shared" si="117"/>
        <v>-32766.5</v>
      </c>
    </row>
    <row r="1407" spans="1:2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 s="188">
        <v>1000</v>
      </c>
      <c r="S1407" s="8">
        <f t="shared" si="115"/>
        <v>-1000</v>
      </c>
      <c r="T1407" s="234">
        <f t="shared" si="118"/>
        <v>-877999.99999996147</v>
      </c>
      <c r="U1407" s="15">
        <v>25</v>
      </c>
      <c r="V1407" s="8">
        <f t="shared" si="116"/>
        <v>-25</v>
      </c>
      <c r="W1407" s="233">
        <f t="shared" si="117"/>
        <v>-32791.5</v>
      </c>
    </row>
    <row r="1408" spans="1:2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 s="188">
        <v>1000</v>
      </c>
      <c r="S1408" s="8">
        <f t="shared" si="115"/>
        <v>-1000</v>
      </c>
      <c r="T1408" s="234">
        <f t="shared" si="118"/>
        <v>-878999.99999996147</v>
      </c>
      <c r="U1408" s="15">
        <v>25</v>
      </c>
      <c r="V1408" s="8">
        <f t="shared" si="116"/>
        <v>-25</v>
      </c>
      <c r="W1408" s="233">
        <f t="shared" si="117"/>
        <v>-32816.5</v>
      </c>
    </row>
    <row r="1409" spans="1:2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 s="188">
        <v>1000</v>
      </c>
      <c r="S1409" s="8">
        <f t="shared" si="115"/>
        <v>-1000</v>
      </c>
      <c r="T1409" s="234">
        <f t="shared" si="118"/>
        <v>-879999.99999996147</v>
      </c>
      <c r="U1409" s="15">
        <v>25</v>
      </c>
      <c r="V1409" s="8">
        <f t="shared" si="116"/>
        <v>-25</v>
      </c>
      <c r="W1409" s="233">
        <f t="shared" si="117"/>
        <v>-32841.5</v>
      </c>
    </row>
    <row r="1410" spans="1:2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 s="188">
        <v>1000</v>
      </c>
      <c r="S1410" s="8">
        <f t="shared" si="115"/>
        <v>-1000</v>
      </c>
      <c r="T1410" s="234">
        <f t="shared" si="118"/>
        <v>-880999.99999996147</v>
      </c>
      <c r="U1410" s="15">
        <v>25</v>
      </c>
      <c r="V1410" s="8">
        <f t="shared" si="116"/>
        <v>-25</v>
      </c>
      <c r="W1410" s="233">
        <f t="shared" si="117"/>
        <v>-32866.5</v>
      </c>
    </row>
    <row r="1411" spans="1:2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 s="188">
        <v>1000</v>
      </c>
      <c r="S1411" s="8">
        <f t="shared" ref="S1411:S1474" si="119">IF(O1411="won",R1411*0.18,-R1411)</f>
        <v>-1000</v>
      </c>
      <c r="T1411" s="234">
        <f t="shared" si="118"/>
        <v>-881999.99999996147</v>
      </c>
      <c r="U1411" s="15">
        <v>25</v>
      </c>
      <c r="V1411" s="8">
        <f t="shared" ref="V1411:V1474" si="120">IF(O1411="won",U1411*0.18,-U1411)</f>
        <v>-25</v>
      </c>
      <c r="W1411" s="233">
        <f t="shared" ref="W1411:W1474" si="121">SUM(W1410,V1411)</f>
        <v>-32891.5</v>
      </c>
    </row>
    <row r="1412" spans="1:2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 s="188">
        <v>1000</v>
      </c>
      <c r="S1412" s="8">
        <f t="shared" si="119"/>
        <v>-1000</v>
      </c>
      <c r="T1412" s="234">
        <f t="shared" si="118"/>
        <v>-882999.99999996147</v>
      </c>
      <c r="U1412" s="15">
        <v>25</v>
      </c>
      <c r="V1412" s="8">
        <f t="shared" si="120"/>
        <v>-25</v>
      </c>
      <c r="W1412" s="233">
        <f t="shared" si="121"/>
        <v>-32916.5</v>
      </c>
    </row>
    <row r="1413" spans="1:2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 s="188">
        <v>1000</v>
      </c>
      <c r="S1413" s="8">
        <f t="shared" si="119"/>
        <v>-1000</v>
      </c>
      <c r="T1413" s="234">
        <f t="shared" si="118"/>
        <v>-883999.99999996147</v>
      </c>
      <c r="U1413" s="15">
        <v>25</v>
      </c>
      <c r="V1413" s="8">
        <f t="shared" si="120"/>
        <v>-25</v>
      </c>
      <c r="W1413" s="233">
        <f t="shared" si="121"/>
        <v>-32941.5</v>
      </c>
    </row>
    <row r="1414" spans="1:2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 s="188">
        <v>1000</v>
      </c>
      <c r="S1414" s="8">
        <f t="shared" si="119"/>
        <v>-1000</v>
      </c>
      <c r="T1414" s="234">
        <f t="shared" si="118"/>
        <v>-884999.99999996147</v>
      </c>
      <c r="U1414" s="15">
        <v>25</v>
      </c>
      <c r="V1414" s="8">
        <f t="shared" si="120"/>
        <v>-25</v>
      </c>
      <c r="W1414" s="233">
        <f t="shared" si="121"/>
        <v>-32966.5</v>
      </c>
    </row>
    <row r="1415" spans="1:2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 s="188">
        <v>1000</v>
      </c>
      <c r="S1415" s="8">
        <f t="shared" si="119"/>
        <v>-1000</v>
      </c>
      <c r="T1415" s="234">
        <f t="shared" si="118"/>
        <v>-885999.99999996147</v>
      </c>
      <c r="U1415" s="15">
        <v>25</v>
      </c>
      <c r="V1415" s="8">
        <f t="shared" si="120"/>
        <v>-25</v>
      </c>
      <c r="W1415" s="233">
        <f t="shared" si="121"/>
        <v>-32991.5</v>
      </c>
    </row>
    <row r="1416" spans="1:2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 s="188">
        <v>1000</v>
      </c>
      <c r="S1416" s="8">
        <f t="shared" si="119"/>
        <v>-1000</v>
      </c>
      <c r="T1416" s="234">
        <f t="shared" si="118"/>
        <v>-886999.99999996147</v>
      </c>
      <c r="U1416" s="15">
        <v>25</v>
      </c>
      <c r="V1416" s="8">
        <f t="shared" si="120"/>
        <v>-25</v>
      </c>
      <c r="W1416" s="233">
        <f t="shared" si="121"/>
        <v>-33016.5</v>
      </c>
    </row>
    <row r="1417" spans="1:2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 s="188">
        <v>1000</v>
      </c>
      <c r="S1417" s="8">
        <f t="shared" si="119"/>
        <v>-1000</v>
      </c>
      <c r="T1417" s="234">
        <f t="shared" si="118"/>
        <v>-887999.99999996147</v>
      </c>
      <c r="U1417" s="15">
        <v>25</v>
      </c>
      <c r="V1417" s="8">
        <f t="shared" si="120"/>
        <v>-25</v>
      </c>
      <c r="W1417" s="233">
        <f t="shared" si="121"/>
        <v>-33041.5</v>
      </c>
    </row>
    <row r="1418" spans="1:2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 s="188">
        <v>1000</v>
      </c>
      <c r="S1418" s="8">
        <f t="shared" si="119"/>
        <v>-1000</v>
      </c>
      <c r="T1418" s="234">
        <f t="shared" ref="T1418:T1481" si="122">SUM(T1417,S1418)</f>
        <v>-888999.99999996147</v>
      </c>
      <c r="U1418" s="15">
        <v>25</v>
      </c>
      <c r="V1418" s="8">
        <f t="shared" si="120"/>
        <v>-25</v>
      </c>
      <c r="W1418" s="233">
        <f t="shared" si="121"/>
        <v>-33066.5</v>
      </c>
    </row>
    <row r="1419" spans="1:2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 s="188">
        <v>1000</v>
      </c>
      <c r="S1419" s="8">
        <f t="shared" si="119"/>
        <v>-1000</v>
      </c>
      <c r="T1419" s="234">
        <f t="shared" si="122"/>
        <v>-889999.99999996147</v>
      </c>
      <c r="U1419" s="15">
        <v>25</v>
      </c>
      <c r="V1419" s="8">
        <f t="shared" si="120"/>
        <v>-25</v>
      </c>
      <c r="W1419" s="233">
        <f t="shared" si="121"/>
        <v>-33091.5</v>
      </c>
    </row>
    <row r="1420" spans="1:2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 s="188">
        <v>1000</v>
      </c>
      <c r="S1420" s="8">
        <f t="shared" si="119"/>
        <v>-1000</v>
      </c>
      <c r="T1420" s="234">
        <f t="shared" si="122"/>
        <v>-890999.99999996147</v>
      </c>
      <c r="U1420" s="15">
        <v>25</v>
      </c>
      <c r="V1420" s="8">
        <f t="shared" si="120"/>
        <v>-25</v>
      </c>
      <c r="W1420" s="233">
        <f t="shared" si="121"/>
        <v>-33116.5</v>
      </c>
    </row>
    <row r="1421" spans="1:2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 s="188">
        <v>1000</v>
      </c>
      <c r="S1421" s="8">
        <f t="shared" si="119"/>
        <v>-1000</v>
      </c>
      <c r="T1421" s="234">
        <f t="shared" si="122"/>
        <v>-891999.99999996147</v>
      </c>
      <c r="U1421" s="15">
        <v>25</v>
      </c>
      <c r="V1421" s="8">
        <f t="shared" si="120"/>
        <v>-25</v>
      </c>
      <c r="W1421" s="233">
        <f t="shared" si="121"/>
        <v>-33141.5</v>
      </c>
    </row>
    <row r="1422" spans="1:2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 s="188">
        <v>1000</v>
      </c>
      <c r="S1422" s="8">
        <f t="shared" si="119"/>
        <v>-1000</v>
      </c>
      <c r="T1422" s="234">
        <f t="shared" si="122"/>
        <v>-892999.99999996147</v>
      </c>
      <c r="U1422" s="15">
        <v>25</v>
      </c>
      <c r="V1422" s="8">
        <f t="shared" si="120"/>
        <v>-25</v>
      </c>
      <c r="W1422" s="233">
        <f t="shared" si="121"/>
        <v>-33166.5</v>
      </c>
    </row>
    <row r="1423" spans="1:2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 s="188">
        <v>1000</v>
      </c>
      <c r="S1423" s="8">
        <f t="shared" si="119"/>
        <v>-1000</v>
      </c>
      <c r="T1423" s="234">
        <f t="shared" si="122"/>
        <v>-893999.99999996147</v>
      </c>
      <c r="U1423" s="15">
        <v>25</v>
      </c>
      <c r="V1423" s="8">
        <f t="shared" si="120"/>
        <v>-25</v>
      </c>
      <c r="W1423" s="233">
        <f t="shared" si="121"/>
        <v>-33191.5</v>
      </c>
    </row>
    <row r="1424" spans="1:2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 s="188">
        <v>1000</v>
      </c>
      <c r="S1424" s="8">
        <f t="shared" si="119"/>
        <v>-1000</v>
      </c>
      <c r="T1424" s="234">
        <f t="shared" si="122"/>
        <v>-894999.99999996147</v>
      </c>
      <c r="U1424" s="15">
        <v>25</v>
      </c>
      <c r="V1424" s="8">
        <f t="shared" si="120"/>
        <v>-25</v>
      </c>
      <c r="W1424" s="233">
        <f t="shared" si="121"/>
        <v>-33216.5</v>
      </c>
    </row>
    <row r="1425" spans="1:2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 s="188">
        <v>1000</v>
      </c>
      <c r="S1425" s="8">
        <f t="shared" si="119"/>
        <v>-1000</v>
      </c>
      <c r="T1425" s="234">
        <f t="shared" si="122"/>
        <v>-895999.99999996147</v>
      </c>
      <c r="U1425" s="15">
        <v>25</v>
      </c>
      <c r="V1425" s="8">
        <f t="shared" si="120"/>
        <v>-25</v>
      </c>
      <c r="W1425" s="233">
        <f t="shared" si="121"/>
        <v>-33241.5</v>
      </c>
    </row>
    <row r="1426" spans="1:2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 s="188">
        <v>1000</v>
      </c>
      <c r="S1426" s="8">
        <f t="shared" si="119"/>
        <v>-1000</v>
      </c>
      <c r="T1426" s="234">
        <f t="shared" si="122"/>
        <v>-896999.99999996147</v>
      </c>
      <c r="U1426" s="15">
        <v>25</v>
      </c>
      <c r="V1426" s="8">
        <f t="shared" si="120"/>
        <v>-25</v>
      </c>
      <c r="W1426" s="233">
        <f t="shared" si="121"/>
        <v>-33266.5</v>
      </c>
    </row>
    <row r="1427" spans="1:2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 s="188">
        <v>1000</v>
      </c>
      <c r="S1427" s="8">
        <f t="shared" si="119"/>
        <v>-1000</v>
      </c>
      <c r="T1427" s="234">
        <f t="shared" si="122"/>
        <v>-897999.99999996147</v>
      </c>
      <c r="U1427" s="15">
        <v>25</v>
      </c>
      <c r="V1427" s="8">
        <f t="shared" si="120"/>
        <v>-25</v>
      </c>
      <c r="W1427" s="233">
        <f t="shared" si="121"/>
        <v>-33291.5</v>
      </c>
    </row>
    <row r="1428" spans="1:2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 s="188">
        <v>1000</v>
      </c>
      <c r="S1428" s="8">
        <f t="shared" si="119"/>
        <v>-1000</v>
      </c>
      <c r="T1428" s="234">
        <f t="shared" si="122"/>
        <v>-898999.99999996147</v>
      </c>
      <c r="U1428" s="15">
        <v>25</v>
      </c>
      <c r="V1428" s="8">
        <f t="shared" si="120"/>
        <v>-25</v>
      </c>
      <c r="W1428" s="233">
        <f t="shared" si="121"/>
        <v>-33316.5</v>
      </c>
    </row>
    <row r="1429" spans="1:2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 s="188">
        <v>1000</v>
      </c>
      <c r="S1429" s="8">
        <f t="shared" si="119"/>
        <v>-1000</v>
      </c>
      <c r="T1429" s="234">
        <f t="shared" si="122"/>
        <v>-899999.99999996147</v>
      </c>
      <c r="U1429" s="15">
        <v>25</v>
      </c>
      <c r="V1429" s="8">
        <f t="shared" si="120"/>
        <v>-25</v>
      </c>
      <c r="W1429" s="233">
        <f t="shared" si="121"/>
        <v>-33341.5</v>
      </c>
    </row>
    <row r="1430" spans="1:2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 s="188">
        <v>1000</v>
      </c>
      <c r="S1430" s="8">
        <f t="shared" si="119"/>
        <v>-1000</v>
      </c>
      <c r="T1430" s="234">
        <f t="shared" si="122"/>
        <v>-900999.99999996147</v>
      </c>
      <c r="U1430" s="15">
        <v>25</v>
      </c>
      <c r="V1430" s="8">
        <f t="shared" si="120"/>
        <v>-25</v>
      </c>
      <c r="W1430" s="233">
        <f t="shared" si="121"/>
        <v>-33366.5</v>
      </c>
    </row>
    <row r="1431" spans="1:2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 s="188">
        <v>1000</v>
      </c>
      <c r="S1431" s="8">
        <f t="shared" si="119"/>
        <v>-1000</v>
      </c>
      <c r="T1431" s="234">
        <f t="shared" si="122"/>
        <v>-901999.99999996147</v>
      </c>
      <c r="U1431" s="15">
        <v>25</v>
      </c>
      <c r="V1431" s="8">
        <f t="shared" si="120"/>
        <v>-25</v>
      </c>
      <c r="W1431" s="233">
        <f t="shared" si="121"/>
        <v>-33391.5</v>
      </c>
    </row>
    <row r="1432" spans="1:2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 s="188">
        <v>1000</v>
      </c>
      <c r="S1432" s="8">
        <f t="shared" si="119"/>
        <v>-1000</v>
      </c>
      <c r="T1432" s="234">
        <f t="shared" si="122"/>
        <v>-902999.99999996147</v>
      </c>
      <c r="U1432" s="15">
        <v>25</v>
      </c>
      <c r="V1432" s="8">
        <f t="shared" si="120"/>
        <v>-25</v>
      </c>
      <c r="W1432" s="233">
        <f t="shared" si="121"/>
        <v>-33416.5</v>
      </c>
    </row>
    <row r="1433" spans="1:2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 s="188">
        <v>1000</v>
      </c>
      <c r="S1433" s="8">
        <f t="shared" si="119"/>
        <v>-1000</v>
      </c>
      <c r="T1433" s="234">
        <f t="shared" si="122"/>
        <v>-903999.99999996147</v>
      </c>
      <c r="U1433" s="15">
        <v>25</v>
      </c>
      <c r="V1433" s="8">
        <f t="shared" si="120"/>
        <v>-25</v>
      </c>
      <c r="W1433" s="233">
        <f t="shared" si="121"/>
        <v>-33441.5</v>
      </c>
    </row>
    <row r="1434" spans="1:2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 s="188">
        <v>1000</v>
      </c>
      <c r="S1434" s="8">
        <f t="shared" si="119"/>
        <v>-1000</v>
      </c>
      <c r="T1434" s="234">
        <f t="shared" si="122"/>
        <v>-904999.99999996147</v>
      </c>
      <c r="U1434" s="15">
        <v>25</v>
      </c>
      <c r="V1434" s="8">
        <f t="shared" si="120"/>
        <v>-25</v>
      </c>
      <c r="W1434" s="233">
        <f t="shared" si="121"/>
        <v>-33466.5</v>
      </c>
    </row>
    <row r="1435" spans="1:2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 s="188">
        <v>1000</v>
      </c>
      <c r="S1435" s="8">
        <f t="shared" si="119"/>
        <v>-1000</v>
      </c>
      <c r="T1435" s="234">
        <f t="shared" si="122"/>
        <v>-905999.99999996147</v>
      </c>
      <c r="U1435" s="15">
        <v>25</v>
      </c>
      <c r="V1435" s="8">
        <f t="shared" si="120"/>
        <v>-25</v>
      </c>
      <c r="W1435" s="233">
        <f t="shared" si="121"/>
        <v>-33491.5</v>
      </c>
    </row>
    <row r="1436" spans="1:2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 s="188">
        <v>1000</v>
      </c>
      <c r="S1436" s="8">
        <f t="shared" si="119"/>
        <v>-1000</v>
      </c>
      <c r="T1436" s="234">
        <f t="shared" si="122"/>
        <v>-906999.99999996147</v>
      </c>
      <c r="U1436" s="15">
        <v>25</v>
      </c>
      <c r="V1436" s="8">
        <f t="shared" si="120"/>
        <v>-25</v>
      </c>
      <c r="W1436" s="233">
        <f t="shared" si="121"/>
        <v>-33516.5</v>
      </c>
    </row>
    <row r="1437" spans="1:2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 s="188">
        <v>1000</v>
      </c>
      <c r="S1437" s="8">
        <f t="shared" si="119"/>
        <v>-1000</v>
      </c>
      <c r="T1437" s="234">
        <f t="shared" si="122"/>
        <v>-907999.99999996147</v>
      </c>
      <c r="U1437" s="15">
        <v>25</v>
      </c>
      <c r="V1437" s="8">
        <f t="shared" si="120"/>
        <v>-25</v>
      </c>
      <c r="W1437" s="233">
        <f t="shared" si="121"/>
        <v>-33541.5</v>
      </c>
    </row>
    <row r="1438" spans="1:2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 s="188">
        <v>1000</v>
      </c>
      <c r="S1438" s="8">
        <f t="shared" si="119"/>
        <v>-1000</v>
      </c>
      <c r="T1438" s="234">
        <f t="shared" si="122"/>
        <v>-908999.99999996147</v>
      </c>
      <c r="U1438" s="15">
        <v>25</v>
      </c>
      <c r="V1438" s="8">
        <f t="shared" si="120"/>
        <v>-25</v>
      </c>
      <c r="W1438" s="233">
        <f t="shared" si="121"/>
        <v>-33566.5</v>
      </c>
    </row>
    <row r="1439" spans="1:2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 s="188">
        <v>1000</v>
      </c>
      <c r="S1439" s="8">
        <f t="shared" si="119"/>
        <v>-1000</v>
      </c>
      <c r="T1439" s="234">
        <f t="shared" si="122"/>
        <v>-909999.99999996147</v>
      </c>
      <c r="U1439" s="15">
        <v>25</v>
      </c>
      <c r="V1439" s="8">
        <f t="shared" si="120"/>
        <v>-25</v>
      </c>
      <c r="W1439" s="233">
        <f t="shared" si="121"/>
        <v>-33591.5</v>
      </c>
    </row>
    <row r="1440" spans="1:2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 s="188">
        <v>1000</v>
      </c>
      <c r="S1440" s="8">
        <f t="shared" si="119"/>
        <v>-1000</v>
      </c>
      <c r="T1440" s="234">
        <f t="shared" si="122"/>
        <v>-910999.99999996147</v>
      </c>
      <c r="U1440" s="15">
        <v>25</v>
      </c>
      <c r="V1440" s="8">
        <f t="shared" si="120"/>
        <v>-25</v>
      </c>
      <c r="W1440" s="233">
        <f t="shared" si="121"/>
        <v>-33616.5</v>
      </c>
    </row>
    <row r="1441" spans="1:2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 s="188">
        <v>1000</v>
      </c>
      <c r="S1441" s="8">
        <f t="shared" si="119"/>
        <v>-1000</v>
      </c>
      <c r="T1441" s="234">
        <f t="shared" si="122"/>
        <v>-911999.99999996147</v>
      </c>
      <c r="U1441" s="15">
        <v>25</v>
      </c>
      <c r="V1441" s="8">
        <f t="shared" si="120"/>
        <v>-25</v>
      </c>
      <c r="W1441" s="233">
        <f t="shared" si="121"/>
        <v>-33641.5</v>
      </c>
    </row>
    <row r="1442" spans="1:2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 s="188">
        <v>1000</v>
      </c>
      <c r="S1442" s="8">
        <f t="shared" si="119"/>
        <v>-1000</v>
      </c>
      <c r="T1442" s="234">
        <f t="shared" si="122"/>
        <v>-912999.99999996147</v>
      </c>
      <c r="U1442" s="15">
        <v>25</v>
      </c>
      <c r="V1442" s="8">
        <f t="shared" si="120"/>
        <v>-25</v>
      </c>
      <c r="W1442" s="233">
        <f t="shared" si="121"/>
        <v>-33666.5</v>
      </c>
    </row>
    <row r="1443" spans="1:2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 s="188">
        <v>1000</v>
      </c>
      <c r="S1443" s="8">
        <f t="shared" si="119"/>
        <v>-1000</v>
      </c>
      <c r="T1443" s="234">
        <f t="shared" si="122"/>
        <v>-913999.99999996147</v>
      </c>
      <c r="U1443" s="15">
        <v>25</v>
      </c>
      <c r="V1443" s="8">
        <f t="shared" si="120"/>
        <v>-25</v>
      </c>
      <c r="W1443" s="233">
        <f t="shared" si="121"/>
        <v>-33691.5</v>
      </c>
    </row>
    <row r="1444" spans="1:2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 s="188">
        <v>1000</v>
      </c>
      <c r="S1444" s="8">
        <f t="shared" si="119"/>
        <v>-1000</v>
      </c>
      <c r="T1444" s="234">
        <f t="shared" si="122"/>
        <v>-914999.99999996147</v>
      </c>
      <c r="U1444" s="15">
        <v>25</v>
      </c>
      <c r="V1444" s="8">
        <f t="shared" si="120"/>
        <v>-25</v>
      </c>
      <c r="W1444" s="233">
        <f t="shared" si="121"/>
        <v>-33716.5</v>
      </c>
    </row>
    <row r="1445" spans="1:2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 s="188">
        <v>1000</v>
      </c>
      <c r="S1445" s="8">
        <f t="shared" si="119"/>
        <v>-1000</v>
      </c>
      <c r="T1445" s="234">
        <f t="shared" si="122"/>
        <v>-915999.99999996147</v>
      </c>
      <c r="U1445" s="15">
        <v>25</v>
      </c>
      <c r="V1445" s="8">
        <f t="shared" si="120"/>
        <v>-25</v>
      </c>
      <c r="W1445" s="233">
        <f t="shared" si="121"/>
        <v>-33741.5</v>
      </c>
    </row>
    <row r="1446" spans="1:2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 s="188">
        <v>1000</v>
      </c>
      <c r="S1446" s="8">
        <f t="shared" si="119"/>
        <v>-1000</v>
      </c>
      <c r="T1446" s="234">
        <f t="shared" si="122"/>
        <v>-916999.99999996147</v>
      </c>
      <c r="U1446" s="15">
        <v>25</v>
      </c>
      <c r="V1446" s="8">
        <f t="shared" si="120"/>
        <v>-25</v>
      </c>
      <c r="W1446" s="233">
        <f t="shared" si="121"/>
        <v>-33766.5</v>
      </c>
    </row>
    <row r="1447" spans="1:2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 s="188">
        <v>1000</v>
      </c>
      <c r="S1447" s="8">
        <f t="shared" si="119"/>
        <v>-1000</v>
      </c>
      <c r="T1447" s="234">
        <f t="shared" si="122"/>
        <v>-917999.99999996147</v>
      </c>
      <c r="U1447" s="15">
        <v>25</v>
      </c>
      <c r="V1447" s="8">
        <f t="shared" si="120"/>
        <v>-25</v>
      </c>
      <c r="W1447" s="233">
        <f t="shared" si="121"/>
        <v>-33791.5</v>
      </c>
    </row>
    <row r="1448" spans="1:2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 s="188">
        <v>1000</v>
      </c>
      <c r="S1448" s="8">
        <f t="shared" si="119"/>
        <v>-1000</v>
      </c>
      <c r="T1448" s="234">
        <f t="shared" si="122"/>
        <v>-918999.99999996147</v>
      </c>
      <c r="U1448" s="15">
        <v>25</v>
      </c>
      <c r="V1448" s="8">
        <f t="shared" si="120"/>
        <v>-25</v>
      </c>
      <c r="W1448" s="233">
        <f t="shared" si="121"/>
        <v>-33816.5</v>
      </c>
    </row>
    <row r="1449" spans="1:2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 s="188">
        <v>1000</v>
      </c>
      <c r="S1449" s="8">
        <f t="shared" si="119"/>
        <v>-1000</v>
      </c>
      <c r="T1449" s="234">
        <f t="shared" si="122"/>
        <v>-919999.99999996147</v>
      </c>
      <c r="U1449" s="15">
        <v>25</v>
      </c>
      <c r="V1449" s="8">
        <f t="shared" si="120"/>
        <v>-25</v>
      </c>
      <c r="W1449" s="233">
        <f t="shared" si="121"/>
        <v>-33841.5</v>
      </c>
    </row>
    <row r="1450" spans="1:2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 s="188">
        <v>1000</v>
      </c>
      <c r="S1450" s="8">
        <f t="shared" si="119"/>
        <v>-1000</v>
      </c>
      <c r="T1450" s="234">
        <f t="shared" si="122"/>
        <v>-920999.99999996147</v>
      </c>
      <c r="U1450" s="15">
        <v>25</v>
      </c>
      <c r="V1450" s="8">
        <f t="shared" si="120"/>
        <v>-25</v>
      </c>
      <c r="W1450" s="233">
        <f t="shared" si="121"/>
        <v>-33866.5</v>
      </c>
    </row>
    <row r="1451" spans="1:2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 s="188">
        <v>1000</v>
      </c>
      <c r="S1451" s="8">
        <f t="shared" si="119"/>
        <v>-1000</v>
      </c>
      <c r="T1451" s="234">
        <f t="shared" si="122"/>
        <v>-921999.99999996147</v>
      </c>
      <c r="U1451" s="15">
        <v>25</v>
      </c>
      <c r="V1451" s="8">
        <f t="shared" si="120"/>
        <v>-25</v>
      </c>
      <c r="W1451" s="233">
        <f t="shared" si="121"/>
        <v>-33891.5</v>
      </c>
    </row>
    <row r="1452" spans="1:2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 s="188">
        <v>1000</v>
      </c>
      <c r="S1452" s="8">
        <f t="shared" si="119"/>
        <v>-1000</v>
      </c>
      <c r="T1452" s="234">
        <f t="shared" si="122"/>
        <v>-922999.99999996147</v>
      </c>
      <c r="U1452" s="15">
        <v>25</v>
      </c>
      <c r="V1452" s="8">
        <f t="shared" si="120"/>
        <v>-25</v>
      </c>
      <c r="W1452" s="233">
        <f t="shared" si="121"/>
        <v>-33916.5</v>
      </c>
    </row>
    <row r="1453" spans="1:2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 s="188">
        <v>1000</v>
      </c>
      <c r="S1453" s="8">
        <f t="shared" si="119"/>
        <v>-1000</v>
      </c>
      <c r="T1453" s="234">
        <f t="shared" si="122"/>
        <v>-923999.99999996147</v>
      </c>
      <c r="U1453" s="15">
        <v>25</v>
      </c>
      <c r="V1453" s="8">
        <f t="shared" si="120"/>
        <v>-25</v>
      </c>
      <c r="W1453" s="233">
        <f t="shared" si="121"/>
        <v>-33941.5</v>
      </c>
    </row>
    <row r="1454" spans="1:2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 s="188">
        <v>1000</v>
      </c>
      <c r="S1454" s="8">
        <f t="shared" si="119"/>
        <v>-1000</v>
      </c>
      <c r="T1454" s="234">
        <f t="shared" si="122"/>
        <v>-924999.99999996147</v>
      </c>
      <c r="U1454" s="15">
        <v>25</v>
      </c>
      <c r="V1454" s="8">
        <f t="shared" si="120"/>
        <v>-25</v>
      </c>
      <c r="W1454" s="233">
        <f t="shared" si="121"/>
        <v>-33966.5</v>
      </c>
    </row>
    <row r="1455" spans="1:2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 s="188">
        <v>1000</v>
      </c>
      <c r="S1455" s="8">
        <f t="shared" si="119"/>
        <v>-1000</v>
      </c>
      <c r="T1455" s="234">
        <f t="shared" si="122"/>
        <v>-925999.99999996147</v>
      </c>
      <c r="U1455" s="15">
        <v>25</v>
      </c>
      <c r="V1455" s="8">
        <f t="shared" si="120"/>
        <v>-25</v>
      </c>
      <c r="W1455" s="233">
        <f t="shared" si="121"/>
        <v>-33991.5</v>
      </c>
    </row>
    <row r="1456" spans="1:2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 s="188">
        <v>1000</v>
      </c>
      <c r="S1456" s="8">
        <f t="shared" si="119"/>
        <v>-1000</v>
      </c>
      <c r="T1456" s="234">
        <f t="shared" si="122"/>
        <v>-926999.99999996147</v>
      </c>
      <c r="U1456" s="15">
        <v>25</v>
      </c>
      <c r="V1456" s="8">
        <f t="shared" si="120"/>
        <v>-25</v>
      </c>
      <c r="W1456" s="233">
        <f t="shared" si="121"/>
        <v>-34016.5</v>
      </c>
    </row>
    <row r="1457" spans="1:2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 s="188">
        <v>1000</v>
      </c>
      <c r="S1457" s="8">
        <f t="shared" si="119"/>
        <v>-1000</v>
      </c>
      <c r="T1457" s="234">
        <f t="shared" si="122"/>
        <v>-927999.99999996147</v>
      </c>
      <c r="U1457" s="15">
        <v>25</v>
      </c>
      <c r="V1457" s="8">
        <f t="shared" si="120"/>
        <v>-25</v>
      </c>
      <c r="W1457" s="233">
        <f t="shared" si="121"/>
        <v>-34041.5</v>
      </c>
    </row>
    <row r="1458" spans="1:2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 s="188">
        <v>1000</v>
      </c>
      <c r="S1458" s="8">
        <f t="shared" si="119"/>
        <v>-1000</v>
      </c>
      <c r="T1458" s="234">
        <f t="shared" si="122"/>
        <v>-928999.99999996147</v>
      </c>
      <c r="U1458" s="15">
        <v>25</v>
      </c>
      <c r="V1458" s="8">
        <f t="shared" si="120"/>
        <v>-25</v>
      </c>
      <c r="W1458" s="233">
        <f t="shared" si="121"/>
        <v>-34066.5</v>
      </c>
    </row>
    <row r="1459" spans="1:2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 s="188">
        <v>1000</v>
      </c>
      <c r="S1459" s="8">
        <f t="shared" si="119"/>
        <v>-1000</v>
      </c>
      <c r="T1459" s="234">
        <f t="shared" si="122"/>
        <v>-929999.99999996147</v>
      </c>
      <c r="U1459" s="15">
        <v>25</v>
      </c>
      <c r="V1459" s="8">
        <f t="shared" si="120"/>
        <v>-25</v>
      </c>
      <c r="W1459" s="233">
        <f t="shared" si="121"/>
        <v>-34091.5</v>
      </c>
    </row>
    <row r="1460" spans="1:2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 s="188">
        <v>1000</v>
      </c>
      <c r="S1460" s="8">
        <f t="shared" si="119"/>
        <v>-1000</v>
      </c>
      <c r="T1460" s="234">
        <f t="shared" si="122"/>
        <v>-930999.99999996147</v>
      </c>
      <c r="U1460" s="15">
        <v>25</v>
      </c>
      <c r="V1460" s="8">
        <f t="shared" si="120"/>
        <v>-25</v>
      </c>
      <c r="W1460" s="233">
        <f t="shared" si="121"/>
        <v>-34116.5</v>
      </c>
    </row>
    <row r="1461" spans="1:2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 s="188">
        <v>1000</v>
      </c>
      <c r="S1461" s="8">
        <f t="shared" si="119"/>
        <v>-1000</v>
      </c>
      <c r="T1461" s="234">
        <f t="shared" si="122"/>
        <v>-931999.99999996147</v>
      </c>
      <c r="U1461" s="15">
        <v>25</v>
      </c>
      <c r="V1461" s="8">
        <f t="shared" si="120"/>
        <v>-25</v>
      </c>
      <c r="W1461" s="233">
        <f t="shared" si="121"/>
        <v>-34141.5</v>
      </c>
    </row>
    <row r="1462" spans="1:2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 s="188">
        <v>1000</v>
      </c>
      <c r="S1462" s="8">
        <f t="shared" si="119"/>
        <v>-1000</v>
      </c>
      <c r="T1462" s="234">
        <f t="shared" si="122"/>
        <v>-932999.99999996147</v>
      </c>
      <c r="U1462" s="15">
        <v>25</v>
      </c>
      <c r="V1462" s="8">
        <f t="shared" si="120"/>
        <v>-25</v>
      </c>
      <c r="W1462" s="233">
        <f t="shared" si="121"/>
        <v>-34166.5</v>
      </c>
    </row>
    <row r="1463" spans="1:2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 s="188">
        <v>1000</v>
      </c>
      <c r="S1463" s="8">
        <f t="shared" si="119"/>
        <v>-1000</v>
      </c>
      <c r="T1463" s="234">
        <f t="shared" si="122"/>
        <v>-933999.99999996147</v>
      </c>
      <c r="U1463" s="15">
        <v>25</v>
      </c>
      <c r="V1463" s="8">
        <f t="shared" si="120"/>
        <v>-25</v>
      </c>
      <c r="W1463" s="233">
        <f t="shared" si="121"/>
        <v>-34191.5</v>
      </c>
    </row>
    <row r="1464" spans="1:2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 s="188">
        <v>1000</v>
      </c>
      <c r="S1464" s="8">
        <f t="shared" si="119"/>
        <v>-1000</v>
      </c>
      <c r="T1464" s="234">
        <f t="shared" si="122"/>
        <v>-934999.99999996147</v>
      </c>
      <c r="U1464" s="15">
        <v>25</v>
      </c>
      <c r="V1464" s="8">
        <f t="shared" si="120"/>
        <v>-25</v>
      </c>
      <c r="W1464" s="233">
        <f t="shared" si="121"/>
        <v>-34216.5</v>
      </c>
    </row>
    <row r="1465" spans="1:2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 s="188">
        <v>1000</v>
      </c>
      <c r="S1465" s="8">
        <f t="shared" si="119"/>
        <v>-1000</v>
      </c>
      <c r="T1465" s="234">
        <f t="shared" si="122"/>
        <v>-935999.99999996147</v>
      </c>
      <c r="U1465" s="15">
        <v>25</v>
      </c>
      <c r="V1465" s="8">
        <f t="shared" si="120"/>
        <v>-25</v>
      </c>
      <c r="W1465" s="233">
        <f t="shared" si="121"/>
        <v>-34241.5</v>
      </c>
    </row>
    <row r="1466" spans="1:2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 s="188">
        <v>1000</v>
      </c>
      <c r="S1466" s="8">
        <f t="shared" si="119"/>
        <v>-1000</v>
      </c>
      <c r="T1466" s="234">
        <f t="shared" si="122"/>
        <v>-936999.99999996147</v>
      </c>
      <c r="U1466" s="15">
        <v>25</v>
      </c>
      <c r="V1466" s="8">
        <f t="shared" si="120"/>
        <v>-25</v>
      </c>
      <c r="W1466" s="233">
        <f t="shared" si="121"/>
        <v>-34266.5</v>
      </c>
    </row>
    <row r="1467" spans="1:2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 s="188">
        <v>1000</v>
      </c>
      <c r="S1467" s="8">
        <f t="shared" si="119"/>
        <v>-1000</v>
      </c>
      <c r="T1467" s="234">
        <f t="shared" si="122"/>
        <v>-937999.99999996147</v>
      </c>
      <c r="U1467" s="15">
        <v>25</v>
      </c>
      <c r="V1467" s="8">
        <f t="shared" si="120"/>
        <v>-25</v>
      </c>
      <c r="W1467" s="233">
        <f t="shared" si="121"/>
        <v>-34291.5</v>
      </c>
    </row>
    <row r="1468" spans="1:2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 s="188">
        <v>1000</v>
      </c>
      <c r="S1468" s="8">
        <f t="shared" si="119"/>
        <v>-1000</v>
      </c>
      <c r="T1468" s="234">
        <f t="shared" si="122"/>
        <v>-938999.99999996147</v>
      </c>
      <c r="U1468" s="15">
        <v>25</v>
      </c>
      <c r="V1468" s="8">
        <f t="shared" si="120"/>
        <v>-25</v>
      </c>
      <c r="W1468" s="233">
        <f t="shared" si="121"/>
        <v>-34316.5</v>
      </c>
    </row>
    <row r="1469" spans="1:2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 s="188">
        <v>1000</v>
      </c>
      <c r="S1469" s="8">
        <f t="shared" si="119"/>
        <v>-1000</v>
      </c>
      <c r="T1469" s="234">
        <f t="shared" si="122"/>
        <v>-939999.99999996147</v>
      </c>
      <c r="U1469" s="15">
        <v>25</v>
      </c>
      <c r="V1469" s="8">
        <f t="shared" si="120"/>
        <v>-25</v>
      </c>
      <c r="W1469" s="233">
        <f t="shared" si="121"/>
        <v>-34341.5</v>
      </c>
    </row>
    <row r="1470" spans="1:2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 s="188">
        <v>1000</v>
      </c>
      <c r="S1470" s="8">
        <f t="shared" si="119"/>
        <v>-1000</v>
      </c>
      <c r="T1470" s="234">
        <f t="shared" si="122"/>
        <v>-940999.99999996147</v>
      </c>
      <c r="U1470" s="15">
        <v>25</v>
      </c>
      <c r="V1470" s="8">
        <f t="shared" si="120"/>
        <v>-25</v>
      </c>
      <c r="W1470" s="233">
        <f t="shared" si="121"/>
        <v>-34366.5</v>
      </c>
    </row>
    <row r="1471" spans="1:2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 s="188">
        <v>1000</v>
      </c>
      <c r="S1471" s="8">
        <f t="shared" si="119"/>
        <v>-1000</v>
      </c>
      <c r="T1471" s="234">
        <f t="shared" si="122"/>
        <v>-941999.99999996147</v>
      </c>
      <c r="U1471" s="15">
        <v>25</v>
      </c>
      <c r="V1471" s="8">
        <f t="shared" si="120"/>
        <v>-25</v>
      </c>
      <c r="W1471" s="233">
        <f t="shared" si="121"/>
        <v>-34391.5</v>
      </c>
    </row>
    <row r="1472" spans="1:2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 s="188">
        <v>1000</v>
      </c>
      <c r="S1472" s="8">
        <f t="shared" si="119"/>
        <v>-1000</v>
      </c>
      <c r="T1472" s="234">
        <f t="shared" si="122"/>
        <v>-942999.99999996147</v>
      </c>
      <c r="U1472" s="15">
        <v>25</v>
      </c>
      <c r="V1472" s="8">
        <f t="shared" si="120"/>
        <v>-25</v>
      </c>
      <c r="W1472" s="233">
        <f t="shared" si="121"/>
        <v>-34416.5</v>
      </c>
    </row>
    <row r="1473" spans="1:2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 s="188">
        <v>1000</v>
      </c>
      <c r="S1473" s="8">
        <f t="shared" si="119"/>
        <v>-1000</v>
      </c>
      <c r="T1473" s="234">
        <f t="shared" si="122"/>
        <v>-943999.99999996147</v>
      </c>
      <c r="U1473" s="15">
        <v>25</v>
      </c>
      <c r="V1473" s="8">
        <f t="shared" si="120"/>
        <v>-25</v>
      </c>
      <c r="W1473" s="233">
        <f t="shared" si="121"/>
        <v>-34441.5</v>
      </c>
    </row>
    <row r="1474" spans="1:2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 s="188">
        <v>1000</v>
      </c>
      <c r="S1474" s="8">
        <f t="shared" si="119"/>
        <v>-1000</v>
      </c>
      <c r="T1474" s="234">
        <f t="shared" si="122"/>
        <v>-944999.99999996147</v>
      </c>
      <c r="U1474" s="15">
        <v>25</v>
      </c>
      <c r="V1474" s="8">
        <f t="shared" si="120"/>
        <v>-25</v>
      </c>
      <c r="W1474" s="233">
        <f t="shared" si="121"/>
        <v>-34466.5</v>
      </c>
    </row>
    <row r="1475" spans="1:2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 s="188">
        <v>1000</v>
      </c>
      <c r="S1475" s="8">
        <f t="shared" ref="S1475:S1538" si="123">IF(O1475="won",R1475*0.18,-R1475)</f>
        <v>-1000</v>
      </c>
      <c r="T1475" s="234">
        <f t="shared" si="122"/>
        <v>-945999.99999996147</v>
      </c>
      <c r="U1475" s="15">
        <v>25</v>
      </c>
      <c r="V1475" s="8">
        <f t="shared" ref="V1475:V1538" si="124">IF(O1475="won",U1475*0.18,-U1475)</f>
        <v>-25</v>
      </c>
      <c r="W1475" s="233">
        <f t="shared" ref="W1475:W1538" si="125">SUM(W1474,V1475)</f>
        <v>-34491.5</v>
      </c>
    </row>
    <row r="1476" spans="1:2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 s="188">
        <v>1000</v>
      </c>
      <c r="S1476" s="8">
        <f t="shared" si="123"/>
        <v>-1000</v>
      </c>
      <c r="T1476" s="234">
        <f t="shared" si="122"/>
        <v>-946999.99999996147</v>
      </c>
      <c r="U1476" s="15">
        <v>25</v>
      </c>
      <c r="V1476" s="8">
        <f t="shared" si="124"/>
        <v>-25</v>
      </c>
      <c r="W1476" s="233">
        <f t="shared" si="125"/>
        <v>-34516.5</v>
      </c>
    </row>
    <row r="1477" spans="1:2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 s="188">
        <v>1000</v>
      </c>
      <c r="S1477" s="8">
        <f t="shared" si="123"/>
        <v>-1000</v>
      </c>
      <c r="T1477" s="234">
        <f t="shared" si="122"/>
        <v>-947999.99999996147</v>
      </c>
      <c r="U1477" s="15">
        <v>25</v>
      </c>
      <c r="V1477" s="8">
        <f t="shared" si="124"/>
        <v>-25</v>
      </c>
      <c r="W1477" s="233">
        <f t="shared" si="125"/>
        <v>-34541.5</v>
      </c>
    </row>
    <row r="1478" spans="1:2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 s="188">
        <v>1000</v>
      </c>
      <c r="S1478" s="8">
        <f t="shared" si="123"/>
        <v>-1000</v>
      </c>
      <c r="T1478" s="234">
        <f t="shared" si="122"/>
        <v>-948999.99999996147</v>
      </c>
      <c r="U1478" s="15">
        <v>25</v>
      </c>
      <c r="V1478" s="8">
        <f t="shared" si="124"/>
        <v>-25</v>
      </c>
      <c r="W1478" s="233">
        <f t="shared" si="125"/>
        <v>-34566.5</v>
      </c>
    </row>
    <row r="1479" spans="1:2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 s="188">
        <v>1000</v>
      </c>
      <c r="S1479" s="8">
        <f t="shared" si="123"/>
        <v>-1000</v>
      </c>
      <c r="T1479" s="234">
        <f t="shared" si="122"/>
        <v>-949999.99999996147</v>
      </c>
      <c r="U1479" s="15">
        <v>25</v>
      </c>
      <c r="V1479" s="8">
        <f t="shared" si="124"/>
        <v>-25</v>
      </c>
      <c r="W1479" s="233">
        <f t="shared" si="125"/>
        <v>-34591.5</v>
      </c>
    </row>
    <row r="1480" spans="1:2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 s="188">
        <v>1000</v>
      </c>
      <c r="S1480" s="8">
        <f t="shared" si="123"/>
        <v>-1000</v>
      </c>
      <c r="T1480" s="234">
        <f t="shared" si="122"/>
        <v>-950999.99999996147</v>
      </c>
      <c r="U1480" s="15">
        <v>25</v>
      </c>
      <c r="V1480" s="8">
        <f t="shared" si="124"/>
        <v>-25</v>
      </c>
      <c r="W1480" s="233">
        <f t="shared" si="125"/>
        <v>-34616.5</v>
      </c>
    </row>
    <row r="1481" spans="1:2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 s="188">
        <v>1000</v>
      </c>
      <c r="S1481" s="8">
        <f t="shared" si="123"/>
        <v>-1000</v>
      </c>
      <c r="T1481" s="234">
        <f t="shared" si="122"/>
        <v>-951999.99999996147</v>
      </c>
      <c r="U1481" s="15">
        <v>25</v>
      </c>
      <c r="V1481" s="8">
        <f t="shared" si="124"/>
        <v>-25</v>
      </c>
      <c r="W1481" s="233">
        <f t="shared" si="125"/>
        <v>-34641.5</v>
      </c>
    </row>
    <row r="1482" spans="1:2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 s="188">
        <v>1000</v>
      </c>
      <c r="S1482" s="8">
        <f t="shared" si="123"/>
        <v>-1000</v>
      </c>
      <c r="T1482" s="234">
        <f t="shared" ref="T1482:T1545" si="126">SUM(T1481,S1482)</f>
        <v>-952999.99999996147</v>
      </c>
      <c r="U1482" s="15">
        <v>25</v>
      </c>
      <c r="V1482" s="8">
        <f t="shared" si="124"/>
        <v>-25</v>
      </c>
      <c r="W1482" s="233">
        <f t="shared" si="125"/>
        <v>-34666.5</v>
      </c>
    </row>
    <row r="1483" spans="1:2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 s="188">
        <v>1000</v>
      </c>
      <c r="S1483" s="8">
        <f t="shared" si="123"/>
        <v>-1000</v>
      </c>
      <c r="T1483" s="234">
        <f t="shared" si="126"/>
        <v>-953999.99999996147</v>
      </c>
      <c r="U1483" s="15">
        <v>25</v>
      </c>
      <c r="V1483" s="8">
        <f t="shared" si="124"/>
        <v>-25</v>
      </c>
      <c r="W1483" s="233">
        <f t="shared" si="125"/>
        <v>-34691.5</v>
      </c>
    </row>
    <row r="1484" spans="1:2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 s="188">
        <v>1000</v>
      </c>
      <c r="S1484" s="8">
        <f t="shared" si="123"/>
        <v>-1000</v>
      </c>
      <c r="T1484" s="234">
        <f t="shared" si="126"/>
        <v>-954999.99999996147</v>
      </c>
      <c r="U1484" s="15">
        <v>25</v>
      </c>
      <c r="V1484" s="8">
        <f t="shared" si="124"/>
        <v>-25</v>
      </c>
      <c r="W1484" s="233">
        <f t="shared" si="125"/>
        <v>-34716.5</v>
      </c>
    </row>
    <row r="1485" spans="1:2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 s="188">
        <v>1000</v>
      </c>
      <c r="S1485" s="8">
        <f t="shared" si="123"/>
        <v>-1000</v>
      </c>
      <c r="T1485" s="234">
        <f t="shared" si="126"/>
        <v>-955999.99999996147</v>
      </c>
      <c r="U1485" s="15">
        <v>25</v>
      </c>
      <c r="V1485" s="8">
        <f t="shared" si="124"/>
        <v>-25</v>
      </c>
      <c r="W1485" s="233">
        <f t="shared" si="125"/>
        <v>-34741.5</v>
      </c>
    </row>
    <row r="1486" spans="1:2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 s="188">
        <v>1000</v>
      </c>
      <c r="S1486" s="8">
        <f t="shared" si="123"/>
        <v>-1000</v>
      </c>
      <c r="T1486" s="234">
        <f t="shared" si="126"/>
        <v>-956999.99999996147</v>
      </c>
      <c r="U1486" s="15">
        <v>25</v>
      </c>
      <c r="V1486" s="8">
        <f t="shared" si="124"/>
        <v>-25</v>
      </c>
      <c r="W1486" s="233">
        <f t="shared" si="125"/>
        <v>-34766.5</v>
      </c>
    </row>
    <row r="1487" spans="1:2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 s="188">
        <v>1000</v>
      </c>
      <c r="S1487" s="8">
        <f t="shared" si="123"/>
        <v>-1000</v>
      </c>
      <c r="T1487" s="234">
        <f t="shared" si="126"/>
        <v>-957999.99999996147</v>
      </c>
      <c r="U1487" s="15">
        <v>25</v>
      </c>
      <c r="V1487" s="8">
        <f t="shared" si="124"/>
        <v>-25</v>
      </c>
      <c r="W1487" s="233">
        <f t="shared" si="125"/>
        <v>-34791.5</v>
      </c>
    </row>
    <row r="1488" spans="1:2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 s="188">
        <v>1000</v>
      </c>
      <c r="S1488" s="8">
        <f t="shared" si="123"/>
        <v>-1000</v>
      </c>
      <c r="T1488" s="234">
        <f t="shared" si="126"/>
        <v>-958999.99999996147</v>
      </c>
      <c r="U1488" s="15">
        <v>25</v>
      </c>
      <c r="V1488" s="8">
        <f t="shared" si="124"/>
        <v>-25</v>
      </c>
      <c r="W1488" s="233">
        <f t="shared" si="125"/>
        <v>-34816.5</v>
      </c>
    </row>
    <row r="1489" spans="1:2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 s="188">
        <v>1000</v>
      </c>
      <c r="S1489" s="8">
        <f t="shared" si="123"/>
        <v>-1000</v>
      </c>
      <c r="T1489" s="234">
        <f t="shared" si="126"/>
        <v>-959999.99999996147</v>
      </c>
      <c r="U1489" s="15">
        <v>25</v>
      </c>
      <c r="V1489" s="8">
        <f t="shared" si="124"/>
        <v>-25</v>
      </c>
      <c r="W1489" s="233">
        <f t="shared" si="125"/>
        <v>-34841.5</v>
      </c>
    </row>
    <row r="1490" spans="1:2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 s="188">
        <v>1000</v>
      </c>
      <c r="S1490" s="8">
        <f t="shared" si="123"/>
        <v>-1000</v>
      </c>
      <c r="T1490" s="234">
        <f t="shared" si="126"/>
        <v>-960999.99999996147</v>
      </c>
      <c r="U1490" s="15">
        <v>25</v>
      </c>
      <c r="V1490" s="8">
        <f t="shared" si="124"/>
        <v>-25</v>
      </c>
      <c r="W1490" s="233">
        <f t="shared" si="125"/>
        <v>-34866.5</v>
      </c>
    </row>
    <row r="1491" spans="1:2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 s="188">
        <v>1000</v>
      </c>
      <c r="S1491" s="8">
        <f t="shared" si="123"/>
        <v>-1000</v>
      </c>
      <c r="T1491" s="234">
        <f t="shared" si="126"/>
        <v>-961999.99999996147</v>
      </c>
      <c r="U1491" s="15">
        <v>25</v>
      </c>
      <c r="V1491" s="8">
        <f t="shared" si="124"/>
        <v>-25</v>
      </c>
      <c r="W1491" s="233">
        <f t="shared" si="125"/>
        <v>-34891.5</v>
      </c>
    </row>
    <row r="1492" spans="1:2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 s="188">
        <v>1000</v>
      </c>
      <c r="S1492" s="8">
        <f t="shared" si="123"/>
        <v>-1000</v>
      </c>
      <c r="T1492" s="234">
        <f t="shared" si="126"/>
        <v>-962999.99999996147</v>
      </c>
      <c r="U1492" s="15">
        <v>25</v>
      </c>
      <c r="V1492" s="8">
        <f t="shared" si="124"/>
        <v>-25</v>
      </c>
      <c r="W1492" s="233">
        <f t="shared" si="125"/>
        <v>-34916.5</v>
      </c>
    </row>
    <row r="1493" spans="1:2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 s="188">
        <v>1000</v>
      </c>
      <c r="S1493" s="8">
        <f t="shared" si="123"/>
        <v>-1000</v>
      </c>
      <c r="T1493" s="234">
        <f t="shared" si="126"/>
        <v>-963999.99999996147</v>
      </c>
      <c r="U1493" s="15">
        <v>25</v>
      </c>
      <c r="V1493" s="8">
        <f t="shared" si="124"/>
        <v>-25</v>
      </c>
      <c r="W1493" s="233">
        <f t="shared" si="125"/>
        <v>-34941.5</v>
      </c>
    </row>
    <row r="1494" spans="1:2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 s="188">
        <v>1000</v>
      </c>
      <c r="S1494" s="8">
        <f t="shared" si="123"/>
        <v>-1000</v>
      </c>
      <c r="T1494" s="234">
        <f t="shared" si="126"/>
        <v>-964999.99999996147</v>
      </c>
      <c r="U1494" s="15">
        <v>25</v>
      </c>
      <c r="V1494" s="8">
        <f t="shared" si="124"/>
        <v>-25</v>
      </c>
      <c r="W1494" s="233">
        <f t="shared" si="125"/>
        <v>-34966.5</v>
      </c>
    </row>
    <row r="1495" spans="1:2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 s="188">
        <v>1000</v>
      </c>
      <c r="S1495" s="8">
        <f t="shared" si="123"/>
        <v>-1000</v>
      </c>
      <c r="T1495" s="234">
        <f t="shared" si="126"/>
        <v>-965999.99999996147</v>
      </c>
      <c r="U1495" s="15">
        <v>25</v>
      </c>
      <c r="V1495" s="8">
        <f t="shared" si="124"/>
        <v>-25</v>
      </c>
      <c r="W1495" s="233">
        <f t="shared" si="125"/>
        <v>-34991.5</v>
      </c>
    </row>
    <row r="1496" spans="1:2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 s="188">
        <v>1000</v>
      </c>
      <c r="S1496" s="8">
        <f t="shared" si="123"/>
        <v>-1000</v>
      </c>
      <c r="T1496" s="234">
        <f t="shared" si="126"/>
        <v>-966999.99999996147</v>
      </c>
      <c r="U1496" s="15">
        <v>25</v>
      </c>
      <c r="V1496" s="8">
        <f t="shared" si="124"/>
        <v>-25</v>
      </c>
      <c r="W1496" s="233">
        <f t="shared" si="125"/>
        <v>-35016.5</v>
      </c>
    </row>
    <row r="1497" spans="1:2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 s="188">
        <v>1000</v>
      </c>
      <c r="S1497" s="8">
        <f t="shared" si="123"/>
        <v>-1000</v>
      </c>
      <c r="T1497" s="234">
        <f t="shared" si="126"/>
        <v>-967999.99999996147</v>
      </c>
      <c r="U1497" s="15">
        <v>25</v>
      </c>
      <c r="V1497" s="8">
        <f t="shared" si="124"/>
        <v>-25</v>
      </c>
      <c r="W1497" s="233">
        <f t="shared" si="125"/>
        <v>-35041.5</v>
      </c>
    </row>
    <row r="1498" spans="1:2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 s="188">
        <v>1000</v>
      </c>
      <c r="S1498" s="8">
        <f t="shared" si="123"/>
        <v>-1000</v>
      </c>
      <c r="T1498" s="234">
        <f t="shared" si="126"/>
        <v>-968999.99999996147</v>
      </c>
      <c r="U1498" s="15">
        <v>25</v>
      </c>
      <c r="V1498" s="8">
        <f t="shared" si="124"/>
        <v>-25</v>
      </c>
      <c r="W1498" s="233">
        <f t="shared" si="125"/>
        <v>-35066.5</v>
      </c>
    </row>
    <row r="1499" spans="1:2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 s="188">
        <v>1000</v>
      </c>
      <c r="S1499" s="8">
        <f t="shared" si="123"/>
        <v>-1000</v>
      </c>
      <c r="T1499" s="234">
        <f t="shared" si="126"/>
        <v>-969999.99999996147</v>
      </c>
      <c r="U1499" s="15">
        <v>25</v>
      </c>
      <c r="V1499" s="8">
        <f t="shared" si="124"/>
        <v>-25</v>
      </c>
      <c r="W1499" s="233">
        <f t="shared" si="125"/>
        <v>-35091.5</v>
      </c>
    </row>
    <row r="1500" spans="1:2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 s="188">
        <v>1000</v>
      </c>
      <c r="S1500" s="8">
        <f t="shared" si="123"/>
        <v>-1000</v>
      </c>
      <c r="T1500" s="234">
        <f t="shared" si="126"/>
        <v>-970999.99999996147</v>
      </c>
      <c r="U1500" s="15">
        <v>25</v>
      </c>
      <c r="V1500" s="8">
        <f t="shared" si="124"/>
        <v>-25</v>
      </c>
      <c r="W1500" s="233">
        <f t="shared" si="125"/>
        <v>-35116.5</v>
      </c>
    </row>
    <row r="1501" spans="1:2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 s="188">
        <v>1000</v>
      </c>
      <c r="S1501" s="8">
        <f t="shared" si="123"/>
        <v>-1000</v>
      </c>
      <c r="T1501" s="234">
        <f t="shared" si="126"/>
        <v>-971999.99999996147</v>
      </c>
      <c r="U1501" s="15">
        <v>25</v>
      </c>
      <c r="V1501" s="8">
        <f t="shared" si="124"/>
        <v>-25</v>
      </c>
      <c r="W1501" s="233">
        <f t="shared" si="125"/>
        <v>-35141.5</v>
      </c>
    </row>
    <row r="1502" spans="1:2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 s="188">
        <v>1000</v>
      </c>
      <c r="S1502" s="8">
        <f t="shared" si="123"/>
        <v>-1000</v>
      </c>
      <c r="T1502" s="234">
        <f t="shared" si="126"/>
        <v>-972999.99999996147</v>
      </c>
      <c r="U1502" s="15">
        <v>25</v>
      </c>
      <c r="V1502" s="8">
        <f t="shared" si="124"/>
        <v>-25</v>
      </c>
      <c r="W1502" s="233">
        <f t="shared" si="125"/>
        <v>-35166.5</v>
      </c>
    </row>
    <row r="1503" spans="1:2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 s="188">
        <v>1000</v>
      </c>
      <c r="S1503" s="8">
        <f t="shared" si="123"/>
        <v>-1000</v>
      </c>
      <c r="T1503" s="234">
        <f t="shared" si="126"/>
        <v>-973999.99999996147</v>
      </c>
      <c r="U1503" s="15">
        <v>25</v>
      </c>
      <c r="V1503" s="8">
        <f t="shared" si="124"/>
        <v>-25</v>
      </c>
      <c r="W1503" s="233">
        <f t="shared" si="125"/>
        <v>-35191.5</v>
      </c>
    </row>
    <row r="1504" spans="1:2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 s="188">
        <v>1000</v>
      </c>
      <c r="S1504" s="8">
        <f t="shared" si="123"/>
        <v>-1000</v>
      </c>
      <c r="T1504" s="234">
        <f t="shared" si="126"/>
        <v>-974999.99999996147</v>
      </c>
      <c r="U1504" s="15">
        <v>25</v>
      </c>
      <c r="V1504" s="8">
        <f t="shared" si="124"/>
        <v>-25</v>
      </c>
      <c r="W1504" s="233">
        <f t="shared" si="125"/>
        <v>-35216.5</v>
      </c>
    </row>
    <row r="1505" spans="1:2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 s="188">
        <v>1000</v>
      </c>
      <c r="S1505" s="8">
        <f t="shared" si="123"/>
        <v>-1000</v>
      </c>
      <c r="T1505" s="234">
        <f t="shared" si="126"/>
        <v>-975999.99999996147</v>
      </c>
      <c r="U1505" s="15">
        <v>25</v>
      </c>
      <c r="V1505" s="8">
        <f t="shared" si="124"/>
        <v>-25</v>
      </c>
      <c r="W1505" s="233">
        <f t="shared" si="125"/>
        <v>-35241.5</v>
      </c>
    </row>
    <row r="1506" spans="1:2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 s="188">
        <v>1000</v>
      </c>
      <c r="S1506" s="8">
        <f t="shared" si="123"/>
        <v>-1000</v>
      </c>
      <c r="T1506" s="234">
        <f t="shared" si="126"/>
        <v>-976999.99999996147</v>
      </c>
      <c r="U1506" s="15">
        <v>25</v>
      </c>
      <c r="V1506" s="8">
        <f t="shared" si="124"/>
        <v>-25</v>
      </c>
      <c r="W1506" s="233">
        <f t="shared" si="125"/>
        <v>-35266.5</v>
      </c>
    </row>
    <row r="1507" spans="1:2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 s="188">
        <v>1000</v>
      </c>
      <c r="S1507" s="8">
        <f t="shared" si="123"/>
        <v>-1000</v>
      </c>
      <c r="T1507" s="234">
        <f t="shared" si="126"/>
        <v>-977999.99999996147</v>
      </c>
      <c r="U1507" s="15">
        <v>25</v>
      </c>
      <c r="V1507" s="8">
        <f t="shared" si="124"/>
        <v>-25</v>
      </c>
      <c r="W1507" s="233">
        <f t="shared" si="125"/>
        <v>-35291.5</v>
      </c>
    </row>
    <row r="1508" spans="1:2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 s="188">
        <v>1000</v>
      </c>
      <c r="S1508" s="8">
        <f t="shared" si="123"/>
        <v>-1000</v>
      </c>
      <c r="T1508" s="234">
        <f t="shared" si="126"/>
        <v>-978999.99999996147</v>
      </c>
      <c r="U1508" s="15">
        <v>25</v>
      </c>
      <c r="V1508" s="8">
        <f t="shared" si="124"/>
        <v>-25</v>
      </c>
      <c r="W1508" s="233">
        <f t="shared" si="125"/>
        <v>-35316.5</v>
      </c>
    </row>
    <row r="1509" spans="1:2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 s="188">
        <v>1000</v>
      </c>
      <c r="S1509" s="8">
        <f t="shared" si="123"/>
        <v>-1000</v>
      </c>
      <c r="T1509" s="234">
        <f t="shared" si="126"/>
        <v>-979999.99999996147</v>
      </c>
      <c r="U1509" s="15">
        <v>25</v>
      </c>
      <c r="V1509" s="8">
        <f t="shared" si="124"/>
        <v>-25</v>
      </c>
      <c r="W1509" s="233">
        <f t="shared" si="125"/>
        <v>-35341.5</v>
      </c>
    </row>
    <row r="1510" spans="1:2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 s="188">
        <v>1000</v>
      </c>
      <c r="S1510" s="8">
        <f t="shared" si="123"/>
        <v>-1000</v>
      </c>
      <c r="T1510" s="234">
        <f t="shared" si="126"/>
        <v>-980999.99999996147</v>
      </c>
      <c r="U1510" s="15">
        <v>25</v>
      </c>
      <c r="V1510" s="8">
        <f t="shared" si="124"/>
        <v>-25</v>
      </c>
      <c r="W1510" s="233">
        <f t="shared" si="125"/>
        <v>-35366.5</v>
      </c>
    </row>
    <row r="1511" spans="1:2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 s="188">
        <v>1000</v>
      </c>
      <c r="S1511" s="8">
        <f t="shared" si="123"/>
        <v>-1000</v>
      </c>
      <c r="T1511" s="234">
        <f t="shared" si="126"/>
        <v>-981999.99999996147</v>
      </c>
      <c r="U1511" s="15">
        <v>25</v>
      </c>
      <c r="V1511" s="8">
        <f t="shared" si="124"/>
        <v>-25</v>
      </c>
      <c r="W1511" s="233">
        <f t="shared" si="125"/>
        <v>-35391.5</v>
      </c>
    </row>
    <row r="1512" spans="1:2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 s="188">
        <v>1000</v>
      </c>
      <c r="S1512" s="8">
        <f t="shared" si="123"/>
        <v>-1000</v>
      </c>
      <c r="T1512" s="234">
        <f t="shared" si="126"/>
        <v>-982999.99999996147</v>
      </c>
      <c r="U1512" s="15">
        <v>25</v>
      </c>
      <c r="V1512" s="8">
        <f t="shared" si="124"/>
        <v>-25</v>
      </c>
      <c r="W1512" s="233">
        <f t="shared" si="125"/>
        <v>-35416.5</v>
      </c>
    </row>
    <row r="1513" spans="1:2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 s="188">
        <v>1000</v>
      </c>
      <c r="S1513" s="8">
        <f t="shared" si="123"/>
        <v>-1000</v>
      </c>
      <c r="T1513" s="234">
        <f t="shared" si="126"/>
        <v>-983999.99999996147</v>
      </c>
      <c r="U1513" s="15">
        <v>25</v>
      </c>
      <c r="V1513" s="8">
        <f t="shared" si="124"/>
        <v>-25</v>
      </c>
      <c r="W1513" s="233">
        <f t="shared" si="125"/>
        <v>-35441.5</v>
      </c>
    </row>
    <row r="1514" spans="1:2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 s="188">
        <v>1000</v>
      </c>
      <c r="S1514" s="8">
        <f t="shared" si="123"/>
        <v>-1000</v>
      </c>
      <c r="T1514" s="234">
        <f t="shared" si="126"/>
        <v>-984999.99999996147</v>
      </c>
      <c r="U1514" s="15">
        <v>25</v>
      </c>
      <c r="V1514" s="8">
        <f t="shared" si="124"/>
        <v>-25</v>
      </c>
      <c r="W1514" s="233">
        <f t="shared" si="125"/>
        <v>-35466.5</v>
      </c>
    </row>
    <row r="1515" spans="1:2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 s="188">
        <v>1000</v>
      </c>
      <c r="S1515" s="8">
        <f t="shared" si="123"/>
        <v>-1000</v>
      </c>
      <c r="T1515" s="234">
        <f t="shared" si="126"/>
        <v>-985999.99999996147</v>
      </c>
      <c r="U1515" s="15">
        <v>25</v>
      </c>
      <c r="V1515" s="8">
        <f t="shared" si="124"/>
        <v>-25</v>
      </c>
      <c r="W1515" s="233">
        <f t="shared" si="125"/>
        <v>-35491.5</v>
      </c>
    </row>
    <row r="1516" spans="1:2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 s="188">
        <v>1000</v>
      </c>
      <c r="S1516" s="8">
        <f t="shared" si="123"/>
        <v>-1000</v>
      </c>
      <c r="T1516" s="234">
        <f t="shared" si="126"/>
        <v>-986999.99999996147</v>
      </c>
      <c r="U1516" s="15">
        <v>25</v>
      </c>
      <c r="V1516" s="8">
        <f t="shared" si="124"/>
        <v>-25</v>
      </c>
      <c r="W1516" s="233">
        <f t="shared" si="125"/>
        <v>-35516.5</v>
      </c>
    </row>
    <row r="1517" spans="1:2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 s="188">
        <v>1000</v>
      </c>
      <c r="S1517" s="8">
        <f t="shared" si="123"/>
        <v>-1000</v>
      </c>
      <c r="T1517" s="234">
        <f t="shared" si="126"/>
        <v>-987999.99999996147</v>
      </c>
      <c r="U1517" s="15">
        <v>25</v>
      </c>
      <c r="V1517" s="8">
        <f t="shared" si="124"/>
        <v>-25</v>
      </c>
      <c r="W1517" s="233">
        <f t="shared" si="125"/>
        <v>-35541.5</v>
      </c>
    </row>
    <row r="1518" spans="1:2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 s="188">
        <v>1000</v>
      </c>
      <c r="S1518" s="8">
        <f t="shared" si="123"/>
        <v>-1000</v>
      </c>
      <c r="T1518" s="234">
        <f t="shared" si="126"/>
        <v>-988999.99999996147</v>
      </c>
      <c r="U1518" s="15">
        <v>25</v>
      </c>
      <c r="V1518" s="8">
        <f t="shared" si="124"/>
        <v>-25</v>
      </c>
      <c r="W1518" s="233">
        <f t="shared" si="125"/>
        <v>-35566.5</v>
      </c>
    </row>
    <row r="1519" spans="1:2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 s="188">
        <v>1000</v>
      </c>
      <c r="S1519" s="8">
        <f t="shared" si="123"/>
        <v>-1000</v>
      </c>
      <c r="T1519" s="234">
        <f t="shared" si="126"/>
        <v>-989999.99999996147</v>
      </c>
      <c r="U1519" s="15">
        <v>25</v>
      </c>
      <c r="V1519" s="8">
        <f t="shared" si="124"/>
        <v>-25</v>
      </c>
      <c r="W1519" s="233">
        <f t="shared" si="125"/>
        <v>-35591.5</v>
      </c>
    </row>
    <row r="1520" spans="1:2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 s="188">
        <v>1000</v>
      </c>
      <c r="S1520" s="8">
        <f t="shared" si="123"/>
        <v>-1000</v>
      </c>
      <c r="T1520" s="234">
        <f t="shared" si="126"/>
        <v>-990999.99999996147</v>
      </c>
      <c r="U1520" s="15">
        <v>25</v>
      </c>
      <c r="V1520" s="8">
        <f t="shared" si="124"/>
        <v>-25</v>
      </c>
      <c r="W1520" s="233">
        <f t="shared" si="125"/>
        <v>-35616.5</v>
      </c>
    </row>
    <row r="1521" spans="1:2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 s="188">
        <v>1000</v>
      </c>
      <c r="S1521" s="8">
        <f t="shared" si="123"/>
        <v>-1000</v>
      </c>
      <c r="T1521" s="234">
        <f t="shared" si="126"/>
        <v>-991999.99999996147</v>
      </c>
      <c r="U1521" s="15">
        <v>25</v>
      </c>
      <c r="V1521" s="8">
        <f t="shared" si="124"/>
        <v>-25</v>
      </c>
      <c r="W1521" s="233">
        <f t="shared" si="125"/>
        <v>-35641.5</v>
      </c>
    </row>
    <row r="1522" spans="1:2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 s="188">
        <v>1000</v>
      </c>
      <c r="S1522" s="8">
        <f t="shared" si="123"/>
        <v>-1000</v>
      </c>
      <c r="T1522" s="234">
        <f t="shared" si="126"/>
        <v>-992999.99999996147</v>
      </c>
      <c r="U1522" s="15">
        <v>25</v>
      </c>
      <c r="V1522" s="8">
        <f t="shared" si="124"/>
        <v>-25</v>
      </c>
      <c r="W1522" s="233">
        <f t="shared" si="125"/>
        <v>-35666.5</v>
      </c>
    </row>
    <row r="1523" spans="1:2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 s="188">
        <v>1000</v>
      </c>
      <c r="S1523" s="8">
        <f t="shared" si="123"/>
        <v>-1000</v>
      </c>
      <c r="T1523" s="234">
        <f t="shared" si="126"/>
        <v>-993999.99999996147</v>
      </c>
      <c r="U1523" s="15">
        <v>25</v>
      </c>
      <c r="V1523" s="8">
        <f t="shared" si="124"/>
        <v>-25</v>
      </c>
      <c r="W1523" s="233">
        <f t="shared" si="125"/>
        <v>-35691.5</v>
      </c>
    </row>
    <row r="1524" spans="1:2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 s="188">
        <v>1000</v>
      </c>
      <c r="S1524" s="8">
        <f t="shared" si="123"/>
        <v>-1000</v>
      </c>
      <c r="T1524" s="234">
        <f t="shared" si="126"/>
        <v>-994999.99999996147</v>
      </c>
      <c r="U1524" s="15">
        <v>25</v>
      </c>
      <c r="V1524" s="8">
        <f t="shared" si="124"/>
        <v>-25</v>
      </c>
      <c r="W1524" s="233">
        <f t="shared" si="125"/>
        <v>-35716.5</v>
      </c>
    </row>
    <row r="1525" spans="1:2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 s="188">
        <v>1000</v>
      </c>
      <c r="S1525" s="8">
        <f t="shared" si="123"/>
        <v>-1000</v>
      </c>
      <c r="T1525" s="234">
        <f t="shared" si="126"/>
        <v>-995999.99999996147</v>
      </c>
      <c r="U1525" s="15">
        <v>25</v>
      </c>
      <c r="V1525" s="8">
        <f t="shared" si="124"/>
        <v>-25</v>
      </c>
      <c r="W1525" s="233">
        <f t="shared" si="125"/>
        <v>-35741.5</v>
      </c>
    </row>
    <row r="1526" spans="1:2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 s="188">
        <v>1000</v>
      </c>
      <c r="S1526" s="8">
        <f t="shared" si="123"/>
        <v>-1000</v>
      </c>
      <c r="T1526" s="234">
        <f t="shared" si="126"/>
        <v>-996999.99999996147</v>
      </c>
      <c r="U1526" s="15">
        <v>25</v>
      </c>
      <c r="V1526" s="8">
        <f t="shared" si="124"/>
        <v>-25</v>
      </c>
      <c r="W1526" s="233">
        <f t="shared" si="125"/>
        <v>-35766.5</v>
      </c>
    </row>
    <row r="1527" spans="1:2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 s="188">
        <v>1000</v>
      </c>
      <c r="S1527" s="8">
        <f t="shared" si="123"/>
        <v>-1000</v>
      </c>
      <c r="T1527" s="234">
        <f t="shared" si="126"/>
        <v>-997999.99999996147</v>
      </c>
      <c r="U1527" s="15">
        <v>25</v>
      </c>
      <c r="V1527" s="8">
        <f t="shared" si="124"/>
        <v>-25</v>
      </c>
      <c r="W1527" s="233">
        <f t="shared" si="125"/>
        <v>-35791.5</v>
      </c>
    </row>
    <row r="1528" spans="1:2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 s="188">
        <v>1000</v>
      </c>
      <c r="S1528" s="8">
        <f t="shared" si="123"/>
        <v>-1000</v>
      </c>
      <c r="T1528" s="234">
        <f t="shared" si="126"/>
        <v>-998999.99999996147</v>
      </c>
      <c r="U1528" s="15">
        <v>25</v>
      </c>
      <c r="V1528" s="8">
        <f t="shared" si="124"/>
        <v>-25</v>
      </c>
      <c r="W1528" s="233">
        <f t="shared" si="125"/>
        <v>-35816.5</v>
      </c>
    </row>
    <row r="1529" spans="1:2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 s="188">
        <v>1000</v>
      </c>
      <c r="S1529" s="8">
        <f t="shared" si="123"/>
        <v>-1000</v>
      </c>
      <c r="T1529" s="234">
        <f t="shared" si="126"/>
        <v>-999999.99999996147</v>
      </c>
      <c r="U1529" s="15">
        <v>25</v>
      </c>
      <c r="V1529" s="8">
        <f t="shared" si="124"/>
        <v>-25</v>
      </c>
      <c r="W1529" s="233">
        <f t="shared" si="125"/>
        <v>-35841.5</v>
      </c>
    </row>
    <row r="1530" spans="1:2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 s="188">
        <v>1000</v>
      </c>
      <c r="S1530" s="8">
        <f t="shared" si="123"/>
        <v>-1000</v>
      </c>
      <c r="T1530" s="234">
        <f t="shared" si="126"/>
        <v>-1000999.9999999615</v>
      </c>
      <c r="U1530" s="15">
        <v>25</v>
      </c>
      <c r="V1530" s="8">
        <f t="shared" si="124"/>
        <v>-25</v>
      </c>
      <c r="W1530" s="233">
        <f t="shared" si="125"/>
        <v>-35866.5</v>
      </c>
    </row>
    <row r="1531" spans="1:2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 s="188">
        <v>1000</v>
      </c>
      <c r="S1531" s="8">
        <f t="shared" si="123"/>
        <v>-1000</v>
      </c>
      <c r="T1531" s="234">
        <f t="shared" si="126"/>
        <v>-1001999.9999999615</v>
      </c>
      <c r="U1531" s="15">
        <v>25</v>
      </c>
      <c r="V1531" s="8">
        <f t="shared" si="124"/>
        <v>-25</v>
      </c>
      <c r="W1531" s="233">
        <f t="shared" si="125"/>
        <v>-35891.5</v>
      </c>
    </row>
    <row r="1532" spans="1:2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 s="188">
        <v>1000</v>
      </c>
      <c r="S1532" s="8">
        <f t="shared" si="123"/>
        <v>-1000</v>
      </c>
      <c r="T1532" s="234">
        <f t="shared" si="126"/>
        <v>-1002999.9999999615</v>
      </c>
      <c r="U1532" s="15">
        <v>25</v>
      </c>
      <c r="V1532" s="8">
        <f t="shared" si="124"/>
        <v>-25</v>
      </c>
      <c r="W1532" s="233">
        <f t="shared" si="125"/>
        <v>-35916.5</v>
      </c>
    </row>
    <row r="1533" spans="1:2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 s="188">
        <v>1000</v>
      </c>
      <c r="S1533" s="8">
        <f t="shared" si="123"/>
        <v>-1000</v>
      </c>
      <c r="T1533" s="234">
        <f t="shared" si="126"/>
        <v>-1003999.9999999615</v>
      </c>
      <c r="U1533" s="15">
        <v>25</v>
      </c>
      <c r="V1533" s="8">
        <f t="shared" si="124"/>
        <v>-25</v>
      </c>
      <c r="W1533" s="233">
        <f t="shared" si="125"/>
        <v>-35941.5</v>
      </c>
    </row>
    <row r="1534" spans="1:2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 s="188">
        <v>1000</v>
      </c>
      <c r="S1534" s="8">
        <f t="shared" si="123"/>
        <v>-1000</v>
      </c>
      <c r="T1534" s="234">
        <f t="shared" si="126"/>
        <v>-1004999.9999999615</v>
      </c>
      <c r="U1534" s="15">
        <v>25</v>
      </c>
      <c r="V1534" s="8">
        <f t="shared" si="124"/>
        <v>-25</v>
      </c>
      <c r="W1534" s="233">
        <f t="shared" si="125"/>
        <v>-35966.5</v>
      </c>
    </row>
    <row r="1535" spans="1:2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 s="188">
        <v>1000</v>
      </c>
      <c r="S1535" s="8">
        <f t="shared" si="123"/>
        <v>-1000</v>
      </c>
      <c r="T1535" s="234">
        <f t="shared" si="126"/>
        <v>-1005999.9999999615</v>
      </c>
      <c r="U1535" s="15">
        <v>25</v>
      </c>
      <c r="V1535" s="8">
        <f t="shared" si="124"/>
        <v>-25</v>
      </c>
      <c r="W1535" s="233">
        <f t="shared" si="125"/>
        <v>-35991.5</v>
      </c>
    </row>
    <row r="1536" spans="1:2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 s="188">
        <v>1000</v>
      </c>
      <c r="S1536" s="8">
        <f t="shared" si="123"/>
        <v>-1000</v>
      </c>
      <c r="T1536" s="234">
        <f t="shared" si="126"/>
        <v>-1006999.9999999615</v>
      </c>
      <c r="U1536" s="15">
        <v>25</v>
      </c>
      <c r="V1536" s="8">
        <f t="shared" si="124"/>
        <v>-25</v>
      </c>
      <c r="W1536" s="233">
        <f t="shared" si="125"/>
        <v>-36016.5</v>
      </c>
    </row>
    <row r="1537" spans="1:2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 s="188">
        <v>1000</v>
      </c>
      <c r="S1537" s="8">
        <f t="shared" si="123"/>
        <v>-1000</v>
      </c>
      <c r="T1537" s="234">
        <f t="shared" si="126"/>
        <v>-1007999.9999999615</v>
      </c>
      <c r="U1537" s="15">
        <v>25</v>
      </c>
      <c r="V1537" s="8">
        <f t="shared" si="124"/>
        <v>-25</v>
      </c>
      <c r="W1537" s="233">
        <f t="shared" si="125"/>
        <v>-36041.5</v>
      </c>
    </row>
    <row r="1538" spans="1:2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 s="188">
        <v>1000</v>
      </c>
      <c r="S1538" s="8">
        <f t="shared" si="123"/>
        <v>-1000</v>
      </c>
      <c r="T1538" s="234">
        <f t="shared" si="126"/>
        <v>-1008999.9999999615</v>
      </c>
      <c r="U1538" s="15">
        <v>25</v>
      </c>
      <c r="V1538" s="8">
        <f t="shared" si="124"/>
        <v>-25</v>
      </c>
      <c r="W1538" s="233">
        <f t="shared" si="125"/>
        <v>-36066.5</v>
      </c>
    </row>
    <row r="1539" spans="1:2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 s="188">
        <v>1000</v>
      </c>
      <c r="S1539" s="8">
        <f t="shared" ref="S1539:S1602" si="127">IF(O1539="won",R1539*0.18,-R1539)</f>
        <v>-1000</v>
      </c>
      <c r="T1539" s="234">
        <f t="shared" si="126"/>
        <v>-1009999.9999999615</v>
      </c>
      <c r="U1539" s="15">
        <v>25</v>
      </c>
      <c r="V1539" s="8">
        <f t="shared" ref="V1539:V1602" si="128">IF(O1539="won",U1539*0.18,-U1539)</f>
        <v>-25</v>
      </c>
      <c r="W1539" s="233">
        <f t="shared" ref="W1539:W1602" si="129">SUM(W1538,V1539)</f>
        <v>-36091.5</v>
      </c>
    </row>
    <row r="1540" spans="1:2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 s="188">
        <v>1000</v>
      </c>
      <c r="S1540" s="8">
        <f t="shared" si="127"/>
        <v>-1000</v>
      </c>
      <c r="T1540" s="234">
        <f t="shared" si="126"/>
        <v>-1010999.9999999615</v>
      </c>
      <c r="U1540" s="15">
        <v>25</v>
      </c>
      <c r="V1540" s="8">
        <f t="shared" si="128"/>
        <v>-25</v>
      </c>
      <c r="W1540" s="233">
        <f t="shared" si="129"/>
        <v>-36116.5</v>
      </c>
    </row>
    <row r="1541" spans="1:2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 s="188">
        <v>1000</v>
      </c>
      <c r="S1541" s="8">
        <f t="shared" si="127"/>
        <v>-1000</v>
      </c>
      <c r="T1541" s="234">
        <f t="shared" si="126"/>
        <v>-1011999.9999999615</v>
      </c>
      <c r="U1541" s="15">
        <v>25</v>
      </c>
      <c r="V1541" s="8">
        <f t="shared" si="128"/>
        <v>-25</v>
      </c>
      <c r="W1541" s="233">
        <f t="shared" si="129"/>
        <v>-36141.5</v>
      </c>
    </row>
    <row r="1542" spans="1:2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 s="188">
        <v>1000</v>
      </c>
      <c r="S1542" s="8">
        <f t="shared" si="127"/>
        <v>-1000</v>
      </c>
      <c r="T1542" s="234">
        <f t="shared" si="126"/>
        <v>-1012999.9999999615</v>
      </c>
      <c r="U1542" s="15">
        <v>25</v>
      </c>
      <c r="V1542" s="8">
        <f t="shared" si="128"/>
        <v>-25</v>
      </c>
      <c r="W1542" s="233">
        <f t="shared" si="129"/>
        <v>-36166.5</v>
      </c>
    </row>
    <row r="1543" spans="1:2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 s="188">
        <v>1000</v>
      </c>
      <c r="S1543" s="8">
        <f t="shared" si="127"/>
        <v>-1000</v>
      </c>
      <c r="T1543" s="234">
        <f t="shared" si="126"/>
        <v>-1013999.9999999615</v>
      </c>
      <c r="U1543" s="15">
        <v>25</v>
      </c>
      <c r="V1543" s="8">
        <f t="shared" si="128"/>
        <v>-25</v>
      </c>
      <c r="W1543" s="233">
        <f t="shared" si="129"/>
        <v>-36191.5</v>
      </c>
    </row>
    <row r="1544" spans="1:2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 s="188">
        <v>1000</v>
      </c>
      <c r="S1544" s="8">
        <f t="shared" si="127"/>
        <v>-1000</v>
      </c>
      <c r="T1544" s="234">
        <f t="shared" si="126"/>
        <v>-1014999.9999999615</v>
      </c>
      <c r="U1544" s="15">
        <v>25</v>
      </c>
      <c r="V1544" s="8">
        <f t="shared" si="128"/>
        <v>-25</v>
      </c>
      <c r="W1544" s="233">
        <f t="shared" si="129"/>
        <v>-36216.5</v>
      </c>
    </row>
    <row r="1545" spans="1:2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 s="188">
        <v>1000</v>
      </c>
      <c r="S1545" s="8">
        <f t="shared" si="127"/>
        <v>-1000</v>
      </c>
      <c r="T1545" s="234">
        <f t="shared" si="126"/>
        <v>-1015999.9999999615</v>
      </c>
      <c r="U1545" s="15">
        <v>25</v>
      </c>
      <c r="V1545" s="8">
        <f t="shared" si="128"/>
        <v>-25</v>
      </c>
      <c r="W1545" s="233">
        <f t="shared" si="129"/>
        <v>-36241.5</v>
      </c>
    </row>
    <row r="1546" spans="1:2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 s="188">
        <v>1000</v>
      </c>
      <c r="S1546" s="8">
        <f t="shared" si="127"/>
        <v>-1000</v>
      </c>
      <c r="T1546" s="234">
        <f t="shared" ref="T1546:T1609" si="130">SUM(T1545,S1546)</f>
        <v>-1016999.9999999615</v>
      </c>
      <c r="U1546" s="15">
        <v>25</v>
      </c>
      <c r="V1546" s="8">
        <f t="shared" si="128"/>
        <v>-25</v>
      </c>
      <c r="W1546" s="233">
        <f t="shared" si="129"/>
        <v>-36266.5</v>
      </c>
    </row>
    <row r="1547" spans="1:2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 s="188">
        <v>1000</v>
      </c>
      <c r="S1547" s="8">
        <f t="shared" si="127"/>
        <v>-1000</v>
      </c>
      <c r="T1547" s="234">
        <f t="shared" si="130"/>
        <v>-1017999.9999999615</v>
      </c>
      <c r="U1547" s="15">
        <v>25</v>
      </c>
      <c r="V1547" s="8">
        <f t="shared" si="128"/>
        <v>-25</v>
      </c>
      <c r="W1547" s="233">
        <f t="shared" si="129"/>
        <v>-36291.5</v>
      </c>
    </row>
    <row r="1548" spans="1:2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 s="188">
        <v>1000</v>
      </c>
      <c r="S1548" s="8">
        <f t="shared" si="127"/>
        <v>-1000</v>
      </c>
      <c r="T1548" s="234">
        <f t="shared" si="130"/>
        <v>-1018999.9999999615</v>
      </c>
      <c r="U1548" s="15">
        <v>25</v>
      </c>
      <c r="V1548" s="8">
        <f t="shared" si="128"/>
        <v>-25</v>
      </c>
      <c r="W1548" s="233">
        <f t="shared" si="129"/>
        <v>-36316.5</v>
      </c>
    </row>
    <row r="1549" spans="1:2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 s="188">
        <v>1000</v>
      </c>
      <c r="S1549" s="8">
        <f t="shared" si="127"/>
        <v>-1000</v>
      </c>
      <c r="T1549" s="234">
        <f t="shared" si="130"/>
        <v>-1019999.9999999615</v>
      </c>
      <c r="U1549" s="15">
        <v>25</v>
      </c>
      <c r="V1549" s="8">
        <f t="shared" si="128"/>
        <v>-25</v>
      </c>
      <c r="W1549" s="233">
        <f t="shared" si="129"/>
        <v>-36341.5</v>
      </c>
    </row>
    <row r="1550" spans="1:2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 s="188">
        <v>1000</v>
      </c>
      <c r="S1550" s="8">
        <f t="shared" si="127"/>
        <v>-1000</v>
      </c>
      <c r="T1550" s="234">
        <f t="shared" si="130"/>
        <v>-1020999.9999999615</v>
      </c>
      <c r="U1550" s="15">
        <v>25</v>
      </c>
      <c r="V1550" s="8">
        <f t="shared" si="128"/>
        <v>-25</v>
      </c>
      <c r="W1550" s="233">
        <f t="shared" si="129"/>
        <v>-36366.5</v>
      </c>
    </row>
    <row r="1551" spans="1:2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 s="188">
        <v>1000</v>
      </c>
      <c r="S1551" s="8">
        <f t="shared" si="127"/>
        <v>-1000</v>
      </c>
      <c r="T1551" s="234">
        <f t="shared" si="130"/>
        <v>-1021999.9999999615</v>
      </c>
      <c r="U1551" s="15">
        <v>25</v>
      </c>
      <c r="V1551" s="8">
        <f t="shared" si="128"/>
        <v>-25</v>
      </c>
      <c r="W1551" s="233">
        <f t="shared" si="129"/>
        <v>-36391.5</v>
      </c>
    </row>
    <row r="1552" spans="1:2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 s="188">
        <v>1000</v>
      </c>
      <c r="S1552" s="8">
        <f t="shared" si="127"/>
        <v>-1000</v>
      </c>
      <c r="T1552" s="234">
        <f t="shared" si="130"/>
        <v>-1022999.9999999615</v>
      </c>
      <c r="U1552" s="15">
        <v>25</v>
      </c>
      <c r="V1552" s="8">
        <f t="shared" si="128"/>
        <v>-25</v>
      </c>
      <c r="W1552" s="233">
        <f t="shared" si="129"/>
        <v>-36416.5</v>
      </c>
    </row>
    <row r="1553" spans="1:2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 s="188">
        <v>1000</v>
      </c>
      <c r="S1553" s="8">
        <f t="shared" si="127"/>
        <v>-1000</v>
      </c>
      <c r="T1553" s="234">
        <f t="shared" si="130"/>
        <v>-1023999.9999999615</v>
      </c>
      <c r="U1553" s="15">
        <v>25</v>
      </c>
      <c r="V1553" s="8">
        <f t="shared" si="128"/>
        <v>-25</v>
      </c>
      <c r="W1553" s="233">
        <f t="shared" si="129"/>
        <v>-36441.5</v>
      </c>
    </row>
    <row r="1554" spans="1:2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 s="188">
        <v>1000</v>
      </c>
      <c r="S1554" s="8">
        <f t="shared" si="127"/>
        <v>-1000</v>
      </c>
      <c r="T1554" s="234">
        <f t="shared" si="130"/>
        <v>-1024999.9999999615</v>
      </c>
      <c r="U1554" s="15">
        <v>25</v>
      </c>
      <c r="V1554" s="8">
        <f t="shared" si="128"/>
        <v>-25</v>
      </c>
      <c r="W1554" s="233">
        <f t="shared" si="129"/>
        <v>-36466.5</v>
      </c>
    </row>
    <row r="1555" spans="1:2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 s="188">
        <v>1000</v>
      </c>
      <c r="S1555" s="8">
        <f t="shared" si="127"/>
        <v>-1000</v>
      </c>
      <c r="T1555" s="234">
        <f t="shared" si="130"/>
        <v>-1025999.9999999615</v>
      </c>
      <c r="U1555" s="15">
        <v>25</v>
      </c>
      <c r="V1555" s="8">
        <f t="shared" si="128"/>
        <v>-25</v>
      </c>
      <c r="W1555" s="233">
        <f t="shared" si="129"/>
        <v>-36491.5</v>
      </c>
    </row>
    <row r="1556" spans="1:2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 s="188">
        <v>1000</v>
      </c>
      <c r="S1556" s="8">
        <f t="shared" si="127"/>
        <v>-1000</v>
      </c>
      <c r="T1556" s="234">
        <f t="shared" si="130"/>
        <v>-1026999.9999999615</v>
      </c>
      <c r="U1556" s="15">
        <v>25</v>
      </c>
      <c r="V1556" s="8">
        <f t="shared" si="128"/>
        <v>-25</v>
      </c>
      <c r="W1556" s="233">
        <f t="shared" si="129"/>
        <v>-36516.5</v>
      </c>
    </row>
    <row r="1557" spans="1:2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 s="188">
        <v>1000</v>
      </c>
      <c r="S1557" s="8">
        <f t="shared" si="127"/>
        <v>-1000</v>
      </c>
      <c r="T1557" s="234">
        <f t="shared" si="130"/>
        <v>-1027999.9999999615</v>
      </c>
      <c r="U1557" s="15">
        <v>25</v>
      </c>
      <c r="V1557" s="8">
        <f t="shared" si="128"/>
        <v>-25</v>
      </c>
      <c r="W1557" s="233">
        <f t="shared" si="129"/>
        <v>-36541.5</v>
      </c>
    </row>
    <row r="1558" spans="1:2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 s="188">
        <v>1000</v>
      </c>
      <c r="S1558" s="8">
        <f t="shared" si="127"/>
        <v>-1000</v>
      </c>
      <c r="T1558" s="234">
        <f t="shared" si="130"/>
        <v>-1028999.9999999615</v>
      </c>
      <c r="U1558" s="15">
        <v>25</v>
      </c>
      <c r="V1558" s="8">
        <f t="shared" si="128"/>
        <v>-25</v>
      </c>
      <c r="W1558" s="233">
        <f t="shared" si="129"/>
        <v>-36566.5</v>
      </c>
    </row>
    <row r="1559" spans="1:2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 s="188">
        <v>1000</v>
      </c>
      <c r="S1559" s="8">
        <f t="shared" si="127"/>
        <v>-1000</v>
      </c>
      <c r="T1559" s="234">
        <f t="shared" si="130"/>
        <v>-1029999.9999999615</v>
      </c>
      <c r="U1559" s="15">
        <v>25</v>
      </c>
      <c r="V1559" s="8">
        <f t="shared" si="128"/>
        <v>-25</v>
      </c>
      <c r="W1559" s="233">
        <f t="shared" si="129"/>
        <v>-36591.5</v>
      </c>
    </row>
    <row r="1560" spans="1:2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 s="188">
        <v>1000</v>
      </c>
      <c r="S1560" s="8">
        <f t="shared" si="127"/>
        <v>-1000</v>
      </c>
      <c r="T1560" s="234">
        <f t="shared" si="130"/>
        <v>-1030999.9999999615</v>
      </c>
      <c r="U1560" s="15">
        <v>25</v>
      </c>
      <c r="V1560" s="8">
        <f t="shared" si="128"/>
        <v>-25</v>
      </c>
      <c r="W1560" s="233">
        <f t="shared" si="129"/>
        <v>-36616.5</v>
      </c>
    </row>
    <row r="1561" spans="1:2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 s="188">
        <v>1000</v>
      </c>
      <c r="S1561" s="8">
        <f t="shared" si="127"/>
        <v>-1000</v>
      </c>
      <c r="T1561" s="234">
        <f t="shared" si="130"/>
        <v>-1031999.9999999615</v>
      </c>
      <c r="U1561" s="15">
        <v>25</v>
      </c>
      <c r="V1561" s="8">
        <f t="shared" si="128"/>
        <v>-25</v>
      </c>
      <c r="W1561" s="233">
        <f t="shared" si="129"/>
        <v>-36641.5</v>
      </c>
    </row>
    <row r="1562" spans="1:2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 s="188">
        <v>1000</v>
      </c>
      <c r="S1562" s="8">
        <f t="shared" si="127"/>
        <v>-1000</v>
      </c>
      <c r="T1562" s="234">
        <f t="shared" si="130"/>
        <v>-1032999.9999999615</v>
      </c>
      <c r="U1562" s="15">
        <v>25</v>
      </c>
      <c r="V1562" s="8">
        <f t="shared" si="128"/>
        <v>-25</v>
      </c>
      <c r="W1562" s="233">
        <f t="shared" si="129"/>
        <v>-36666.5</v>
      </c>
    </row>
    <row r="1563" spans="1:2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 s="188">
        <v>1000</v>
      </c>
      <c r="S1563" s="8">
        <f t="shared" si="127"/>
        <v>-1000</v>
      </c>
      <c r="T1563" s="234">
        <f t="shared" si="130"/>
        <v>-1033999.9999999615</v>
      </c>
      <c r="U1563" s="15">
        <v>25</v>
      </c>
      <c r="V1563" s="8">
        <f t="shared" si="128"/>
        <v>-25</v>
      </c>
      <c r="W1563" s="233">
        <f t="shared" si="129"/>
        <v>-36691.5</v>
      </c>
    </row>
    <row r="1564" spans="1:2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 s="188">
        <v>1000</v>
      </c>
      <c r="S1564" s="8">
        <f t="shared" si="127"/>
        <v>-1000</v>
      </c>
      <c r="T1564" s="234">
        <f t="shared" si="130"/>
        <v>-1034999.9999999615</v>
      </c>
      <c r="U1564" s="15">
        <v>25</v>
      </c>
      <c r="V1564" s="8">
        <f t="shared" si="128"/>
        <v>-25</v>
      </c>
      <c r="W1564" s="233">
        <f t="shared" si="129"/>
        <v>-36716.5</v>
      </c>
    </row>
    <row r="1565" spans="1:2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 s="188">
        <v>1000</v>
      </c>
      <c r="S1565" s="8">
        <f t="shared" si="127"/>
        <v>-1000</v>
      </c>
      <c r="T1565" s="234">
        <f t="shared" si="130"/>
        <v>-1035999.9999999615</v>
      </c>
      <c r="U1565" s="15">
        <v>25</v>
      </c>
      <c r="V1565" s="8">
        <f t="shared" si="128"/>
        <v>-25</v>
      </c>
      <c r="W1565" s="233">
        <f t="shared" si="129"/>
        <v>-36741.5</v>
      </c>
    </row>
    <row r="1566" spans="1:2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 s="188">
        <v>1000</v>
      </c>
      <c r="S1566" s="8">
        <f t="shared" si="127"/>
        <v>-1000</v>
      </c>
      <c r="T1566" s="234">
        <f t="shared" si="130"/>
        <v>-1036999.9999999615</v>
      </c>
      <c r="U1566" s="15">
        <v>25</v>
      </c>
      <c r="V1566" s="8">
        <f t="shared" si="128"/>
        <v>-25</v>
      </c>
      <c r="W1566" s="233">
        <f t="shared" si="129"/>
        <v>-36766.5</v>
      </c>
    </row>
    <row r="1567" spans="1:2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 s="188">
        <v>1000</v>
      </c>
      <c r="S1567" s="8">
        <f t="shared" si="127"/>
        <v>-1000</v>
      </c>
      <c r="T1567" s="234">
        <f t="shared" si="130"/>
        <v>-1037999.9999999615</v>
      </c>
      <c r="U1567" s="15">
        <v>25</v>
      </c>
      <c r="V1567" s="8">
        <f t="shared" si="128"/>
        <v>-25</v>
      </c>
      <c r="W1567" s="233">
        <f t="shared" si="129"/>
        <v>-36791.5</v>
      </c>
    </row>
    <row r="1568" spans="1:2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 s="188">
        <v>1000</v>
      </c>
      <c r="S1568" s="8">
        <f t="shared" si="127"/>
        <v>-1000</v>
      </c>
      <c r="T1568" s="234">
        <f t="shared" si="130"/>
        <v>-1038999.9999999615</v>
      </c>
      <c r="U1568" s="15">
        <v>25</v>
      </c>
      <c r="V1568" s="8">
        <f t="shared" si="128"/>
        <v>-25</v>
      </c>
      <c r="W1568" s="233">
        <f t="shared" si="129"/>
        <v>-36816.5</v>
      </c>
    </row>
    <row r="1569" spans="1:2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 s="188">
        <v>1000</v>
      </c>
      <c r="S1569" s="8">
        <f t="shared" si="127"/>
        <v>-1000</v>
      </c>
      <c r="T1569" s="234">
        <f t="shared" si="130"/>
        <v>-1039999.9999999615</v>
      </c>
      <c r="U1569" s="15">
        <v>25</v>
      </c>
      <c r="V1569" s="8">
        <f t="shared" si="128"/>
        <v>-25</v>
      </c>
      <c r="W1569" s="233">
        <f t="shared" si="129"/>
        <v>-36841.5</v>
      </c>
    </row>
    <row r="1570" spans="1:2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 s="188">
        <v>1000</v>
      </c>
      <c r="S1570" s="8">
        <f t="shared" si="127"/>
        <v>-1000</v>
      </c>
      <c r="T1570" s="234">
        <f t="shared" si="130"/>
        <v>-1040999.9999999615</v>
      </c>
      <c r="U1570" s="15">
        <v>25</v>
      </c>
      <c r="V1570" s="8">
        <f t="shared" si="128"/>
        <v>-25</v>
      </c>
      <c r="W1570" s="233">
        <f t="shared" si="129"/>
        <v>-36866.5</v>
      </c>
    </row>
    <row r="1571" spans="1:2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 s="188">
        <v>1000</v>
      </c>
      <c r="S1571" s="8">
        <f t="shared" si="127"/>
        <v>-1000</v>
      </c>
      <c r="T1571" s="234">
        <f t="shared" si="130"/>
        <v>-1041999.9999999615</v>
      </c>
      <c r="U1571" s="15">
        <v>25</v>
      </c>
      <c r="V1571" s="8">
        <f t="shared" si="128"/>
        <v>-25</v>
      </c>
      <c r="W1571" s="233">
        <f t="shared" si="129"/>
        <v>-36891.5</v>
      </c>
    </row>
    <row r="1572" spans="1:2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 s="188">
        <v>1000</v>
      </c>
      <c r="S1572" s="8">
        <f t="shared" si="127"/>
        <v>-1000</v>
      </c>
      <c r="T1572" s="234">
        <f t="shared" si="130"/>
        <v>-1042999.9999999615</v>
      </c>
      <c r="U1572" s="15">
        <v>25</v>
      </c>
      <c r="V1572" s="8">
        <f t="shared" si="128"/>
        <v>-25</v>
      </c>
      <c r="W1572" s="233">
        <f t="shared" si="129"/>
        <v>-36916.5</v>
      </c>
    </row>
    <row r="1573" spans="1:2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 s="188">
        <v>1000</v>
      </c>
      <c r="S1573" s="8">
        <f t="shared" si="127"/>
        <v>-1000</v>
      </c>
      <c r="T1573" s="234">
        <f t="shared" si="130"/>
        <v>-1043999.9999999615</v>
      </c>
      <c r="U1573" s="15">
        <v>25</v>
      </c>
      <c r="V1573" s="8">
        <f t="shared" si="128"/>
        <v>-25</v>
      </c>
      <c r="W1573" s="233">
        <f t="shared" si="129"/>
        <v>-36941.5</v>
      </c>
    </row>
    <row r="1574" spans="1:2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 s="188">
        <v>1000</v>
      </c>
      <c r="S1574" s="8">
        <f t="shared" si="127"/>
        <v>-1000</v>
      </c>
      <c r="T1574" s="234">
        <f t="shared" si="130"/>
        <v>-1044999.9999999615</v>
      </c>
      <c r="U1574" s="15">
        <v>25</v>
      </c>
      <c r="V1574" s="8">
        <f t="shared" si="128"/>
        <v>-25</v>
      </c>
      <c r="W1574" s="233">
        <f t="shared" si="129"/>
        <v>-36966.5</v>
      </c>
    </row>
    <row r="1575" spans="1:2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 s="188">
        <v>1000</v>
      </c>
      <c r="S1575" s="8">
        <f t="shared" si="127"/>
        <v>-1000</v>
      </c>
      <c r="T1575" s="234">
        <f t="shared" si="130"/>
        <v>-1045999.9999999615</v>
      </c>
      <c r="U1575" s="15">
        <v>25</v>
      </c>
      <c r="V1575" s="8">
        <f t="shared" si="128"/>
        <v>-25</v>
      </c>
      <c r="W1575" s="233">
        <f t="shared" si="129"/>
        <v>-36991.5</v>
      </c>
    </row>
    <row r="1576" spans="1:2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 s="188">
        <v>1000</v>
      </c>
      <c r="S1576" s="8">
        <f t="shared" si="127"/>
        <v>-1000</v>
      </c>
      <c r="T1576" s="234">
        <f t="shared" si="130"/>
        <v>-1046999.9999999615</v>
      </c>
      <c r="U1576" s="15">
        <v>25</v>
      </c>
      <c r="V1576" s="8">
        <f t="shared" si="128"/>
        <v>-25</v>
      </c>
      <c r="W1576" s="233">
        <f t="shared" si="129"/>
        <v>-37016.5</v>
      </c>
    </row>
    <row r="1577" spans="1:2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 s="188">
        <v>1000</v>
      </c>
      <c r="S1577" s="8">
        <f t="shared" si="127"/>
        <v>-1000</v>
      </c>
      <c r="T1577" s="234">
        <f t="shared" si="130"/>
        <v>-1047999.9999999615</v>
      </c>
      <c r="U1577" s="15">
        <v>25</v>
      </c>
      <c r="V1577" s="8">
        <f t="shared" si="128"/>
        <v>-25</v>
      </c>
      <c r="W1577" s="233">
        <f t="shared" si="129"/>
        <v>-37041.5</v>
      </c>
    </row>
    <row r="1578" spans="1:2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 s="188">
        <v>1000</v>
      </c>
      <c r="S1578" s="8">
        <f t="shared" si="127"/>
        <v>-1000</v>
      </c>
      <c r="T1578" s="234">
        <f t="shared" si="130"/>
        <v>-1048999.9999999614</v>
      </c>
      <c r="U1578" s="15">
        <v>25</v>
      </c>
      <c r="V1578" s="8">
        <f t="shared" si="128"/>
        <v>-25</v>
      </c>
      <c r="W1578" s="233">
        <f t="shared" si="129"/>
        <v>-37066.5</v>
      </c>
    </row>
    <row r="1579" spans="1:2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 s="188">
        <v>1000</v>
      </c>
      <c r="S1579" s="8">
        <f t="shared" si="127"/>
        <v>-1000</v>
      </c>
      <c r="T1579" s="234">
        <f t="shared" si="130"/>
        <v>-1049999.9999999614</v>
      </c>
      <c r="U1579" s="15">
        <v>25</v>
      </c>
      <c r="V1579" s="8">
        <f t="shared" si="128"/>
        <v>-25</v>
      </c>
      <c r="W1579" s="233">
        <f t="shared" si="129"/>
        <v>-37091.5</v>
      </c>
    </row>
    <row r="1580" spans="1:2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 s="188">
        <v>1000</v>
      </c>
      <c r="S1580" s="8">
        <f t="shared" si="127"/>
        <v>-1000</v>
      </c>
      <c r="T1580" s="234">
        <f t="shared" si="130"/>
        <v>-1050999.9999999614</v>
      </c>
      <c r="U1580" s="15">
        <v>25</v>
      </c>
      <c r="V1580" s="8">
        <f t="shared" si="128"/>
        <v>-25</v>
      </c>
      <c r="W1580" s="233">
        <f t="shared" si="129"/>
        <v>-37116.5</v>
      </c>
    </row>
    <row r="1581" spans="1:2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 s="188">
        <v>1000</v>
      </c>
      <c r="S1581" s="8">
        <f t="shared" si="127"/>
        <v>-1000</v>
      </c>
      <c r="T1581" s="234">
        <f t="shared" si="130"/>
        <v>-1051999.9999999614</v>
      </c>
      <c r="U1581" s="15">
        <v>25</v>
      </c>
      <c r="V1581" s="8">
        <f t="shared" si="128"/>
        <v>-25</v>
      </c>
      <c r="W1581" s="233">
        <f t="shared" si="129"/>
        <v>-37141.5</v>
      </c>
    </row>
    <row r="1582" spans="1:2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 s="188">
        <v>1000</v>
      </c>
      <c r="S1582" s="8">
        <f t="shared" si="127"/>
        <v>-1000</v>
      </c>
      <c r="T1582" s="234">
        <f t="shared" si="130"/>
        <v>-1052999.9999999614</v>
      </c>
      <c r="U1582" s="15">
        <v>25</v>
      </c>
      <c r="V1582" s="8">
        <f t="shared" si="128"/>
        <v>-25</v>
      </c>
      <c r="W1582" s="233">
        <f t="shared" si="129"/>
        <v>-37166.5</v>
      </c>
    </row>
    <row r="1583" spans="1:2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 s="188">
        <v>1000</v>
      </c>
      <c r="S1583" s="8">
        <f t="shared" si="127"/>
        <v>-1000</v>
      </c>
      <c r="T1583" s="234">
        <f t="shared" si="130"/>
        <v>-1053999.9999999614</v>
      </c>
      <c r="U1583" s="15">
        <v>25</v>
      </c>
      <c r="V1583" s="8">
        <f t="shared" si="128"/>
        <v>-25</v>
      </c>
      <c r="W1583" s="233">
        <f t="shared" si="129"/>
        <v>-37191.5</v>
      </c>
    </row>
    <row r="1584" spans="1:2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 s="188">
        <v>1000</v>
      </c>
      <c r="S1584" s="8">
        <f t="shared" si="127"/>
        <v>-1000</v>
      </c>
      <c r="T1584" s="234">
        <f t="shared" si="130"/>
        <v>-1054999.9999999614</v>
      </c>
      <c r="U1584" s="15">
        <v>25</v>
      </c>
      <c r="V1584" s="8">
        <f t="shared" si="128"/>
        <v>-25</v>
      </c>
      <c r="W1584" s="233">
        <f t="shared" si="129"/>
        <v>-37216.5</v>
      </c>
    </row>
    <row r="1585" spans="1:2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 s="188">
        <v>1000</v>
      </c>
      <c r="S1585" s="8">
        <f t="shared" si="127"/>
        <v>-1000</v>
      </c>
      <c r="T1585" s="234">
        <f t="shared" si="130"/>
        <v>-1055999.9999999614</v>
      </c>
      <c r="U1585" s="15">
        <v>25</v>
      </c>
      <c r="V1585" s="8">
        <f t="shared" si="128"/>
        <v>-25</v>
      </c>
      <c r="W1585" s="233">
        <f t="shared" si="129"/>
        <v>-37241.5</v>
      </c>
    </row>
    <row r="1586" spans="1:2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 s="188">
        <v>1000</v>
      </c>
      <c r="S1586" s="8">
        <f t="shared" si="127"/>
        <v>-1000</v>
      </c>
      <c r="T1586" s="234">
        <f t="shared" si="130"/>
        <v>-1056999.9999999614</v>
      </c>
      <c r="U1586" s="15">
        <v>25</v>
      </c>
      <c r="V1586" s="8">
        <f t="shared" si="128"/>
        <v>-25</v>
      </c>
      <c r="W1586" s="233">
        <f t="shared" si="129"/>
        <v>-37266.5</v>
      </c>
    </row>
    <row r="1587" spans="1:2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 s="188">
        <v>1000</v>
      </c>
      <c r="S1587" s="8">
        <f t="shared" si="127"/>
        <v>-1000</v>
      </c>
      <c r="T1587" s="234">
        <f t="shared" si="130"/>
        <v>-1057999.9999999614</v>
      </c>
      <c r="U1587" s="15">
        <v>25</v>
      </c>
      <c r="V1587" s="8">
        <f t="shared" si="128"/>
        <v>-25</v>
      </c>
      <c r="W1587" s="233">
        <f t="shared" si="129"/>
        <v>-37291.5</v>
      </c>
    </row>
    <row r="1588" spans="1:2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 s="188">
        <v>1000</v>
      </c>
      <c r="S1588" s="8">
        <f t="shared" si="127"/>
        <v>-1000</v>
      </c>
      <c r="T1588" s="234">
        <f t="shared" si="130"/>
        <v>-1058999.9999999614</v>
      </c>
      <c r="U1588" s="15">
        <v>25</v>
      </c>
      <c r="V1588" s="8">
        <f t="shared" si="128"/>
        <v>-25</v>
      </c>
      <c r="W1588" s="233">
        <f t="shared" si="129"/>
        <v>-37316.5</v>
      </c>
    </row>
    <row r="1589" spans="1:2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 s="188">
        <v>1000</v>
      </c>
      <c r="S1589" s="8">
        <f t="shared" si="127"/>
        <v>-1000</v>
      </c>
      <c r="T1589" s="234">
        <f t="shared" si="130"/>
        <v>-1059999.9999999614</v>
      </c>
      <c r="U1589" s="15">
        <v>25</v>
      </c>
      <c r="V1589" s="8">
        <f t="shared" si="128"/>
        <v>-25</v>
      </c>
      <c r="W1589" s="233">
        <f t="shared" si="129"/>
        <v>-37341.5</v>
      </c>
    </row>
    <row r="1590" spans="1:2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 s="188">
        <v>1000</v>
      </c>
      <c r="S1590" s="8">
        <f t="shared" si="127"/>
        <v>-1000</v>
      </c>
      <c r="T1590" s="234">
        <f t="shared" si="130"/>
        <v>-1060999.9999999614</v>
      </c>
      <c r="U1590" s="15">
        <v>25</v>
      </c>
      <c r="V1590" s="8">
        <f t="shared" si="128"/>
        <v>-25</v>
      </c>
      <c r="W1590" s="233">
        <f t="shared" si="129"/>
        <v>-37366.5</v>
      </c>
    </row>
    <row r="1591" spans="1:2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 s="188">
        <v>1000</v>
      </c>
      <c r="S1591" s="8">
        <f t="shared" si="127"/>
        <v>-1000</v>
      </c>
      <c r="T1591" s="234">
        <f t="shared" si="130"/>
        <v>-1061999.9999999614</v>
      </c>
      <c r="U1591" s="15">
        <v>25</v>
      </c>
      <c r="V1591" s="8">
        <f t="shared" si="128"/>
        <v>-25</v>
      </c>
      <c r="W1591" s="233">
        <f t="shared" si="129"/>
        <v>-37391.5</v>
      </c>
    </row>
    <row r="1592" spans="1:2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 s="188">
        <v>1000</v>
      </c>
      <c r="S1592" s="8">
        <f t="shared" si="127"/>
        <v>-1000</v>
      </c>
      <c r="T1592" s="234">
        <f t="shared" si="130"/>
        <v>-1062999.9999999614</v>
      </c>
      <c r="U1592" s="15">
        <v>25</v>
      </c>
      <c r="V1592" s="8">
        <f t="shared" si="128"/>
        <v>-25</v>
      </c>
      <c r="W1592" s="233">
        <f t="shared" si="129"/>
        <v>-37416.5</v>
      </c>
    </row>
    <row r="1593" spans="1:2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 s="188">
        <v>1000</v>
      </c>
      <c r="S1593" s="8">
        <f t="shared" si="127"/>
        <v>-1000</v>
      </c>
      <c r="T1593" s="234">
        <f t="shared" si="130"/>
        <v>-1063999.9999999614</v>
      </c>
      <c r="U1593" s="15">
        <v>25</v>
      </c>
      <c r="V1593" s="8">
        <f t="shared" si="128"/>
        <v>-25</v>
      </c>
      <c r="W1593" s="233">
        <f t="shared" si="129"/>
        <v>-37441.5</v>
      </c>
    </row>
    <row r="1594" spans="1:2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 s="188">
        <v>1000</v>
      </c>
      <c r="S1594" s="8">
        <f t="shared" si="127"/>
        <v>-1000</v>
      </c>
      <c r="T1594" s="234">
        <f t="shared" si="130"/>
        <v>-1064999.9999999614</v>
      </c>
      <c r="U1594" s="15">
        <v>25</v>
      </c>
      <c r="V1594" s="8">
        <f t="shared" si="128"/>
        <v>-25</v>
      </c>
      <c r="W1594" s="233">
        <f t="shared" si="129"/>
        <v>-37466.5</v>
      </c>
    </row>
    <row r="1595" spans="1:2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 s="188">
        <v>1000</v>
      </c>
      <c r="S1595" s="8">
        <f t="shared" si="127"/>
        <v>-1000</v>
      </c>
      <c r="T1595" s="234">
        <f t="shared" si="130"/>
        <v>-1065999.9999999614</v>
      </c>
      <c r="U1595" s="15">
        <v>25</v>
      </c>
      <c r="V1595" s="8">
        <f t="shared" si="128"/>
        <v>-25</v>
      </c>
      <c r="W1595" s="233">
        <f t="shared" si="129"/>
        <v>-37491.5</v>
      </c>
    </row>
    <row r="1596" spans="1:2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 s="188">
        <v>1000</v>
      </c>
      <c r="S1596" s="8">
        <f t="shared" si="127"/>
        <v>-1000</v>
      </c>
      <c r="T1596" s="234">
        <f t="shared" si="130"/>
        <v>-1066999.9999999614</v>
      </c>
      <c r="U1596" s="15">
        <v>25</v>
      </c>
      <c r="V1596" s="8">
        <f t="shared" si="128"/>
        <v>-25</v>
      </c>
      <c r="W1596" s="233">
        <f t="shared" si="129"/>
        <v>-37516.5</v>
      </c>
    </row>
    <row r="1597" spans="1:2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 s="188">
        <v>1000</v>
      </c>
      <c r="S1597" s="8">
        <f t="shared" si="127"/>
        <v>-1000</v>
      </c>
      <c r="T1597" s="234">
        <f t="shared" si="130"/>
        <v>-1067999.9999999614</v>
      </c>
      <c r="U1597" s="15">
        <v>25</v>
      </c>
      <c r="V1597" s="8">
        <f t="shared" si="128"/>
        <v>-25</v>
      </c>
      <c r="W1597" s="233">
        <f t="shared" si="129"/>
        <v>-37541.5</v>
      </c>
    </row>
    <row r="1598" spans="1:2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 s="188">
        <v>1000</v>
      </c>
      <c r="S1598" s="8">
        <f t="shared" si="127"/>
        <v>-1000</v>
      </c>
      <c r="T1598" s="234">
        <f t="shared" si="130"/>
        <v>-1068999.9999999614</v>
      </c>
      <c r="U1598" s="15">
        <v>25</v>
      </c>
      <c r="V1598" s="8">
        <f t="shared" si="128"/>
        <v>-25</v>
      </c>
      <c r="W1598" s="233">
        <f t="shared" si="129"/>
        <v>-37566.5</v>
      </c>
    </row>
    <row r="1599" spans="1:2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 s="188">
        <v>1000</v>
      </c>
      <c r="S1599" s="8">
        <f t="shared" si="127"/>
        <v>-1000</v>
      </c>
      <c r="T1599" s="234">
        <f t="shared" si="130"/>
        <v>-1069999.9999999614</v>
      </c>
      <c r="U1599" s="15">
        <v>25</v>
      </c>
      <c r="V1599" s="8">
        <f t="shared" si="128"/>
        <v>-25</v>
      </c>
      <c r="W1599" s="233">
        <f t="shared" si="129"/>
        <v>-37591.5</v>
      </c>
    </row>
    <row r="1600" spans="1:2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 s="188">
        <v>1000</v>
      </c>
      <c r="S1600" s="8">
        <f t="shared" si="127"/>
        <v>-1000</v>
      </c>
      <c r="T1600" s="234">
        <f t="shared" si="130"/>
        <v>-1070999.9999999614</v>
      </c>
      <c r="U1600" s="15">
        <v>25</v>
      </c>
      <c r="V1600" s="8">
        <f t="shared" si="128"/>
        <v>-25</v>
      </c>
      <c r="W1600" s="233">
        <f t="shared" si="129"/>
        <v>-37616.5</v>
      </c>
    </row>
    <row r="1601" spans="1:2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 s="188">
        <v>1000</v>
      </c>
      <c r="S1601" s="8">
        <f t="shared" si="127"/>
        <v>-1000</v>
      </c>
      <c r="T1601" s="234">
        <f t="shared" si="130"/>
        <v>-1071999.9999999614</v>
      </c>
      <c r="U1601" s="15">
        <v>25</v>
      </c>
      <c r="V1601" s="8">
        <f t="shared" si="128"/>
        <v>-25</v>
      </c>
      <c r="W1601" s="233">
        <f t="shared" si="129"/>
        <v>-37641.5</v>
      </c>
    </row>
    <row r="1602" spans="1:2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 s="188">
        <v>1000</v>
      </c>
      <c r="S1602" s="8">
        <f t="shared" si="127"/>
        <v>-1000</v>
      </c>
      <c r="T1602" s="234">
        <f t="shared" si="130"/>
        <v>-1072999.9999999614</v>
      </c>
      <c r="U1602" s="15">
        <v>25</v>
      </c>
      <c r="V1602" s="8">
        <f t="shared" si="128"/>
        <v>-25</v>
      </c>
      <c r="W1602" s="233">
        <f t="shared" si="129"/>
        <v>-37666.5</v>
      </c>
    </row>
    <row r="1603" spans="1:2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 s="188">
        <v>1000</v>
      </c>
      <c r="S1603" s="8">
        <f t="shared" ref="S1603:S1666" si="131">IF(O1603="won",R1603*0.18,-R1603)</f>
        <v>-1000</v>
      </c>
      <c r="T1603" s="234">
        <f t="shared" si="130"/>
        <v>-1073999.9999999614</v>
      </c>
      <c r="U1603" s="15">
        <v>25</v>
      </c>
      <c r="V1603" s="8">
        <f t="shared" ref="V1603:V1666" si="132">IF(O1603="won",U1603*0.18,-U1603)</f>
        <v>-25</v>
      </c>
      <c r="W1603" s="233">
        <f t="shared" ref="W1603:W1666" si="133">SUM(W1602,V1603)</f>
        <v>-37691.5</v>
      </c>
    </row>
    <row r="1604" spans="1:2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 s="188">
        <v>1000</v>
      </c>
      <c r="S1604" s="8">
        <f t="shared" si="131"/>
        <v>-1000</v>
      </c>
      <c r="T1604" s="234">
        <f t="shared" si="130"/>
        <v>-1074999.9999999614</v>
      </c>
      <c r="U1604" s="15">
        <v>25</v>
      </c>
      <c r="V1604" s="8">
        <f t="shared" si="132"/>
        <v>-25</v>
      </c>
      <c r="W1604" s="233">
        <f t="shared" si="133"/>
        <v>-37716.5</v>
      </c>
    </row>
    <row r="1605" spans="1:2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 s="188">
        <v>1000</v>
      </c>
      <c r="S1605" s="8">
        <f t="shared" si="131"/>
        <v>-1000</v>
      </c>
      <c r="T1605" s="234">
        <f t="shared" si="130"/>
        <v>-1075999.9999999614</v>
      </c>
      <c r="U1605" s="15">
        <v>25</v>
      </c>
      <c r="V1605" s="8">
        <f t="shared" si="132"/>
        <v>-25</v>
      </c>
      <c r="W1605" s="233">
        <f t="shared" si="133"/>
        <v>-37741.5</v>
      </c>
    </row>
    <row r="1606" spans="1:2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 s="188">
        <v>1000</v>
      </c>
      <c r="S1606" s="8">
        <f t="shared" si="131"/>
        <v>-1000</v>
      </c>
      <c r="T1606" s="234">
        <f t="shared" si="130"/>
        <v>-1076999.9999999614</v>
      </c>
      <c r="U1606" s="15">
        <v>25</v>
      </c>
      <c r="V1606" s="8">
        <f t="shared" si="132"/>
        <v>-25</v>
      </c>
      <c r="W1606" s="233">
        <f t="shared" si="133"/>
        <v>-37766.5</v>
      </c>
    </row>
    <row r="1607" spans="1:2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 s="188">
        <v>1000</v>
      </c>
      <c r="S1607" s="8">
        <f t="shared" si="131"/>
        <v>-1000</v>
      </c>
      <c r="T1607" s="234">
        <f t="shared" si="130"/>
        <v>-1077999.9999999614</v>
      </c>
      <c r="U1607" s="15">
        <v>25</v>
      </c>
      <c r="V1607" s="8">
        <f t="shared" si="132"/>
        <v>-25</v>
      </c>
      <c r="W1607" s="233">
        <f t="shared" si="133"/>
        <v>-37791.5</v>
      </c>
    </row>
    <row r="1608" spans="1:2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 s="188">
        <v>1000</v>
      </c>
      <c r="S1608" s="8">
        <f t="shared" si="131"/>
        <v>-1000</v>
      </c>
      <c r="T1608" s="234">
        <f t="shared" si="130"/>
        <v>-1078999.9999999614</v>
      </c>
      <c r="U1608" s="15">
        <v>25</v>
      </c>
      <c r="V1608" s="8">
        <f t="shared" si="132"/>
        <v>-25</v>
      </c>
      <c r="W1608" s="233">
        <f t="shared" si="133"/>
        <v>-37816.5</v>
      </c>
    </row>
    <row r="1609" spans="1:2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 s="188">
        <v>1000</v>
      </c>
      <c r="S1609" s="8">
        <f t="shared" si="131"/>
        <v>-1000</v>
      </c>
      <c r="T1609" s="234">
        <f t="shared" si="130"/>
        <v>-1079999.9999999614</v>
      </c>
      <c r="U1609" s="15">
        <v>25</v>
      </c>
      <c r="V1609" s="8">
        <f t="shared" si="132"/>
        <v>-25</v>
      </c>
      <c r="W1609" s="233">
        <f t="shared" si="133"/>
        <v>-37841.5</v>
      </c>
    </row>
    <row r="1610" spans="1:2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 s="188">
        <v>1000</v>
      </c>
      <c r="S1610" s="8">
        <f t="shared" si="131"/>
        <v>-1000</v>
      </c>
      <c r="T1610" s="234">
        <f t="shared" ref="T1610:T1673" si="134">SUM(T1609,S1610)</f>
        <v>-1080999.9999999614</v>
      </c>
      <c r="U1610" s="15">
        <v>25</v>
      </c>
      <c r="V1610" s="8">
        <f t="shared" si="132"/>
        <v>-25</v>
      </c>
      <c r="W1610" s="233">
        <f t="shared" si="133"/>
        <v>-37866.5</v>
      </c>
    </row>
    <row r="1611" spans="1:2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 s="188">
        <v>1000</v>
      </c>
      <c r="S1611" s="8">
        <f t="shared" si="131"/>
        <v>-1000</v>
      </c>
      <c r="T1611" s="234">
        <f t="shared" si="134"/>
        <v>-1081999.9999999614</v>
      </c>
      <c r="U1611" s="15">
        <v>25</v>
      </c>
      <c r="V1611" s="8">
        <f t="shared" si="132"/>
        <v>-25</v>
      </c>
      <c r="W1611" s="233">
        <f t="shared" si="133"/>
        <v>-37891.5</v>
      </c>
    </row>
    <row r="1612" spans="1:2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 s="188">
        <v>1000</v>
      </c>
      <c r="S1612" s="8">
        <f t="shared" si="131"/>
        <v>-1000</v>
      </c>
      <c r="T1612" s="234">
        <f t="shared" si="134"/>
        <v>-1082999.9999999614</v>
      </c>
      <c r="U1612" s="15">
        <v>25</v>
      </c>
      <c r="V1612" s="8">
        <f t="shared" si="132"/>
        <v>-25</v>
      </c>
      <c r="W1612" s="233">
        <f t="shared" si="133"/>
        <v>-37916.5</v>
      </c>
    </row>
    <row r="1613" spans="1:2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 s="188">
        <v>1000</v>
      </c>
      <c r="S1613" s="8">
        <f t="shared" si="131"/>
        <v>-1000</v>
      </c>
      <c r="T1613" s="234">
        <f t="shared" si="134"/>
        <v>-1083999.9999999614</v>
      </c>
      <c r="U1613" s="15">
        <v>25</v>
      </c>
      <c r="V1613" s="8">
        <f t="shared" si="132"/>
        <v>-25</v>
      </c>
      <c r="W1613" s="233">
        <f t="shared" si="133"/>
        <v>-37941.5</v>
      </c>
    </row>
    <row r="1614" spans="1:2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 s="188">
        <v>1000</v>
      </c>
      <c r="S1614" s="8">
        <f t="shared" si="131"/>
        <v>-1000</v>
      </c>
      <c r="T1614" s="234">
        <f t="shared" si="134"/>
        <v>-1084999.9999999614</v>
      </c>
      <c r="U1614" s="15">
        <v>25</v>
      </c>
      <c r="V1614" s="8">
        <f t="shared" si="132"/>
        <v>-25</v>
      </c>
      <c r="W1614" s="233">
        <f t="shared" si="133"/>
        <v>-37966.5</v>
      </c>
    </row>
    <row r="1615" spans="1:2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 s="188">
        <v>1000</v>
      </c>
      <c r="S1615" s="8">
        <f t="shared" si="131"/>
        <v>-1000</v>
      </c>
      <c r="T1615" s="234">
        <f t="shared" si="134"/>
        <v>-1085999.9999999614</v>
      </c>
      <c r="U1615" s="15">
        <v>25</v>
      </c>
      <c r="V1615" s="8">
        <f t="shared" si="132"/>
        <v>-25</v>
      </c>
      <c r="W1615" s="233">
        <f t="shared" si="133"/>
        <v>-37991.5</v>
      </c>
    </row>
    <row r="1616" spans="1:2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 s="188">
        <v>1000</v>
      </c>
      <c r="S1616" s="8">
        <f t="shared" si="131"/>
        <v>-1000</v>
      </c>
      <c r="T1616" s="234">
        <f t="shared" si="134"/>
        <v>-1086999.9999999614</v>
      </c>
      <c r="U1616" s="15">
        <v>25</v>
      </c>
      <c r="V1616" s="8">
        <f t="shared" si="132"/>
        <v>-25</v>
      </c>
      <c r="W1616" s="233">
        <f t="shared" si="133"/>
        <v>-38016.5</v>
      </c>
    </row>
    <row r="1617" spans="1:2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 s="188">
        <v>1000</v>
      </c>
      <c r="S1617" s="8">
        <f t="shared" si="131"/>
        <v>-1000</v>
      </c>
      <c r="T1617" s="234">
        <f t="shared" si="134"/>
        <v>-1087999.9999999614</v>
      </c>
      <c r="U1617" s="15">
        <v>25</v>
      </c>
      <c r="V1617" s="8">
        <f t="shared" si="132"/>
        <v>-25</v>
      </c>
      <c r="W1617" s="233">
        <f t="shared" si="133"/>
        <v>-38041.5</v>
      </c>
    </row>
    <row r="1618" spans="1:2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 s="188">
        <v>1000</v>
      </c>
      <c r="S1618" s="8">
        <f t="shared" si="131"/>
        <v>-1000</v>
      </c>
      <c r="T1618" s="234">
        <f t="shared" si="134"/>
        <v>-1088999.9999999614</v>
      </c>
      <c r="U1618" s="15">
        <v>25</v>
      </c>
      <c r="V1618" s="8">
        <f t="shared" si="132"/>
        <v>-25</v>
      </c>
      <c r="W1618" s="233">
        <f t="shared" si="133"/>
        <v>-38066.5</v>
      </c>
    </row>
    <row r="1619" spans="1:2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 s="188">
        <v>1000</v>
      </c>
      <c r="S1619" s="8">
        <f t="shared" si="131"/>
        <v>-1000</v>
      </c>
      <c r="T1619" s="234">
        <f t="shared" si="134"/>
        <v>-1089999.9999999614</v>
      </c>
      <c r="U1619" s="15">
        <v>25</v>
      </c>
      <c r="V1619" s="8">
        <f t="shared" si="132"/>
        <v>-25</v>
      </c>
      <c r="W1619" s="233">
        <f t="shared" si="133"/>
        <v>-38091.5</v>
      </c>
    </row>
    <row r="1620" spans="1:2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 s="188">
        <v>1000</v>
      </c>
      <c r="S1620" s="8">
        <f t="shared" si="131"/>
        <v>-1000</v>
      </c>
      <c r="T1620" s="234">
        <f t="shared" si="134"/>
        <v>-1090999.9999999614</v>
      </c>
      <c r="U1620" s="15">
        <v>25</v>
      </c>
      <c r="V1620" s="8">
        <f t="shared" si="132"/>
        <v>-25</v>
      </c>
      <c r="W1620" s="233">
        <f t="shared" si="133"/>
        <v>-38116.5</v>
      </c>
    </row>
    <row r="1621" spans="1:2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 s="188">
        <v>1000</v>
      </c>
      <c r="S1621" s="8">
        <f t="shared" si="131"/>
        <v>-1000</v>
      </c>
      <c r="T1621" s="234">
        <f t="shared" si="134"/>
        <v>-1091999.9999999614</v>
      </c>
      <c r="U1621" s="15">
        <v>25</v>
      </c>
      <c r="V1621" s="8">
        <f t="shared" si="132"/>
        <v>-25</v>
      </c>
      <c r="W1621" s="233">
        <f t="shared" si="133"/>
        <v>-38141.5</v>
      </c>
    </row>
    <row r="1622" spans="1:2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 s="188">
        <v>1000</v>
      </c>
      <c r="S1622" s="8">
        <f t="shared" si="131"/>
        <v>-1000</v>
      </c>
      <c r="T1622" s="234">
        <f t="shared" si="134"/>
        <v>-1092999.9999999614</v>
      </c>
      <c r="U1622" s="15">
        <v>25</v>
      </c>
      <c r="V1622" s="8">
        <f t="shared" si="132"/>
        <v>-25</v>
      </c>
      <c r="W1622" s="233">
        <f t="shared" si="133"/>
        <v>-38166.5</v>
      </c>
    </row>
    <row r="1623" spans="1:2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 s="188">
        <v>1000</v>
      </c>
      <c r="S1623" s="8">
        <f t="shared" si="131"/>
        <v>-1000</v>
      </c>
      <c r="T1623" s="234">
        <f t="shared" si="134"/>
        <v>-1093999.9999999614</v>
      </c>
      <c r="U1623" s="15">
        <v>25</v>
      </c>
      <c r="V1623" s="8">
        <f t="shared" si="132"/>
        <v>-25</v>
      </c>
      <c r="W1623" s="233">
        <f t="shared" si="133"/>
        <v>-38191.5</v>
      </c>
    </row>
    <row r="1624" spans="1:2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 s="188">
        <v>1000</v>
      </c>
      <c r="S1624" s="8">
        <f t="shared" si="131"/>
        <v>-1000</v>
      </c>
      <c r="T1624" s="234">
        <f t="shared" si="134"/>
        <v>-1094999.9999999614</v>
      </c>
      <c r="U1624" s="15">
        <v>25</v>
      </c>
      <c r="V1624" s="8">
        <f t="shared" si="132"/>
        <v>-25</v>
      </c>
      <c r="W1624" s="233">
        <f t="shared" si="133"/>
        <v>-38216.5</v>
      </c>
    </row>
    <row r="1625" spans="1:2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 s="188">
        <v>1000</v>
      </c>
      <c r="S1625" s="8">
        <f t="shared" si="131"/>
        <v>-1000</v>
      </c>
      <c r="T1625" s="234">
        <f t="shared" si="134"/>
        <v>-1095999.9999999614</v>
      </c>
      <c r="U1625" s="15">
        <v>25</v>
      </c>
      <c r="V1625" s="8">
        <f t="shared" si="132"/>
        <v>-25</v>
      </c>
      <c r="W1625" s="233">
        <f t="shared" si="133"/>
        <v>-38241.5</v>
      </c>
    </row>
    <row r="1626" spans="1:2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 s="188">
        <v>1000</v>
      </c>
      <c r="S1626" s="8">
        <f t="shared" si="131"/>
        <v>-1000</v>
      </c>
      <c r="T1626" s="234">
        <f t="shared" si="134"/>
        <v>-1096999.9999999614</v>
      </c>
      <c r="U1626" s="15">
        <v>25</v>
      </c>
      <c r="V1626" s="8">
        <f t="shared" si="132"/>
        <v>-25</v>
      </c>
      <c r="W1626" s="233">
        <f t="shared" si="133"/>
        <v>-38266.5</v>
      </c>
    </row>
    <row r="1627" spans="1:2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 s="188">
        <v>1000</v>
      </c>
      <c r="S1627" s="8">
        <f t="shared" si="131"/>
        <v>-1000</v>
      </c>
      <c r="T1627" s="234">
        <f t="shared" si="134"/>
        <v>-1097999.9999999614</v>
      </c>
      <c r="U1627" s="15">
        <v>25</v>
      </c>
      <c r="V1627" s="8">
        <f t="shared" si="132"/>
        <v>-25</v>
      </c>
      <c r="W1627" s="233">
        <f t="shared" si="133"/>
        <v>-38291.5</v>
      </c>
    </row>
    <row r="1628" spans="1:2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 s="188">
        <v>1000</v>
      </c>
      <c r="S1628" s="8">
        <f t="shared" si="131"/>
        <v>-1000</v>
      </c>
      <c r="T1628" s="234">
        <f t="shared" si="134"/>
        <v>-1098999.9999999614</v>
      </c>
      <c r="U1628" s="15">
        <v>25</v>
      </c>
      <c r="V1628" s="8">
        <f t="shared" si="132"/>
        <v>-25</v>
      </c>
      <c r="W1628" s="233">
        <f t="shared" si="133"/>
        <v>-38316.5</v>
      </c>
    </row>
    <row r="1629" spans="1:2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 s="188">
        <v>1000</v>
      </c>
      <c r="S1629" s="8">
        <f t="shared" si="131"/>
        <v>-1000</v>
      </c>
      <c r="T1629" s="234">
        <f t="shared" si="134"/>
        <v>-1099999.9999999614</v>
      </c>
      <c r="U1629" s="15">
        <v>25</v>
      </c>
      <c r="V1629" s="8">
        <f t="shared" si="132"/>
        <v>-25</v>
      </c>
      <c r="W1629" s="233">
        <f t="shared" si="133"/>
        <v>-38341.5</v>
      </c>
    </row>
    <row r="1630" spans="1:2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 s="188">
        <v>1000</v>
      </c>
      <c r="S1630" s="8">
        <f t="shared" si="131"/>
        <v>-1000</v>
      </c>
      <c r="T1630" s="234">
        <f t="shared" si="134"/>
        <v>-1100999.9999999614</v>
      </c>
      <c r="U1630" s="15">
        <v>25</v>
      </c>
      <c r="V1630" s="8">
        <f t="shared" si="132"/>
        <v>-25</v>
      </c>
      <c r="W1630" s="233">
        <f t="shared" si="133"/>
        <v>-38366.5</v>
      </c>
    </row>
    <row r="1631" spans="1:2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 s="188">
        <v>1000</v>
      </c>
      <c r="S1631" s="8">
        <f t="shared" si="131"/>
        <v>-1000</v>
      </c>
      <c r="T1631" s="234">
        <f t="shared" si="134"/>
        <v>-1101999.9999999614</v>
      </c>
      <c r="U1631" s="15">
        <v>25</v>
      </c>
      <c r="V1631" s="8">
        <f t="shared" si="132"/>
        <v>-25</v>
      </c>
      <c r="W1631" s="233">
        <f t="shared" si="133"/>
        <v>-38391.5</v>
      </c>
    </row>
    <row r="1632" spans="1:2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 s="188">
        <v>1000</v>
      </c>
      <c r="S1632" s="8">
        <f t="shared" si="131"/>
        <v>-1000</v>
      </c>
      <c r="T1632" s="234">
        <f t="shared" si="134"/>
        <v>-1102999.9999999614</v>
      </c>
      <c r="U1632" s="15">
        <v>25</v>
      </c>
      <c r="V1632" s="8">
        <f t="shared" si="132"/>
        <v>-25</v>
      </c>
      <c r="W1632" s="233">
        <f t="shared" si="133"/>
        <v>-38416.5</v>
      </c>
    </row>
    <row r="1633" spans="1:2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 s="188">
        <v>1000</v>
      </c>
      <c r="S1633" s="8">
        <f t="shared" si="131"/>
        <v>-1000</v>
      </c>
      <c r="T1633" s="234">
        <f t="shared" si="134"/>
        <v>-1103999.9999999614</v>
      </c>
      <c r="U1633" s="15">
        <v>25</v>
      </c>
      <c r="V1633" s="8">
        <f t="shared" si="132"/>
        <v>-25</v>
      </c>
      <c r="W1633" s="233">
        <f t="shared" si="133"/>
        <v>-38441.5</v>
      </c>
    </row>
    <row r="1634" spans="1:2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 s="188">
        <v>1000</v>
      </c>
      <c r="S1634" s="8">
        <f t="shared" si="131"/>
        <v>-1000</v>
      </c>
      <c r="T1634" s="234">
        <f t="shared" si="134"/>
        <v>-1104999.9999999614</v>
      </c>
      <c r="U1634" s="15">
        <v>25</v>
      </c>
      <c r="V1634" s="8">
        <f t="shared" si="132"/>
        <v>-25</v>
      </c>
      <c r="W1634" s="233">
        <f t="shared" si="133"/>
        <v>-38466.5</v>
      </c>
    </row>
    <row r="1635" spans="1:2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 s="188">
        <v>1000</v>
      </c>
      <c r="S1635" s="8">
        <f t="shared" si="131"/>
        <v>-1000</v>
      </c>
      <c r="T1635" s="234">
        <f t="shared" si="134"/>
        <v>-1105999.9999999614</v>
      </c>
      <c r="U1635" s="15">
        <v>25</v>
      </c>
      <c r="V1635" s="8">
        <f t="shared" si="132"/>
        <v>-25</v>
      </c>
      <c r="W1635" s="233">
        <f t="shared" si="133"/>
        <v>-38491.5</v>
      </c>
    </row>
    <row r="1636" spans="1:2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 s="188">
        <v>1000</v>
      </c>
      <c r="S1636" s="8">
        <f t="shared" si="131"/>
        <v>-1000</v>
      </c>
      <c r="T1636" s="234">
        <f t="shared" si="134"/>
        <v>-1106999.9999999614</v>
      </c>
      <c r="U1636" s="15">
        <v>25</v>
      </c>
      <c r="V1636" s="8">
        <f t="shared" si="132"/>
        <v>-25</v>
      </c>
      <c r="W1636" s="233">
        <f t="shared" si="133"/>
        <v>-38516.5</v>
      </c>
    </row>
    <row r="1637" spans="1:2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 s="188">
        <v>1000</v>
      </c>
      <c r="S1637" s="8">
        <f t="shared" si="131"/>
        <v>-1000</v>
      </c>
      <c r="T1637" s="234">
        <f t="shared" si="134"/>
        <v>-1107999.9999999614</v>
      </c>
      <c r="U1637" s="15">
        <v>25</v>
      </c>
      <c r="V1637" s="8">
        <f t="shared" si="132"/>
        <v>-25</v>
      </c>
      <c r="W1637" s="233">
        <f t="shared" si="133"/>
        <v>-38541.5</v>
      </c>
    </row>
    <row r="1638" spans="1:2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 s="188">
        <v>1000</v>
      </c>
      <c r="S1638" s="8">
        <f t="shared" si="131"/>
        <v>-1000</v>
      </c>
      <c r="T1638" s="234">
        <f t="shared" si="134"/>
        <v>-1108999.9999999614</v>
      </c>
      <c r="U1638" s="15">
        <v>25</v>
      </c>
      <c r="V1638" s="8">
        <f t="shared" si="132"/>
        <v>-25</v>
      </c>
      <c r="W1638" s="233">
        <f t="shared" si="133"/>
        <v>-38566.5</v>
      </c>
    </row>
    <row r="1639" spans="1:2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 s="188">
        <v>1000</v>
      </c>
      <c r="S1639" s="8">
        <f t="shared" si="131"/>
        <v>-1000</v>
      </c>
      <c r="T1639" s="234">
        <f t="shared" si="134"/>
        <v>-1109999.9999999614</v>
      </c>
      <c r="U1639" s="15">
        <v>25</v>
      </c>
      <c r="V1639" s="8">
        <f t="shared" si="132"/>
        <v>-25</v>
      </c>
      <c r="W1639" s="233">
        <f t="shared" si="133"/>
        <v>-38591.5</v>
      </c>
    </row>
    <row r="1640" spans="1:2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 s="188">
        <v>1000</v>
      </c>
      <c r="S1640" s="8">
        <f t="shared" si="131"/>
        <v>-1000</v>
      </c>
      <c r="T1640" s="234">
        <f t="shared" si="134"/>
        <v>-1110999.9999999614</v>
      </c>
      <c r="U1640" s="15">
        <v>25</v>
      </c>
      <c r="V1640" s="8">
        <f t="shared" si="132"/>
        <v>-25</v>
      </c>
      <c r="W1640" s="233">
        <f t="shared" si="133"/>
        <v>-38616.5</v>
      </c>
    </row>
    <row r="1641" spans="1:2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 s="188">
        <v>1000</v>
      </c>
      <c r="S1641" s="8">
        <f t="shared" si="131"/>
        <v>-1000</v>
      </c>
      <c r="T1641" s="234">
        <f t="shared" si="134"/>
        <v>-1111999.9999999614</v>
      </c>
      <c r="U1641" s="15">
        <v>25</v>
      </c>
      <c r="V1641" s="8">
        <f t="shared" si="132"/>
        <v>-25</v>
      </c>
      <c r="W1641" s="233">
        <f t="shared" si="133"/>
        <v>-38641.5</v>
      </c>
    </row>
    <row r="1642" spans="1:2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 s="188">
        <v>1000</v>
      </c>
      <c r="S1642" s="8">
        <f t="shared" si="131"/>
        <v>-1000</v>
      </c>
      <c r="T1642" s="234">
        <f t="shared" si="134"/>
        <v>-1112999.9999999614</v>
      </c>
      <c r="U1642" s="15">
        <v>25</v>
      </c>
      <c r="V1642" s="8">
        <f t="shared" si="132"/>
        <v>-25</v>
      </c>
      <c r="W1642" s="233">
        <f t="shared" si="133"/>
        <v>-38666.5</v>
      </c>
    </row>
    <row r="1643" spans="1:2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 s="188">
        <v>1000</v>
      </c>
      <c r="S1643" s="8">
        <f t="shared" si="131"/>
        <v>-1000</v>
      </c>
      <c r="T1643" s="234">
        <f t="shared" si="134"/>
        <v>-1113999.9999999614</v>
      </c>
      <c r="U1643" s="15">
        <v>25</v>
      </c>
      <c r="V1643" s="8">
        <f t="shared" si="132"/>
        <v>-25</v>
      </c>
      <c r="W1643" s="233">
        <f t="shared" si="133"/>
        <v>-38691.5</v>
      </c>
    </row>
    <row r="1644" spans="1:2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 s="188">
        <v>1000</v>
      </c>
      <c r="S1644" s="8">
        <f t="shared" si="131"/>
        <v>-1000</v>
      </c>
      <c r="T1644" s="234">
        <f t="shared" si="134"/>
        <v>-1114999.9999999614</v>
      </c>
      <c r="U1644" s="15">
        <v>25</v>
      </c>
      <c r="V1644" s="8">
        <f t="shared" si="132"/>
        <v>-25</v>
      </c>
      <c r="W1644" s="233">
        <f t="shared" si="133"/>
        <v>-38716.5</v>
      </c>
    </row>
    <row r="1645" spans="1:2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 s="188">
        <v>1000</v>
      </c>
      <c r="S1645" s="8">
        <f t="shared" si="131"/>
        <v>-1000</v>
      </c>
      <c r="T1645" s="234">
        <f t="shared" si="134"/>
        <v>-1115999.9999999614</v>
      </c>
      <c r="U1645" s="15">
        <v>25</v>
      </c>
      <c r="V1645" s="8">
        <f t="shared" si="132"/>
        <v>-25</v>
      </c>
      <c r="W1645" s="233">
        <f t="shared" si="133"/>
        <v>-38741.5</v>
      </c>
    </row>
    <row r="1646" spans="1:2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 s="188">
        <v>1000</v>
      </c>
      <c r="S1646" s="8">
        <f t="shared" si="131"/>
        <v>-1000</v>
      </c>
      <c r="T1646" s="234">
        <f t="shared" si="134"/>
        <v>-1116999.9999999614</v>
      </c>
      <c r="U1646" s="15">
        <v>25</v>
      </c>
      <c r="V1646" s="8">
        <f t="shared" si="132"/>
        <v>-25</v>
      </c>
      <c r="W1646" s="233">
        <f t="shared" si="133"/>
        <v>-38766.5</v>
      </c>
    </row>
    <row r="1647" spans="1:2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 s="188">
        <v>1000</v>
      </c>
      <c r="S1647" s="8">
        <f t="shared" si="131"/>
        <v>-1000</v>
      </c>
      <c r="T1647" s="234">
        <f t="shared" si="134"/>
        <v>-1117999.9999999614</v>
      </c>
      <c r="U1647" s="15">
        <v>25</v>
      </c>
      <c r="V1647" s="8">
        <f t="shared" si="132"/>
        <v>-25</v>
      </c>
      <c r="W1647" s="233">
        <f t="shared" si="133"/>
        <v>-38791.5</v>
      </c>
    </row>
    <row r="1648" spans="1:2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 s="188">
        <v>1000</v>
      </c>
      <c r="S1648" s="8">
        <f t="shared" si="131"/>
        <v>-1000</v>
      </c>
      <c r="T1648" s="234">
        <f t="shared" si="134"/>
        <v>-1118999.9999999614</v>
      </c>
      <c r="U1648" s="15">
        <v>25</v>
      </c>
      <c r="V1648" s="8">
        <f t="shared" si="132"/>
        <v>-25</v>
      </c>
      <c r="W1648" s="233">
        <f t="shared" si="133"/>
        <v>-38816.5</v>
      </c>
    </row>
    <row r="1649" spans="1:2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 s="188">
        <v>1000</v>
      </c>
      <c r="S1649" s="8">
        <f t="shared" si="131"/>
        <v>-1000</v>
      </c>
      <c r="T1649" s="234">
        <f t="shared" si="134"/>
        <v>-1119999.9999999614</v>
      </c>
      <c r="U1649" s="15">
        <v>25</v>
      </c>
      <c r="V1649" s="8">
        <f t="shared" si="132"/>
        <v>-25</v>
      </c>
      <c r="W1649" s="233">
        <f t="shared" si="133"/>
        <v>-38841.5</v>
      </c>
    </row>
    <row r="1650" spans="1:2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 s="188">
        <v>1000</v>
      </c>
      <c r="S1650" s="8">
        <f t="shared" si="131"/>
        <v>-1000</v>
      </c>
      <c r="T1650" s="234">
        <f t="shared" si="134"/>
        <v>-1120999.9999999614</v>
      </c>
      <c r="U1650" s="15">
        <v>25</v>
      </c>
      <c r="V1650" s="8">
        <f t="shared" si="132"/>
        <v>-25</v>
      </c>
      <c r="W1650" s="233">
        <f t="shared" si="133"/>
        <v>-38866.5</v>
      </c>
    </row>
    <row r="1651" spans="1:2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 s="188">
        <v>1000</v>
      </c>
      <c r="S1651" s="8">
        <f t="shared" si="131"/>
        <v>-1000</v>
      </c>
      <c r="T1651" s="234">
        <f t="shared" si="134"/>
        <v>-1121999.9999999614</v>
      </c>
      <c r="U1651" s="15">
        <v>25</v>
      </c>
      <c r="V1651" s="8">
        <f t="shared" si="132"/>
        <v>-25</v>
      </c>
      <c r="W1651" s="233">
        <f t="shared" si="133"/>
        <v>-38891.5</v>
      </c>
    </row>
    <row r="1652" spans="1:2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 s="188">
        <v>1000</v>
      </c>
      <c r="S1652" s="8">
        <f t="shared" si="131"/>
        <v>-1000</v>
      </c>
      <c r="T1652" s="234">
        <f t="shared" si="134"/>
        <v>-1122999.9999999614</v>
      </c>
      <c r="U1652" s="15">
        <v>25</v>
      </c>
      <c r="V1652" s="8">
        <f t="shared" si="132"/>
        <v>-25</v>
      </c>
      <c r="W1652" s="233">
        <f t="shared" si="133"/>
        <v>-38916.5</v>
      </c>
    </row>
    <row r="1653" spans="1:2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 s="188">
        <v>1000</v>
      </c>
      <c r="S1653" s="8">
        <f t="shared" si="131"/>
        <v>-1000</v>
      </c>
      <c r="T1653" s="234">
        <f t="shared" si="134"/>
        <v>-1123999.9999999614</v>
      </c>
      <c r="U1653" s="15">
        <v>25</v>
      </c>
      <c r="V1653" s="8">
        <f t="shared" si="132"/>
        <v>-25</v>
      </c>
      <c r="W1653" s="233">
        <f t="shared" si="133"/>
        <v>-38941.5</v>
      </c>
    </row>
    <row r="1654" spans="1:2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 s="188">
        <v>1000</v>
      </c>
      <c r="S1654" s="8">
        <f t="shared" si="131"/>
        <v>-1000</v>
      </c>
      <c r="T1654" s="234">
        <f t="shared" si="134"/>
        <v>-1124999.9999999614</v>
      </c>
      <c r="U1654" s="15">
        <v>25</v>
      </c>
      <c r="V1654" s="8">
        <f t="shared" si="132"/>
        <v>-25</v>
      </c>
      <c r="W1654" s="233">
        <f t="shared" si="133"/>
        <v>-38966.5</v>
      </c>
    </row>
    <row r="1655" spans="1:2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 s="188">
        <v>1000</v>
      </c>
      <c r="S1655" s="8">
        <f t="shared" si="131"/>
        <v>-1000</v>
      </c>
      <c r="T1655" s="234">
        <f t="shared" si="134"/>
        <v>-1125999.9999999614</v>
      </c>
      <c r="U1655" s="15">
        <v>25</v>
      </c>
      <c r="V1655" s="8">
        <f t="shared" si="132"/>
        <v>-25</v>
      </c>
      <c r="W1655" s="233">
        <f t="shared" si="133"/>
        <v>-38991.5</v>
      </c>
    </row>
    <row r="1656" spans="1:2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 s="188">
        <v>1000</v>
      </c>
      <c r="S1656" s="8">
        <f t="shared" si="131"/>
        <v>-1000</v>
      </c>
      <c r="T1656" s="234">
        <f t="shared" si="134"/>
        <v>-1126999.9999999614</v>
      </c>
      <c r="U1656" s="15">
        <v>25</v>
      </c>
      <c r="V1656" s="8">
        <f t="shared" si="132"/>
        <v>-25</v>
      </c>
      <c r="W1656" s="233">
        <f t="shared" si="133"/>
        <v>-39016.5</v>
      </c>
    </row>
    <row r="1657" spans="1:2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 s="188">
        <v>1000</v>
      </c>
      <c r="S1657" s="8">
        <f t="shared" si="131"/>
        <v>-1000</v>
      </c>
      <c r="T1657" s="234">
        <f t="shared" si="134"/>
        <v>-1127999.9999999614</v>
      </c>
      <c r="U1657" s="15">
        <v>25</v>
      </c>
      <c r="V1657" s="8">
        <f t="shared" si="132"/>
        <v>-25</v>
      </c>
      <c r="W1657" s="233">
        <f t="shared" si="133"/>
        <v>-39041.5</v>
      </c>
    </row>
    <row r="1658" spans="1:2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 s="188">
        <v>1000</v>
      </c>
      <c r="S1658" s="8">
        <f t="shared" si="131"/>
        <v>-1000</v>
      </c>
      <c r="T1658" s="234">
        <f t="shared" si="134"/>
        <v>-1128999.9999999614</v>
      </c>
      <c r="U1658" s="15">
        <v>25</v>
      </c>
      <c r="V1658" s="8">
        <f t="shared" si="132"/>
        <v>-25</v>
      </c>
      <c r="W1658" s="233">
        <f t="shared" si="133"/>
        <v>-39066.5</v>
      </c>
    </row>
    <row r="1659" spans="1:2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 s="188">
        <v>1000</v>
      </c>
      <c r="S1659" s="8">
        <f t="shared" si="131"/>
        <v>-1000</v>
      </c>
      <c r="T1659" s="234">
        <f t="shared" si="134"/>
        <v>-1129999.9999999614</v>
      </c>
      <c r="U1659" s="15">
        <v>25</v>
      </c>
      <c r="V1659" s="8">
        <f t="shared" si="132"/>
        <v>-25</v>
      </c>
      <c r="W1659" s="233">
        <f t="shared" si="133"/>
        <v>-39091.5</v>
      </c>
    </row>
    <row r="1660" spans="1:2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 s="188">
        <v>1000</v>
      </c>
      <c r="S1660" s="8">
        <f t="shared" si="131"/>
        <v>-1000</v>
      </c>
      <c r="T1660" s="234">
        <f t="shared" si="134"/>
        <v>-1130999.9999999614</v>
      </c>
      <c r="U1660" s="15">
        <v>25</v>
      </c>
      <c r="V1660" s="8">
        <f t="shared" si="132"/>
        <v>-25</v>
      </c>
      <c r="W1660" s="233">
        <f t="shared" si="133"/>
        <v>-39116.5</v>
      </c>
    </row>
    <row r="1661" spans="1:2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 s="188">
        <v>1000</v>
      </c>
      <c r="S1661" s="8">
        <f t="shared" si="131"/>
        <v>-1000</v>
      </c>
      <c r="T1661" s="234">
        <f t="shared" si="134"/>
        <v>-1131999.9999999614</v>
      </c>
      <c r="U1661" s="15">
        <v>25</v>
      </c>
      <c r="V1661" s="8">
        <f t="shared" si="132"/>
        <v>-25</v>
      </c>
      <c r="W1661" s="233">
        <f t="shared" si="133"/>
        <v>-39141.5</v>
      </c>
    </row>
    <row r="1662" spans="1:2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 s="188">
        <v>1000</v>
      </c>
      <c r="S1662" s="8">
        <f t="shared" si="131"/>
        <v>-1000</v>
      </c>
      <c r="T1662" s="234">
        <f t="shared" si="134"/>
        <v>-1132999.9999999614</v>
      </c>
      <c r="U1662" s="15">
        <v>25</v>
      </c>
      <c r="V1662" s="8">
        <f t="shared" si="132"/>
        <v>-25</v>
      </c>
      <c r="W1662" s="233">
        <f t="shared" si="133"/>
        <v>-39166.5</v>
      </c>
    </row>
    <row r="1663" spans="1:2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 s="188">
        <v>1000</v>
      </c>
      <c r="S1663" s="8">
        <f t="shared" si="131"/>
        <v>-1000</v>
      </c>
      <c r="T1663" s="234">
        <f t="shared" si="134"/>
        <v>-1133999.9999999614</v>
      </c>
      <c r="U1663" s="15">
        <v>25</v>
      </c>
      <c r="V1663" s="8">
        <f t="shared" si="132"/>
        <v>-25</v>
      </c>
      <c r="W1663" s="233">
        <f t="shared" si="133"/>
        <v>-39191.5</v>
      </c>
    </row>
    <row r="1664" spans="1:2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 s="188">
        <v>1000</v>
      </c>
      <c r="S1664" s="8">
        <f t="shared" si="131"/>
        <v>-1000</v>
      </c>
      <c r="T1664" s="234">
        <f t="shared" si="134"/>
        <v>-1134999.9999999614</v>
      </c>
      <c r="U1664" s="15">
        <v>25</v>
      </c>
      <c r="V1664" s="8">
        <f t="shared" si="132"/>
        <v>-25</v>
      </c>
      <c r="W1664" s="233">
        <f t="shared" si="133"/>
        <v>-39216.5</v>
      </c>
    </row>
    <row r="1665" spans="1:2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 s="188">
        <v>1000</v>
      </c>
      <c r="S1665" s="8">
        <f t="shared" si="131"/>
        <v>-1000</v>
      </c>
      <c r="T1665" s="234">
        <f t="shared" si="134"/>
        <v>-1135999.9999999614</v>
      </c>
      <c r="U1665" s="15">
        <v>25</v>
      </c>
      <c r="V1665" s="8">
        <f t="shared" si="132"/>
        <v>-25</v>
      </c>
      <c r="W1665" s="233">
        <f t="shared" si="133"/>
        <v>-39241.5</v>
      </c>
    </row>
    <row r="1666" spans="1:2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 s="188">
        <v>1000</v>
      </c>
      <c r="S1666" s="8">
        <f t="shared" si="131"/>
        <v>-1000</v>
      </c>
      <c r="T1666" s="234">
        <f t="shared" si="134"/>
        <v>-1136999.9999999614</v>
      </c>
      <c r="U1666" s="15">
        <v>25</v>
      </c>
      <c r="V1666" s="8">
        <f t="shared" si="132"/>
        <v>-25</v>
      </c>
      <c r="W1666" s="233">
        <f t="shared" si="133"/>
        <v>-39266.5</v>
      </c>
    </row>
    <row r="1667" spans="1:2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 s="188">
        <v>1000</v>
      </c>
      <c r="S1667" s="8">
        <f t="shared" ref="S1667:S1730" si="135">IF(O1667="won",R1667*0.18,-R1667)</f>
        <v>-1000</v>
      </c>
      <c r="T1667" s="234">
        <f t="shared" si="134"/>
        <v>-1137999.9999999614</v>
      </c>
      <c r="U1667" s="15">
        <v>25</v>
      </c>
      <c r="V1667" s="8">
        <f t="shared" ref="V1667:V1730" si="136">IF(O1667="won",U1667*0.18,-U1667)</f>
        <v>-25</v>
      </c>
      <c r="W1667" s="233">
        <f t="shared" ref="W1667:W1730" si="137">SUM(W1666,V1667)</f>
        <v>-39291.5</v>
      </c>
    </row>
    <row r="1668" spans="1:2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 s="188">
        <v>1000</v>
      </c>
      <c r="S1668" s="8">
        <f t="shared" si="135"/>
        <v>-1000</v>
      </c>
      <c r="T1668" s="234">
        <f t="shared" si="134"/>
        <v>-1138999.9999999614</v>
      </c>
      <c r="U1668" s="15">
        <v>25</v>
      </c>
      <c r="V1668" s="8">
        <f t="shared" si="136"/>
        <v>-25</v>
      </c>
      <c r="W1668" s="233">
        <f t="shared" si="137"/>
        <v>-39316.5</v>
      </c>
    </row>
    <row r="1669" spans="1:2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 s="188">
        <v>1000</v>
      </c>
      <c r="S1669" s="8">
        <f t="shared" si="135"/>
        <v>-1000</v>
      </c>
      <c r="T1669" s="234">
        <f t="shared" si="134"/>
        <v>-1139999.9999999614</v>
      </c>
      <c r="U1669" s="15">
        <v>25</v>
      </c>
      <c r="V1669" s="8">
        <f t="shared" si="136"/>
        <v>-25</v>
      </c>
      <c r="W1669" s="233">
        <f t="shared" si="137"/>
        <v>-39341.5</v>
      </c>
    </row>
    <row r="1670" spans="1:2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 s="188">
        <v>1000</v>
      </c>
      <c r="S1670" s="8">
        <f t="shared" si="135"/>
        <v>-1000</v>
      </c>
      <c r="T1670" s="234">
        <f t="shared" si="134"/>
        <v>-1140999.9999999614</v>
      </c>
      <c r="U1670" s="15">
        <v>25</v>
      </c>
      <c r="V1670" s="8">
        <f t="shared" si="136"/>
        <v>-25</v>
      </c>
      <c r="W1670" s="233">
        <f t="shared" si="137"/>
        <v>-39366.5</v>
      </c>
    </row>
    <row r="1671" spans="1:2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 s="188">
        <v>1000</v>
      </c>
      <c r="S1671" s="8">
        <f t="shared" si="135"/>
        <v>-1000</v>
      </c>
      <c r="T1671" s="234">
        <f t="shared" si="134"/>
        <v>-1141999.9999999614</v>
      </c>
      <c r="U1671" s="15">
        <v>25</v>
      </c>
      <c r="V1671" s="8">
        <f t="shared" si="136"/>
        <v>-25</v>
      </c>
      <c r="W1671" s="233">
        <f t="shared" si="137"/>
        <v>-39391.5</v>
      </c>
    </row>
    <row r="1672" spans="1:2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 s="188">
        <v>1000</v>
      </c>
      <c r="S1672" s="8">
        <f t="shared" si="135"/>
        <v>-1000</v>
      </c>
      <c r="T1672" s="234">
        <f t="shared" si="134"/>
        <v>-1142999.9999999614</v>
      </c>
      <c r="U1672" s="15">
        <v>25</v>
      </c>
      <c r="V1672" s="8">
        <f t="shared" si="136"/>
        <v>-25</v>
      </c>
      <c r="W1672" s="233">
        <f t="shared" si="137"/>
        <v>-39416.5</v>
      </c>
    </row>
    <row r="1673" spans="1:2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 s="188">
        <v>1000</v>
      </c>
      <c r="S1673" s="8">
        <f t="shared" si="135"/>
        <v>-1000</v>
      </c>
      <c r="T1673" s="234">
        <f t="shared" si="134"/>
        <v>-1143999.9999999614</v>
      </c>
      <c r="U1673" s="15">
        <v>25</v>
      </c>
      <c r="V1673" s="8">
        <f t="shared" si="136"/>
        <v>-25</v>
      </c>
      <c r="W1673" s="233">
        <f t="shared" si="137"/>
        <v>-39441.5</v>
      </c>
    </row>
    <row r="1674" spans="1:2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 s="188">
        <v>1000</v>
      </c>
      <c r="S1674" s="8">
        <f t="shared" si="135"/>
        <v>-1000</v>
      </c>
      <c r="T1674" s="234">
        <f t="shared" ref="T1674:T1737" si="138">SUM(T1673,S1674)</f>
        <v>-1144999.9999999614</v>
      </c>
      <c r="U1674" s="15">
        <v>25</v>
      </c>
      <c r="V1674" s="8">
        <f t="shared" si="136"/>
        <v>-25</v>
      </c>
      <c r="W1674" s="233">
        <f t="shared" si="137"/>
        <v>-39466.5</v>
      </c>
    </row>
    <row r="1675" spans="1:2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 s="188">
        <v>1000</v>
      </c>
      <c r="S1675" s="8">
        <f t="shared" si="135"/>
        <v>-1000</v>
      </c>
      <c r="T1675" s="234">
        <f t="shared" si="138"/>
        <v>-1145999.9999999614</v>
      </c>
      <c r="U1675" s="15">
        <v>25</v>
      </c>
      <c r="V1675" s="8">
        <f t="shared" si="136"/>
        <v>-25</v>
      </c>
      <c r="W1675" s="233">
        <f t="shared" si="137"/>
        <v>-39491.5</v>
      </c>
    </row>
    <row r="1676" spans="1:2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 s="188">
        <v>1000</v>
      </c>
      <c r="S1676" s="8">
        <f t="shared" si="135"/>
        <v>-1000</v>
      </c>
      <c r="T1676" s="234">
        <f t="shared" si="138"/>
        <v>-1146999.9999999614</v>
      </c>
      <c r="U1676" s="15">
        <v>25</v>
      </c>
      <c r="V1676" s="8">
        <f t="shared" si="136"/>
        <v>-25</v>
      </c>
      <c r="W1676" s="233">
        <f t="shared" si="137"/>
        <v>-39516.5</v>
      </c>
    </row>
    <row r="1677" spans="1:2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 s="188">
        <v>1000</v>
      </c>
      <c r="S1677" s="8">
        <f t="shared" si="135"/>
        <v>-1000</v>
      </c>
      <c r="T1677" s="234">
        <f t="shared" si="138"/>
        <v>-1147999.9999999614</v>
      </c>
      <c r="U1677" s="15">
        <v>25</v>
      </c>
      <c r="V1677" s="8">
        <f t="shared" si="136"/>
        <v>-25</v>
      </c>
      <c r="W1677" s="233">
        <f t="shared" si="137"/>
        <v>-39541.5</v>
      </c>
    </row>
    <row r="1678" spans="1:2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 s="188">
        <v>1000</v>
      </c>
      <c r="S1678" s="8">
        <f t="shared" si="135"/>
        <v>-1000</v>
      </c>
      <c r="T1678" s="234">
        <f t="shared" si="138"/>
        <v>-1148999.9999999614</v>
      </c>
      <c r="U1678" s="15">
        <v>25</v>
      </c>
      <c r="V1678" s="8">
        <f t="shared" si="136"/>
        <v>-25</v>
      </c>
      <c r="W1678" s="233">
        <f t="shared" si="137"/>
        <v>-39566.5</v>
      </c>
    </row>
    <row r="1679" spans="1:2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 s="188">
        <v>1000</v>
      </c>
      <c r="S1679" s="8">
        <f t="shared" si="135"/>
        <v>-1000</v>
      </c>
      <c r="T1679" s="234">
        <f t="shared" si="138"/>
        <v>-1149999.9999999614</v>
      </c>
      <c r="U1679" s="15">
        <v>25</v>
      </c>
      <c r="V1679" s="8">
        <f t="shared" si="136"/>
        <v>-25</v>
      </c>
      <c r="W1679" s="233">
        <f t="shared" si="137"/>
        <v>-39591.5</v>
      </c>
    </row>
    <row r="1680" spans="1:2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 s="188">
        <v>1000</v>
      </c>
      <c r="S1680" s="8">
        <f t="shared" si="135"/>
        <v>-1000</v>
      </c>
      <c r="T1680" s="234">
        <f t="shared" si="138"/>
        <v>-1150999.9999999614</v>
      </c>
      <c r="U1680" s="15">
        <v>25</v>
      </c>
      <c r="V1680" s="8">
        <f t="shared" si="136"/>
        <v>-25</v>
      </c>
      <c r="W1680" s="233">
        <f t="shared" si="137"/>
        <v>-39616.5</v>
      </c>
    </row>
    <row r="1681" spans="1:2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 s="188">
        <v>1000</v>
      </c>
      <c r="S1681" s="8">
        <f t="shared" si="135"/>
        <v>-1000</v>
      </c>
      <c r="T1681" s="234">
        <f t="shared" si="138"/>
        <v>-1151999.9999999614</v>
      </c>
      <c r="U1681" s="15">
        <v>25</v>
      </c>
      <c r="V1681" s="8">
        <f t="shared" si="136"/>
        <v>-25</v>
      </c>
      <c r="W1681" s="233">
        <f t="shared" si="137"/>
        <v>-39641.5</v>
      </c>
    </row>
    <row r="1682" spans="1:2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 s="188">
        <v>1000</v>
      </c>
      <c r="S1682" s="8">
        <f t="shared" si="135"/>
        <v>-1000</v>
      </c>
      <c r="T1682" s="234">
        <f t="shared" si="138"/>
        <v>-1152999.9999999614</v>
      </c>
      <c r="U1682" s="15">
        <v>25</v>
      </c>
      <c r="V1682" s="8">
        <f t="shared" si="136"/>
        <v>-25</v>
      </c>
      <c r="W1682" s="233">
        <f t="shared" si="137"/>
        <v>-39666.5</v>
      </c>
    </row>
    <row r="1683" spans="1:2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 s="188">
        <v>1000</v>
      </c>
      <c r="S1683" s="8">
        <f t="shared" si="135"/>
        <v>-1000</v>
      </c>
      <c r="T1683" s="234">
        <f t="shared" si="138"/>
        <v>-1153999.9999999614</v>
      </c>
      <c r="U1683" s="15">
        <v>25</v>
      </c>
      <c r="V1683" s="8">
        <f t="shared" si="136"/>
        <v>-25</v>
      </c>
      <c r="W1683" s="233">
        <f t="shared" si="137"/>
        <v>-39691.5</v>
      </c>
    </row>
    <row r="1684" spans="1:2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 s="188">
        <v>1000</v>
      </c>
      <c r="S1684" s="8">
        <f t="shared" si="135"/>
        <v>-1000</v>
      </c>
      <c r="T1684" s="234">
        <f t="shared" si="138"/>
        <v>-1154999.9999999614</v>
      </c>
      <c r="U1684" s="15">
        <v>25</v>
      </c>
      <c r="V1684" s="8">
        <f t="shared" si="136"/>
        <v>-25</v>
      </c>
      <c r="W1684" s="233">
        <f t="shared" si="137"/>
        <v>-39716.5</v>
      </c>
    </row>
    <row r="1685" spans="1:2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 s="188">
        <v>1000</v>
      </c>
      <c r="S1685" s="8">
        <f t="shared" si="135"/>
        <v>-1000</v>
      </c>
      <c r="T1685" s="234">
        <f t="shared" si="138"/>
        <v>-1155999.9999999614</v>
      </c>
      <c r="U1685" s="15">
        <v>25</v>
      </c>
      <c r="V1685" s="8">
        <f t="shared" si="136"/>
        <v>-25</v>
      </c>
      <c r="W1685" s="233">
        <f t="shared" si="137"/>
        <v>-39741.5</v>
      </c>
    </row>
    <row r="1686" spans="1:2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 s="188">
        <v>1000</v>
      </c>
      <c r="S1686" s="8">
        <f t="shared" si="135"/>
        <v>-1000</v>
      </c>
      <c r="T1686" s="234">
        <f t="shared" si="138"/>
        <v>-1156999.9999999614</v>
      </c>
      <c r="U1686" s="15">
        <v>25</v>
      </c>
      <c r="V1686" s="8">
        <f t="shared" si="136"/>
        <v>-25</v>
      </c>
      <c r="W1686" s="233">
        <f t="shared" si="137"/>
        <v>-39766.5</v>
      </c>
    </row>
    <row r="1687" spans="1:2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 s="188">
        <v>1000</v>
      </c>
      <c r="S1687" s="8">
        <f t="shared" si="135"/>
        <v>-1000</v>
      </c>
      <c r="T1687" s="234">
        <f t="shared" si="138"/>
        <v>-1157999.9999999614</v>
      </c>
      <c r="U1687" s="15">
        <v>25</v>
      </c>
      <c r="V1687" s="8">
        <f t="shared" si="136"/>
        <v>-25</v>
      </c>
      <c r="W1687" s="233">
        <f t="shared" si="137"/>
        <v>-39791.5</v>
      </c>
    </row>
    <row r="1688" spans="1:2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 s="188">
        <v>1000</v>
      </c>
      <c r="S1688" s="8">
        <f t="shared" si="135"/>
        <v>-1000</v>
      </c>
      <c r="T1688" s="234">
        <f t="shared" si="138"/>
        <v>-1158999.9999999614</v>
      </c>
      <c r="U1688" s="15">
        <v>25</v>
      </c>
      <c r="V1688" s="8">
        <f t="shared" si="136"/>
        <v>-25</v>
      </c>
      <c r="W1688" s="233">
        <f t="shared" si="137"/>
        <v>-39816.5</v>
      </c>
    </row>
    <row r="1689" spans="1:2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 s="188">
        <v>1000</v>
      </c>
      <c r="S1689" s="8">
        <f t="shared" si="135"/>
        <v>-1000</v>
      </c>
      <c r="T1689" s="234">
        <f t="shared" si="138"/>
        <v>-1159999.9999999614</v>
      </c>
      <c r="U1689" s="15">
        <v>25</v>
      </c>
      <c r="V1689" s="8">
        <f t="shared" si="136"/>
        <v>-25</v>
      </c>
      <c r="W1689" s="233">
        <f t="shared" si="137"/>
        <v>-39841.5</v>
      </c>
    </row>
    <row r="1690" spans="1:2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 s="188">
        <v>1000</v>
      </c>
      <c r="S1690" s="8">
        <f t="shared" si="135"/>
        <v>-1000</v>
      </c>
      <c r="T1690" s="234">
        <f t="shared" si="138"/>
        <v>-1160999.9999999614</v>
      </c>
      <c r="U1690" s="15">
        <v>25</v>
      </c>
      <c r="V1690" s="8">
        <f t="shared" si="136"/>
        <v>-25</v>
      </c>
      <c r="W1690" s="233">
        <f t="shared" si="137"/>
        <v>-39866.5</v>
      </c>
    </row>
    <row r="1691" spans="1:2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 s="188">
        <v>1000</v>
      </c>
      <c r="S1691" s="8">
        <f t="shared" si="135"/>
        <v>-1000</v>
      </c>
      <c r="T1691" s="234">
        <f t="shared" si="138"/>
        <v>-1161999.9999999614</v>
      </c>
      <c r="U1691" s="15">
        <v>25</v>
      </c>
      <c r="V1691" s="8">
        <f t="shared" si="136"/>
        <v>-25</v>
      </c>
      <c r="W1691" s="233">
        <f t="shared" si="137"/>
        <v>-39891.5</v>
      </c>
    </row>
    <row r="1692" spans="1:2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 s="188">
        <v>1000</v>
      </c>
      <c r="S1692" s="8">
        <f t="shared" si="135"/>
        <v>-1000</v>
      </c>
      <c r="T1692" s="234">
        <f t="shared" si="138"/>
        <v>-1162999.9999999614</v>
      </c>
      <c r="U1692" s="15">
        <v>25</v>
      </c>
      <c r="V1692" s="8">
        <f t="shared" si="136"/>
        <v>-25</v>
      </c>
      <c r="W1692" s="233">
        <f t="shared" si="137"/>
        <v>-39916.5</v>
      </c>
    </row>
    <row r="1693" spans="1:2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 s="188">
        <v>1000</v>
      </c>
      <c r="S1693" s="8">
        <f t="shared" si="135"/>
        <v>-1000</v>
      </c>
      <c r="T1693" s="234">
        <f t="shared" si="138"/>
        <v>-1163999.9999999614</v>
      </c>
      <c r="U1693" s="15">
        <v>25</v>
      </c>
      <c r="V1693" s="8">
        <f t="shared" si="136"/>
        <v>-25</v>
      </c>
      <c r="W1693" s="233">
        <f t="shared" si="137"/>
        <v>-39941.5</v>
      </c>
    </row>
    <row r="1694" spans="1:2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 s="188">
        <v>1000</v>
      </c>
      <c r="S1694" s="8">
        <f t="shared" si="135"/>
        <v>-1000</v>
      </c>
      <c r="T1694" s="234">
        <f t="shared" si="138"/>
        <v>-1164999.9999999614</v>
      </c>
      <c r="U1694" s="15">
        <v>25</v>
      </c>
      <c r="V1694" s="8">
        <f t="shared" si="136"/>
        <v>-25</v>
      </c>
      <c r="W1694" s="233">
        <f t="shared" si="137"/>
        <v>-39966.5</v>
      </c>
    </row>
    <row r="1695" spans="1:2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 s="188">
        <v>1000</v>
      </c>
      <c r="S1695" s="8">
        <f t="shared" si="135"/>
        <v>-1000</v>
      </c>
      <c r="T1695" s="234">
        <f t="shared" si="138"/>
        <v>-1165999.9999999614</v>
      </c>
      <c r="U1695" s="15">
        <v>25</v>
      </c>
      <c r="V1695" s="8">
        <f t="shared" si="136"/>
        <v>-25</v>
      </c>
      <c r="W1695" s="233">
        <f t="shared" si="137"/>
        <v>-39991.5</v>
      </c>
    </row>
    <row r="1696" spans="1:2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 s="188">
        <v>1000</v>
      </c>
      <c r="S1696" s="8">
        <f t="shared" si="135"/>
        <v>-1000</v>
      </c>
      <c r="T1696" s="234">
        <f t="shared" si="138"/>
        <v>-1166999.9999999614</v>
      </c>
      <c r="U1696" s="15">
        <v>25</v>
      </c>
      <c r="V1696" s="8">
        <f t="shared" si="136"/>
        <v>-25</v>
      </c>
      <c r="W1696" s="233">
        <f t="shared" si="137"/>
        <v>-40016.5</v>
      </c>
    </row>
    <row r="1697" spans="1:2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 s="188">
        <v>1000</v>
      </c>
      <c r="S1697" s="8">
        <f t="shared" si="135"/>
        <v>-1000</v>
      </c>
      <c r="T1697" s="234">
        <f t="shared" si="138"/>
        <v>-1167999.9999999614</v>
      </c>
      <c r="U1697" s="15">
        <v>25</v>
      </c>
      <c r="V1697" s="8">
        <f t="shared" si="136"/>
        <v>-25</v>
      </c>
      <c r="W1697" s="233">
        <f t="shared" si="137"/>
        <v>-40041.5</v>
      </c>
    </row>
    <row r="1698" spans="1:2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 s="188">
        <v>1000</v>
      </c>
      <c r="S1698" s="8">
        <f t="shared" si="135"/>
        <v>-1000</v>
      </c>
      <c r="T1698" s="234">
        <f t="shared" si="138"/>
        <v>-1168999.9999999614</v>
      </c>
      <c r="U1698" s="15">
        <v>25</v>
      </c>
      <c r="V1698" s="8">
        <f t="shared" si="136"/>
        <v>-25</v>
      </c>
      <c r="W1698" s="233">
        <f t="shared" si="137"/>
        <v>-40066.5</v>
      </c>
    </row>
    <row r="1699" spans="1:2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 s="188">
        <v>1000</v>
      </c>
      <c r="S1699" s="8">
        <f t="shared" si="135"/>
        <v>-1000</v>
      </c>
      <c r="T1699" s="234">
        <f t="shared" si="138"/>
        <v>-1169999.9999999614</v>
      </c>
      <c r="U1699" s="15">
        <v>25</v>
      </c>
      <c r="V1699" s="8">
        <f t="shared" si="136"/>
        <v>-25</v>
      </c>
      <c r="W1699" s="233">
        <f t="shared" si="137"/>
        <v>-40091.5</v>
      </c>
    </row>
    <row r="1700" spans="1:2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 s="188">
        <v>1000</v>
      </c>
      <c r="S1700" s="8">
        <f t="shared" si="135"/>
        <v>-1000</v>
      </c>
      <c r="T1700" s="234">
        <f t="shared" si="138"/>
        <v>-1170999.9999999614</v>
      </c>
      <c r="U1700" s="15">
        <v>25</v>
      </c>
      <c r="V1700" s="8">
        <f t="shared" si="136"/>
        <v>-25</v>
      </c>
      <c r="W1700" s="233">
        <f t="shared" si="137"/>
        <v>-40116.5</v>
      </c>
    </row>
    <row r="1701" spans="1:2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 s="188">
        <v>1000</v>
      </c>
      <c r="S1701" s="8">
        <f t="shared" si="135"/>
        <v>-1000</v>
      </c>
      <c r="T1701" s="234">
        <f t="shared" si="138"/>
        <v>-1171999.9999999614</v>
      </c>
      <c r="U1701" s="15">
        <v>25</v>
      </c>
      <c r="V1701" s="8">
        <f t="shared" si="136"/>
        <v>-25</v>
      </c>
      <c r="W1701" s="233">
        <f t="shared" si="137"/>
        <v>-40141.5</v>
      </c>
    </row>
    <row r="1702" spans="1:2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 s="188">
        <v>1000</v>
      </c>
      <c r="S1702" s="8">
        <f t="shared" si="135"/>
        <v>-1000</v>
      </c>
      <c r="T1702" s="234">
        <f t="shared" si="138"/>
        <v>-1172999.9999999614</v>
      </c>
      <c r="U1702" s="15">
        <v>25</v>
      </c>
      <c r="V1702" s="8">
        <f t="shared" si="136"/>
        <v>-25</v>
      </c>
      <c r="W1702" s="233">
        <f t="shared" si="137"/>
        <v>-40166.5</v>
      </c>
    </row>
    <row r="1703" spans="1:2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 s="188">
        <v>1000</v>
      </c>
      <c r="S1703" s="8">
        <f t="shared" si="135"/>
        <v>-1000</v>
      </c>
      <c r="T1703" s="234">
        <f t="shared" si="138"/>
        <v>-1173999.9999999614</v>
      </c>
      <c r="U1703" s="15">
        <v>25</v>
      </c>
      <c r="V1703" s="8">
        <f t="shared" si="136"/>
        <v>-25</v>
      </c>
      <c r="W1703" s="233">
        <f t="shared" si="137"/>
        <v>-40191.5</v>
      </c>
    </row>
    <row r="1704" spans="1:2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 s="188">
        <v>1000</v>
      </c>
      <c r="S1704" s="8">
        <f t="shared" si="135"/>
        <v>-1000</v>
      </c>
      <c r="T1704" s="234">
        <f t="shared" si="138"/>
        <v>-1174999.9999999614</v>
      </c>
      <c r="U1704" s="15">
        <v>25</v>
      </c>
      <c r="V1704" s="8">
        <f t="shared" si="136"/>
        <v>-25</v>
      </c>
      <c r="W1704" s="233">
        <f t="shared" si="137"/>
        <v>-40216.5</v>
      </c>
    </row>
    <row r="1705" spans="1:2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 s="188">
        <v>1000</v>
      </c>
      <c r="S1705" s="8">
        <f t="shared" si="135"/>
        <v>-1000</v>
      </c>
      <c r="T1705" s="234">
        <f t="shared" si="138"/>
        <v>-1175999.9999999614</v>
      </c>
      <c r="U1705" s="15">
        <v>25</v>
      </c>
      <c r="V1705" s="8">
        <f t="shared" si="136"/>
        <v>-25</v>
      </c>
      <c r="W1705" s="233">
        <f t="shared" si="137"/>
        <v>-40241.5</v>
      </c>
    </row>
    <row r="1706" spans="1:2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 s="188">
        <v>1000</v>
      </c>
      <c r="S1706" s="8">
        <f t="shared" si="135"/>
        <v>-1000</v>
      </c>
      <c r="T1706" s="234">
        <f t="shared" si="138"/>
        <v>-1176999.9999999614</v>
      </c>
      <c r="U1706" s="15">
        <v>25</v>
      </c>
      <c r="V1706" s="8">
        <f t="shared" si="136"/>
        <v>-25</v>
      </c>
      <c r="W1706" s="233">
        <f t="shared" si="137"/>
        <v>-40266.5</v>
      </c>
    </row>
    <row r="1707" spans="1:2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 s="188">
        <v>1000</v>
      </c>
      <c r="S1707" s="8">
        <f t="shared" si="135"/>
        <v>-1000</v>
      </c>
      <c r="T1707" s="234">
        <f t="shared" si="138"/>
        <v>-1177999.9999999614</v>
      </c>
      <c r="U1707" s="15">
        <v>25</v>
      </c>
      <c r="V1707" s="8">
        <f t="shared" si="136"/>
        <v>-25</v>
      </c>
      <c r="W1707" s="233">
        <f t="shared" si="137"/>
        <v>-40291.5</v>
      </c>
    </row>
    <row r="1708" spans="1:2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 s="188">
        <v>1000</v>
      </c>
      <c r="S1708" s="8">
        <f t="shared" si="135"/>
        <v>-1000</v>
      </c>
      <c r="T1708" s="234">
        <f t="shared" si="138"/>
        <v>-1178999.9999999614</v>
      </c>
      <c r="U1708" s="15">
        <v>25</v>
      </c>
      <c r="V1708" s="8">
        <f t="shared" si="136"/>
        <v>-25</v>
      </c>
      <c r="W1708" s="233">
        <f t="shared" si="137"/>
        <v>-40316.5</v>
      </c>
    </row>
    <row r="1709" spans="1:2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 s="188">
        <v>1000</v>
      </c>
      <c r="S1709" s="8">
        <f t="shared" si="135"/>
        <v>-1000</v>
      </c>
      <c r="T1709" s="234">
        <f t="shared" si="138"/>
        <v>-1179999.9999999614</v>
      </c>
      <c r="U1709" s="15">
        <v>25</v>
      </c>
      <c r="V1709" s="8">
        <f t="shared" si="136"/>
        <v>-25</v>
      </c>
      <c r="W1709" s="233">
        <f t="shared" si="137"/>
        <v>-40341.5</v>
      </c>
    </row>
    <row r="1710" spans="1:2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 s="188">
        <v>1000</v>
      </c>
      <c r="S1710" s="8">
        <f t="shared" si="135"/>
        <v>-1000</v>
      </c>
      <c r="T1710" s="234">
        <f t="shared" si="138"/>
        <v>-1180999.9999999614</v>
      </c>
      <c r="U1710" s="15">
        <v>25</v>
      </c>
      <c r="V1710" s="8">
        <f t="shared" si="136"/>
        <v>-25</v>
      </c>
      <c r="W1710" s="233">
        <f t="shared" si="137"/>
        <v>-40366.5</v>
      </c>
    </row>
    <row r="1711" spans="1:2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 s="188">
        <v>1000</v>
      </c>
      <c r="S1711" s="8">
        <f t="shared" si="135"/>
        <v>-1000</v>
      </c>
      <c r="T1711" s="234">
        <f t="shared" si="138"/>
        <v>-1181999.9999999614</v>
      </c>
      <c r="U1711" s="15">
        <v>25</v>
      </c>
      <c r="V1711" s="8">
        <f t="shared" si="136"/>
        <v>-25</v>
      </c>
      <c r="W1711" s="233">
        <f t="shared" si="137"/>
        <v>-40391.5</v>
      </c>
    </row>
    <row r="1712" spans="1:2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 s="188">
        <v>1000</v>
      </c>
      <c r="S1712" s="8">
        <f t="shared" si="135"/>
        <v>-1000</v>
      </c>
      <c r="T1712" s="234">
        <f t="shared" si="138"/>
        <v>-1182999.9999999614</v>
      </c>
      <c r="U1712" s="15">
        <v>25</v>
      </c>
      <c r="V1712" s="8">
        <f t="shared" si="136"/>
        <v>-25</v>
      </c>
      <c r="W1712" s="233">
        <f t="shared" si="137"/>
        <v>-40416.5</v>
      </c>
    </row>
    <row r="1713" spans="1:2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 s="188">
        <v>1000</v>
      </c>
      <c r="S1713" s="8">
        <f t="shared" si="135"/>
        <v>-1000</v>
      </c>
      <c r="T1713" s="234">
        <f t="shared" si="138"/>
        <v>-1183999.9999999614</v>
      </c>
      <c r="U1713" s="15">
        <v>25</v>
      </c>
      <c r="V1713" s="8">
        <f t="shared" si="136"/>
        <v>-25</v>
      </c>
      <c r="W1713" s="233">
        <f t="shared" si="137"/>
        <v>-40441.5</v>
      </c>
    </row>
    <row r="1714" spans="1:2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 s="188">
        <v>1000</v>
      </c>
      <c r="S1714" s="8">
        <f t="shared" si="135"/>
        <v>-1000</v>
      </c>
      <c r="T1714" s="234">
        <f t="shared" si="138"/>
        <v>-1184999.9999999614</v>
      </c>
      <c r="U1714" s="15">
        <v>25</v>
      </c>
      <c r="V1714" s="8">
        <f t="shared" si="136"/>
        <v>-25</v>
      </c>
      <c r="W1714" s="233">
        <f t="shared" si="137"/>
        <v>-40466.5</v>
      </c>
    </row>
    <row r="1715" spans="1:2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 s="188">
        <v>1000</v>
      </c>
      <c r="S1715" s="8">
        <f t="shared" si="135"/>
        <v>-1000</v>
      </c>
      <c r="T1715" s="234">
        <f t="shared" si="138"/>
        <v>-1185999.9999999614</v>
      </c>
      <c r="U1715" s="15">
        <v>25</v>
      </c>
      <c r="V1715" s="8">
        <f t="shared" si="136"/>
        <v>-25</v>
      </c>
      <c r="W1715" s="233">
        <f t="shared" si="137"/>
        <v>-40491.5</v>
      </c>
    </row>
    <row r="1716" spans="1:2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 s="188">
        <v>1000</v>
      </c>
      <c r="S1716" s="8">
        <f t="shared" si="135"/>
        <v>-1000</v>
      </c>
      <c r="T1716" s="234">
        <f t="shared" si="138"/>
        <v>-1186999.9999999614</v>
      </c>
      <c r="U1716" s="15">
        <v>25</v>
      </c>
      <c r="V1716" s="8">
        <f t="shared" si="136"/>
        <v>-25</v>
      </c>
      <c r="W1716" s="233">
        <f t="shared" si="137"/>
        <v>-40516.5</v>
      </c>
    </row>
    <row r="1717" spans="1:2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 s="188">
        <v>1000</v>
      </c>
      <c r="S1717" s="8">
        <f t="shared" si="135"/>
        <v>-1000</v>
      </c>
      <c r="T1717" s="234">
        <f t="shared" si="138"/>
        <v>-1187999.9999999614</v>
      </c>
      <c r="U1717" s="15">
        <v>25</v>
      </c>
      <c r="V1717" s="8">
        <f t="shared" si="136"/>
        <v>-25</v>
      </c>
      <c r="W1717" s="233">
        <f t="shared" si="137"/>
        <v>-40541.5</v>
      </c>
    </row>
    <row r="1718" spans="1:2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 s="188">
        <v>1000</v>
      </c>
      <c r="S1718" s="8">
        <f t="shared" si="135"/>
        <v>-1000</v>
      </c>
      <c r="T1718" s="234">
        <f t="shared" si="138"/>
        <v>-1188999.9999999614</v>
      </c>
      <c r="U1718" s="15">
        <v>25</v>
      </c>
      <c r="V1718" s="8">
        <f t="shared" si="136"/>
        <v>-25</v>
      </c>
      <c r="W1718" s="233">
        <f t="shared" si="137"/>
        <v>-40566.5</v>
      </c>
    </row>
    <row r="1719" spans="1:2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 s="188">
        <v>1000</v>
      </c>
      <c r="S1719" s="8">
        <f t="shared" si="135"/>
        <v>-1000</v>
      </c>
      <c r="T1719" s="234">
        <f t="shared" si="138"/>
        <v>-1189999.9999999614</v>
      </c>
      <c r="U1719" s="15">
        <v>25</v>
      </c>
      <c r="V1719" s="8">
        <f t="shared" si="136"/>
        <v>-25</v>
      </c>
      <c r="W1719" s="233">
        <f t="shared" si="137"/>
        <v>-40591.5</v>
      </c>
    </row>
    <row r="1720" spans="1:2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 s="188">
        <v>1000</v>
      </c>
      <c r="S1720" s="8">
        <f t="shared" si="135"/>
        <v>-1000</v>
      </c>
      <c r="T1720" s="234">
        <f t="shared" si="138"/>
        <v>-1190999.9999999614</v>
      </c>
      <c r="U1720" s="15">
        <v>25</v>
      </c>
      <c r="V1720" s="8">
        <f t="shared" si="136"/>
        <v>-25</v>
      </c>
      <c r="W1720" s="233">
        <f t="shared" si="137"/>
        <v>-40616.5</v>
      </c>
    </row>
    <row r="1721" spans="1:2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 s="188">
        <v>1000</v>
      </c>
      <c r="S1721" s="8">
        <f t="shared" si="135"/>
        <v>-1000</v>
      </c>
      <c r="T1721" s="234">
        <f t="shared" si="138"/>
        <v>-1191999.9999999614</v>
      </c>
      <c r="U1721" s="15">
        <v>25</v>
      </c>
      <c r="V1721" s="8">
        <f t="shared" si="136"/>
        <v>-25</v>
      </c>
      <c r="W1721" s="233">
        <f t="shared" si="137"/>
        <v>-40641.5</v>
      </c>
    </row>
    <row r="1722" spans="1:2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 s="188">
        <v>1000</v>
      </c>
      <c r="S1722" s="8">
        <f t="shared" si="135"/>
        <v>-1000</v>
      </c>
      <c r="T1722" s="234">
        <f t="shared" si="138"/>
        <v>-1192999.9999999614</v>
      </c>
      <c r="U1722" s="15">
        <v>25</v>
      </c>
      <c r="V1722" s="8">
        <f t="shared" si="136"/>
        <v>-25</v>
      </c>
      <c r="W1722" s="233">
        <f t="shared" si="137"/>
        <v>-40666.5</v>
      </c>
    </row>
    <row r="1723" spans="1:2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 s="188">
        <v>1000</v>
      </c>
      <c r="S1723" s="8">
        <f t="shared" si="135"/>
        <v>-1000</v>
      </c>
      <c r="T1723" s="234">
        <f t="shared" si="138"/>
        <v>-1193999.9999999614</v>
      </c>
      <c r="U1723" s="15">
        <v>25</v>
      </c>
      <c r="V1723" s="8">
        <f t="shared" si="136"/>
        <v>-25</v>
      </c>
      <c r="W1723" s="233">
        <f t="shared" si="137"/>
        <v>-40691.5</v>
      </c>
    </row>
    <row r="1724" spans="1:2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 s="188">
        <v>1000</v>
      </c>
      <c r="S1724" s="8">
        <f t="shared" si="135"/>
        <v>-1000</v>
      </c>
      <c r="T1724" s="234">
        <f t="shared" si="138"/>
        <v>-1194999.9999999614</v>
      </c>
      <c r="U1724" s="15">
        <v>25</v>
      </c>
      <c r="V1724" s="8">
        <f t="shared" si="136"/>
        <v>-25</v>
      </c>
      <c r="W1724" s="233">
        <f t="shared" si="137"/>
        <v>-40716.5</v>
      </c>
    </row>
    <row r="1725" spans="1:2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 s="188">
        <v>1000</v>
      </c>
      <c r="S1725" s="8">
        <f t="shared" si="135"/>
        <v>-1000</v>
      </c>
      <c r="T1725" s="234">
        <f t="shared" si="138"/>
        <v>-1195999.9999999614</v>
      </c>
      <c r="U1725" s="15">
        <v>25</v>
      </c>
      <c r="V1725" s="8">
        <f t="shared" si="136"/>
        <v>-25</v>
      </c>
      <c r="W1725" s="233">
        <f t="shared" si="137"/>
        <v>-40741.5</v>
      </c>
    </row>
    <row r="1726" spans="1:2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 s="188">
        <v>1000</v>
      </c>
      <c r="S1726" s="8">
        <f t="shared" si="135"/>
        <v>-1000</v>
      </c>
      <c r="T1726" s="234">
        <f t="shared" si="138"/>
        <v>-1196999.9999999614</v>
      </c>
      <c r="U1726" s="15">
        <v>25</v>
      </c>
      <c r="V1726" s="8">
        <f t="shared" si="136"/>
        <v>-25</v>
      </c>
      <c r="W1726" s="233">
        <f t="shared" si="137"/>
        <v>-40766.5</v>
      </c>
    </row>
    <row r="1727" spans="1:2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 s="188">
        <v>1000</v>
      </c>
      <c r="S1727" s="8">
        <f t="shared" si="135"/>
        <v>-1000</v>
      </c>
      <c r="T1727" s="234">
        <f t="shared" si="138"/>
        <v>-1197999.9999999614</v>
      </c>
      <c r="U1727" s="15">
        <v>25</v>
      </c>
      <c r="V1727" s="8">
        <f t="shared" si="136"/>
        <v>-25</v>
      </c>
      <c r="W1727" s="233">
        <f t="shared" si="137"/>
        <v>-40791.5</v>
      </c>
    </row>
    <row r="1728" spans="1:2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 s="188">
        <v>1000</v>
      </c>
      <c r="S1728" s="8">
        <f t="shared" si="135"/>
        <v>-1000</v>
      </c>
      <c r="T1728" s="234">
        <f t="shared" si="138"/>
        <v>-1198999.9999999614</v>
      </c>
      <c r="U1728" s="15">
        <v>25</v>
      </c>
      <c r="V1728" s="8">
        <f t="shared" si="136"/>
        <v>-25</v>
      </c>
      <c r="W1728" s="233">
        <f t="shared" si="137"/>
        <v>-40816.5</v>
      </c>
    </row>
    <row r="1729" spans="1:2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 s="188">
        <v>1000</v>
      </c>
      <c r="S1729" s="8">
        <f t="shared" si="135"/>
        <v>-1000</v>
      </c>
      <c r="T1729" s="234">
        <f t="shared" si="138"/>
        <v>-1199999.9999999614</v>
      </c>
      <c r="U1729" s="15">
        <v>25</v>
      </c>
      <c r="V1729" s="8">
        <f t="shared" si="136"/>
        <v>-25</v>
      </c>
      <c r="W1729" s="233">
        <f t="shared" si="137"/>
        <v>-40841.5</v>
      </c>
    </row>
    <row r="1730" spans="1:2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 s="188">
        <v>1000</v>
      </c>
      <c r="S1730" s="8">
        <f t="shared" si="135"/>
        <v>-1000</v>
      </c>
      <c r="T1730" s="234">
        <f t="shared" si="138"/>
        <v>-1200999.9999999614</v>
      </c>
      <c r="U1730" s="15">
        <v>25</v>
      </c>
      <c r="V1730" s="8">
        <f t="shared" si="136"/>
        <v>-25</v>
      </c>
      <c r="W1730" s="233">
        <f t="shared" si="137"/>
        <v>-40866.5</v>
      </c>
    </row>
    <row r="1731" spans="1:2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 s="188">
        <v>1000</v>
      </c>
      <c r="S1731" s="8">
        <f t="shared" ref="S1731:S1782" si="139">IF(O1731="won",R1731*0.18,-R1731)</f>
        <v>-1000</v>
      </c>
      <c r="T1731" s="234">
        <f t="shared" si="138"/>
        <v>-1201999.9999999614</v>
      </c>
      <c r="U1731" s="15">
        <v>25</v>
      </c>
      <c r="V1731" s="8">
        <f t="shared" ref="V1731:V1782" si="140">IF(O1731="won",U1731*0.18,-U1731)</f>
        <v>-25</v>
      </c>
      <c r="W1731" s="233">
        <f t="shared" ref="W1731:W1782" si="141">SUM(W1730,V1731)</f>
        <v>-40891.5</v>
      </c>
    </row>
    <row r="1732" spans="1:2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 s="188">
        <v>1000</v>
      </c>
      <c r="S1732" s="8">
        <f t="shared" si="139"/>
        <v>-1000</v>
      </c>
      <c r="T1732" s="234">
        <f t="shared" si="138"/>
        <v>-1202999.9999999614</v>
      </c>
      <c r="U1732" s="15">
        <v>25</v>
      </c>
      <c r="V1732" s="8">
        <f t="shared" si="140"/>
        <v>-25</v>
      </c>
      <c r="W1732" s="233">
        <f t="shared" si="141"/>
        <v>-40916.5</v>
      </c>
    </row>
    <row r="1733" spans="1:2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 s="188">
        <v>1000</v>
      </c>
      <c r="S1733" s="8">
        <f t="shared" si="139"/>
        <v>-1000</v>
      </c>
      <c r="T1733" s="234">
        <f t="shared" si="138"/>
        <v>-1203999.9999999614</v>
      </c>
      <c r="U1733" s="15">
        <v>25</v>
      </c>
      <c r="V1733" s="8">
        <f t="shared" si="140"/>
        <v>-25</v>
      </c>
      <c r="W1733" s="233">
        <f t="shared" si="141"/>
        <v>-40941.5</v>
      </c>
    </row>
    <row r="1734" spans="1:2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 s="188">
        <v>1000</v>
      </c>
      <c r="S1734" s="8">
        <f t="shared" si="139"/>
        <v>-1000</v>
      </c>
      <c r="T1734" s="234">
        <f t="shared" si="138"/>
        <v>-1204999.9999999614</v>
      </c>
      <c r="U1734" s="15">
        <v>25</v>
      </c>
      <c r="V1734" s="8">
        <f t="shared" si="140"/>
        <v>-25</v>
      </c>
      <c r="W1734" s="233">
        <f t="shared" si="141"/>
        <v>-40966.5</v>
      </c>
    </row>
    <row r="1735" spans="1:2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 s="188">
        <v>1000</v>
      </c>
      <c r="S1735" s="8">
        <f t="shared" si="139"/>
        <v>-1000</v>
      </c>
      <c r="T1735" s="234">
        <f t="shared" si="138"/>
        <v>-1205999.9999999614</v>
      </c>
      <c r="U1735" s="15">
        <v>25</v>
      </c>
      <c r="V1735" s="8">
        <f t="shared" si="140"/>
        <v>-25</v>
      </c>
      <c r="W1735" s="233">
        <f t="shared" si="141"/>
        <v>-40991.5</v>
      </c>
    </row>
    <row r="1736" spans="1:2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 s="188">
        <v>1000</v>
      </c>
      <c r="S1736" s="8">
        <f t="shared" si="139"/>
        <v>-1000</v>
      </c>
      <c r="T1736" s="234">
        <f t="shared" si="138"/>
        <v>-1206999.9999999614</v>
      </c>
      <c r="U1736" s="15">
        <v>25</v>
      </c>
      <c r="V1736" s="8">
        <f t="shared" si="140"/>
        <v>-25</v>
      </c>
      <c r="W1736" s="233">
        <f t="shared" si="141"/>
        <v>-41016.5</v>
      </c>
    </row>
    <row r="1737" spans="1:2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 s="188">
        <v>1000</v>
      </c>
      <c r="S1737" s="8">
        <f t="shared" si="139"/>
        <v>-1000</v>
      </c>
      <c r="T1737" s="234">
        <f t="shared" si="138"/>
        <v>-1207999.9999999614</v>
      </c>
      <c r="U1737" s="15">
        <v>25</v>
      </c>
      <c r="V1737" s="8">
        <f t="shared" si="140"/>
        <v>-25</v>
      </c>
      <c r="W1737" s="233">
        <f t="shared" si="141"/>
        <v>-41041.5</v>
      </c>
    </row>
    <row r="1738" spans="1:2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 s="188">
        <v>1000</v>
      </c>
      <c r="S1738" s="8">
        <f t="shared" si="139"/>
        <v>-1000</v>
      </c>
      <c r="T1738" s="234">
        <f t="shared" ref="T1738:T1782" si="142">SUM(T1737,S1738)</f>
        <v>-1208999.9999999614</v>
      </c>
      <c r="U1738" s="15">
        <v>25</v>
      </c>
      <c r="V1738" s="8">
        <f t="shared" si="140"/>
        <v>-25</v>
      </c>
      <c r="W1738" s="233">
        <f t="shared" si="141"/>
        <v>-41066.5</v>
      </c>
    </row>
    <row r="1739" spans="1:2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 s="188">
        <v>1000</v>
      </c>
      <c r="S1739" s="8">
        <f t="shared" si="139"/>
        <v>-1000</v>
      </c>
      <c r="T1739" s="234">
        <f t="shared" si="142"/>
        <v>-1209999.9999999614</v>
      </c>
      <c r="U1739" s="15">
        <v>25</v>
      </c>
      <c r="V1739" s="8">
        <f t="shared" si="140"/>
        <v>-25</v>
      </c>
      <c r="W1739" s="233">
        <f t="shared" si="141"/>
        <v>-41091.5</v>
      </c>
    </row>
    <row r="1740" spans="1:2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 s="188">
        <v>1000</v>
      </c>
      <c r="S1740" s="8">
        <f t="shared" si="139"/>
        <v>-1000</v>
      </c>
      <c r="T1740" s="234">
        <f t="shared" si="142"/>
        <v>-1210999.9999999614</v>
      </c>
      <c r="U1740" s="15">
        <v>25</v>
      </c>
      <c r="V1740" s="8">
        <f t="shared" si="140"/>
        <v>-25</v>
      </c>
      <c r="W1740" s="233">
        <f t="shared" si="141"/>
        <v>-41116.5</v>
      </c>
    </row>
    <row r="1741" spans="1:2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 s="188">
        <v>1000</v>
      </c>
      <c r="S1741" s="8">
        <f t="shared" si="139"/>
        <v>-1000</v>
      </c>
      <c r="T1741" s="234">
        <f t="shared" si="142"/>
        <v>-1211999.9999999614</v>
      </c>
      <c r="U1741" s="15">
        <v>25</v>
      </c>
      <c r="V1741" s="8">
        <f t="shared" si="140"/>
        <v>-25</v>
      </c>
      <c r="W1741" s="233">
        <f t="shared" si="141"/>
        <v>-41141.5</v>
      </c>
    </row>
    <row r="1742" spans="1:2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 s="188">
        <v>1000</v>
      </c>
      <c r="S1742" s="8">
        <f t="shared" si="139"/>
        <v>-1000</v>
      </c>
      <c r="T1742" s="234">
        <f t="shared" si="142"/>
        <v>-1212999.9999999614</v>
      </c>
      <c r="U1742" s="15">
        <v>25</v>
      </c>
      <c r="V1742" s="8">
        <f t="shared" si="140"/>
        <v>-25</v>
      </c>
      <c r="W1742" s="233">
        <f t="shared" si="141"/>
        <v>-41166.5</v>
      </c>
    </row>
    <row r="1743" spans="1:2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 s="188">
        <v>1000</v>
      </c>
      <c r="S1743" s="8">
        <f t="shared" si="139"/>
        <v>-1000</v>
      </c>
      <c r="T1743" s="234">
        <f t="shared" si="142"/>
        <v>-1213999.9999999614</v>
      </c>
      <c r="U1743" s="15">
        <v>25</v>
      </c>
      <c r="V1743" s="8">
        <f t="shared" si="140"/>
        <v>-25</v>
      </c>
      <c r="W1743" s="233">
        <f t="shared" si="141"/>
        <v>-41191.5</v>
      </c>
    </row>
    <row r="1744" spans="1:2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 s="188">
        <v>1000</v>
      </c>
      <c r="S1744" s="8">
        <f t="shared" si="139"/>
        <v>-1000</v>
      </c>
      <c r="T1744" s="234">
        <f t="shared" si="142"/>
        <v>-1214999.9999999614</v>
      </c>
      <c r="U1744" s="15">
        <v>25</v>
      </c>
      <c r="V1744" s="8">
        <f t="shared" si="140"/>
        <v>-25</v>
      </c>
      <c r="W1744" s="233">
        <f t="shared" si="141"/>
        <v>-41216.5</v>
      </c>
    </row>
    <row r="1745" spans="1:2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 s="188">
        <v>1000</v>
      </c>
      <c r="S1745" s="8">
        <f t="shared" si="139"/>
        <v>-1000</v>
      </c>
      <c r="T1745" s="234">
        <f t="shared" si="142"/>
        <v>-1215999.9999999614</v>
      </c>
      <c r="U1745" s="15">
        <v>25</v>
      </c>
      <c r="V1745" s="8">
        <f t="shared" si="140"/>
        <v>-25</v>
      </c>
      <c r="W1745" s="233">
        <f t="shared" si="141"/>
        <v>-41241.5</v>
      </c>
    </row>
    <row r="1746" spans="1:2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 s="188">
        <v>1000</v>
      </c>
      <c r="S1746" s="8">
        <f t="shared" si="139"/>
        <v>-1000</v>
      </c>
      <c r="T1746" s="234">
        <f t="shared" si="142"/>
        <v>-1216999.9999999614</v>
      </c>
      <c r="U1746" s="15">
        <v>25</v>
      </c>
      <c r="V1746" s="8">
        <f t="shared" si="140"/>
        <v>-25</v>
      </c>
      <c r="W1746" s="233">
        <f t="shared" si="141"/>
        <v>-41266.5</v>
      </c>
    </row>
    <row r="1747" spans="1:2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 s="188">
        <v>1000</v>
      </c>
      <c r="S1747" s="8">
        <f t="shared" si="139"/>
        <v>-1000</v>
      </c>
      <c r="T1747" s="234">
        <f t="shared" si="142"/>
        <v>-1217999.9999999614</v>
      </c>
      <c r="U1747" s="15">
        <v>25</v>
      </c>
      <c r="V1747" s="8">
        <f t="shared" si="140"/>
        <v>-25</v>
      </c>
      <c r="W1747" s="233">
        <f t="shared" si="141"/>
        <v>-41291.5</v>
      </c>
    </row>
    <row r="1748" spans="1:2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 s="188">
        <v>1000</v>
      </c>
      <c r="S1748" s="8">
        <f t="shared" si="139"/>
        <v>-1000</v>
      </c>
      <c r="T1748" s="234">
        <f t="shared" si="142"/>
        <v>-1218999.9999999614</v>
      </c>
      <c r="U1748" s="15">
        <v>25</v>
      </c>
      <c r="V1748" s="8">
        <f t="shared" si="140"/>
        <v>-25</v>
      </c>
      <c r="W1748" s="233">
        <f t="shared" si="141"/>
        <v>-41316.5</v>
      </c>
    </row>
    <row r="1749" spans="1:2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 s="188">
        <v>1000</v>
      </c>
      <c r="S1749" s="8">
        <f t="shared" si="139"/>
        <v>-1000</v>
      </c>
      <c r="T1749" s="234">
        <f t="shared" si="142"/>
        <v>-1219999.9999999614</v>
      </c>
      <c r="U1749" s="15">
        <v>25</v>
      </c>
      <c r="V1749" s="8">
        <f t="shared" si="140"/>
        <v>-25</v>
      </c>
      <c r="W1749" s="233">
        <f t="shared" si="141"/>
        <v>-41341.5</v>
      </c>
    </row>
    <row r="1750" spans="1:2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 s="188">
        <v>1000</v>
      </c>
      <c r="S1750" s="8">
        <f t="shared" si="139"/>
        <v>-1000</v>
      </c>
      <c r="T1750" s="234">
        <f t="shared" si="142"/>
        <v>-1220999.9999999614</v>
      </c>
      <c r="U1750" s="15">
        <v>25</v>
      </c>
      <c r="V1750" s="8">
        <f t="shared" si="140"/>
        <v>-25</v>
      </c>
      <c r="W1750" s="233">
        <f t="shared" si="141"/>
        <v>-41366.5</v>
      </c>
    </row>
    <row r="1751" spans="1:2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 s="188">
        <v>1000</v>
      </c>
      <c r="S1751" s="8">
        <f t="shared" si="139"/>
        <v>-1000</v>
      </c>
      <c r="T1751" s="234">
        <f t="shared" si="142"/>
        <v>-1221999.9999999614</v>
      </c>
      <c r="U1751" s="15">
        <v>25</v>
      </c>
      <c r="V1751" s="8">
        <f t="shared" si="140"/>
        <v>-25</v>
      </c>
      <c r="W1751" s="233">
        <f t="shared" si="141"/>
        <v>-41391.5</v>
      </c>
    </row>
    <row r="1752" spans="1:2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 s="188">
        <v>1000</v>
      </c>
      <c r="S1752" s="8">
        <f t="shared" si="139"/>
        <v>-1000</v>
      </c>
      <c r="T1752" s="234">
        <f t="shared" si="142"/>
        <v>-1222999.9999999614</v>
      </c>
      <c r="U1752" s="15">
        <v>25</v>
      </c>
      <c r="V1752" s="8">
        <f t="shared" si="140"/>
        <v>-25</v>
      </c>
      <c r="W1752" s="233">
        <f t="shared" si="141"/>
        <v>-41416.5</v>
      </c>
    </row>
    <row r="1753" spans="1:2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 s="188">
        <v>1000</v>
      </c>
      <c r="S1753" s="8">
        <f t="shared" si="139"/>
        <v>-1000</v>
      </c>
      <c r="T1753" s="234">
        <f t="shared" si="142"/>
        <v>-1223999.9999999614</v>
      </c>
      <c r="U1753" s="15">
        <v>25</v>
      </c>
      <c r="V1753" s="8">
        <f t="shared" si="140"/>
        <v>-25</v>
      </c>
      <c r="W1753" s="233">
        <f t="shared" si="141"/>
        <v>-41441.5</v>
      </c>
    </row>
    <row r="1754" spans="1:2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 s="188">
        <v>1000</v>
      </c>
      <c r="S1754" s="8">
        <f t="shared" si="139"/>
        <v>-1000</v>
      </c>
      <c r="T1754" s="234">
        <f t="shared" si="142"/>
        <v>-1224999.9999999614</v>
      </c>
      <c r="U1754" s="15">
        <v>25</v>
      </c>
      <c r="V1754" s="8">
        <f t="shared" si="140"/>
        <v>-25</v>
      </c>
      <c r="W1754" s="233">
        <f t="shared" si="141"/>
        <v>-41466.5</v>
      </c>
    </row>
    <row r="1755" spans="1:2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 s="188">
        <v>1000</v>
      </c>
      <c r="S1755" s="8">
        <f t="shared" si="139"/>
        <v>-1000</v>
      </c>
      <c r="T1755" s="234">
        <f t="shared" si="142"/>
        <v>-1225999.9999999614</v>
      </c>
      <c r="U1755" s="15">
        <v>25</v>
      </c>
      <c r="V1755" s="8">
        <f t="shared" si="140"/>
        <v>-25</v>
      </c>
      <c r="W1755" s="233">
        <f t="shared" si="141"/>
        <v>-41491.5</v>
      </c>
    </row>
    <row r="1756" spans="1:2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 s="188">
        <v>1000</v>
      </c>
      <c r="S1756" s="8">
        <f t="shared" si="139"/>
        <v>-1000</v>
      </c>
      <c r="T1756" s="234">
        <f t="shared" si="142"/>
        <v>-1226999.9999999614</v>
      </c>
      <c r="U1756" s="15">
        <v>25</v>
      </c>
      <c r="V1756" s="8">
        <f t="shared" si="140"/>
        <v>-25</v>
      </c>
      <c r="W1756" s="233">
        <f t="shared" si="141"/>
        <v>-41516.5</v>
      </c>
    </row>
    <row r="1757" spans="1:2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 s="188">
        <v>1000</v>
      </c>
      <c r="S1757" s="8">
        <f t="shared" si="139"/>
        <v>-1000</v>
      </c>
      <c r="T1757" s="234">
        <f t="shared" si="142"/>
        <v>-1227999.9999999614</v>
      </c>
      <c r="U1757" s="15">
        <v>25</v>
      </c>
      <c r="V1757" s="8">
        <f t="shared" si="140"/>
        <v>-25</v>
      </c>
      <c r="W1757" s="233">
        <f t="shared" si="141"/>
        <v>-41541.5</v>
      </c>
    </row>
    <row r="1758" spans="1:2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 s="188">
        <v>1000</v>
      </c>
      <c r="S1758" s="8">
        <f t="shared" si="139"/>
        <v>-1000</v>
      </c>
      <c r="T1758" s="234">
        <f t="shared" si="142"/>
        <v>-1228999.9999999614</v>
      </c>
      <c r="U1758" s="15">
        <v>25</v>
      </c>
      <c r="V1758" s="8">
        <f t="shared" si="140"/>
        <v>-25</v>
      </c>
      <c r="W1758" s="233">
        <f t="shared" si="141"/>
        <v>-41566.5</v>
      </c>
    </row>
    <row r="1759" spans="1:2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 s="188">
        <v>1000</v>
      </c>
      <c r="S1759" s="8">
        <f t="shared" si="139"/>
        <v>-1000</v>
      </c>
      <c r="T1759" s="234">
        <f t="shared" si="142"/>
        <v>-1229999.9999999614</v>
      </c>
      <c r="U1759" s="15">
        <v>25</v>
      </c>
      <c r="V1759" s="8">
        <f t="shared" si="140"/>
        <v>-25</v>
      </c>
      <c r="W1759" s="233">
        <f t="shared" si="141"/>
        <v>-41591.5</v>
      </c>
    </row>
    <row r="1760" spans="1:2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 s="188">
        <v>1000</v>
      </c>
      <c r="S1760" s="8">
        <f t="shared" si="139"/>
        <v>-1000</v>
      </c>
      <c r="T1760" s="234">
        <f t="shared" si="142"/>
        <v>-1230999.9999999614</v>
      </c>
      <c r="U1760" s="15">
        <v>25</v>
      </c>
      <c r="V1760" s="8">
        <f t="shared" si="140"/>
        <v>-25</v>
      </c>
      <c r="W1760" s="233">
        <f t="shared" si="141"/>
        <v>-41616.5</v>
      </c>
    </row>
    <row r="1761" spans="1:2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 s="188">
        <v>1000</v>
      </c>
      <c r="S1761" s="8">
        <f t="shared" si="139"/>
        <v>-1000</v>
      </c>
      <c r="T1761" s="234">
        <f t="shared" si="142"/>
        <v>-1231999.9999999614</v>
      </c>
      <c r="U1761" s="15">
        <v>25</v>
      </c>
      <c r="V1761" s="8">
        <f t="shared" si="140"/>
        <v>-25</v>
      </c>
      <c r="W1761" s="233">
        <f t="shared" si="141"/>
        <v>-41641.5</v>
      </c>
    </row>
    <row r="1762" spans="1:2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 s="188">
        <v>1000</v>
      </c>
      <c r="S1762" s="8">
        <f t="shared" si="139"/>
        <v>-1000</v>
      </c>
      <c r="T1762" s="234">
        <f t="shared" si="142"/>
        <v>-1232999.9999999614</v>
      </c>
      <c r="U1762" s="15">
        <v>25</v>
      </c>
      <c r="V1762" s="8">
        <f t="shared" si="140"/>
        <v>-25</v>
      </c>
      <c r="W1762" s="233">
        <f t="shared" si="141"/>
        <v>-41666.5</v>
      </c>
    </row>
    <row r="1763" spans="1:2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 s="188">
        <v>1000</v>
      </c>
      <c r="S1763" s="8">
        <f t="shared" si="139"/>
        <v>-1000</v>
      </c>
      <c r="T1763" s="234">
        <f t="shared" si="142"/>
        <v>-1233999.9999999614</v>
      </c>
      <c r="U1763" s="15">
        <v>25</v>
      </c>
      <c r="V1763" s="8">
        <f t="shared" si="140"/>
        <v>-25</v>
      </c>
      <c r="W1763" s="233">
        <f t="shared" si="141"/>
        <v>-41691.5</v>
      </c>
    </row>
    <row r="1764" spans="1:2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 s="188">
        <v>1000</v>
      </c>
      <c r="S1764" s="8">
        <f t="shared" si="139"/>
        <v>-1000</v>
      </c>
      <c r="T1764" s="234">
        <f t="shared" si="142"/>
        <v>-1234999.9999999614</v>
      </c>
      <c r="U1764" s="15">
        <v>25</v>
      </c>
      <c r="V1764" s="8">
        <f t="shared" si="140"/>
        <v>-25</v>
      </c>
      <c r="W1764" s="233">
        <f t="shared" si="141"/>
        <v>-41716.5</v>
      </c>
    </row>
    <row r="1765" spans="1:2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 s="188">
        <v>1000</v>
      </c>
      <c r="S1765" s="8">
        <f t="shared" si="139"/>
        <v>-1000</v>
      </c>
      <c r="T1765" s="234">
        <f t="shared" si="142"/>
        <v>-1235999.9999999614</v>
      </c>
      <c r="U1765" s="15">
        <v>25</v>
      </c>
      <c r="V1765" s="8">
        <f t="shared" si="140"/>
        <v>-25</v>
      </c>
      <c r="W1765" s="233">
        <f t="shared" si="141"/>
        <v>-41741.5</v>
      </c>
    </row>
    <row r="1766" spans="1:2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 s="188">
        <v>1000</v>
      </c>
      <c r="S1766" s="8">
        <f t="shared" si="139"/>
        <v>-1000</v>
      </c>
      <c r="T1766" s="234">
        <f t="shared" si="142"/>
        <v>-1236999.9999999614</v>
      </c>
      <c r="U1766" s="15">
        <v>25</v>
      </c>
      <c r="V1766" s="8">
        <f t="shared" si="140"/>
        <v>-25</v>
      </c>
      <c r="W1766" s="233">
        <f t="shared" si="141"/>
        <v>-41766.5</v>
      </c>
    </row>
    <row r="1767" spans="1:2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 s="188">
        <v>1000</v>
      </c>
      <c r="S1767" s="8">
        <f t="shared" si="139"/>
        <v>-1000</v>
      </c>
      <c r="T1767" s="234">
        <f t="shared" si="142"/>
        <v>-1237999.9999999614</v>
      </c>
      <c r="U1767" s="15">
        <v>25</v>
      </c>
      <c r="V1767" s="8">
        <f t="shared" si="140"/>
        <v>-25</v>
      </c>
      <c r="W1767" s="233">
        <f t="shared" si="141"/>
        <v>-41791.5</v>
      </c>
    </row>
    <row r="1768" spans="1:2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 s="188">
        <v>1000</v>
      </c>
      <c r="S1768" s="8">
        <f t="shared" si="139"/>
        <v>-1000</v>
      </c>
      <c r="T1768" s="234">
        <f t="shared" si="142"/>
        <v>-1238999.9999999614</v>
      </c>
      <c r="U1768" s="15">
        <v>25</v>
      </c>
      <c r="V1768" s="8">
        <f t="shared" si="140"/>
        <v>-25</v>
      </c>
      <c r="W1768" s="233">
        <f t="shared" si="141"/>
        <v>-41816.5</v>
      </c>
    </row>
    <row r="1769" spans="1:2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 s="188">
        <v>1000</v>
      </c>
      <c r="S1769" s="8">
        <f t="shared" si="139"/>
        <v>-1000</v>
      </c>
      <c r="T1769" s="234">
        <f t="shared" si="142"/>
        <v>-1239999.9999999614</v>
      </c>
      <c r="U1769" s="15">
        <v>25</v>
      </c>
      <c r="V1769" s="8">
        <f t="shared" si="140"/>
        <v>-25</v>
      </c>
      <c r="W1769" s="233">
        <f t="shared" si="141"/>
        <v>-41841.5</v>
      </c>
    </row>
    <row r="1770" spans="1:2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 s="188">
        <v>1000</v>
      </c>
      <c r="S1770" s="8">
        <f t="shared" si="139"/>
        <v>-1000</v>
      </c>
      <c r="T1770" s="234">
        <f t="shared" si="142"/>
        <v>-1240999.9999999614</v>
      </c>
      <c r="U1770" s="15">
        <v>25</v>
      </c>
      <c r="V1770" s="8">
        <f t="shared" si="140"/>
        <v>-25</v>
      </c>
      <c r="W1770" s="233">
        <f t="shared" si="141"/>
        <v>-41866.5</v>
      </c>
    </row>
    <row r="1771" spans="1:2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 s="188">
        <v>1000</v>
      </c>
      <c r="S1771" s="8">
        <f t="shared" si="139"/>
        <v>-1000</v>
      </c>
      <c r="T1771" s="234">
        <f t="shared" si="142"/>
        <v>-1241999.9999999614</v>
      </c>
      <c r="U1771" s="15">
        <v>25</v>
      </c>
      <c r="V1771" s="8">
        <f t="shared" si="140"/>
        <v>-25</v>
      </c>
      <c r="W1771" s="233">
        <f t="shared" si="141"/>
        <v>-41891.5</v>
      </c>
    </row>
    <row r="1772" spans="1:2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 s="188">
        <v>1000</v>
      </c>
      <c r="S1772" s="8">
        <f t="shared" si="139"/>
        <v>-1000</v>
      </c>
      <c r="T1772" s="234">
        <f t="shared" si="142"/>
        <v>-1242999.9999999614</v>
      </c>
      <c r="U1772" s="15">
        <v>25</v>
      </c>
      <c r="V1772" s="8">
        <f t="shared" si="140"/>
        <v>-25</v>
      </c>
      <c r="W1772" s="233">
        <f t="shared" si="141"/>
        <v>-41916.5</v>
      </c>
    </row>
    <row r="1773" spans="1:2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 s="188">
        <v>1000</v>
      </c>
      <c r="S1773" s="8">
        <f t="shared" si="139"/>
        <v>-1000</v>
      </c>
      <c r="T1773" s="234">
        <f t="shared" si="142"/>
        <v>-1243999.9999999614</v>
      </c>
      <c r="U1773" s="15">
        <v>25</v>
      </c>
      <c r="V1773" s="8">
        <f t="shared" si="140"/>
        <v>-25</v>
      </c>
      <c r="W1773" s="233">
        <f t="shared" si="141"/>
        <v>-41941.5</v>
      </c>
    </row>
    <row r="1774" spans="1:2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 s="188">
        <v>1000</v>
      </c>
      <c r="S1774" s="8">
        <f t="shared" si="139"/>
        <v>-1000</v>
      </c>
      <c r="T1774" s="234">
        <f t="shared" si="142"/>
        <v>-1244999.9999999614</v>
      </c>
      <c r="U1774" s="15">
        <v>25</v>
      </c>
      <c r="V1774" s="8">
        <f t="shared" si="140"/>
        <v>-25</v>
      </c>
      <c r="W1774" s="233">
        <f t="shared" si="141"/>
        <v>-41966.5</v>
      </c>
    </row>
    <row r="1775" spans="1:2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 s="188">
        <v>1000</v>
      </c>
      <c r="S1775" s="8">
        <f t="shared" si="139"/>
        <v>-1000</v>
      </c>
      <c r="T1775" s="234">
        <f t="shared" si="142"/>
        <v>-1245999.9999999614</v>
      </c>
      <c r="U1775" s="15">
        <v>25</v>
      </c>
      <c r="V1775" s="8">
        <f t="shared" si="140"/>
        <v>-25</v>
      </c>
      <c r="W1775" s="233">
        <f t="shared" si="141"/>
        <v>-41991.5</v>
      </c>
    </row>
    <row r="1776" spans="1:2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 s="188">
        <v>1000</v>
      </c>
      <c r="S1776" s="8">
        <f t="shared" si="139"/>
        <v>-1000</v>
      </c>
      <c r="T1776" s="234">
        <f t="shared" si="142"/>
        <v>-1246999.9999999614</v>
      </c>
      <c r="U1776" s="15">
        <v>25</v>
      </c>
      <c r="V1776" s="8">
        <f t="shared" si="140"/>
        <v>-25</v>
      </c>
      <c r="W1776" s="233">
        <f t="shared" si="141"/>
        <v>-42016.5</v>
      </c>
    </row>
    <row r="1777" spans="1:2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 s="188">
        <v>1000</v>
      </c>
      <c r="S1777" s="8">
        <f t="shared" si="139"/>
        <v>-1000</v>
      </c>
      <c r="T1777" s="234">
        <f t="shared" si="142"/>
        <v>-1247999.9999999614</v>
      </c>
      <c r="U1777" s="15">
        <v>25</v>
      </c>
      <c r="V1777" s="8">
        <f t="shared" si="140"/>
        <v>-25</v>
      </c>
      <c r="W1777" s="233">
        <f t="shared" si="141"/>
        <v>-42041.5</v>
      </c>
    </row>
    <row r="1778" spans="1:2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 s="188">
        <v>1000</v>
      </c>
      <c r="S1778" s="8">
        <f t="shared" si="139"/>
        <v>-1000</v>
      </c>
      <c r="T1778" s="234">
        <f t="shared" si="142"/>
        <v>-1248999.9999999614</v>
      </c>
      <c r="U1778" s="15">
        <v>25</v>
      </c>
      <c r="V1778" s="8">
        <f t="shared" si="140"/>
        <v>-25</v>
      </c>
      <c r="W1778" s="233">
        <f t="shared" si="141"/>
        <v>-42066.5</v>
      </c>
    </row>
    <row r="1779" spans="1:2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 s="188">
        <v>1000</v>
      </c>
      <c r="S1779" s="8">
        <f t="shared" si="139"/>
        <v>-1000</v>
      </c>
      <c r="T1779" s="234">
        <f t="shared" si="142"/>
        <v>-1249999.9999999614</v>
      </c>
      <c r="U1779" s="15">
        <v>25</v>
      </c>
      <c r="V1779" s="8">
        <f t="shared" si="140"/>
        <v>-25</v>
      </c>
      <c r="W1779" s="233">
        <f t="shared" si="141"/>
        <v>-42091.5</v>
      </c>
    </row>
    <row r="1780" spans="1:2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 s="188">
        <v>1000</v>
      </c>
      <c r="S1780" s="8">
        <f t="shared" si="139"/>
        <v>-1000</v>
      </c>
      <c r="T1780" s="234">
        <f t="shared" si="142"/>
        <v>-1250999.9999999614</v>
      </c>
      <c r="U1780" s="15">
        <v>25</v>
      </c>
      <c r="V1780" s="8">
        <f t="shared" si="140"/>
        <v>-25</v>
      </c>
      <c r="W1780" s="233">
        <f t="shared" si="141"/>
        <v>-42116.5</v>
      </c>
    </row>
    <row r="1781" spans="1:2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 s="188">
        <v>1000</v>
      </c>
      <c r="S1781" s="8">
        <f t="shared" si="139"/>
        <v>-1000</v>
      </c>
      <c r="T1781" s="234">
        <f t="shared" si="142"/>
        <v>-1251999.9999999614</v>
      </c>
      <c r="U1781" s="15">
        <v>25</v>
      </c>
      <c r="V1781" s="8">
        <f t="shared" si="140"/>
        <v>-25</v>
      </c>
      <c r="W1781" s="233">
        <f t="shared" si="141"/>
        <v>-42141.5</v>
      </c>
    </row>
    <row r="1782" spans="1:2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 s="188">
        <v>1000</v>
      </c>
      <c r="S1782" s="8">
        <f t="shared" si="139"/>
        <v>-1000</v>
      </c>
      <c r="T1782" s="234">
        <f t="shared" si="142"/>
        <v>-1252999.9999999614</v>
      </c>
      <c r="U1782" s="15">
        <v>25</v>
      </c>
      <c r="V1782" s="8">
        <f t="shared" si="140"/>
        <v>-25</v>
      </c>
      <c r="W1782" s="233">
        <f t="shared" si="141"/>
        <v>-42166.5</v>
      </c>
    </row>
    <row r="1796" spans="1:2">
      <c r="A1796" s="156" t="str" cm="1">
        <f t="array" ref="A1796">_xlfn.IFS(C1796=$Z$42,$AA$42,C1796=$Z$43,$AA$43,C1796=$Z$44,$AA$44,C1796=$Z$45,$AA$45,C1796=$Z$46,$AA$46,C1796=$Z$47,$AA$47,C1796=$Z$48,$AA$48,C1796=$Z$49,$AA$49,C1796=$Z$50,$AA$50,C1796=$Z$51,$AA$51,C1796=$Z$52,$AA$52,C1796=$Z$53,$AA$53,C1796=$Z$54,$AA$54,C1796=$Z$55,$AA$55,C1796=$Z$56,$AA$56,C1796=$Z$57,$AA$57,C1796=$Z$58,$AA$58,C1796=$Z$59,$AA$59,C1796=$Z$60,$AA$60,C1796=$Z$61,$AA$61,C1796=$Z$62,$AA$62,TRUE,"0")</f>
        <v>0</v>
      </c>
      <c r="B1796" s="161" t="str" cm="1">
        <f t="array" ref="B1796">_xlfn.IFS(C1796=$Z$42,$AD$42,C1796=$Z$43,$AD$43,C1796=$Z$44,$AD$44,C1796=$Z$45,$AD$45,C1796=$Z$46,$AD$46,C1796=$Z$47,$AD$47,C1796=$Z$48,$AD$48,C1796=$Z$49,$AD$49,C1796=$Z$50,$AD$50,C1796=$Z$51,$AD$51,C1796=$Z$52,$AD$52,C1796=$Z$53,$AD$53,C1796=$Z$54,$AD$54,C1796=$Z$55,$AD$55,C1796=$Z$56,$AD$56,C1796=$Z$57,$AD$57,C1796=$Z$58,$AD$58,C1796=$Z$59,$AD$59,C1796=$Z$60,$AD$60,C1796=$Z$61,$AD$61,C1796=$Z$62,$AD$62,TRUE,"0")</f>
        <v>0</v>
      </c>
    </row>
    <row r="1797" spans="1:2">
      <c r="A1797" s="156" t="str" cm="1">
        <f t="array" ref="A1797">_xlfn.IFS(C1797=$Z$42,$AA$42,C1797=$Z$43,$AA$43,C1797=$Z$44,$AA$44,C1797=$Z$45,$AA$45,C1797=$Z$46,$AA$46,C1797=$Z$47,$AA$47,C1797=$Z$48,$AA$48,C1797=$Z$49,$AA$49,C1797=$Z$50,$AA$50,C1797=$Z$51,$AA$51,C1797=$Z$52,$AA$52,C1797=$Z$53,$AA$53,C1797=$Z$54,$AA$54,C1797=$Z$55,$AA$55,C1797=$Z$56,$AA$56,C1797=$Z$57,$AA$57,C1797=$Z$58,$AA$58,C1797=$Z$59,$AA$59,C1797=$Z$60,$AA$60,C1797=$Z$61,$AA$61,C1797=$Z$62,$AA$62,TRUE,"0")</f>
        <v>0</v>
      </c>
      <c r="B1797" s="161" t="str" cm="1">
        <f t="array" ref="B1797">_xlfn.IFS(C1797=$Z$42,$AD$42,C1797=$Z$43,$AD$43,C1797=$Z$44,$AD$44,C1797=$Z$45,$AD$45,C1797=$Z$46,$AD$46,C1797=$Z$47,$AD$47,C1797=$Z$48,$AD$48,C1797=$Z$49,$AD$49,C1797=$Z$50,$AD$50,C1797=$Z$51,$AD$51,C1797=$Z$52,$AD$52,C1797=$Z$53,$AD$53,C1797=$Z$54,$AD$54,C1797=$Z$55,$AD$55,C1797=$Z$56,$AD$56,C1797=$Z$57,$AD$57,C1797=$Z$58,$AD$58,C1797=$Z$59,$AD$59,C1797=$Z$60,$AD$60,C1797=$Z$61,$AD$61,C1797=$Z$62,$AD$62,TRUE,"0")</f>
        <v>0</v>
      </c>
    </row>
    <row r="1798" spans="1:2">
      <c r="A1798" s="156" t="str" cm="1">
        <f t="array" ref="A1798">_xlfn.IFS(C1798=$Z$42,$AA$42,C1798=$Z$43,$AA$43,C1798=$Z$44,$AA$44,C1798=$Z$45,$AA$45,C1798=$Z$46,$AA$46,C1798=$Z$47,$AA$47,C1798=$Z$48,$AA$48,C1798=$Z$49,$AA$49,C1798=$Z$50,$AA$50,C1798=$Z$51,$AA$51,C1798=$Z$52,$AA$52,C1798=$Z$53,$AA$53,C1798=$Z$54,$AA$54,C1798=$Z$55,$AA$55,C1798=$Z$56,$AA$56,C1798=$Z$57,$AA$57,C1798=$Z$58,$AA$58,C1798=$Z$59,$AA$59,C1798=$Z$60,$AA$60,C1798=$Z$61,$AA$61,C1798=$Z$62,$AA$62,TRUE,"0")</f>
        <v>0</v>
      </c>
      <c r="B1798" s="161" t="str" cm="1">
        <f t="array" ref="B1798">_xlfn.IFS(C1798=$Z$42,$AD$42,C1798=$Z$43,$AD$43,C1798=$Z$44,$AD$44,C1798=$Z$45,$AD$45,C1798=$Z$46,$AD$46,C1798=$Z$47,$AD$47,C1798=$Z$48,$AD$48,C1798=$Z$49,$AD$49,C1798=$Z$50,$AD$50,C1798=$Z$51,$AD$51,C1798=$Z$52,$AD$52,C1798=$Z$53,$AD$53,C1798=$Z$54,$AD$54,C1798=$Z$55,$AD$55,C1798=$Z$56,$AD$56,C1798=$Z$57,$AD$57,C1798=$Z$58,$AD$58,C1798=$Z$59,$AD$59,C1798=$Z$60,$AD$60,C1798=$Z$61,$AD$61,C1798=$Z$62,$AD$62,TRUE,"0")</f>
        <v>0</v>
      </c>
    </row>
    <row r="1799" spans="1:2">
      <c r="A1799" s="156" t="str" cm="1">
        <f t="array" ref="A1799">_xlfn.IFS(C1799=$Z$42,$AA$42,C1799=$Z$43,$AA$43,C1799=$Z$44,$AA$44,C1799=$Z$45,$AA$45,C1799=$Z$46,$AA$46,C1799=$Z$47,$AA$47,C1799=$Z$48,$AA$48,C1799=$Z$49,$AA$49,C1799=$Z$50,$AA$50,C1799=$Z$51,$AA$51,C1799=$Z$52,$AA$52,C1799=$Z$53,$AA$53,C1799=$Z$54,$AA$54,C1799=$Z$55,$AA$55,C1799=$Z$56,$AA$56,C1799=$Z$57,$AA$57,C1799=$Z$58,$AA$58,C1799=$Z$59,$AA$59,C1799=$Z$60,$AA$60,C1799=$Z$61,$AA$61,C1799=$Z$62,$AA$62,TRUE,"0")</f>
        <v>0</v>
      </c>
      <c r="B1799" s="161" t="str" cm="1">
        <f t="array" ref="B1799">_xlfn.IFS(C1799=$Z$42,$AD$42,C1799=$Z$43,$AD$43,C1799=$Z$44,$AD$44,C1799=$Z$45,$AD$45,C1799=$Z$46,$AD$46,C1799=$Z$47,$AD$47,C1799=$Z$48,$AD$48,C1799=$Z$49,$AD$49,C1799=$Z$50,$AD$50,C1799=$Z$51,$AD$51,C1799=$Z$52,$AD$52,C1799=$Z$53,$AD$53,C1799=$Z$54,$AD$54,C1799=$Z$55,$AD$55,C1799=$Z$56,$AD$56,C1799=$Z$57,$AD$57,C1799=$Z$58,$AD$58,C1799=$Z$59,$AD$59,C1799=$Z$60,$AD$60,C1799=$Z$61,$AD$61,C1799=$Z$62,$AD$62,TRUE,"0")</f>
        <v>0</v>
      </c>
    </row>
    <row r="1800" spans="1:2">
      <c r="A1800" s="156" t="str" cm="1">
        <f t="array" ref="A1800">_xlfn.IFS(C1800=$Z$42,$AA$42,C1800=$Z$43,$AA$43,C1800=$Z$44,$AA$44,C1800=$Z$45,$AA$45,C1800=$Z$46,$AA$46,C1800=$Z$47,$AA$47,C1800=$Z$48,$AA$48,C1800=$Z$49,$AA$49,C1800=$Z$50,$AA$50,C1800=$Z$51,$AA$51,C1800=$Z$52,$AA$52,C1800=$Z$53,$AA$53,C1800=$Z$54,$AA$54,C1800=$Z$55,$AA$55,C1800=$Z$56,$AA$56,C1800=$Z$57,$AA$57,C1800=$Z$58,$AA$58,C1800=$Z$59,$AA$59,C1800=$Z$60,$AA$60,C1800=$Z$61,$AA$61,C1800=$Z$62,$AA$62,TRUE,"0")</f>
        <v>0</v>
      </c>
      <c r="B1800" s="161" t="str" cm="1">
        <f t="array" ref="B1800">_xlfn.IFS(C1800=$Z$42,$AD$42,C1800=$Z$43,$AD$43,C1800=$Z$44,$AD$44,C1800=$Z$45,$AD$45,C1800=$Z$46,$AD$46,C1800=$Z$47,$AD$47,C1800=$Z$48,$AD$48,C1800=$Z$49,$AD$49,C1800=$Z$50,$AD$50,C1800=$Z$51,$AD$51,C1800=$Z$52,$AD$52,C1800=$Z$53,$AD$53,C1800=$Z$54,$AD$54,C1800=$Z$55,$AD$55,C1800=$Z$56,$AD$56,C1800=$Z$57,$AD$57,C1800=$Z$58,$AD$58,C1800=$Z$59,$AD$59,C1800=$Z$60,$AD$60,C1800=$Z$61,$AD$61,C1800=$Z$62,$AD$62,TRUE,"0")</f>
        <v>0</v>
      </c>
    </row>
    <row r="1801" spans="1:2">
      <c r="A1801" s="156" t="str" cm="1">
        <f t="array" ref="A1801">_xlfn.IFS(C1801=$Z$42,$AA$42,C1801=$Z$43,$AA$43,C1801=$Z$44,$AA$44,C1801=$Z$45,$AA$45,C1801=$Z$46,$AA$46,C1801=$Z$47,$AA$47,C1801=$Z$48,$AA$48,C1801=$Z$49,$AA$49,C1801=$Z$50,$AA$50,C1801=$Z$51,$AA$51,C1801=$Z$52,$AA$52,C1801=$Z$53,$AA$53,C1801=$Z$54,$AA$54,C1801=$Z$55,$AA$55,C1801=$Z$56,$AA$56,C1801=$Z$57,$AA$57,C1801=$Z$58,$AA$58,C1801=$Z$59,$AA$59,C1801=$Z$60,$AA$60,C1801=$Z$61,$AA$61,C1801=$Z$62,$AA$62,TRUE,"0")</f>
        <v>0</v>
      </c>
      <c r="B1801" s="161" t="str" cm="1">
        <f t="array" ref="B1801">_xlfn.IFS(C1801=$Z$42,$AD$42,C1801=$Z$43,$AD$43,C1801=$Z$44,$AD$44,C1801=$Z$45,$AD$45,C1801=$Z$46,$AD$46,C1801=$Z$47,$AD$47,C1801=$Z$48,$AD$48,C1801=$Z$49,$AD$49,C1801=$Z$50,$AD$50,C1801=$Z$51,$AD$51,C1801=$Z$52,$AD$52,C1801=$Z$53,$AD$53,C1801=$Z$54,$AD$54,C1801=$Z$55,$AD$55,C1801=$Z$56,$AD$56,C1801=$Z$57,$AD$57,C1801=$Z$58,$AD$58,C1801=$Z$59,$AD$59,C1801=$Z$60,$AD$60,C1801=$Z$61,$AD$61,C1801=$Z$62,$AD$62,TRUE,"0")</f>
        <v>0</v>
      </c>
    </row>
    <row r="1802" spans="1:2">
      <c r="A1802" s="156" t="str" cm="1">
        <f t="array" ref="A1802">_xlfn.IFS(C1802=$Z$42,$AA$42,C1802=$Z$43,$AA$43,C1802=$Z$44,$AA$44,C1802=$Z$45,$AA$45,C1802=$Z$46,$AA$46,C1802=$Z$47,$AA$47,C1802=$Z$48,$AA$48,C1802=$Z$49,$AA$49,C1802=$Z$50,$AA$50,C1802=$Z$51,$AA$51,C1802=$Z$52,$AA$52,C1802=$Z$53,$AA$53,C1802=$Z$54,$AA$54,C1802=$Z$55,$AA$55,C1802=$Z$56,$AA$56,C1802=$Z$57,$AA$57,C1802=$Z$58,$AA$58,C1802=$Z$59,$AA$59,C1802=$Z$60,$AA$60,C1802=$Z$61,$AA$61,C1802=$Z$62,$AA$62,TRUE,"0")</f>
        <v>0</v>
      </c>
      <c r="B1802" s="161" t="str" cm="1">
        <f t="array" ref="B1802">_xlfn.IFS(C1802=$Z$42,$AD$42,C1802=$Z$43,$AD$43,C1802=$Z$44,$AD$44,C1802=$Z$45,$AD$45,C1802=$Z$46,$AD$46,C1802=$Z$47,$AD$47,C1802=$Z$48,$AD$48,C1802=$Z$49,$AD$49,C1802=$Z$50,$AD$50,C1802=$Z$51,$AD$51,C1802=$Z$52,$AD$52,C1802=$Z$53,$AD$53,C1802=$Z$54,$AD$54,C1802=$Z$55,$AD$55,C1802=$Z$56,$AD$56,C1802=$Z$57,$AD$57,C1802=$Z$58,$AD$58,C1802=$Z$59,$AD$59,C1802=$Z$60,$AD$60,C1802=$Z$61,$AD$61,C1802=$Z$62,$AD$62,TRUE,"0")</f>
        <v>0</v>
      </c>
    </row>
    <row r="1803" spans="1:2">
      <c r="A1803" s="156" t="str" cm="1">
        <f t="array" ref="A1803">_xlfn.IFS(C1803=$Z$42,$AA$42,C1803=$Z$43,$AA$43,C1803=$Z$44,$AA$44,C1803=$Z$45,$AA$45,C1803=$Z$46,$AA$46,C1803=$Z$47,$AA$47,C1803=$Z$48,$AA$48,C1803=$Z$49,$AA$49,C1803=$Z$50,$AA$50,C1803=$Z$51,$AA$51,C1803=$Z$52,$AA$52,C1803=$Z$53,$AA$53,C1803=$Z$54,$AA$54,C1803=$Z$55,$AA$55,C1803=$Z$56,$AA$56,C1803=$Z$57,$AA$57,C1803=$Z$58,$AA$58,C1803=$Z$59,$AA$59,C1803=$Z$60,$AA$60,C1803=$Z$61,$AA$61,C1803=$Z$62,$AA$62,TRUE,"0")</f>
        <v>0</v>
      </c>
      <c r="B1803" s="161" t="str" cm="1">
        <f t="array" ref="B1803">_xlfn.IFS(C1803=$Z$42,$AD$42,C1803=$Z$43,$AD$43,C1803=$Z$44,$AD$44,C1803=$Z$45,$AD$45,C1803=$Z$46,$AD$46,C1803=$Z$47,$AD$47,C1803=$Z$48,$AD$48,C1803=$Z$49,$AD$49,C1803=$Z$50,$AD$50,C1803=$Z$51,$AD$51,C1803=$Z$52,$AD$52,C1803=$Z$53,$AD$53,C1803=$Z$54,$AD$54,C1803=$Z$55,$AD$55,C1803=$Z$56,$AD$56,C1803=$Z$57,$AD$57,C1803=$Z$58,$AD$58,C1803=$Z$59,$AD$59,C1803=$Z$60,$AD$60,C1803=$Z$61,$AD$61,C1803=$Z$62,$AD$62,TRUE,"0")</f>
        <v>0</v>
      </c>
    </row>
    <row r="1804" spans="1:2">
      <c r="A1804" s="156" t="str" cm="1">
        <f t="array" ref="A1804">_xlfn.IFS(C1804=$Z$42,$AA$42,C1804=$Z$43,$AA$43,C1804=$Z$44,$AA$44,C1804=$Z$45,$AA$45,C1804=$Z$46,$AA$46,C1804=$Z$47,$AA$47,C1804=$Z$48,$AA$48,C1804=$Z$49,$AA$49,C1804=$Z$50,$AA$50,C1804=$Z$51,$AA$51,C1804=$Z$52,$AA$52,C1804=$Z$53,$AA$53,C1804=$Z$54,$AA$54,C1804=$Z$55,$AA$55,C1804=$Z$56,$AA$56,C1804=$Z$57,$AA$57,C1804=$Z$58,$AA$58,C1804=$Z$59,$AA$59,C1804=$Z$60,$AA$60,C1804=$Z$61,$AA$61,C1804=$Z$62,$AA$62,TRUE,"0")</f>
        <v>0</v>
      </c>
      <c r="B1804" s="161" t="str" cm="1">
        <f t="array" ref="B1804">_xlfn.IFS(C1804=$Z$42,$AD$42,C1804=$Z$43,$AD$43,C1804=$Z$44,$AD$44,C1804=$Z$45,$AD$45,C1804=$Z$46,$AD$46,C1804=$Z$47,$AD$47,C1804=$Z$48,$AD$48,C1804=$Z$49,$AD$49,C1804=$Z$50,$AD$50,C1804=$Z$51,$AD$51,C1804=$Z$52,$AD$52,C1804=$Z$53,$AD$53,C1804=$Z$54,$AD$54,C1804=$Z$55,$AD$55,C1804=$Z$56,$AD$56,C1804=$Z$57,$AD$57,C1804=$Z$58,$AD$58,C1804=$Z$59,$AD$59,C1804=$Z$60,$AD$60,C1804=$Z$61,$AD$61,C1804=$Z$62,$AD$62,TRUE,"0")</f>
        <v>0</v>
      </c>
    </row>
    <row r="1805" spans="1:2">
      <c r="A1805" s="156" t="str" cm="1">
        <f t="array" ref="A1805">_xlfn.IFS(C1805=$Z$42,$AA$42,C1805=$Z$43,$AA$43,C1805=$Z$44,$AA$44,C1805=$Z$45,$AA$45,C1805=$Z$46,$AA$46,C1805=$Z$47,$AA$47,C1805=$Z$48,$AA$48,C1805=$Z$49,$AA$49,C1805=$Z$50,$AA$50,C1805=$Z$51,$AA$51,C1805=$Z$52,$AA$52,C1805=$Z$53,$AA$53,C1805=$Z$54,$AA$54,C1805=$Z$55,$AA$55,C1805=$Z$56,$AA$56,C1805=$Z$57,$AA$57,C1805=$Z$58,$AA$58,C1805=$Z$59,$AA$59,C1805=$Z$60,$AA$60,C1805=$Z$61,$AA$61,C1805=$Z$62,$AA$62,TRUE,"0")</f>
        <v>0</v>
      </c>
      <c r="B1805" s="161" t="str" cm="1">
        <f t="array" ref="B1805">_xlfn.IFS(C1805=$Z$42,$AD$42,C1805=$Z$43,$AD$43,C1805=$Z$44,$AD$44,C1805=$Z$45,$AD$45,C1805=$Z$46,$AD$46,C1805=$Z$47,$AD$47,C1805=$Z$48,$AD$48,C1805=$Z$49,$AD$49,C1805=$Z$50,$AD$50,C1805=$Z$51,$AD$51,C1805=$Z$52,$AD$52,C1805=$Z$53,$AD$53,C1805=$Z$54,$AD$54,C1805=$Z$55,$AD$55,C1805=$Z$56,$AD$56,C1805=$Z$57,$AD$57,C1805=$Z$58,$AD$58,C1805=$Z$59,$AD$59,C1805=$Z$60,$AD$60,C1805=$Z$61,$AD$61,C1805=$Z$62,$AD$62,TRUE,"0")</f>
        <v>0</v>
      </c>
    </row>
    <row r="1806" spans="1:2">
      <c r="A1806" s="156" t="str" cm="1">
        <f t="array" ref="A1806">_xlfn.IFS(C1806=$Z$42,$AA$42,C1806=$Z$43,$AA$43,C1806=$Z$44,$AA$44,C1806=$Z$45,$AA$45,C1806=$Z$46,$AA$46,C1806=$Z$47,$AA$47,C1806=$Z$48,$AA$48,C1806=$Z$49,$AA$49,C1806=$Z$50,$AA$50,C1806=$Z$51,$AA$51,C1806=$Z$52,$AA$52,C1806=$Z$53,$AA$53,C1806=$Z$54,$AA$54,C1806=$Z$55,$AA$55,C1806=$Z$56,$AA$56,C1806=$Z$57,$AA$57,C1806=$Z$58,$AA$58,C1806=$Z$59,$AA$59,C1806=$Z$60,$AA$60,C1806=$Z$61,$AA$61,C1806=$Z$62,$AA$62,TRUE,"0")</f>
        <v>0</v>
      </c>
      <c r="B1806" s="161" t="str" cm="1">
        <f t="array" ref="B1806">_xlfn.IFS(C1806=$Z$42,$AD$42,C1806=$Z$43,$AD$43,C1806=$Z$44,$AD$44,C1806=$Z$45,$AD$45,C1806=$Z$46,$AD$46,C1806=$Z$47,$AD$47,C1806=$Z$48,$AD$48,C1806=$Z$49,$AD$49,C1806=$Z$50,$AD$50,C1806=$Z$51,$AD$51,C1806=$Z$52,$AD$52,C1806=$Z$53,$AD$53,C1806=$Z$54,$AD$54,C1806=$Z$55,$AD$55,C1806=$Z$56,$AD$56,C1806=$Z$57,$AD$57,C1806=$Z$58,$AD$58,C1806=$Z$59,$AD$59,C1806=$Z$60,$AD$60,C1806=$Z$61,$AD$61,C1806=$Z$62,$AD$62,TRUE,"0")</f>
        <v>0</v>
      </c>
    </row>
    <row r="1807" spans="1:2">
      <c r="A1807" s="156" t="str" cm="1">
        <f t="array" ref="A1807">_xlfn.IFS(C1807=$Z$42,$AA$42,C1807=$Z$43,$AA$43,C1807=$Z$44,$AA$44,C1807=$Z$45,$AA$45,C1807=$Z$46,$AA$46,C1807=$Z$47,$AA$47,C1807=$Z$48,$AA$48,C1807=$Z$49,$AA$49,C1807=$Z$50,$AA$50,C1807=$Z$51,$AA$51,C1807=$Z$52,$AA$52,C1807=$Z$53,$AA$53,C1807=$Z$54,$AA$54,C1807=$Z$55,$AA$55,C1807=$Z$56,$AA$56,C1807=$Z$57,$AA$57,C1807=$Z$58,$AA$58,C1807=$Z$59,$AA$59,C1807=$Z$60,$AA$60,C1807=$Z$61,$AA$61,C1807=$Z$62,$AA$62,TRUE,"0")</f>
        <v>0</v>
      </c>
      <c r="B1807" s="161" t="str" cm="1">
        <f t="array" ref="B1807">_xlfn.IFS(C1807=$Z$42,$AD$42,C1807=$Z$43,$AD$43,C1807=$Z$44,$AD$44,C1807=$Z$45,$AD$45,C1807=$Z$46,$AD$46,C1807=$Z$47,$AD$47,C1807=$Z$48,$AD$48,C1807=$Z$49,$AD$49,C1807=$Z$50,$AD$50,C1807=$Z$51,$AD$51,C1807=$Z$52,$AD$52,C1807=$Z$53,$AD$53,C1807=$Z$54,$AD$54,C1807=$Z$55,$AD$55,C1807=$Z$56,$AD$56,C1807=$Z$57,$AD$57,C1807=$Z$58,$AD$58,C1807=$Z$59,$AD$59,C1807=$Z$60,$AD$60,C1807=$Z$61,$AD$61,C1807=$Z$62,$AD$62,TRUE,"0")</f>
        <v>0</v>
      </c>
    </row>
    <row r="1808" spans="1:2">
      <c r="A1808" s="156" t="str" cm="1">
        <f t="array" ref="A1808">_xlfn.IFS(C1808=$Z$42,$AA$42,C1808=$Z$43,$AA$43,C1808=$Z$44,$AA$44,C1808=$Z$45,$AA$45,C1808=$Z$46,$AA$46,C1808=$Z$47,$AA$47,C1808=$Z$48,$AA$48,C1808=$Z$49,$AA$49,C1808=$Z$50,$AA$50,C1808=$Z$51,$AA$51,C1808=$Z$52,$AA$52,C1808=$Z$53,$AA$53,C1808=$Z$54,$AA$54,C1808=$Z$55,$AA$55,C1808=$Z$56,$AA$56,C1808=$Z$57,$AA$57,C1808=$Z$58,$AA$58,C1808=$Z$59,$AA$59,C1808=$Z$60,$AA$60,C1808=$Z$61,$AA$61,C1808=$Z$62,$AA$62,TRUE,"0")</f>
        <v>0</v>
      </c>
      <c r="B1808" s="161" t="str" cm="1">
        <f t="array" ref="B1808">_xlfn.IFS(C1808=$Z$42,$AD$42,C1808=$Z$43,$AD$43,C1808=$Z$44,$AD$44,C1808=$Z$45,$AD$45,C1808=$Z$46,$AD$46,C1808=$Z$47,$AD$47,C1808=$Z$48,$AD$48,C1808=$Z$49,$AD$49,C1808=$Z$50,$AD$50,C1808=$Z$51,$AD$51,C1808=$Z$52,$AD$52,C1808=$Z$53,$AD$53,C1808=$Z$54,$AD$54,C1808=$Z$55,$AD$55,C1808=$Z$56,$AD$56,C1808=$Z$57,$AD$57,C1808=$Z$58,$AD$58,C1808=$Z$59,$AD$59,C1808=$Z$60,$AD$60,C1808=$Z$61,$AD$61,C1808=$Z$62,$AD$62,TRUE,"0")</f>
        <v>0</v>
      </c>
    </row>
    <row r="1809" spans="1:2">
      <c r="A1809" s="156" t="str" cm="1">
        <f t="array" ref="A1809">_xlfn.IFS(C1809=$Z$42,$AA$42,C1809=$Z$43,$AA$43,C1809=$Z$44,$AA$44,C1809=$Z$45,$AA$45,C1809=$Z$46,$AA$46,C1809=$Z$47,$AA$47,C1809=$Z$48,$AA$48,C1809=$Z$49,$AA$49,C1809=$Z$50,$AA$50,C1809=$Z$51,$AA$51,C1809=$Z$52,$AA$52,C1809=$Z$53,$AA$53,C1809=$Z$54,$AA$54,C1809=$Z$55,$AA$55,C1809=$Z$56,$AA$56,C1809=$Z$57,$AA$57,C1809=$Z$58,$AA$58,C1809=$Z$59,$AA$59,C1809=$Z$60,$AA$60,C1809=$Z$61,$AA$61,C1809=$Z$62,$AA$62,TRUE,"0")</f>
        <v>0</v>
      </c>
      <c r="B1809" s="161" t="str" cm="1">
        <f t="array" ref="B1809">_xlfn.IFS(C1809=$Z$42,$AD$42,C1809=$Z$43,$AD$43,C1809=$Z$44,$AD$44,C1809=$Z$45,$AD$45,C1809=$Z$46,$AD$46,C1809=$Z$47,$AD$47,C1809=$Z$48,$AD$48,C1809=$Z$49,$AD$49,C1809=$Z$50,$AD$50,C1809=$Z$51,$AD$51,C1809=$Z$52,$AD$52,C1809=$Z$53,$AD$53,C1809=$Z$54,$AD$54,C1809=$Z$55,$AD$55,C1809=$Z$56,$AD$56,C1809=$Z$57,$AD$57,C1809=$Z$58,$AD$58,C1809=$Z$59,$AD$59,C1809=$Z$60,$AD$60,C1809=$Z$61,$AD$61,C1809=$Z$62,$AD$62,TRUE,"0")</f>
        <v>0</v>
      </c>
    </row>
    <row r="1810" spans="1:2">
      <c r="A1810" s="156" t="str" cm="1">
        <f t="array" ref="A1810">_xlfn.IFS(C1810=$Z$42,$AA$42,C1810=$Z$43,$AA$43,C1810=$Z$44,$AA$44,C1810=$Z$45,$AA$45,C1810=$Z$46,$AA$46,C1810=$Z$47,$AA$47,C1810=$Z$48,$AA$48,C1810=$Z$49,$AA$49,C1810=$Z$50,$AA$50,C1810=$Z$51,$AA$51,C1810=$Z$52,$AA$52,C1810=$Z$53,$AA$53,C1810=$Z$54,$AA$54,C1810=$Z$55,$AA$55,C1810=$Z$56,$AA$56,C1810=$Z$57,$AA$57,C1810=$Z$58,$AA$58,C1810=$Z$59,$AA$59,C1810=$Z$60,$AA$60,C1810=$Z$61,$AA$61,C1810=$Z$62,$AA$62,TRUE,"0")</f>
        <v>0</v>
      </c>
      <c r="B1810" s="161" t="str" cm="1">
        <f t="array" ref="B1810">_xlfn.IFS(C1810=$Z$42,$AD$42,C1810=$Z$43,$AD$43,C1810=$Z$44,$AD$44,C1810=$Z$45,$AD$45,C1810=$Z$46,$AD$46,C1810=$Z$47,$AD$47,C1810=$Z$48,$AD$48,C1810=$Z$49,$AD$49,C1810=$Z$50,$AD$50,C1810=$Z$51,$AD$51,C1810=$Z$52,$AD$52,C1810=$Z$53,$AD$53,C1810=$Z$54,$AD$54,C1810=$Z$55,$AD$55,C1810=$Z$56,$AD$56,C1810=$Z$57,$AD$57,C1810=$Z$58,$AD$58,C1810=$Z$59,$AD$59,C1810=$Z$60,$AD$60,C1810=$Z$61,$AD$61,C1810=$Z$62,$AD$62,TRUE,"0")</f>
        <v>0</v>
      </c>
    </row>
    <row r="1811" spans="1:2">
      <c r="A1811" s="156" t="str" cm="1">
        <f t="array" ref="A1811">_xlfn.IFS(C1811=$Z$42,$AA$42,C1811=$Z$43,$AA$43,C1811=$Z$44,$AA$44,C1811=$Z$45,$AA$45,C1811=$Z$46,$AA$46,C1811=$Z$47,$AA$47,C1811=$Z$48,$AA$48,C1811=$Z$49,$AA$49,C1811=$Z$50,$AA$50,C1811=$Z$51,$AA$51,C1811=$Z$52,$AA$52,C1811=$Z$53,$AA$53,C1811=$Z$54,$AA$54,C1811=$Z$55,$AA$55,C1811=$Z$56,$AA$56,C1811=$Z$57,$AA$57,C1811=$Z$58,$AA$58,C1811=$Z$59,$AA$59,C1811=$Z$60,$AA$60,C1811=$Z$61,$AA$61,C1811=$Z$62,$AA$62,TRUE,"0")</f>
        <v>0</v>
      </c>
      <c r="B1811" s="161" t="str" cm="1">
        <f t="array" ref="B1811">_xlfn.IFS(C1811=$Z$42,$AD$42,C1811=$Z$43,$AD$43,C1811=$Z$44,$AD$44,C1811=$Z$45,$AD$45,C1811=$Z$46,$AD$46,C1811=$Z$47,$AD$47,C1811=$Z$48,$AD$48,C1811=$Z$49,$AD$49,C1811=$Z$50,$AD$50,C1811=$Z$51,$AD$51,C1811=$Z$52,$AD$52,C1811=$Z$53,$AD$53,C1811=$Z$54,$AD$54,C1811=$Z$55,$AD$55,C1811=$Z$56,$AD$56,C1811=$Z$57,$AD$57,C1811=$Z$58,$AD$58,C1811=$Z$59,$AD$59,C1811=$Z$60,$AD$60,C1811=$Z$61,$AD$61,C1811=$Z$62,$AD$62,TRUE,"0")</f>
        <v>0</v>
      </c>
    </row>
    <row r="1812" spans="1:2">
      <c r="A1812" s="156" t="str" cm="1">
        <f t="array" ref="A1812">_xlfn.IFS(C1812=$Z$42,$AA$42,C1812=$Z$43,$AA$43,C1812=$Z$44,$AA$44,C1812=$Z$45,$AA$45,C1812=$Z$46,$AA$46,C1812=$Z$47,$AA$47,C1812=$Z$48,$AA$48,C1812=$Z$49,$AA$49,C1812=$Z$50,$AA$50,C1812=$Z$51,$AA$51,C1812=$Z$52,$AA$52,C1812=$Z$53,$AA$53,C1812=$Z$54,$AA$54,C1812=$Z$55,$AA$55,C1812=$Z$56,$AA$56,C1812=$Z$57,$AA$57,C1812=$Z$58,$AA$58,C1812=$Z$59,$AA$59,C1812=$Z$60,$AA$60,C1812=$Z$61,$AA$61,C1812=$Z$62,$AA$62,TRUE,"0")</f>
        <v>0</v>
      </c>
      <c r="B1812" s="161" t="str" cm="1">
        <f t="array" ref="B1812">_xlfn.IFS(C1812=$Z$42,$AD$42,C1812=$Z$43,$AD$43,C1812=$Z$44,$AD$44,C1812=$Z$45,$AD$45,C1812=$Z$46,$AD$46,C1812=$Z$47,$AD$47,C1812=$Z$48,$AD$48,C1812=$Z$49,$AD$49,C1812=$Z$50,$AD$50,C1812=$Z$51,$AD$51,C1812=$Z$52,$AD$52,C1812=$Z$53,$AD$53,C1812=$Z$54,$AD$54,C1812=$Z$55,$AD$55,C1812=$Z$56,$AD$56,C1812=$Z$57,$AD$57,C1812=$Z$58,$AD$58,C1812=$Z$59,$AD$59,C1812=$Z$60,$AD$60,C1812=$Z$61,$AD$61,C1812=$Z$62,$AD$62,TRUE,"0")</f>
        <v>0</v>
      </c>
    </row>
    <row r="1813" spans="1:2">
      <c r="A1813" s="156" t="str" cm="1">
        <f t="array" ref="A1813">_xlfn.IFS(C1813=$Z$42,$AA$42,C1813=$Z$43,$AA$43,C1813=$Z$44,$AA$44,C1813=$Z$45,$AA$45,C1813=$Z$46,$AA$46,C1813=$Z$47,$AA$47,C1813=$Z$48,$AA$48,C1813=$Z$49,$AA$49,C1813=$Z$50,$AA$50,C1813=$Z$51,$AA$51,C1813=$Z$52,$AA$52,C1813=$Z$53,$AA$53,C1813=$Z$54,$AA$54,C1813=$Z$55,$AA$55,C1813=$Z$56,$AA$56,C1813=$Z$57,$AA$57,C1813=$Z$58,$AA$58,C1813=$Z$59,$AA$59,C1813=$Z$60,$AA$60,C1813=$Z$61,$AA$61,C1813=$Z$62,$AA$62,TRUE,"0")</f>
        <v>0</v>
      </c>
      <c r="B1813" s="161" t="str" cm="1">
        <f t="array" ref="B1813">_xlfn.IFS(C1813=$Z$42,$AD$42,C1813=$Z$43,$AD$43,C1813=$Z$44,$AD$44,C1813=$Z$45,$AD$45,C1813=$Z$46,$AD$46,C1813=$Z$47,$AD$47,C1813=$Z$48,$AD$48,C1813=$Z$49,$AD$49,C1813=$Z$50,$AD$50,C1813=$Z$51,$AD$51,C1813=$Z$52,$AD$52,C1813=$Z$53,$AD$53,C1813=$Z$54,$AD$54,C1813=$Z$55,$AD$55,C1813=$Z$56,$AD$56,C1813=$Z$57,$AD$57,C1813=$Z$58,$AD$58,C1813=$Z$59,$AD$59,C1813=$Z$60,$AD$60,C1813=$Z$61,$AD$61,C1813=$Z$62,$AD$62,TRUE,"0")</f>
        <v>0</v>
      </c>
    </row>
    <row r="1814" spans="1:2">
      <c r="A1814" s="156" t="str" cm="1">
        <f t="array" ref="A1814">_xlfn.IFS(C1814=$Z$42,$AA$42,C1814=$Z$43,$AA$43,C1814=$Z$44,$AA$44,C1814=$Z$45,$AA$45,C1814=$Z$46,$AA$46,C1814=$Z$47,$AA$47,C1814=$Z$48,$AA$48,C1814=$Z$49,$AA$49,C1814=$Z$50,$AA$50,C1814=$Z$51,$AA$51,C1814=$Z$52,$AA$52,C1814=$Z$53,$AA$53,C1814=$Z$54,$AA$54,C1814=$Z$55,$AA$55,C1814=$Z$56,$AA$56,C1814=$Z$57,$AA$57,C1814=$Z$58,$AA$58,C1814=$Z$59,$AA$59,C1814=$Z$60,$AA$60,C1814=$Z$61,$AA$61,C1814=$Z$62,$AA$62,TRUE,"0")</f>
        <v>0</v>
      </c>
      <c r="B1814" s="161" t="str" cm="1">
        <f t="array" ref="B1814">_xlfn.IFS(C1814=$Z$42,$AD$42,C1814=$Z$43,$AD$43,C1814=$Z$44,$AD$44,C1814=$Z$45,$AD$45,C1814=$Z$46,$AD$46,C1814=$Z$47,$AD$47,C1814=$Z$48,$AD$48,C1814=$Z$49,$AD$49,C1814=$Z$50,$AD$50,C1814=$Z$51,$AD$51,C1814=$Z$52,$AD$52,C1814=$Z$53,$AD$53,C1814=$Z$54,$AD$54,C1814=$Z$55,$AD$55,C1814=$Z$56,$AD$56,C1814=$Z$57,$AD$57,C1814=$Z$58,$AD$58,C1814=$Z$59,$AD$59,C1814=$Z$60,$AD$60,C1814=$Z$61,$AD$61,C1814=$Z$62,$AD$62,TRUE,"0")</f>
        <v>0</v>
      </c>
    </row>
    <row r="1815" spans="1:2">
      <c r="A1815" s="156" t="str" cm="1">
        <f t="array" ref="A1815">_xlfn.IFS(C1815=$Z$42,$AA$42,C1815=$Z$43,$AA$43,C1815=$Z$44,$AA$44,C1815=$Z$45,$AA$45,C1815=$Z$46,$AA$46,C1815=$Z$47,$AA$47,C1815=$Z$48,$AA$48,C1815=$Z$49,$AA$49,C1815=$Z$50,$AA$50,C1815=$Z$51,$AA$51,C1815=$Z$52,$AA$52,C1815=$Z$53,$AA$53,C1815=$Z$54,$AA$54,C1815=$Z$55,$AA$55,C1815=$Z$56,$AA$56,C1815=$Z$57,$AA$57,C1815=$Z$58,$AA$58,C1815=$Z$59,$AA$59,C1815=$Z$60,$AA$60,C1815=$Z$61,$AA$61,C1815=$Z$62,$AA$62,TRUE,"0")</f>
        <v>0</v>
      </c>
      <c r="B1815" s="161" t="str" cm="1">
        <f t="array" ref="B1815">_xlfn.IFS(C1815=$Z$42,$AD$42,C1815=$Z$43,$AD$43,C1815=$Z$44,$AD$44,C1815=$Z$45,$AD$45,C1815=$Z$46,$AD$46,C1815=$Z$47,$AD$47,C1815=$Z$48,$AD$48,C1815=$Z$49,$AD$49,C1815=$Z$50,$AD$50,C1815=$Z$51,$AD$51,C1815=$Z$52,$AD$52,C1815=$Z$53,$AD$53,C1815=$Z$54,$AD$54,C1815=$Z$55,$AD$55,C1815=$Z$56,$AD$56,C1815=$Z$57,$AD$57,C1815=$Z$58,$AD$58,C1815=$Z$59,$AD$59,C1815=$Z$60,$AD$60,C1815=$Z$61,$AD$61,C1815=$Z$62,$AD$62,TRUE,"0")</f>
        <v>0</v>
      </c>
    </row>
    <row r="1816" spans="1:2">
      <c r="A1816" s="156" t="str" cm="1">
        <f t="array" ref="A1816">_xlfn.IFS(C1816=$Z$42,$AA$42,C1816=$Z$43,$AA$43,C1816=$Z$44,$AA$44,C1816=$Z$45,$AA$45,C1816=$Z$46,$AA$46,C1816=$Z$47,$AA$47,C1816=$Z$48,$AA$48,C1816=$Z$49,$AA$49,C1816=$Z$50,$AA$50,C1816=$Z$51,$AA$51,C1816=$Z$52,$AA$52,C1816=$Z$53,$AA$53,C1816=$Z$54,$AA$54,C1816=$Z$55,$AA$55,C1816=$Z$56,$AA$56,C1816=$Z$57,$AA$57,C1816=$Z$58,$AA$58,C1816=$Z$59,$AA$59,C1816=$Z$60,$AA$60,C1816=$Z$61,$AA$61,C1816=$Z$62,$AA$62,TRUE,"0")</f>
        <v>0</v>
      </c>
      <c r="B1816" s="161" t="str" cm="1">
        <f t="array" ref="B1816">_xlfn.IFS(C1816=$Z$42,$AD$42,C1816=$Z$43,$AD$43,C1816=$Z$44,$AD$44,C1816=$Z$45,$AD$45,C1816=$Z$46,$AD$46,C1816=$Z$47,$AD$47,C1816=$Z$48,$AD$48,C1816=$Z$49,$AD$49,C1816=$Z$50,$AD$50,C1816=$Z$51,$AD$51,C1816=$Z$52,$AD$52,C1816=$Z$53,$AD$53,C1816=$Z$54,$AD$54,C1816=$Z$55,$AD$55,C1816=$Z$56,$AD$56,C1816=$Z$57,$AD$57,C1816=$Z$58,$AD$58,C1816=$Z$59,$AD$59,C1816=$Z$60,$AD$60,C1816=$Z$61,$AD$61,C1816=$Z$62,$AD$62,TRUE,"0")</f>
        <v>0</v>
      </c>
    </row>
    <row r="1817" spans="1:2">
      <c r="A1817" s="156" t="str" cm="1">
        <f t="array" ref="A1817">_xlfn.IFS(C1817=$Z$42,$AA$42,C1817=$Z$43,$AA$43,C1817=$Z$44,$AA$44,C1817=$Z$45,$AA$45,C1817=$Z$46,$AA$46,C1817=$Z$47,$AA$47,C1817=$Z$48,$AA$48,C1817=$Z$49,$AA$49,C1817=$Z$50,$AA$50,C1817=$Z$51,$AA$51,C1817=$Z$52,$AA$52,C1817=$Z$53,$AA$53,C1817=$Z$54,$AA$54,C1817=$Z$55,$AA$55,C1817=$Z$56,$AA$56,C1817=$Z$57,$AA$57,C1817=$Z$58,$AA$58,C1817=$Z$59,$AA$59,C1817=$Z$60,$AA$60,C1817=$Z$61,$AA$61,C1817=$Z$62,$AA$62,TRUE,"0")</f>
        <v>0</v>
      </c>
      <c r="B1817" s="161" t="str" cm="1">
        <f t="array" ref="B1817">_xlfn.IFS(C1817=$Z$42,$AD$42,C1817=$Z$43,$AD$43,C1817=$Z$44,$AD$44,C1817=$Z$45,$AD$45,C1817=$Z$46,$AD$46,C1817=$Z$47,$AD$47,C1817=$Z$48,$AD$48,C1817=$Z$49,$AD$49,C1817=$Z$50,$AD$50,C1817=$Z$51,$AD$51,C1817=$Z$52,$AD$52,C1817=$Z$53,$AD$53,C1817=$Z$54,$AD$54,C1817=$Z$55,$AD$55,C1817=$Z$56,$AD$56,C1817=$Z$57,$AD$57,C1817=$Z$58,$AD$58,C1817=$Z$59,$AD$59,C1817=$Z$60,$AD$60,C1817=$Z$61,$AD$61,C1817=$Z$62,$AD$62,TRUE,"0")</f>
        <v>0</v>
      </c>
    </row>
    <row r="1818" spans="1:2">
      <c r="A1818" s="156" t="str" cm="1">
        <f t="array" ref="A1818">_xlfn.IFS(C1818=$Z$42,$AA$42,C1818=$Z$43,$AA$43,C1818=$Z$44,$AA$44,C1818=$Z$45,$AA$45,C1818=$Z$46,$AA$46,C1818=$Z$47,$AA$47,C1818=$Z$48,$AA$48,C1818=$Z$49,$AA$49,C1818=$Z$50,$AA$50,C1818=$Z$51,$AA$51,C1818=$Z$52,$AA$52,C1818=$Z$53,$AA$53,C1818=$Z$54,$AA$54,C1818=$Z$55,$AA$55,C1818=$Z$56,$AA$56,C1818=$Z$57,$AA$57,C1818=$Z$58,$AA$58,C1818=$Z$59,$AA$59,C1818=$Z$60,$AA$60,C1818=$Z$61,$AA$61,C1818=$Z$62,$AA$62,TRUE,"0")</f>
        <v>0</v>
      </c>
      <c r="B1818" s="161" t="str" cm="1">
        <f t="array" ref="B1818">_xlfn.IFS(C1818=$Z$42,$AD$42,C1818=$Z$43,$AD$43,C1818=$Z$44,$AD$44,C1818=$Z$45,$AD$45,C1818=$Z$46,$AD$46,C1818=$Z$47,$AD$47,C1818=$Z$48,$AD$48,C1818=$Z$49,$AD$49,C1818=$Z$50,$AD$50,C1818=$Z$51,$AD$51,C1818=$Z$52,$AD$52,C1818=$Z$53,$AD$53,C1818=$Z$54,$AD$54,C1818=$Z$55,$AD$55,C1818=$Z$56,$AD$56,C1818=$Z$57,$AD$57,C1818=$Z$58,$AD$58,C1818=$Z$59,$AD$59,C1818=$Z$60,$AD$60,C1818=$Z$61,$AD$61,C1818=$Z$62,$AD$62,TRUE,"0")</f>
        <v>0</v>
      </c>
    </row>
  </sheetData>
  <sortState ref="A2:Q1795">
    <sortCondition ref="D2:D1795"/>
    <sortCondition ref="E2:E1795"/>
  </sortState>
  <conditionalFormatting sqref="O1:O65 O1796:O1048576">
    <cfRule type="containsText" dxfId="21" priority="3" operator="containsText" text="WON">
      <formula>NOT(ISERROR(SEARCH("WON",O1)))</formula>
    </cfRule>
    <cfRule type="containsText" dxfId="20" priority="4" operator="containsText" text="LOST">
      <formula>NOT(ISERROR(SEARCH("LOST",O1)))</formula>
    </cfRule>
  </conditionalFormatting>
  <conditionalFormatting sqref="O2:O65">
    <cfRule type="containsText" dxfId="19" priority="1" operator="containsText" text="lost">
      <formula>NOT(ISERROR(SEARCH("lost",O2)))</formula>
    </cfRule>
    <cfRule type="containsText" dxfId="18" priority="2" operator="containsText" text="WON">
      <formula>NOT(ISERROR(SEARCH("WON",O2)))</formula>
    </cfRule>
  </conditionalFormatting>
  <pageMargins left="0.7" right="0.7" top="0.75" bottom="0.75" header="0.3" footer="0.3"/>
  <pageSetup paperSize="9" scale="8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738"/>
  <sheetViews>
    <sheetView topLeftCell="A1123" zoomScaleNormal="100" workbookViewId="0">
      <selection activeCell="A544" sqref="A544:A1094"/>
    </sheetView>
  </sheetViews>
  <sheetFormatPr defaultRowHeight="15"/>
  <cols>
    <col min="2" max="2" width="28.625" style="1" customWidth="1"/>
    <col min="3" max="3" width="15.75" style="1" bestFit="1" customWidth="1"/>
    <col min="4" max="4" width="21.375" style="1" customWidth="1"/>
    <col min="5" max="5" width="15.75" style="1" bestFit="1" customWidth="1"/>
    <col min="6" max="6" width="22" style="1" customWidth="1"/>
    <col min="7" max="7" width="18.125" style="1" customWidth="1"/>
    <col min="8" max="11" width="5.125" style="1" bestFit="1" customWidth="1"/>
    <col min="12" max="12" width="4" style="1" bestFit="1" customWidth="1"/>
    <col min="13" max="13" width="5" style="1" bestFit="1" customWidth="1"/>
    <col min="14" max="14" width="7.75" style="1" customWidth="1"/>
    <col min="15" max="16" width="4.75" style="152" customWidth="1"/>
    <col min="17" max="17" width="4.75" style="184" customWidth="1"/>
    <col min="18" max="18" width="4.75" style="185" customWidth="1"/>
    <col min="19" max="19" width="4.75" style="180" customWidth="1"/>
    <col min="20" max="20" width="4.75" style="182" customWidth="1"/>
    <col min="21" max="21" width="4.75" style="158" customWidth="1"/>
    <col min="22" max="22" width="6" style="16" customWidth="1"/>
    <col min="23" max="23" width="7.375" style="16" bestFit="1" customWidth="1"/>
    <col min="24" max="24" width="11" customWidth="1"/>
    <col min="25" max="25" width="23.75" style="16" bestFit="1" customWidth="1"/>
    <col min="26" max="26" width="7.625" style="16" customWidth="1"/>
    <col min="27" max="27" width="7.25" style="16" customWidth="1"/>
    <col min="28" max="28" width="6.625" style="16" bestFit="1" customWidth="1"/>
    <col min="29" max="29" width="8.375" style="16" customWidth="1"/>
    <col min="30" max="30" width="9.625" style="16" customWidth="1"/>
    <col min="32" max="32" width="13.375" customWidth="1"/>
    <col min="33" max="34" width="7.25" customWidth="1"/>
    <col min="35" max="35" width="7.25" style="46" customWidth="1"/>
    <col min="36" max="36" width="9.375" customWidth="1"/>
    <col min="37" max="37" width="9.625" customWidth="1"/>
  </cols>
  <sheetData>
    <row r="1" spans="1:45" ht="15.75" thickBot="1">
      <c r="A1" t="s">
        <v>930</v>
      </c>
      <c r="B1" s="163" t="s">
        <v>10</v>
      </c>
      <c r="C1" s="2" t="s">
        <v>119</v>
      </c>
      <c r="D1" s="2" t="s">
        <v>120</v>
      </c>
      <c r="E1" s="3">
        <v>45354.833333333336</v>
      </c>
      <c r="F1" s="2" t="s">
        <v>384</v>
      </c>
      <c r="G1" s="2" t="s">
        <v>361</v>
      </c>
      <c r="H1" s="2">
        <v>2.2000000000000002</v>
      </c>
      <c r="I1" s="2">
        <v>100</v>
      </c>
      <c r="J1" s="2">
        <v>70</v>
      </c>
      <c r="K1" s="2">
        <v>35</v>
      </c>
      <c r="L1" s="2">
        <v>64</v>
      </c>
      <c r="M1" s="11">
        <v>20</v>
      </c>
      <c r="N1" s="2" t="s">
        <v>96</v>
      </c>
      <c r="O1" s="14">
        <v>0</v>
      </c>
      <c r="P1" s="14">
        <v>0</v>
      </c>
      <c r="Q1" s="183">
        <v>0</v>
      </c>
      <c r="R1" s="181">
        <v>0</v>
      </c>
      <c r="S1" s="178">
        <f t="shared" ref="S1:S64" si="0">SUM(O1:P1)</f>
        <v>0</v>
      </c>
      <c r="T1" s="186">
        <f t="shared" ref="T1:T64" si="1">SUM(Q1:R1)</f>
        <v>0</v>
      </c>
      <c r="U1" s="179">
        <f t="shared" ref="U1:U64" si="2">SUM(T1-S1)</f>
        <v>0</v>
      </c>
      <c r="V1" s="1"/>
      <c r="W1" s="8"/>
      <c r="X1" s="15">
        <v>500</v>
      </c>
      <c r="Z1" s="70" t="s">
        <v>666</v>
      </c>
      <c r="AA1" s="71"/>
      <c r="AB1" s="71"/>
      <c r="AC1" s="72"/>
      <c r="AR1" s="137" t="s">
        <v>669</v>
      </c>
      <c r="AS1" s="138"/>
    </row>
    <row r="2" spans="1:45" ht="15.75" thickBot="1">
      <c r="A2" t="s">
        <v>930</v>
      </c>
      <c r="B2" s="163" t="s">
        <v>10</v>
      </c>
      <c r="C2" s="2" t="s">
        <v>6</v>
      </c>
      <c r="D2" s="2" t="s">
        <v>62</v>
      </c>
      <c r="E2" s="3">
        <v>45416.625</v>
      </c>
      <c r="F2" s="2" t="s">
        <v>63</v>
      </c>
      <c r="G2" s="2" t="s">
        <v>115</v>
      </c>
      <c r="H2" s="2">
        <v>2.35</v>
      </c>
      <c r="I2" s="2">
        <v>90</v>
      </c>
      <c r="J2" s="2">
        <v>75</v>
      </c>
      <c r="K2" s="2">
        <v>58</v>
      </c>
      <c r="L2" s="2">
        <v>20</v>
      </c>
      <c r="M2" s="11"/>
      <c r="N2" s="2" t="s">
        <v>96</v>
      </c>
      <c r="O2" s="14">
        <v>0</v>
      </c>
      <c r="P2" s="14">
        <v>0</v>
      </c>
      <c r="Q2" s="183">
        <v>0</v>
      </c>
      <c r="R2" s="181">
        <v>0</v>
      </c>
      <c r="S2" s="178">
        <f t="shared" si="0"/>
        <v>0</v>
      </c>
      <c r="T2" s="186">
        <f t="shared" si="1"/>
        <v>0</v>
      </c>
      <c r="U2" s="179">
        <f t="shared" si="2"/>
        <v>0</v>
      </c>
      <c r="V2" s="1">
        <f>SUM($X$1*0.05)</f>
        <v>25</v>
      </c>
      <c r="W2" s="8">
        <f t="shared" ref="W2:W65" si="3">IF(N2="won",V2*0.25,-V2)</f>
        <v>-25</v>
      </c>
      <c r="X2" s="15">
        <f t="shared" ref="X2:X15" si="4">SUM(X1,W2)</f>
        <v>475</v>
      </c>
      <c r="Y2" s="55"/>
      <c r="Z2" s="65" t="s">
        <v>622</v>
      </c>
      <c r="AA2" s="63" t="s">
        <v>654</v>
      </c>
      <c r="AB2" s="82" t="s">
        <v>621</v>
      </c>
      <c r="AC2" s="73" t="s">
        <v>622</v>
      </c>
      <c r="AD2" s="47" t="s">
        <v>654</v>
      </c>
      <c r="AE2" s="86" t="s">
        <v>621</v>
      </c>
      <c r="AF2" s="77" t="s">
        <v>655</v>
      </c>
      <c r="AG2" s="47" t="s">
        <v>657</v>
      </c>
      <c r="AH2" s="47"/>
      <c r="AI2" s="109" t="s">
        <v>658</v>
      </c>
      <c r="AJ2" s="93" t="s">
        <v>663</v>
      </c>
      <c r="AK2" s="101" t="s">
        <v>664</v>
      </c>
      <c r="AL2" s="115" t="s">
        <v>665</v>
      </c>
      <c r="AM2" s="121" t="s">
        <v>95</v>
      </c>
      <c r="AN2" s="122" t="s">
        <v>662</v>
      </c>
      <c r="AO2" s="77" t="s">
        <v>659</v>
      </c>
      <c r="AP2" s="101" t="s">
        <v>660</v>
      </c>
      <c r="AQ2" s="132" t="s">
        <v>661</v>
      </c>
      <c r="AR2" s="139" t="s">
        <v>667</v>
      </c>
      <c r="AS2" s="140" t="s">
        <v>668</v>
      </c>
    </row>
    <row r="3" spans="1:45">
      <c r="A3" t="s">
        <v>930</v>
      </c>
      <c r="B3" s="163" t="s">
        <v>10</v>
      </c>
      <c r="C3" s="2" t="s">
        <v>149</v>
      </c>
      <c r="D3" s="2" t="s">
        <v>153</v>
      </c>
      <c r="E3" s="3">
        <v>45431.5625</v>
      </c>
      <c r="F3" s="2" t="s">
        <v>155</v>
      </c>
      <c r="G3" s="2" t="s">
        <v>249</v>
      </c>
      <c r="H3" s="2">
        <v>2.0499999999999998</v>
      </c>
      <c r="I3" s="2">
        <v>95</v>
      </c>
      <c r="J3" s="2">
        <v>70</v>
      </c>
      <c r="K3" s="2">
        <v>62</v>
      </c>
      <c r="L3" s="2">
        <v>20</v>
      </c>
      <c r="M3" s="11"/>
      <c r="N3" s="2" t="s">
        <v>96</v>
      </c>
      <c r="O3" s="14">
        <v>0</v>
      </c>
      <c r="P3" s="14">
        <v>0</v>
      </c>
      <c r="Q3" s="183">
        <v>0</v>
      </c>
      <c r="R3" s="181">
        <v>0</v>
      </c>
      <c r="S3" s="178">
        <f t="shared" si="0"/>
        <v>0</v>
      </c>
      <c r="T3" s="186">
        <f t="shared" si="1"/>
        <v>0</v>
      </c>
      <c r="U3" s="179">
        <f t="shared" si="2"/>
        <v>0</v>
      </c>
      <c r="V3" s="1">
        <f t="shared" ref="V3:V66" si="5">SUM($X$1*0.05)</f>
        <v>25</v>
      </c>
      <c r="W3" s="8">
        <f t="shared" si="3"/>
        <v>-25</v>
      </c>
      <c r="X3" s="15">
        <f t="shared" si="4"/>
        <v>450</v>
      </c>
      <c r="Y3" s="56" t="s">
        <v>270</v>
      </c>
      <c r="Z3" s="66">
        <f>AC3/AI3</f>
        <v>1.3380614657210401</v>
      </c>
      <c r="AA3" s="62">
        <f>AD3/AI3</f>
        <v>1.7730496453900708</v>
      </c>
      <c r="AB3" s="83">
        <f>AE3/AI3</f>
        <v>3.1111111111111112</v>
      </c>
      <c r="AC3" s="74">
        <f>SUMIF($B:$B,"FT 0-0 B",S:S)</f>
        <v>566</v>
      </c>
      <c r="AD3" s="48">
        <f>SUMIF($B:$B,"FT 0-0 B",U:U)</f>
        <v>750</v>
      </c>
      <c r="AE3" s="87">
        <f t="shared" ref="AE3:AE22" si="6">SUM(AC3:AD3)</f>
        <v>1316</v>
      </c>
      <c r="AF3" s="78">
        <f t="shared" ref="AF3:AF22" si="7">AC3/AE3</f>
        <v>0.43009118541033436</v>
      </c>
      <c r="AG3" s="49">
        <f t="shared" ref="AG3:AG22" si="8">AD3/AE3</f>
        <v>0.56990881458966569</v>
      </c>
      <c r="AH3" s="49"/>
      <c r="AI3" s="110">
        <f>COUNTIF($B:$B,"FT 0-0 B")</f>
        <v>423</v>
      </c>
      <c r="AJ3" s="94">
        <f>COUNTIFS($B:$B, "FT 0-0 B",S:S,"0")</f>
        <v>109</v>
      </c>
      <c r="AK3" s="102">
        <f>COUNTIFS($B:$B, "FT 0-0 B",U:U,"0")</f>
        <v>68</v>
      </c>
      <c r="AL3" s="116">
        <f>COUNTIFS($B:$B, "FT 0-0 B",S:S,"0",T:T,"0")</f>
        <v>14</v>
      </c>
      <c r="AM3" s="123">
        <f>COUNTIFS($B:$B, "FT 0-0 B",N:N,"WON")</f>
        <v>409</v>
      </c>
      <c r="AN3" s="124">
        <f>AM3/AI3</f>
        <v>0.96690307328605196</v>
      </c>
      <c r="AO3" s="99">
        <f t="shared" ref="AO3:AO22" si="9">AJ3/AI3</f>
        <v>0.25768321513002362</v>
      </c>
      <c r="AP3" s="107">
        <f t="shared" ref="AP3:AP22" si="10">AK3/AI3</f>
        <v>0.16075650118203311</v>
      </c>
      <c r="AQ3" s="133">
        <f t="shared" ref="AQ3:AQ22" si="11">AL3/AI3</f>
        <v>3.309692671394799E-2</v>
      </c>
      <c r="AR3" s="141" t="e">
        <f>#REF!</f>
        <v>#REF!</v>
      </c>
      <c r="AS3" s="142" t="e">
        <f>AR3/AI3</f>
        <v>#REF!</v>
      </c>
    </row>
    <row r="4" spans="1:45">
      <c r="A4" t="s">
        <v>930</v>
      </c>
      <c r="B4" s="163" t="s">
        <v>43</v>
      </c>
      <c r="C4" s="2" t="s">
        <v>20</v>
      </c>
      <c r="D4" s="2" t="s">
        <v>21</v>
      </c>
      <c r="E4" s="3">
        <v>45383.708333333336</v>
      </c>
      <c r="F4" s="2" t="s">
        <v>98</v>
      </c>
      <c r="G4" s="2" t="s">
        <v>380</v>
      </c>
      <c r="H4" s="2">
        <v>70</v>
      </c>
      <c r="I4" s="2">
        <v>79</v>
      </c>
      <c r="J4" s="2">
        <v>62</v>
      </c>
      <c r="K4" s="2">
        <v>1.8</v>
      </c>
      <c r="L4" s="2">
        <v>1.48</v>
      </c>
      <c r="M4" s="11"/>
      <c r="N4" s="2" t="s">
        <v>96</v>
      </c>
      <c r="O4" s="14">
        <v>0</v>
      </c>
      <c r="P4" s="14">
        <v>0</v>
      </c>
      <c r="Q4" s="183">
        <v>0</v>
      </c>
      <c r="R4" s="181">
        <v>0</v>
      </c>
      <c r="S4" s="178">
        <f t="shared" si="0"/>
        <v>0</v>
      </c>
      <c r="T4" s="186">
        <f t="shared" si="1"/>
        <v>0</v>
      </c>
      <c r="U4" s="179">
        <f t="shared" si="2"/>
        <v>0</v>
      </c>
      <c r="V4" s="1">
        <f t="shared" si="5"/>
        <v>25</v>
      </c>
      <c r="W4" s="8">
        <f t="shared" si="3"/>
        <v>-25</v>
      </c>
      <c r="X4" s="15">
        <f t="shared" si="4"/>
        <v>425</v>
      </c>
      <c r="Y4" s="57" t="s">
        <v>10</v>
      </c>
      <c r="Z4" s="67">
        <f t="shared" ref="Z4:Z22" si="12">AC4/AI4</f>
        <v>1.4692737430167597</v>
      </c>
      <c r="AA4" s="61">
        <f t="shared" ref="AA4:AA22" si="13">AD4/AI4</f>
        <v>1.994413407821229</v>
      </c>
      <c r="AB4" s="83">
        <f t="shared" ref="AB4:AB22" si="14">AE4/AI4</f>
        <v>3.4636871508379889</v>
      </c>
      <c r="AC4" s="75">
        <f>SUMIF($B:$B,"*BACK H2 GOALS",S:S)</f>
        <v>263</v>
      </c>
      <c r="AD4" s="50">
        <f>SUMIF($B:$B,"*BACK H2 GOALS",U:U)</f>
        <v>357</v>
      </c>
      <c r="AE4" s="88">
        <f t="shared" si="6"/>
        <v>620</v>
      </c>
      <c r="AF4" s="79">
        <f t="shared" si="7"/>
        <v>0.42419354838709677</v>
      </c>
      <c r="AG4" s="51">
        <f t="shared" si="8"/>
        <v>0.57580645161290323</v>
      </c>
      <c r="AH4" s="51"/>
      <c r="AI4" s="111">
        <f>COUNTIF($B:$B,"*BACK H2 GOALS")</f>
        <v>179</v>
      </c>
      <c r="AJ4" s="95">
        <f>COUNTIFS($B:$B, "*BACK H2 GOALS",S:S,"0")</f>
        <v>38</v>
      </c>
      <c r="AK4" s="103">
        <f>COUNTIFS($B:$B, "*BACK H2 GOALS",U:U,"0")</f>
        <v>11</v>
      </c>
      <c r="AL4" s="117">
        <f>COUNTIFS($B:$B, "*BACK H2 GOALS",S:S,"0",T:T, "0")</f>
        <v>3</v>
      </c>
      <c r="AM4" s="125">
        <f>COUNTIFS($B:$B, "*BACK H2 GOALS",N:N, "WON")</f>
        <v>167</v>
      </c>
      <c r="AN4" s="124">
        <f t="shared" ref="AN4:AN22" si="15">AM4/AI4</f>
        <v>0.93296089385474856</v>
      </c>
      <c r="AO4" s="100">
        <f t="shared" si="9"/>
        <v>0.21229050279329609</v>
      </c>
      <c r="AP4" s="108">
        <f t="shared" si="10"/>
        <v>6.1452513966480445E-2</v>
      </c>
      <c r="AQ4" s="134">
        <f t="shared" si="11"/>
        <v>1.6759776536312849E-2</v>
      </c>
      <c r="AR4" s="141" t="e">
        <f>#REF!</f>
        <v>#REF!</v>
      </c>
      <c r="AS4" s="142" t="e">
        <f>AR4/AI4</f>
        <v>#REF!</v>
      </c>
    </row>
    <row r="5" spans="1:45">
      <c r="A5" t="s">
        <v>930</v>
      </c>
      <c r="B5" s="163" t="s">
        <v>726</v>
      </c>
      <c r="C5" s="2" t="s">
        <v>6</v>
      </c>
      <c r="D5" s="2" t="s">
        <v>62</v>
      </c>
      <c r="E5" s="3">
        <v>45416.625</v>
      </c>
      <c r="F5" s="2" t="s">
        <v>63</v>
      </c>
      <c r="G5" s="2" t="s">
        <v>115</v>
      </c>
      <c r="H5" s="2">
        <v>90</v>
      </c>
      <c r="I5" s="2">
        <v>20</v>
      </c>
      <c r="J5" s="2">
        <v>2.35</v>
      </c>
      <c r="K5" s="2">
        <v>58</v>
      </c>
      <c r="L5" s="2"/>
      <c r="M5" s="11"/>
      <c r="N5" s="2" t="s">
        <v>96</v>
      </c>
      <c r="O5" s="14">
        <v>0</v>
      </c>
      <c r="P5" s="14">
        <v>0</v>
      </c>
      <c r="Q5" s="183">
        <v>0</v>
      </c>
      <c r="R5" s="181">
        <v>0</v>
      </c>
      <c r="S5" s="178">
        <f t="shared" si="0"/>
        <v>0</v>
      </c>
      <c r="T5" s="186">
        <f t="shared" si="1"/>
        <v>0</v>
      </c>
      <c r="U5" s="179">
        <f t="shared" si="2"/>
        <v>0</v>
      </c>
      <c r="V5" s="1">
        <f t="shared" si="5"/>
        <v>25</v>
      </c>
      <c r="W5" s="8">
        <f t="shared" si="3"/>
        <v>-25</v>
      </c>
      <c r="X5" s="15">
        <f t="shared" si="4"/>
        <v>400</v>
      </c>
      <c r="Y5" s="57" t="s">
        <v>432</v>
      </c>
      <c r="Z5" s="67">
        <f t="shared" si="12"/>
        <v>1.6625000000000001</v>
      </c>
      <c r="AA5" s="61">
        <f t="shared" si="13"/>
        <v>1.7124999999999999</v>
      </c>
      <c r="AB5" s="83">
        <f t="shared" si="14"/>
        <v>3.375</v>
      </c>
      <c r="AC5" s="75">
        <f>SUMIF($B:$B,"LAY 0-0 1ST HALF",S:S)</f>
        <v>133</v>
      </c>
      <c r="AD5" s="50">
        <f>SUMIF($B:$B,"LAY 0-0 1ST HALF",U:U)</f>
        <v>137</v>
      </c>
      <c r="AE5" s="88">
        <f t="shared" si="6"/>
        <v>270</v>
      </c>
      <c r="AF5" s="79">
        <f t="shared" si="7"/>
        <v>0.49259259259259258</v>
      </c>
      <c r="AG5" s="51">
        <f t="shared" si="8"/>
        <v>0.50740740740740742</v>
      </c>
      <c r="AH5" s="51"/>
      <c r="AI5" s="111">
        <f>COUNTIF($B:$B,"LAY 0-0 1ST HALF")</f>
        <v>80</v>
      </c>
      <c r="AJ5" s="95">
        <f>COUNTIFS($B:$B, "LAY 0-0 1ST HALF",S:S,"0")</f>
        <v>6</v>
      </c>
      <c r="AK5" s="103">
        <f>COUNTIFS($B:$B, "LAY 0-0 1ST HALF",U:U,"0")</f>
        <v>16</v>
      </c>
      <c r="AL5" s="117">
        <f>COUNTIFS($B:$B, "LAY 0-0 1ST HALF",S:S,"0",T:T,"0")</f>
        <v>1</v>
      </c>
      <c r="AM5" s="125">
        <f>COUNTIFS($B:$B, "LAY 0-0 1ST HALF",N:N, "WON")</f>
        <v>74</v>
      </c>
      <c r="AN5" s="124">
        <f t="shared" si="15"/>
        <v>0.92500000000000004</v>
      </c>
      <c r="AO5" s="100">
        <f t="shared" si="9"/>
        <v>7.4999999999999997E-2</v>
      </c>
      <c r="AP5" s="108">
        <f t="shared" si="10"/>
        <v>0.2</v>
      </c>
      <c r="AQ5" s="134">
        <f t="shared" si="11"/>
        <v>1.2500000000000001E-2</v>
      </c>
      <c r="AR5" s="141" t="e">
        <f>#REF!</f>
        <v>#REF!</v>
      </c>
      <c r="AS5" s="142" t="e">
        <f t="shared" ref="AS5:AS22" si="16">AR5/AI5</f>
        <v>#REF!</v>
      </c>
    </row>
    <row r="6" spans="1:45">
      <c r="A6" t="s">
        <v>930</v>
      </c>
      <c r="B6" s="163" t="s">
        <v>726</v>
      </c>
      <c r="C6" s="2" t="s">
        <v>149</v>
      </c>
      <c r="D6" s="2" t="s">
        <v>153</v>
      </c>
      <c r="E6" s="3">
        <v>45431.5625</v>
      </c>
      <c r="F6" s="2" t="s">
        <v>155</v>
      </c>
      <c r="G6" s="2" t="s">
        <v>249</v>
      </c>
      <c r="H6" s="2">
        <v>95</v>
      </c>
      <c r="I6" s="2">
        <v>20</v>
      </c>
      <c r="J6" s="2">
        <v>2.0499999999999998</v>
      </c>
      <c r="K6" s="2">
        <v>62</v>
      </c>
      <c r="L6" s="2"/>
      <c r="M6" s="11"/>
      <c r="N6" s="2" t="s">
        <v>96</v>
      </c>
      <c r="O6" s="14">
        <v>0</v>
      </c>
      <c r="P6" s="14">
        <v>0</v>
      </c>
      <c r="Q6" s="183">
        <v>0</v>
      </c>
      <c r="R6" s="181">
        <v>0</v>
      </c>
      <c r="S6" s="178">
        <f t="shared" si="0"/>
        <v>0</v>
      </c>
      <c r="T6" s="186">
        <f t="shared" si="1"/>
        <v>0</v>
      </c>
      <c r="U6" s="179">
        <f t="shared" si="2"/>
        <v>0</v>
      </c>
      <c r="V6" s="1">
        <f t="shared" si="5"/>
        <v>25</v>
      </c>
      <c r="W6" s="8">
        <f t="shared" si="3"/>
        <v>-25</v>
      </c>
      <c r="X6" s="15">
        <f t="shared" si="4"/>
        <v>375</v>
      </c>
      <c r="Y6" s="57" t="s">
        <v>43</v>
      </c>
      <c r="Z6" s="67">
        <f t="shared" si="12"/>
        <v>1.4054054054054055</v>
      </c>
      <c r="AA6" s="61">
        <f t="shared" si="13"/>
        <v>1.9864864864864864</v>
      </c>
      <c r="AB6" s="83">
        <f t="shared" si="14"/>
        <v>3.3918918918918921</v>
      </c>
      <c r="AC6" s="75">
        <f>SUMIF($B:$B,"*H2 V H1 GOALS",S:S)</f>
        <v>104</v>
      </c>
      <c r="AD6" s="50">
        <f>SUMIF($B:$B,"*H2 V H1 GOALS",U:U)</f>
        <v>147</v>
      </c>
      <c r="AE6" s="88">
        <f t="shared" si="6"/>
        <v>251</v>
      </c>
      <c r="AF6" s="79">
        <f t="shared" si="7"/>
        <v>0.41434262948207173</v>
      </c>
      <c r="AG6" s="51">
        <f t="shared" si="8"/>
        <v>0.58565737051792832</v>
      </c>
      <c r="AH6" s="51"/>
      <c r="AI6" s="111">
        <f>COUNTIF($B:$B,"*H2 V H1 GOALS")</f>
        <v>74</v>
      </c>
      <c r="AJ6" s="95">
        <f>COUNTIFS($B:$B, "*H2 V H1 GOALS",S:S,"0")</f>
        <v>16</v>
      </c>
      <c r="AK6" s="103">
        <f>COUNTIFS($B:$B, "*H2 V H1 GOALS",U:U,"0")</f>
        <v>4</v>
      </c>
      <c r="AL6" s="117">
        <f>COUNTIFS($B:$B, "*H2 V H1 GOALS",S:S,"0",T:T,"0")</f>
        <v>1</v>
      </c>
      <c r="AM6" s="125">
        <f>COUNTIFS($B:$B, "*H2 V H1 GOALS",N:N, "WON")</f>
        <v>71</v>
      </c>
      <c r="AN6" s="124">
        <f t="shared" si="15"/>
        <v>0.95945945945945943</v>
      </c>
      <c r="AO6" s="100">
        <f t="shared" si="9"/>
        <v>0.21621621621621623</v>
      </c>
      <c r="AP6" s="108">
        <f t="shared" si="10"/>
        <v>5.4054054054054057E-2</v>
      </c>
      <c r="AQ6" s="134">
        <f t="shared" si="11"/>
        <v>1.3513513513513514E-2</v>
      </c>
      <c r="AR6" s="141" t="e">
        <f>#REF!</f>
        <v>#REF!</v>
      </c>
      <c r="AS6" s="142" t="e">
        <f t="shared" si="16"/>
        <v>#REF!</v>
      </c>
    </row>
    <row r="7" spans="1:45">
      <c r="A7" t="s">
        <v>930</v>
      </c>
      <c r="B7" s="163" t="s">
        <v>10</v>
      </c>
      <c r="C7" s="2" t="s">
        <v>67</v>
      </c>
      <c r="D7" s="2" t="s">
        <v>68</v>
      </c>
      <c r="E7" s="3">
        <v>45319.625</v>
      </c>
      <c r="F7" s="2" t="s">
        <v>88</v>
      </c>
      <c r="G7" s="2" t="s">
        <v>371</v>
      </c>
      <c r="H7" s="2">
        <v>1.9</v>
      </c>
      <c r="I7" s="2">
        <v>90</v>
      </c>
      <c r="J7" s="2">
        <v>65</v>
      </c>
      <c r="K7" s="2">
        <v>25</v>
      </c>
      <c r="L7" s="2">
        <v>66</v>
      </c>
      <c r="M7" s="11">
        <v>20</v>
      </c>
      <c r="N7" s="2" t="s">
        <v>96</v>
      </c>
      <c r="O7" s="14">
        <v>1</v>
      </c>
      <c r="P7" s="13">
        <v>0</v>
      </c>
      <c r="Q7" s="183">
        <v>1</v>
      </c>
      <c r="R7" s="181">
        <v>0</v>
      </c>
      <c r="S7" s="178">
        <f t="shared" si="0"/>
        <v>1</v>
      </c>
      <c r="T7" s="186">
        <f t="shared" si="1"/>
        <v>1</v>
      </c>
      <c r="U7" s="179">
        <f t="shared" si="2"/>
        <v>0</v>
      </c>
      <c r="V7" s="1">
        <f t="shared" si="5"/>
        <v>25</v>
      </c>
      <c r="W7" s="8">
        <f t="shared" si="3"/>
        <v>-25</v>
      </c>
      <c r="X7" s="15">
        <f t="shared" si="4"/>
        <v>350</v>
      </c>
      <c r="Y7" s="57" t="s">
        <v>514</v>
      </c>
      <c r="Z7" s="67">
        <f t="shared" si="12"/>
        <v>0</v>
      </c>
      <c r="AA7" s="61">
        <f t="shared" si="13"/>
        <v>1.9473684210526316</v>
      </c>
      <c r="AB7" s="83">
        <f t="shared" si="14"/>
        <v>1.9473684210526316</v>
      </c>
      <c r="AC7" s="75">
        <f>SUMIF($B:$B,"BETFAIR ANYOTHER",S:S)</f>
        <v>0</v>
      </c>
      <c r="AD7" s="50">
        <f>SUMIF($B:$B,"BETFAIR ANYOTHER",U:U)</f>
        <v>74</v>
      </c>
      <c r="AE7" s="88">
        <f t="shared" si="6"/>
        <v>74</v>
      </c>
      <c r="AF7" s="79">
        <f t="shared" si="7"/>
        <v>0</v>
      </c>
      <c r="AG7" s="51">
        <f t="shared" si="8"/>
        <v>1</v>
      </c>
      <c r="AH7" s="51"/>
      <c r="AI7" s="111">
        <f>COUNTIF($B:$B,"BETFAIR ANYOTHER")</f>
        <v>38</v>
      </c>
      <c r="AJ7" s="95">
        <f>COUNTIFS($B:$B, "BETFAIR ANYOTHER",S:S,"0")</f>
        <v>38</v>
      </c>
      <c r="AK7" s="103">
        <f>COUNTIFS($B:$B, "BETFAIR ANYOTHER",U:U,"0")</f>
        <v>3</v>
      </c>
      <c r="AL7" s="117">
        <f>COUNTIFS($B:$B, "BETFAIR ANYOTHER",S:S,"0",T:T,"0")</f>
        <v>3</v>
      </c>
      <c r="AM7" s="125">
        <f>COUNTIFS($B:$B, "BETFAIR ANYOTHER",N:N, "WON")</f>
        <v>35</v>
      </c>
      <c r="AN7" s="124">
        <f t="shared" si="15"/>
        <v>0.92105263157894735</v>
      </c>
      <c r="AO7" s="100">
        <f t="shared" si="9"/>
        <v>1</v>
      </c>
      <c r="AP7" s="108">
        <f t="shared" si="10"/>
        <v>7.8947368421052627E-2</v>
      </c>
      <c r="AQ7" s="134">
        <f t="shared" si="11"/>
        <v>7.8947368421052627E-2</v>
      </c>
      <c r="AR7" s="141" t="e">
        <f>#REF!</f>
        <v>#REF!</v>
      </c>
      <c r="AS7" s="142" t="e">
        <f t="shared" si="16"/>
        <v>#REF!</v>
      </c>
    </row>
    <row r="8" spans="1:45">
      <c r="A8" t="s">
        <v>930</v>
      </c>
      <c r="B8" s="163" t="s">
        <v>10</v>
      </c>
      <c r="C8" s="2" t="s">
        <v>77</v>
      </c>
      <c r="D8" s="2" t="s">
        <v>251</v>
      </c>
      <c r="E8" s="3">
        <v>45347.770833333336</v>
      </c>
      <c r="F8" s="2" t="s">
        <v>467</v>
      </c>
      <c r="G8" s="2" t="s">
        <v>259</v>
      </c>
      <c r="H8" s="2">
        <v>2.0499999999999998</v>
      </c>
      <c r="I8" s="2">
        <v>85</v>
      </c>
      <c r="J8" s="2">
        <v>70</v>
      </c>
      <c r="K8" s="2">
        <v>35</v>
      </c>
      <c r="L8" s="2">
        <v>62</v>
      </c>
      <c r="M8" s="11">
        <v>20</v>
      </c>
      <c r="N8" s="2" t="s">
        <v>96</v>
      </c>
      <c r="O8" s="14">
        <v>1</v>
      </c>
      <c r="P8" s="14">
        <v>0</v>
      </c>
      <c r="Q8" s="183">
        <v>1</v>
      </c>
      <c r="R8" s="181">
        <v>0</v>
      </c>
      <c r="S8" s="178">
        <f t="shared" si="0"/>
        <v>1</v>
      </c>
      <c r="T8" s="186">
        <f t="shared" si="1"/>
        <v>1</v>
      </c>
      <c r="U8" s="179">
        <f t="shared" si="2"/>
        <v>0</v>
      </c>
      <c r="V8" s="1">
        <f t="shared" si="5"/>
        <v>25</v>
      </c>
      <c r="W8" s="8">
        <f t="shared" si="3"/>
        <v>-25</v>
      </c>
      <c r="X8" s="15">
        <f t="shared" si="4"/>
        <v>325</v>
      </c>
      <c r="Y8" s="57" t="s">
        <v>512</v>
      </c>
      <c r="Z8" s="67">
        <f t="shared" si="12"/>
        <v>1.5299539170506913</v>
      </c>
      <c r="AA8" s="61">
        <f t="shared" si="13"/>
        <v>1.8940092165898617</v>
      </c>
      <c r="AB8" s="83">
        <f t="shared" si="14"/>
        <v>3.4239631336405529</v>
      </c>
      <c r="AC8" s="75">
        <f>SUMIF($B:$B,"AOSHOME",S:S)</f>
        <v>332</v>
      </c>
      <c r="AD8" s="50">
        <f>SUMIF($B:$B,"AOSHOME",U:U)</f>
        <v>411</v>
      </c>
      <c r="AE8" s="88">
        <f t="shared" si="6"/>
        <v>743</v>
      </c>
      <c r="AF8" s="79">
        <f t="shared" si="7"/>
        <v>0.4468371467025572</v>
      </c>
      <c r="AG8" s="51">
        <f t="shared" si="8"/>
        <v>0.55316285329744275</v>
      </c>
      <c r="AH8" s="51"/>
      <c r="AI8" s="111">
        <f>COUNTIF($B:$B,"AOSHOME")</f>
        <v>217</v>
      </c>
      <c r="AJ8" s="95">
        <f>COUNTIFS($B:$B, "AOSHOME",S:S,"0")</f>
        <v>40</v>
      </c>
      <c r="AK8" s="103">
        <f>COUNTIFS($B:$B, "AOSHOME",U:U,"0")</f>
        <v>31</v>
      </c>
      <c r="AL8" s="117">
        <f>COUNTIFS($B:$B, "AOSHOME",S:S,"0",T:T,"0")</f>
        <v>5</v>
      </c>
      <c r="AM8" s="125">
        <f>COUNTIFS($B:$B, "AOSHOME",N:N, "WON")</f>
        <v>212</v>
      </c>
      <c r="AN8" s="124">
        <f t="shared" si="15"/>
        <v>0.97695852534562211</v>
      </c>
      <c r="AO8" s="100">
        <f t="shared" si="9"/>
        <v>0.18433179723502305</v>
      </c>
      <c r="AP8" s="108">
        <f t="shared" si="10"/>
        <v>0.14285714285714285</v>
      </c>
      <c r="AQ8" s="134">
        <f t="shared" si="11"/>
        <v>2.3041474654377881E-2</v>
      </c>
      <c r="AR8" s="141" t="e">
        <f>#REF!</f>
        <v>#REF!</v>
      </c>
      <c r="AS8" s="142" t="e">
        <f t="shared" si="16"/>
        <v>#REF!</v>
      </c>
    </row>
    <row r="9" spans="1:45">
      <c r="A9" t="s">
        <v>930</v>
      </c>
      <c r="B9" s="163" t="s">
        <v>10</v>
      </c>
      <c r="C9" s="2" t="s">
        <v>67</v>
      </c>
      <c r="D9" s="2" t="s">
        <v>68</v>
      </c>
      <c r="E9" s="3">
        <v>45361.760416666664</v>
      </c>
      <c r="F9" s="2" t="s">
        <v>88</v>
      </c>
      <c r="G9" s="2" t="s">
        <v>342</v>
      </c>
      <c r="H9" s="2">
        <v>1.85</v>
      </c>
      <c r="I9" s="2">
        <v>90</v>
      </c>
      <c r="J9" s="2">
        <v>65</v>
      </c>
      <c r="K9" s="2">
        <v>25</v>
      </c>
      <c r="L9" s="2">
        <v>64</v>
      </c>
      <c r="M9" s="11">
        <v>20</v>
      </c>
      <c r="N9" s="2" t="s">
        <v>96</v>
      </c>
      <c r="O9" s="14">
        <v>1</v>
      </c>
      <c r="P9" s="14">
        <v>0</v>
      </c>
      <c r="Q9" s="183">
        <v>1</v>
      </c>
      <c r="R9" s="181">
        <v>0</v>
      </c>
      <c r="S9" s="178">
        <f t="shared" si="0"/>
        <v>1</v>
      </c>
      <c r="T9" s="186">
        <f t="shared" si="1"/>
        <v>1</v>
      </c>
      <c r="U9" s="179">
        <f t="shared" si="2"/>
        <v>0</v>
      </c>
      <c r="V9" s="1">
        <f t="shared" si="5"/>
        <v>25</v>
      </c>
      <c r="W9" s="8">
        <f t="shared" si="3"/>
        <v>-25</v>
      </c>
      <c r="X9" s="15">
        <f t="shared" si="4"/>
        <v>300</v>
      </c>
      <c r="Y9" s="57" t="s">
        <v>656</v>
      </c>
      <c r="Z9" s="67">
        <f t="shared" si="12"/>
        <v>1.5194805194805194</v>
      </c>
      <c r="AA9" s="61">
        <f t="shared" si="13"/>
        <v>1.7532467532467533</v>
      </c>
      <c r="AB9" s="83">
        <f t="shared" si="14"/>
        <v>3.2727272727272729</v>
      </c>
      <c r="AC9" s="75">
        <f>SUMIF($B:$B,"* PHF HOME",S:S)</f>
        <v>117</v>
      </c>
      <c r="AD9" s="50">
        <f>SUMIF($B:$B,"* PHF HOME",U:U)</f>
        <v>135</v>
      </c>
      <c r="AE9" s="88">
        <f t="shared" si="6"/>
        <v>252</v>
      </c>
      <c r="AF9" s="79">
        <f t="shared" si="7"/>
        <v>0.4642857142857143</v>
      </c>
      <c r="AG9" s="51">
        <f t="shared" si="8"/>
        <v>0.5357142857142857</v>
      </c>
      <c r="AH9" s="51"/>
      <c r="AI9" s="111">
        <f>COUNTIF($B:$B,"* PHF HOME")</f>
        <v>77</v>
      </c>
      <c r="AJ9" s="95">
        <f>COUNTIFS($B:$B, "* PHF HOME",S:S,"0")</f>
        <v>15</v>
      </c>
      <c r="AK9" s="103">
        <f>COUNTIFS($B:$B, "* PHF HOME",U:U,"0")</f>
        <v>11</v>
      </c>
      <c r="AL9" s="117">
        <f>COUNTIFS($B:$B, "* PHF HOME",S:S,"0",T:T,"0")</f>
        <v>2</v>
      </c>
      <c r="AM9" s="125">
        <f>COUNTIFS($B:$B, "* PHF HOME",N:N, "WON")</f>
        <v>74</v>
      </c>
      <c r="AN9" s="124">
        <f t="shared" si="15"/>
        <v>0.96103896103896103</v>
      </c>
      <c r="AO9" s="100">
        <f t="shared" si="9"/>
        <v>0.19480519480519481</v>
      </c>
      <c r="AP9" s="108">
        <f t="shared" si="10"/>
        <v>0.14285714285714285</v>
      </c>
      <c r="AQ9" s="134">
        <f t="shared" si="11"/>
        <v>2.5974025974025976E-2</v>
      </c>
      <c r="AR9" s="141" t="e">
        <f>#REF!</f>
        <v>#REF!</v>
      </c>
      <c r="AS9" s="142" t="e">
        <f t="shared" si="16"/>
        <v>#REF!</v>
      </c>
    </row>
    <row r="10" spans="1:45">
      <c r="A10" t="s">
        <v>930</v>
      </c>
      <c r="B10" s="163" t="s">
        <v>10</v>
      </c>
      <c r="C10" s="2" t="s">
        <v>20</v>
      </c>
      <c r="D10" s="2" t="s">
        <v>21</v>
      </c>
      <c r="E10" s="3">
        <v>45367.708333333336</v>
      </c>
      <c r="F10" s="2" t="s">
        <v>110</v>
      </c>
      <c r="G10" s="2" t="s">
        <v>98</v>
      </c>
      <c r="H10" s="2">
        <v>1.9</v>
      </c>
      <c r="I10" s="2">
        <v>100</v>
      </c>
      <c r="J10" s="2">
        <v>65</v>
      </c>
      <c r="K10" s="2">
        <v>20</v>
      </c>
      <c r="L10" s="2">
        <v>65</v>
      </c>
      <c r="M10" s="11">
        <v>20</v>
      </c>
      <c r="N10" s="2" t="s">
        <v>96</v>
      </c>
      <c r="O10" s="14">
        <v>0</v>
      </c>
      <c r="P10" s="14">
        <v>1</v>
      </c>
      <c r="Q10" s="183">
        <v>0</v>
      </c>
      <c r="R10" s="181">
        <v>1</v>
      </c>
      <c r="S10" s="178">
        <f t="shared" si="0"/>
        <v>1</v>
      </c>
      <c r="T10" s="186">
        <f t="shared" si="1"/>
        <v>1</v>
      </c>
      <c r="U10" s="179">
        <f t="shared" si="2"/>
        <v>0</v>
      </c>
      <c r="V10" s="1">
        <f t="shared" si="5"/>
        <v>25</v>
      </c>
      <c r="W10" s="8">
        <f t="shared" si="3"/>
        <v>-25</v>
      </c>
      <c r="X10" s="15">
        <f t="shared" si="4"/>
        <v>275</v>
      </c>
      <c r="Y10" s="57" t="s">
        <v>448</v>
      </c>
      <c r="Z10" s="67">
        <f t="shared" si="12"/>
        <v>1.6923076923076923</v>
      </c>
      <c r="AA10" s="61">
        <f t="shared" si="13"/>
        <v>1.9615384615384615</v>
      </c>
      <c r="AB10" s="83">
        <f t="shared" si="14"/>
        <v>3.6538461538461537</v>
      </c>
      <c r="AC10" s="75">
        <f>SUMIF($B:$B,"LAY 0-0 1ST HALF B",S:S)</f>
        <v>88</v>
      </c>
      <c r="AD10" s="50">
        <f>SUMIF($B:$B,"LAY 0-0 1ST HALF B",U:U)</f>
        <v>102</v>
      </c>
      <c r="AE10" s="88">
        <f t="shared" si="6"/>
        <v>190</v>
      </c>
      <c r="AF10" s="79">
        <f t="shared" si="7"/>
        <v>0.4631578947368421</v>
      </c>
      <c r="AG10" s="51">
        <f t="shared" si="8"/>
        <v>0.5368421052631579</v>
      </c>
      <c r="AH10" s="51"/>
      <c r="AI10" s="111">
        <f>COUNTIF($B:$B,"LAY 0-0 1ST HALF B")</f>
        <v>52</v>
      </c>
      <c r="AJ10" s="95">
        <f>COUNTIFS($B:$B, "LAY 0-0 1ST HALF B",S:S,"0")</f>
        <v>3</v>
      </c>
      <c r="AK10" s="103">
        <f>COUNTIFS($B:$B, "LAY 0-0 1ST HALF B",U:U,"0")</f>
        <v>5</v>
      </c>
      <c r="AL10" s="117">
        <f>COUNTIFS($B:$B, "LAY 0-0 1ST HALF B",S:S,"0",T:T,"0")</f>
        <v>0</v>
      </c>
      <c r="AM10" s="125">
        <f>COUNTIFS($B:$B, "LAY 0-0 1ST HALF B",N:N, "WON")</f>
        <v>51</v>
      </c>
      <c r="AN10" s="124">
        <f t="shared" si="15"/>
        <v>0.98076923076923073</v>
      </c>
      <c r="AO10" s="100">
        <f t="shared" si="9"/>
        <v>5.7692307692307696E-2</v>
      </c>
      <c r="AP10" s="108">
        <f t="shared" si="10"/>
        <v>9.6153846153846159E-2</v>
      </c>
      <c r="AQ10" s="134">
        <f t="shared" si="11"/>
        <v>0</v>
      </c>
      <c r="AR10" s="141" t="e">
        <f>#REF!</f>
        <v>#REF!</v>
      </c>
      <c r="AS10" s="142" t="e">
        <f t="shared" si="16"/>
        <v>#REF!</v>
      </c>
    </row>
    <row r="11" spans="1:45">
      <c r="A11" t="s">
        <v>930</v>
      </c>
      <c r="B11" s="163" t="s">
        <v>43</v>
      </c>
      <c r="C11" s="2" t="s">
        <v>20</v>
      </c>
      <c r="D11" s="2" t="s">
        <v>21</v>
      </c>
      <c r="E11" s="3">
        <v>45367.708333333336</v>
      </c>
      <c r="F11" s="2" t="s">
        <v>110</v>
      </c>
      <c r="G11" s="2" t="s">
        <v>98</v>
      </c>
      <c r="H11" s="2">
        <v>73</v>
      </c>
      <c r="I11" s="2">
        <v>67</v>
      </c>
      <c r="J11" s="2">
        <v>65</v>
      </c>
      <c r="K11" s="2">
        <v>1.9</v>
      </c>
      <c r="L11" s="2">
        <v>1.5</v>
      </c>
      <c r="M11" s="11"/>
      <c r="N11" s="2" t="s">
        <v>96</v>
      </c>
      <c r="O11" s="14">
        <v>0</v>
      </c>
      <c r="P11" s="14">
        <v>1</v>
      </c>
      <c r="Q11" s="183">
        <v>0</v>
      </c>
      <c r="R11" s="181">
        <v>1</v>
      </c>
      <c r="S11" s="178">
        <f t="shared" si="0"/>
        <v>1</v>
      </c>
      <c r="T11" s="186">
        <f t="shared" si="1"/>
        <v>1</v>
      </c>
      <c r="U11" s="179">
        <f t="shared" si="2"/>
        <v>0</v>
      </c>
      <c r="V11" s="1">
        <f t="shared" si="5"/>
        <v>25</v>
      </c>
      <c r="W11" s="8">
        <f t="shared" si="3"/>
        <v>-25</v>
      </c>
      <c r="X11" s="15">
        <f t="shared" si="4"/>
        <v>250</v>
      </c>
      <c r="Y11" s="57" t="s">
        <v>35</v>
      </c>
      <c r="Z11" s="67">
        <f t="shared" si="12"/>
        <v>1.4054054054054055</v>
      </c>
      <c r="AA11" s="61">
        <f t="shared" si="13"/>
        <v>2.1081081081081079</v>
      </c>
      <c r="AB11" s="83">
        <f t="shared" si="14"/>
        <v>3.5135135135135136</v>
      </c>
      <c r="AC11" s="75">
        <f>SUMIF($B:$B,"*H2 GOALS &amp; OVER 0.5",S:S)</f>
        <v>52</v>
      </c>
      <c r="AD11" s="50">
        <f>SUMIF($B:$B,"*H2 GOALS &amp; OVER 0.5",U:U)</f>
        <v>78</v>
      </c>
      <c r="AE11" s="88">
        <f t="shared" si="6"/>
        <v>130</v>
      </c>
      <c r="AF11" s="79">
        <f t="shared" si="7"/>
        <v>0.4</v>
      </c>
      <c r="AG11" s="51">
        <f t="shared" si="8"/>
        <v>0.6</v>
      </c>
      <c r="AH11" s="51"/>
      <c r="AI11" s="111">
        <f>COUNTIF($B:$B,"*H2 GOALS &amp; OVER 0.5")</f>
        <v>37</v>
      </c>
      <c r="AJ11" s="95">
        <f>COUNTIFS($B:$B, "*H2 GOALS &amp; OVER 0.5",S:S,"0")</f>
        <v>9</v>
      </c>
      <c r="AK11" s="103">
        <f>COUNTIFS($B:$B, "*H2 GOALS &amp; OVER 0.5",U:U,"0")</f>
        <v>0</v>
      </c>
      <c r="AL11" s="117">
        <f>COUNTIFS($B:$B,"*H2 GOALS &amp; OVER 0.5",S:S,"0",T:T,"0")</f>
        <v>0</v>
      </c>
      <c r="AM11" s="125">
        <f>COUNTIFS($B:$B, "*H2 GOALS &amp; OVER 0.5",N:N, "WON")</f>
        <v>37</v>
      </c>
      <c r="AN11" s="124">
        <f t="shared" si="15"/>
        <v>1</v>
      </c>
      <c r="AO11" s="100">
        <f t="shared" si="9"/>
        <v>0.24324324324324326</v>
      </c>
      <c r="AP11" s="108">
        <f t="shared" si="10"/>
        <v>0</v>
      </c>
      <c r="AQ11" s="134">
        <f t="shared" si="11"/>
        <v>0</v>
      </c>
      <c r="AR11" s="141" t="e">
        <f>#REF!</f>
        <v>#REF!</v>
      </c>
      <c r="AS11" s="142" t="e">
        <f t="shared" si="16"/>
        <v>#REF!</v>
      </c>
    </row>
    <row r="12" spans="1:45">
      <c r="A12" t="s">
        <v>930</v>
      </c>
      <c r="B12" s="163" t="s">
        <v>43</v>
      </c>
      <c r="C12" s="2" t="s">
        <v>119</v>
      </c>
      <c r="D12" s="2" t="s">
        <v>166</v>
      </c>
      <c r="E12" s="3">
        <v>45424.729166666664</v>
      </c>
      <c r="F12" s="2" t="s">
        <v>238</v>
      </c>
      <c r="G12" s="2" t="s">
        <v>326</v>
      </c>
      <c r="H12" s="2">
        <v>75</v>
      </c>
      <c r="I12" s="2">
        <v>80</v>
      </c>
      <c r="J12" s="2">
        <v>64</v>
      </c>
      <c r="K12" s="2">
        <v>1.45</v>
      </c>
      <c r="L12" s="2">
        <v>1.17</v>
      </c>
      <c r="M12" s="11"/>
      <c r="N12" s="2" t="s">
        <v>96</v>
      </c>
      <c r="O12" s="14">
        <v>1</v>
      </c>
      <c r="P12" s="14">
        <v>0</v>
      </c>
      <c r="Q12" s="183">
        <v>1</v>
      </c>
      <c r="R12" s="181">
        <v>0</v>
      </c>
      <c r="S12" s="178">
        <f t="shared" si="0"/>
        <v>1</v>
      </c>
      <c r="T12" s="186">
        <f t="shared" si="1"/>
        <v>1</v>
      </c>
      <c r="U12" s="179">
        <f t="shared" si="2"/>
        <v>0</v>
      </c>
      <c r="V12" s="1">
        <f t="shared" si="5"/>
        <v>25</v>
      </c>
      <c r="W12" s="8">
        <f t="shared" si="3"/>
        <v>-25</v>
      </c>
      <c r="X12" s="15">
        <f t="shared" si="4"/>
        <v>225</v>
      </c>
      <c r="Y12" s="57" t="s">
        <v>474</v>
      </c>
      <c r="Z12" s="67">
        <f t="shared" si="12"/>
        <v>1.0327868852459017</v>
      </c>
      <c r="AA12" s="61">
        <f t="shared" si="13"/>
        <v>2.0655737704918034</v>
      </c>
      <c r="AB12" s="83">
        <f t="shared" si="14"/>
        <v>3.098360655737705</v>
      </c>
      <c r="AC12" s="75">
        <f>SUMIF($B:$B,"SPLIT30",S:S)</f>
        <v>63</v>
      </c>
      <c r="AD12" s="50">
        <f>SUMIF($B:$B,"SPLIT30",U:U)</f>
        <v>126</v>
      </c>
      <c r="AE12" s="88">
        <f t="shared" si="6"/>
        <v>189</v>
      </c>
      <c r="AF12" s="79">
        <f t="shared" si="7"/>
        <v>0.33333333333333331</v>
      </c>
      <c r="AG12" s="51">
        <f t="shared" si="8"/>
        <v>0.66666666666666663</v>
      </c>
      <c r="AH12" s="51"/>
      <c r="AI12" s="111">
        <f>COUNTIF($B:$B,"SPLIT30")</f>
        <v>61</v>
      </c>
      <c r="AJ12" s="95">
        <f>COUNTIFS($B:$B, "SPLIT30",S:S,"0")</f>
        <v>18</v>
      </c>
      <c r="AK12" s="103">
        <f>COUNTIFS($B:$B, "SPLIT30",U:U,"0")</f>
        <v>10</v>
      </c>
      <c r="AL12" s="117">
        <f>COUNTIFS($B:$B, "SPLIT30",S:S,"0",T:T,"0")</f>
        <v>0</v>
      </c>
      <c r="AM12" s="125">
        <f>COUNTIFS($B:$B, "SPLIT30",N:N, "WON")</f>
        <v>61</v>
      </c>
      <c r="AN12" s="124">
        <f t="shared" si="15"/>
        <v>1</v>
      </c>
      <c r="AO12" s="100">
        <f t="shared" si="9"/>
        <v>0.29508196721311475</v>
      </c>
      <c r="AP12" s="108">
        <f t="shared" si="10"/>
        <v>0.16393442622950818</v>
      </c>
      <c r="AQ12" s="134">
        <f t="shared" si="11"/>
        <v>0</v>
      </c>
      <c r="AR12" s="141" t="e">
        <f>#REF!</f>
        <v>#REF!</v>
      </c>
      <c r="AS12" s="142" t="e">
        <f t="shared" si="16"/>
        <v>#REF!</v>
      </c>
    </row>
    <row r="13" spans="1:45">
      <c r="A13" t="s">
        <v>930</v>
      </c>
      <c r="B13" s="163" t="s">
        <v>726</v>
      </c>
      <c r="C13" s="2" t="s">
        <v>6</v>
      </c>
      <c r="D13" s="2" t="s">
        <v>62</v>
      </c>
      <c r="E13" s="154">
        <v>45396.583333333336</v>
      </c>
      <c r="F13" s="155" t="s">
        <v>285</v>
      </c>
      <c r="G13" s="2" t="s">
        <v>66</v>
      </c>
      <c r="H13" s="2">
        <v>90</v>
      </c>
      <c r="I13" s="2">
        <v>20</v>
      </c>
      <c r="J13" s="155">
        <v>2.2000000000000002</v>
      </c>
      <c r="K13" s="155">
        <v>63</v>
      </c>
      <c r="L13" s="2"/>
      <c r="M13" s="11"/>
      <c r="N13" s="2" t="s">
        <v>96</v>
      </c>
      <c r="O13" s="14">
        <v>0</v>
      </c>
      <c r="P13" s="14">
        <v>1</v>
      </c>
      <c r="Q13" s="183">
        <v>0</v>
      </c>
      <c r="R13" s="181">
        <v>1</v>
      </c>
      <c r="S13" s="178">
        <f t="shared" si="0"/>
        <v>1</v>
      </c>
      <c r="T13" s="186">
        <f t="shared" si="1"/>
        <v>1</v>
      </c>
      <c r="U13" s="179">
        <f t="shared" si="2"/>
        <v>0</v>
      </c>
      <c r="V13" s="1">
        <f t="shared" si="5"/>
        <v>25</v>
      </c>
      <c r="W13" s="8">
        <f t="shared" si="3"/>
        <v>-25</v>
      </c>
      <c r="X13" s="15">
        <f t="shared" si="4"/>
        <v>200</v>
      </c>
      <c r="Y13" s="57" t="s">
        <v>531</v>
      </c>
      <c r="Z13" s="67">
        <f t="shared" si="12"/>
        <v>1.423913043478261</v>
      </c>
      <c r="AA13" s="61">
        <f t="shared" si="13"/>
        <v>1.8586956521739131</v>
      </c>
      <c r="AB13" s="83">
        <f t="shared" si="14"/>
        <v>3.2826086956521738</v>
      </c>
      <c r="AC13" s="75">
        <f>SUMIF($B:$B,"AOSAWAY",S:S)</f>
        <v>131</v>
      </c>
      <c r="AD13" s="50">
        <f>SUMIF($B:$B,"AOSAWAY",U:U)</f>
        <v>171</v>
      </c>
      <c r="AE13" s="88">
        <f t="shared" si="6"/>
        <v>302</v>
      </c>
      <c r="AF13" s="79">
        <f t="shared" si="7"/>
        <v>0.43377483443708609</v>
      </c>
      <c r="AG13" s="51">
        <f t="shared" si="8"/>
        <v>0.56622516556291391</v>
      </c>
      <c r="AH13" s="51"/>
      <c r="AI13" s="111">
        <f>COUNTIF($B:$B,"AOSAWAY")</f>
        <v>92</v>
      </c>
      <c r="AJ13" s="95">
        <f>COUNTIFS($B:$B, "AOSAWAY",S:S,"0")</f>
        <v>18</v>
      </c>
      <c r="AK13" s="103">
        <f>COUNTIFS($B:$B, "AOSAWAY",U:U,"0")</f>
        <v>16</v>
      </c>
      <c r="AL13" s="117">
        <f>COUNTIFS($B:$B, "AOSAWAY",S:S,"0",T:T,"0")</f>
        <v>3</v>
      </c>
      <c r="AM13" s="125">
        <f>COUNTIFS($B:$B, "AOSAWAY",N:N, "WON")</f>
        <v>89</v>
      </c>
      <c r="AN13" s="124">
        <f t="shared" si="15"/>
        <v>0.96739130434782605</v>
      </c>
      <c r="AO13" s="100">
        <f t="shared" si="9"/>
        <v>0.19565217391304349</v>
      </c>
      <c r="AP13" s="108">
        <f t="shared" si="10"/>
        <v>0.17391304347826086</v>
      </c>
      <c r="AQ13" s="134">
        <f t="shared" si="11"/>
        <v>3.2608695652173912E-2</v>
      </c>
      <c r="AR13" s="141" t="e">
        <f>#REF!</f>
        <v>#REF!</v>
      </c>
      <c r="AS13" s="142" t="e">
        <f t="shared" si="16"/>
        <v>#REF!</v>
      </c>
    </row>
    <row r="14" spans="1:45">
      <c r="A14" t="s">
        <v>930</v>
      </c>
      <c r="B14" s="163" t="s">
        <v>726</v>
      </c>
      <c r="C14" s="2" t="s">
        <v>77</v>
      </c>
      <c r="D14" s="2" t="s">
        <v>234</v>
      </c>
      <c r="E14" s="3">
        <v>45422.729166666664</v>
      </c>
      <c r="F14" s="2" t="s">
        <v>424</v>
      </c>
      <c r="G14" s="2" t="s">
        <v>247</v>
      </c>
      <c r="H14" s="2">
        <v>80</v>
      </c>
      <c r="I14" s="2">
        <v>20</v>
      </c>
      <c r="J14" s="2">
        <v>2.0499999999999998</v>
      </c>
      <c r="K14" s="2">
        <v>62</v>
      </c>
      <c r="L14" s="2"/>
      <c r="M14" s="11"/>
      <c r="N14" s="2" t="s">
        <v>96</v>
      </c>
      <c r="O14" s="14">
        <v>1</v>
      </c>
      <c r="P14" s="14">
        <v>0</v>
      </c>
      <c r="Q14" s="183">
        <v>1</v>
      </c>
      <c r="R14" s="181">
        <v>0</v>
      </c>
      <c r="S14" s="178">
        <f t="shared" si="0"/>
        <v>1</v>
      </c>
      <c r="T14" s="186">
        <f t="shared" si="1"/>
        <v>1</v>
      </c>
      <c r="U14" s="179">
        <f t="shared" si="2"/>
        <v>0</v>
      </c>
      <c r="V14" s="1">
        <f t="shared" si="5"/>
        <v>25</v>
      </c>
      <c r="W14" s="8">
        <f t="shared" si="3"/>
        <v>-25</v>
      </c>
      <c r="X14" s="15">
        <f t="shared" si="4"/>
        <v>175</v>
      </c>
      <c r="Y14" s="57" t="s">
        <v>515</v>
      </c>
      <c r="Z14" s="67">
        <f t="shared" si="12"/>
        <v>0.96610169491525422</v>
      </c>
      <c r="AA14" s="61">
        <f t="shared" si="13"/>
        <v>1.847457627118644</v>
      </c>
      <c r="AB14" s="83">
        <f t="shared" si="14"/>
        <v>2.8135593220338984</v>
      </c>
      <c r="AC14" s="75">
        <f>SUMIF($B:$B,"H2 HIGH SCORERS",S:S)</f>
        <v>57</v>
      </c>
      <c r="AD14" s="50">
        <f>SUMIF($B:$B,"H2 HIGH SCORERS",U:U)</f>
        <v>109</v>
      </c>
      <c r="AE14" s="88">
        <f t="shared" si="6"/>
        <v>166</v>
      </c>
      <c r="AF14" s="79">
        <f t="shared" si="7"/>
        <v>0.34337349397590361</v>
      </c>
      <c r="AG14" s="51">
        <f t="shared" si="8"/>
        <v>0.65662650602409633</v>
      </c>
      <c r="AH14" s="51"/>
      <c r="AI14" s="111">
        <f>COUNTIF($B:$B,"H2 HIGH SCORERS")</f>
        <v>59</v>
      </c>
      <c r="AJ14" s="95">
        <f>COUNTIFS($B:$B, "H2 HIGH SCORERS",S:S,"0")</f>
        <v>23</v>
      </c>
      <c r="AK14" s="103">
        <f>COUNTIFS($B:$B, "H2 HIGH SCORERS",U:U,"0")</f>
        <v>1</v>
      </c>
      <c r="AL14" s="117">
        <f>COUNTIFS($B:$B, "H2 HIGH SCORERS",S:S,"0",T:T,"0")</f>
        <v>0</v>
      </c>
      <c r="AM14" s="125">
        <f>COUNTIFS($B:$B, "H2 HIGH SCORERS",N:N, "WON")</f>
        <v>55</v>
      </c>
      <c r="AN14" s="124">
        <f t="shared" si="15"/>
        <v>0.93220338983050843</v>
      </c>
      <c r="AO14" s="100">
        <f t="shared" si="9"/>
        <v>0.38983050847457629</v>
      </c>
      <c r="AP14" s="108">
        <f t="shared" si="10"/>
        <v>1.6949152542372881E-2</v>
      </c>
      <c r="AQ14" s="134">
        <f t="shared" si="11"/>
        <v>0</v>
      </c>
      <c r="AR14" s="141" t="e">
        <f>#REF!</f>
        <v>#REF!</v>
      </c>
      <c r="AS14" s="142" t="e">
        <f t="shared" si="16"/>
        <v>#REF!</v>
      </c>
    </row>
    <row r="15" spans="1:45">
      <c r="A15" t="s">
        <v>930</v>
      </c>
      <c r="B15" s="163" t="s">
        <v>726</v>
      </c>
      <c r="C15" s="2" t="s">
        <v>6</v>
      </c>
      <c r="D15" s="2" t="s">
        <v>62</v>
      </c>
      <c r="E15" s="3">
        <v>45423.625</v>
      </c>
      <c r="F15" s="2" t="s">
        <v>71</v>
      </c>
      <c r="G15" s="2" t="s">
        <v>85</v>
      </c>
      <c r="H15" s="2">
        <v>85</v>
      </c>
      <c r="I15" s="2">
        <v>20</v>
      </c>
      <c r="J15" s="2">
        <v>1.85</v>
      </c>
      <c r="K15" s="2">
        <v>63</v>
      </c>
      <c r="L15" s="2"/>
      <c r="M15" s="11"/>
      <c r="N15" s="2" t="s">
        <v>96</v>
      </c>
      <c r="O15" s="14">
        <v>1</v>
      </c>
      <c r="P15" s="14">
        <v>0</v>
      </c>
      <c r="Q15" s="183">
        <v>1</v>
      </c>
      <c r="R15" s="181">
        <v>0</v>
      </c>
      <c r="S15" s="178">
        <f t="shared" si="0"/>
        <v>1</v>
      </c>
      <c r="T15" s="186">
        <f t="shared" si="1"/>
        <v>1</v>
      </c>
      <c r="U15" s="179">
        <f t="shared" si="2"/>
        <v>0</v>
      </c>
      <c r="V15" s="1">
        <f t="shared" si="5"/>
        <v>25</v>
      </c>
      <c r="W15" s="8">
        <f t="shared" si="3"/>
        <v>-25</v>
      </c>
      <c r="X15" s="15">
        <f t="shared" si="4"/>
        <v>150</v>
      </c>
      <c r="Y15" s="57" t="s">
        <v>498</v>
      </c>
      <c r="Z15" s="67">
        <f t="shared" si="12"/>
        <v>1.0806451612903225</v>
      </c>
      <c r="AA15" s="61">
        <f t="shared" si="13"/>
        <v>1.6129032258064515</v>
      </c>
      <c r="AB15" s="83">
        <f t="shared" si="14"/>
        <v>2.693548387096774</v>
      </c>
      <c r="AC15" s="75">
        <f>SUMIF($B:$B,"SPLIT10",S:S)</f>
        <v>67</v>
      </c>
      <c r="AD15" s="50">
        <f>SUMIF($B:$B,"SPLIT10",U:U)</f>
        <v>100</v>
      </c>
      <c r="AE15" s="88">
        <f t="shared" si="6"/>
        <v>167</v>
      </c>
      <c r="AF15" s="79">
        <f t="shared" si="7"/>
        <v>0.40119760479041916</v>
      </c>
      <c r="AG15" s="51">
        <f t="shared" si="8"/>
        <v>0.59880239520958078</v>
      </c>
      <c r="AH15" s="51"/>
      <c r="AI15" s="111">
        <f>COUNTIF($B:$B,"SPLIT10")</f>
        <v>62</v>
      </c>
      <c r="AJ15" s="95">
        <f>COUNTIFS($B:$B, "SPLIT10",S:S,"0")</f>
        <v>18</v>
      </c>
      <c r="AK15" s="103">
        <f>COUNTIFS($B:$B, "SPLIT10",U:U,"0")</f>
        <v>11</v>
      </c>
      <c r="AL15" s="117">
        <f>COUNTIFS($B:$B, "SPLIT10",S:S,"0",T:T,"0")</f>
        <v>2</v>
      </c>
      <c r="AM15" s="125">
        <f>COUNTIFS($B:$B, "SPLIT10",N:N, "WON")</f>
        <v>60</v>
      </c>
      <c r="AN15" s="124">
        <f t="shared" si="15"/>
        <v>0.967741935483871</v>
      </c>
      <c r="AO15" s="100">
        <f t="shared" si="9"/>
        <v>0.29032258064516131</v>
      </c>
      <c r="AP15" s="108">
        <f t="shared" si="10"/>
        <v>0.17741935483870969</v>
      </c>
      <c r="AQ15" s="134">
        <f t="shared" si="11"/>
        <v>3.2258064516129031E-2</v>
      </c>
      <c r="AR15" s="141" t="e">
        <f>#REF!</f>
        <v>#REF!</v>
      </c>
      <c r="AS15" s="142" t="e">
        <f t="shared" si="16"/>
        <v>#REF!</v>
      </c>
    </row>
    <row r="16" spans="1:45">
      <c r="A16" t="s">
        <v>930</v>
      </c>
      <c r="B16" s="163" t="s">
        <v>726</v>
      </c>
      <c r="C16" s="2" t="s">
        <v>67</v>
      </c>
      <c r="D16" s="2" t="s">
        <v>68</v>
      </c>
      <c r="E16" s="3">
        <v>45431.729166666664</v>
      </c>
      <c r="F16" s="2" t="s">
        <v>375</v>
      </c>
      <c r="G16" s="2" t="s">
        <v>265</v>
      </c>
      <c r="H16" s="2">
        <v>90</v>
      </c>
      <c r="I16" s="2">
        <v>20</v>
      </c>
      <c r="J16" s="2">
        <v>1.85</v>
      </c>
      <c r="K16" s="2">
        <v>62</v>
      </c>
      <c r="L16" s="2"/>
      <c r="M16" s="11"/>
      <c r="N16" s="2" t="s">
        <v>96</v>
      </c>
      <c r="O16" s="14">
        <v>0</v>
      </c>
      <c r="P16" s="14">
        <v>1</v>
      </c>
      <c r="Q16" s="183">
        <v>0</v>
      </c>
      <c r="R16" s="181">
        <v>1</v>
      </c>
      <c r="S16" s="178">
        <f t="shared" si="0"/>
        <v>1</v>
      </c>
      <c r="T16" s="186">
        <f t="shared" si="1"/>
        <v>1</v>
      </c>
      <c r="U16" s="179">
        <f t="shared" si="2"/>
        <v>0</v>
      </c>
      <c r="V16" s="1">
        <f t="shared" si="5"/>
        <v>25</v>
      </c>
      <c r="W16" s="8">
        <f t="shared" si="3"/>
        <v>-25</v>
      </c>
      <c r="X16" s="15">
        <f t="shared" ref="X16:X47" si="17">SUM(X15,W16)</f>
        <v>125</v>
      </c>
      <c r="Y16" s="57" t="s">
        <v>177</v>
      </c>
      <c r="Z16" s="67">
        <f t="shared" si="12"/>
        <v>1.7142857142857142</v>
      </c>
      <c r="AA16" s="61">
        <f t="shared" si="13"/>
        <v>2.2857142857142856</v>
      </c>
      <c r="AB16" s="83">
        <f t="shared" si="14"/>
        <v>4</v>
      </c>
      <c r="AC16" s="75">
        <f>SUMIF($B:$B,"* OVER2.5 GOALS",S:S)</f>
        <v>24</v>
      </c>
      <c r="AD16" s="50">
        <f>SUMIF($B:$B,"* OVER2.5 GOALS",U:U)</f>
        <v>32</v>
      </c>
      <c r="AE16" s="88">
        <f t="shared" si="6"/>
        <v>56</v>
      </c>
      <c r="AF16" s="79">
        <f t="shared" si="7"/>
        <v>0.42857142857142855</v>
      </c>
      <c r="AG16" s="51">
        <f t="shared" si="8"/>
        <v>0.5714285714285714</v>
      </c>
      <c r="AH16" s="51"/>
      <c r="AI16" s="111">
        <f>COUNTIF($B:$B,"* OVER2.5 GOALS")</f>
        <v>14</v>
      </c>
      <c r="AJ16" s="95">
        <f>COUNTIFS($B:$B, "* OVER2.5 GOALS",S:S,"0")</f>
        <v>1</v>
      </c>
      <c r="AK16" s="103">
        <f>COUNTIFS($B:$B, "* OVER2.5 GOALS",U:U,"0")</f>
        <v>0</v>
      </c>
      <c r="AL16" s="117">
        <f>COUNTIFS($B:$B, "* OVER2.5 GOALS",S:S,"0",T:T,"0")</f>
        <v>0</v>
      </c>
      <c r="AM16" s="125">
        <f>COUNTIFS($B:$B, "* OVER2.5 GOALS",N:N, "WON")</f>
        <v>13</v>
      </c>
      <c r="AN16" s="124">
        <f t="shared" si="15"/>
        <v>0.9285714285714286</v>
      </c>
      <c r="AO16" s="100">
        <f t="shared" si="9"/>
        <v>7.1428571428571425E-2</v>
      </c>
      <c r="AP16" s="108">
        <f t="shared" si="10"/>
        <v>0</v>
      </c>
      <c r="AQ16" s="134">
        <f t="shared" si="11"/>
        <v>0</v>
      </c>
      <c r="AR16" s="141" t="e">
        <f>#REF!</f>
        <v>#REF!</v>
      </c>
      <c r="AS16" s="142" t="e">
        <f t="shared" si="16"/>
        <v>#REF!</v>
      </c>
    </row>
    <row r="17" spans="1:45">
      <c r="A17" t="s">
        <v>930</v>
      </c>
      <c r="B17" s="163" t="s">
        <v>515</v>
      </c>
      <c r="C17" s="2" t="s">
        <v>119</v>
      </c>
      <c r="D17" s="2" t="s">
        <v>166</v>
      </c>
      <c r="E17" s="3">
        <v>45424.729166666664</v>
      </c>
      <c r="F17" s="2" t="s">
        <v>238</v>
      </c>
      <c r="G17" s="2" t="s">
        <v>326</v>
      </c>
      <c r="H17" s="2">
        <v>20</v>
      </c>
      <c r="I17" s="2">
        <v>76</v>
      </c>
      <c r="J17" s="2">
        <v>1.45</v>
      </c>
      <c r="K17" s="2"/>
      <c r="L17" s="2"/>
      <c r="M17" s="11"/>
      <c r="N17" s="2" t="s">
        <v>96</v>
      </c>
      <c r="O17" s="14">
        <v>1</v>
      </c>
      <c r="P17" s="14">
        <v>0</v>
      </c>
      <c r="Q17" s="183">
        <v>1</v>
      </c>
      <c r="R17" s="187">
        <v>0</v>
      </c>
      <c r="S17" s="178">
        <f t="shared" si="0"/>
        <v>1</v>
      </c>
      <c r="T17" s="186">
        <f t="shared" si="1"/>
        <v>1</v>
      </c>
      <c r="U17" s="179">
        <f t="shared" si="2"/>
        <v>0</v>
      </c>
      <c r="V17" s="1">
        <f t="shared" si="5"/>
        <v>25</v>
      </c>
      <c r="W17" s="8">
        <f t="shared" si="3"/>
        <v>-25</v>
      </c>
      <c r="X17" s="15">
        <f t="shared" si="17"/>
        <v>100</v>
      </c>
      <c r="Y17" s="57" t="s">
        <v>473</v>
      </c>
      <c r="Z17" s="67">
        <f t="shared" si="12"/>
        <v>0.97619047619047616</v>
      </c>
      <c r="AA17" s="61">
        <f t="shared" si="13"/>
        <v>1.6904761904761905</v>
      </c>
      <c r="AB17" s="83">
        <f t="shared" si="14"/>
        <v>2.6666666666666665</v>
      </c>
      <c r="AC17" s="75">
        <f>SUMIF($B:$B,"SPLIT20",S:S)</f>
        <v>41</v>
      </c>
      <c r="AD17" s="50">
        <f>SUMIF($B:$B,"SPLIT20",U:U)</f>
        <v>71</v>
      </c>
      <c r="AE17" s="88">
        <f t="shared" si="6"/>
        <v>112</v>
      </c>
      <c r="AF17" s="79">
        <f t="shared" si="7"/>
        <v>0.36607142857142855</v>
      </c>
      <c r="AG17" s="51">
        <f t="shared" si="8"/>
        <v>0.6339285714285714</v>
      </c>
      <c r="AH17" s="51"/>
      <c r="AI17" s="111">
        <f>COUNTIF($B:$B,"SPLIT20")</f>
        <v>42</v>
      </c>
      <c r="AJ17" s="95">
        <f>COUNTIFS($B:$B, "SPLIT20",S:S,"0")</f>
        <v>14</v>
      </c>
      <c r="AK17" s="103">
        <f>COUNTIFS($B:$B, "SPLIT20",U:U,"0")</f>
        <v>9</v>
      </c>
      <c r="AL17" s="117">
        <f>COUNTIFS($B:$B, "SPLIT20",S:S,"0",T:T,"0")</f>
        <v>1</v>
      </c>
      <c r="AM17" s="125">
        <f>COUNTIFS($B:$B, "SPLIT20",N:N, "WON")</f>
        <v>40</v>
      </c>
      <c r="AN17" s="124">
        <f t="shared" si="15"/>
        <v>0.95238095238095233</v>
      </c>
      <c r="AO17" s="100">
        <f t="shared" si="9"/>
        <v>0.33333333333333331</v>
      </c>
      <c r="AP17" s="108">
        <f t="shared" si="10"/>
        <v>0.21428571428571427</v>
      </c>
      <c r="AQ17" s="134">
        <f t="shared" si="11"/>
        <v>2.3809523809523808E-2</v>
      </c>
      <c r="AR17" s="141" t="e">
        <f>#REF!</f>
        <v>#REF!</v>
      </c>
      <c r="AS17" s="142" t="e">
        <f t="shared" si="16"/>
        <v>#REF!</v>
      </c>
    </row>
    <row r="18" spans="1:45">
      <c r="A18" t="s">
        <v>930</v>
      </c>
      <c r="B18" s="163" t="s">
        <v>10</v>
      </c>
      <c r="C18" s="2" t="s">
        <v>6</v>
      </c>
      <c r="D18" s="33" t="s">
        <v>7</v>
      </c>
      <c r="E18" s="3">
        <v>45332.625</v>
      </c>
      <c r="F18" s="2" t="s">
        <v>26</v>
      </c>
      <c r="G18" s="2" t="s">
        <v>418</v>
      </c>
      <c r="H18" s="2">
        <v>2.0499999999999998</v>
      </c>
      <c r="I18" s="2">
        <v>90</v>
      </c>
      <c r="J18" s="2">
        <v>65</v>
      </c>
      <c r="K18" s="2">
        <v>30</v>
      </c>
      <c r="L18" s="2">
        <v>61</v>
      </c>
      <c r="M18" s="11">
        <v>20</v>
      </c>
      <c r="N18" s="2" t="s">
        <v>96</v>
      </c>
      <c r="O18" s="14">
        <v>2</v>
      </c>
      <c r="P18" s="13">
        <v>0</v>
      </c>
      <c r="Q18" s="183">
        <v>2</v>
      </c>
      <c r="R18" s="181">
        <v>0</v>
      </c>
      <c r="S18" s="178">
        <f t="shared" si="0"/>
        <v>2</v>
      </c>
      <c r="T18" s="186">
        <f t="shared" si="1"/>
        <v>2</v>
      </c>
      <c r="U18" s="179">
        <f t="shared" si="2"/>
        <v>0</v>
      </c>
      <c r="V18" s="1">
        <f t="shared" si="5"/>
        <v>25</v>
      </c>
      <c r="W18" s="8">
        <f t="shared" si="3"/>
        <v>-25</v>
      </c>
      <c r="X18" s="15">
        <f t="shared" si="17"/>
        <v>75</v>
      </c>
      <c r="Y18" s="57" t="s">
        <v>458</v>
      </c>
      <c r="Z18" s="67">
        <f t="shared" si="12"/>
        <v>1.027027027027027</v>
      </c>
      <c r="AA18" s="61">
        <f t="shared" si="13"/>
        <v>0.91891891891891897</v>
      </c>
      <c r="AB18" s="83">
        <f t="shared" si="14"/>
        <v>1.9459459459459461</v>
      </c>
      <c r="AC18" s="75">
        <f>SUMIF($B:$B,"UNDER 2.5 GOALS",S:S)</f>
        <v>38</v>
      </c>
      <c r="AD18" s="50">
        <f>SUMIF($B:$B,"UNDER 2.5 GOALS",U:U)</f>
        <v>34</v>
      </c>
      <c r="AE18" s="88">
        <f t="shared" si="6"/>
        <v>72</v>
      </c>
      <c r="AF18" s="79">
        <f t="shared" si="7"/>
        <v>0.52777777777777779</v>
      </c>
      <c r="AG18" s="51">
        <f t="shared" si="8"/>
        <v>0.47222222222222221</v>
      </c>
      <c r="AH18" s="51"/>
      <c r="AI18" s="111">
        <f>COUNTIF($B:$B,"UNDER 2.5 GOALS")</f>
        <v>37</v>
      </c>
      <c r="AJ18" s="95">
        <f>COUNTIFS($B:$B, "UNDER 2.5 GOALS",S:S,"0")</f>
        <v>11</v>
      </c>
      <c r="AK18" s="103">
        <f>COUNTIFS($B:$B, "UNDER 2.5 GOALS",U:U,"0")</f>
        <v>14</v>
      </c>
      <c r="AL18" s="117">
        <f>COUNTIFS($B:$B, "UNDER 2.5 GOALS",S:S,"0",T:T,"0")</f>
        <v>5</v>
      </c>
      <c r="AM18" s="125">
        <f>COUNTIFS($B:$B, "UNDER 2.5 GOALS",N:N, "WON")</f>
        <v>35</v>
      </c>
      <c r="AN18" s="124">
        <f t="shared" si="15"/>
        <v>0.94594594594594594</v>
      </c>
      <c r="AO18" s="100">
        <f t="shared" si="9"/>
        <v>0.29729729729729731</v>
      </c>
      <c r="AP18" s="108">
        <f t="shared" si="10"/>
        <v>0.3783783783783784</v>
      </c>
      <c r="AQ18" s="134">
        <f t="shared" si="11"/>
        <v>0.13513513513513514</v>
      </c>
      <c r="AR18" s="141" t="e">
        <f>#REF!</f>
        <v>#REF!</v>
      </c>
      <c r="AS18" s="142" t="e">
        <f t="shared" si="16"/>
        <v>#REF!</v>
      </c>
    </row>
    <row r="19" spans="1:45">
      <c r="A19" t="s">
        <v>930</v>
      </c>
      <c r="B19" s="163" t="s">
        <v>726</v>
      </c>
      <c r="C19" s="2" t="s">
        <v>31</v>
      </c>
      <c r="D19" s="2" t="s">
        <v>32</v>
      </c>
      <c r="E19" s="3">
        <v>45402.625</v>
      </c>
      <c r="F19" s="2" t="s">
        <v>261</v>
      </c>
      <c r="G19" s="2" t="s">
        <v>33</v>
      </c>
      <c r="H19" s="2">
        <v>85</v>
      </c>
      <c r="I19" s="2">
        <v>20</v>
      </c>
      <c r="J19" s="2">
        <v>1.85</v>
      </c>
      <c r="K19" s="2">
        <v>64</v>
      </c>
      <c r="L19" s="2"/>
      <c r="M19" s="11"/>
      <c r="N19" s="2" t="s">
        <v>96</v>
      </c>
      <c r="O19" s="14">
        <v>0</v>
      </c>
      <c r="P19" s="14">
        <v>2</v>
      </c>
      <c r="Q19" s="183">
        <v>0</v>
      </c>
      <c r="R19" s="181">
        <v>2</v>
      </c>
      <c r="S19" s="178">
        <f t="shared" si="0"/>
        <v>2</v>
      </c>
      <c r="T19" s="186">
        <f t="shared" si="1"/>
        <v>2</v>
      </c>
      <c r="U19" s="179">
        <f t="shared" si="2"/>
        <v>0</v>
      </c>
      <c r="V19" s="1">
        <f t="shared" si="5"/>
        <v>25</v>
      </c>
      <c r="W19" s="8">
        <f t="shared" si="3"/>
        <v>-25</v>
      </c>
      <c r="X19" s="15">
        <f t="shared" si="17"/>
        <v>50</v>
      </c>
      <c r="Y19" s="57" t="s">
        <v>28</v>
      </c>
      <c r="Z19" s="67">
        <f t="shared" si="12"/>
        <v>0.7142857142857143</v>
      </c>
      <c r="AA19" s="61">
        <f t="shared" si="13"/>
        <v>1.7142857142857142</v>
      </c>
      <c r="AB19" s="83">
        <f t="shared" si="14"/>
        <v>2.4285714285714284</v>
      </c>
      <c r="AC19" s="75">
        <f>SUMIF($B:$B,"*FT 0-0 LAY@46  A",S:S)</f>
        <v>5</v>
      </c>
      <c r="AD19" s="50">
        <f>SUMIF($B:$B,"*FT 0-0 LAY@46  A",U:U)</f>
        <v>12</v>
      </c>
      <c r="AE19" s="88">
        <f t="shared" si="6"/>
        <v>17</v>
      </c>
      <c r="AF19" s="79">
        <f t="shared" si="7"/>
        <v>0.29411764705882354</v>
      </c>
      <c r="AG19" s="51">
        <f t="shared" si="8"/>
        <v>0.70588235294117652</v>
      </c>
      <c r="AH19" s="51"/>
      <c r="AI19" s="111">
        <f>COUNTIF($B:$B,"*FT 0-0 LAY@46  A")</f>
        <v>7</v>
      </c>
      <c r="AJ19" s="95">
        <f>COUNTIFS($B:$B, "*FT 0-0 LAY@46  A",S:S,"0")</f>
        <v>4</v>
      </c>
      <c r="AK19" s="103">
        <f>COUNTIFS($B:$B, "*FT 0-0 LAY@46  A",U:U,"0")</f>
        <v>0</v>
      </c>
      <c r="AL19" s="117">
        <f>COUNTIFS($B:$B, "*FT 0-0 LAY@46  A",S:S,"0",T:T,"0")</f>
        <v>0</v>
      </c>
      <c r="AM19" s="125">
        <f>COUNTIFS($B:$B, "*FT 0-0 LAY@46  A",N:N, "WON")</f>
        <v>7</v>
      </c>
      <c r="AN19" s="124">
        <f t="shared" si="15"/>
        <v>1</v>
      </c>
      <c r="AO19" s="100">
        <f t="shared" si="9"/>
        <v>0.5714285714285714</v>
      </c>
      <c r="AP19" s="108">
        <f t="shared" si="10"/>
        <v>0</v>
      </c>
      <c r="AQ19" s="134">
        <f t="shared" si="11"/>
        <v>0</v>
      </c>
      <c r="AR19" s="141" t="e">
        <f>#REF!</f>
        <v>#REF!</v>
      </c>
      <c r="AS19" s="142" t="e">
        <f t="shared" si="16"/>
        <v>#REF!</v>
      </c>
    </row>
    <row r="20" spans="1:45">
      <c r="A20" t="s">
        <v>930</v>
      </c>
      <c r="B20" s="163" t="s">
        <v>726</v>
      </c>
      <c r="C20" s="2" t="s">
        <v>77</v>
      </c>
      <c r="D20" s="2" t="s">
        <v>251</v>
      </c>
      <c r="E20" s="3">
        <v>45423.541666666664</v>
      </c>
      <c r="F20" s="2" t="s">
        <v>295</v>
      </c>
      <c r="G20" s="2" t="s">
        <v>816</v>
      </c>
      <c r="H20" s="2">
        <v>90</v>
      </c>
      <c r="I20" s="2">
        <v>20</v>
      </c>
      <c r="J20" s="2">
        <v>2.35</v>
      </c>
      <c r="K20" s="2">
        <v>60</v>
      </c>
      <c r="L20" s="2"/>
      <c r="M20" s="11"/>
      <c r="N20" s="2" t="s">
        <v>96</v>
      </c>
      <c r="O20" s="14">
        <v>1</v>
      </c>
      <c r="P20" s="14">
        <v>1</v>
      </c>
      <c r="Q20" s="183">
        <v>1</v>
      </c>
      <c r="R20" s="181">
        <v>1</v>
      </c>
      <c r="S20" s="178">
        <f t="shared" si="0"/>
        <v>2</v>
      </c>
      <c r="T20" s="186">
        <f t="shared" si="1"/>
        <v>2</v>
      </c>
      <c r="U20" s="179">
        <f t="shared" si="2"/>
        <v>0</v>
      </c>
      <c r="V20" s="1">
        <f t="shared" si="5"/>
        <v>25</v>
      </c>
      <c r="W20" s="8">
        <f t="shared" si="3"/>
        <v>-25</v>
      </c>
      <c r="X20" s="15">
        <f t="shared" si="17"/>
        <v>25</v>
      </c>
      <c r="Y20" s="57" t="s">
        <v>521</v>
      </c>
      <c r="Z20" s="67" t="e">
        <f t="shared" si="12"/>
        <v>#DIV/0!</v>
      </c>
      <c r="AA20" s="61" t="e">
        <f t="shared" si="13"/>
        <v>#DIV/0!</v>
      </c>
      <c r="AB20" s="83" t="e">
        <f t="shared" si="14"/>
        <v>#DIV/0!</v>
      </c>
      <c r="AC20" s="75">
        <f>SUMIF($B:$B,"H1&lt;2 GOALS, H2&gt; 1 GOAL",S:S)</f>
        <v>0</v>
      </c>
      <c r="AD20" s="50">
        <f>SUMIF($B:$B,"H1&lt;2 GOALS, H2&gt; 1 GOAL",U:U)</f>
        <v>0</v>
      </c>
      <c r="AE20" s="88">
        <f t="shared" si="6"/>
        <v>0</v>
      </c>
      <c r="AF20" s="79" t="e">
        <f t="shared" si="7"/>
        <v>#DIV/0!</v>
      </c>
      <c r="AG20" s="51" t="e">
        <f t="shared" si="8"/>
        <v>#DIV/0!</v>
      </c>
      <c r="AH20" s="51"/>
      <c r="AI20" s="111">
        <f>COUNTIF($B:$B,"H1&lt;2 GOALS, H2&gt; 1 GOAL")</f>
        <v>0</v>
      </c>
      <c r="AJ20" s="95">
        <f>COUNTIFS($B:$B, "H1&lt;2 GOALS, H2&gt; 1 GOAL",S:S,"0")</f>
        <v>0</v>
      </c>
      <c r="AK20" s="103">
        <f>COUNTIFS($B:$B, "H1&lt;2 GOALS, H2&gt; 1 GOAL",U:U,"0")</f>
        <v>0</v>
      </c>
      <c r="AL20" s="117">
        <f>COUNTIFS($B:$B, "H1&lt;2 GOALS, H2&gt; 1 GOAL",S:S,"0",T:T,"0")</f>
        <v>0</v>
      </c>
      <c r="AM20" s="125">
        <f>COUNTIFS($B:$B, "H1&lt;2 GOALS, H2&gt; 1 GOAL",N:N, "WON")</f>
        <v>0</v>
      </c>
      <c r="AN20" s="124" t="e">
        <f t="shared" si="15"/>
        <v>#DIV/0!</v>
      </c>
      <c r="AO20" s="100" t="e">
        <f t="shared" si="9"/>
        <v>#DIV/0!</v>
      </c>
      <c r="AP20" s="108" t="e">
        <f t="shared" si="10"/>
        <v>#DIV/0!</v>
      </c>
      <c r="AQ20" s="134" t="e">
        <f t="shared" si="11"/>
        <v>#DIV/0!</v>
      </c>
      <c r="AR20" s="141" t="e">
        <f>#REF!</f>
        <v>#REF!</v>
      </c>
      <c r="AS20" s="142" t="e">
        <f t="shared" si="16"/>
        <v>#REF!</v>
      </c>
    </row>
    <row r="21" spans="1:45">
      <c r="A21" t="s">
        <v>930</v>
      </c>
      <c r="B21" s="163" t="s">
        <v>726</v>
      </c>
      <c r="C21" s="2" t="s">
        <v>6</v>
      </c>
      <c r="D21" s="2" t="s">
        <v>62</v>
      </c>
      <c r="E21" s="3">
        <v>45431.666666666664</v>
      </c>
      <c r="F21" s="2" t="s">
        <v>285</v>
      </c>
      <c r="G21" s="2" t="s">
        <v>64</v>
      </c>
      <c r="H21" s="2">
        <v>80</v>
      </c>
      <c r="I21" s="2">
        <v>20</v>
      </c>
      <c r="J21" s="2">
        <v>1.9</v>
      </c>
      <c r="K21" s="2">
        <v>61</v>
      </c>
      <c r="L21" s="2"/>
      <c r="M21" s="11"/>
      <c r="N21" s="2" t="s">
        <v>96</v>
      </c>
      <c r="O21" s="14">
        <v>2</v>
      </c>
      <c r="P21" s="14">
        <v>0</v>
      </c>
      <c r="Q21" s="183">
        <v>2</v>
      </c>
      <c r="R21" s="181">
        <v>0</v>
      </c>
      <c r="S21" s="178">
        <f t="shared" si="0"/>
        <v>2</v>
      </c>
      <c r="T21" s="186">
        <f t="shared" si="1"/>
        <v>2</v>
      </c>
      <c r="U21" s="179">
        <f t="shared" si="2"/>
        <v>0</v>
      </c>
      <c r="V21" s="1">
        <f t="shared" si="5"/>
        <v>25</v>
      </c>
      <c r="W21" s="8">
        <f t="shared" si="3"/>
        <v>-25</v>
      </c>
      <c r="X21" s="15">
        <f t="shared" si="17"/>
        <v>0</v>
      </c>
      <c r="Y21" s="57" t="s">
        <v>519</v>
      </c>
      <c r="Z21" s="67">
        <f t="shared" si="12"/>
        <v>0.77777777777777779</v>
      </c>
      <c r="AA21" s="61">
        <f t="shared" si="13"/>
        <v>1.4444444444444444</v>
      </c>
      <c r="AB21" s="83">
        <f t="shared" si="14"/>
        <v>2.2222222222222223</v>
      </c>
      <c r="AC21" s="75">
        <f>SUMIF($B:$B,"H1 &amp; H2 % SPLIT",S:S)</f>
        <v>7</v>
      </c>
      <c r="AD21" s="50">
        <f>SUMIF($B:$B,"H1 &amp; H2 % SPLIT",U:U)</f>
        <v>13</v>
      </c>
      <c r="AE21" s="88">
        <f t="shared" si="6"/>
        <v>20</v>
      </c>
      <c r="AF21" s="79">
        <f t="shared" si="7"/>
        <v>0.35</v>
      </c>
      <c r="AG21" s="51">
        <f t="shared" si="8"/>
        <v>0.65</v>
      </c>
      <c r="AH21" s="51"/>
      <c r="AI21" s="111">
        <f>COUNTIF($B:$B,"H1 &amp; H2 % SPLIT")</f>
        <v>9</v>
      </c>
      <c r="AJ21" s="95">
        <f>COUNTIFS($B:$B, "H1 &amp; H2 % SPLIT",S:S,"0")</f>
        <v>2</v>
      </c>
      <c r="AK21" s="103">
        <f>COUNTIFS($B:$B, "H1 &amp; H2 % SPLIT",U:U,"0")</f>
        <v>0</v>
      </c>
      <c r="AL21" s="117">
        <f>COUNTIFS($B:$B, "H1 &amp; H2 % SPLIT",S:S,"0",T:T,"0")</f>
        <v>0</v>
      </c>
      <c r="AM21" s="125">
        <f>COUNTIFS($B:$B, "H1 &amp; H2 % SPLIT",N:N, "WON")</f>
        <v>8</v>
      </c>
      <c r="AN21" s="124">
        <f t="shared" si="15"/>
        <v>0.88888888888888884</v>
      </c>
      <c r="AO21" s="100">
        <f t="shared" si="9"/>
        <v>0.22222222222222221</v>
      </c>
      <c r="AP21" s="108">
        <f t="shared" si="10"/>
        <v>0</v>
      </c>
      <c r="AQ21" s="134">
        <f t="shared" si="11"/>
        <v>0</v>
      </c>
      <c r="AR21" s="141" t="e">
        <f>#REF!</f>
        <v>#REF!</v>
      </c>
      <c r="AS21" s="142" t="e">
        <f t="shared" si="16"/>
        <v>#REF!</v>
      </c>
    </row>
    <row r="22" spans="1:45">
      <c r="A22" t="s">
        <v>930</v>
      </c>
      <c r="B22" s="163" t="s">
        <v>10</v>
      </c>
      <c r="C22" s="2" t="s">
        <v>67</v>
      </c>
      <c r="D22" s="2" t="s">
        <v>68</v>
      </c>
      <c r="E22" s="3">
        <v>45322.739583333336</v>
      </c>
      <c r="F22" s="2" t="s">
        <v>69</v>
      </c>
      <c r="G22" s="2" t="s">
        <v>88</v>
      </c>
      <c r="H22" s="2">
        <v>2.0499999999999998</v>
      </c>
      <c r="I22" s="2">
        <v>95</v>
      </c>
      <c r="J22" s="2">
        <v>65</v>
      </c>
      <c r="K22" s="2">
        <v>30</v>
      </c>
      <c r="L22" s="2">
        <v>66</v>
      </c>
      <c r="M22" s="11">
        <v>20</v>
      </c>
      <c r="N22" s="2" t="s">
        <v>95</v>
      </c>
      <c r="O22" s="14">
        <v>0</v>
      </c>
      <c r="P22" s="13">
        <v>0</v>
      </c>
      <c r="Q22" s="183">
        <v>1</v>
      </c>
      <c r="R22" s="181">
        <v>0</v>
      </c>
      <c r="S22" s="178">
        <f t="shared" si="0"/>
        <v>0</v>
      </c>
      <c r="T22" s="186">
        <f t="shared" si="1"/>
        <v>1</v>
      </c>
      <c r="U22" s="179">
        <f t="shared" si="2"/>
        <v>1</v>
      </c>
      <c r="V22" s="1">
        <f t="shared" si="5"/>
        <v>25</v>
      </c>
      <c r="W22" s="8">
        <f t="shared" si="3"/>
        <v>6.25</v>
      </c>
      <c r="X22" s="15">
        <f t="shared" si="17"/>
        <v>6.25</v>
      </c>
      <c r="Y22" s="57" t="s">
        <v>522</v>
      </c>
      <c r="Z22" s="67">
        <f t="shared" si="12"/>
        <v>0.8125</v>
      </c>
      <c r="AA22" s="61">
        <f t="shared" si="13"/>
        <v>2.6875</v>
      </c>
      <c r="AB22" s="83">
        <f t="shared" si="14"/>
        <v>3.5</v>
      </c>
      <c r="AC22" s="75">
        <f>SUMIF($B:$B,"H2 GOALS%",S:S)</f>
        <v>13</v>
      </c>
      <c r="AD22" s="50">
        <f>SUMIF($B:$B,"H2 GOALS%",U:U)</f>
        <v>43</v>
      </c>
      <c r="AE22" s="88">
        <f t="shared" si="6"/>
        <v>56</v>
      </c>
      <c r="AF22" s="79">
        <f t="shared" si="7"/>
        <v>0.23214285714285715</v>
      </c>
      <c r="AG22" s="51">
        <f t="shared" si="8"/>
        <v>0.7678571428571429</v>
      </c>
      <c r="AH22" s="51"/>
      <c r="AI22" s="111">
        <f>COUNTIF($B:$B,"H2 GOALS%")</f>
        <v>16</v>
      </c>
      <c r="AJ22" s="95">
        <f>COUNTIFS($B:$B, "H2 GOALS%",S:S,"0")</f>
        <v>6</v>
      </c>
      <c r="AK22" s="103">
        <f>COUNTIFS($B:$B, "H2 GOALS%",U:U,"0")</f>
        <v>0</v>
      </c>
      <c r="AL22" s="117">
        <f>COUNTIFS($B:$B, "H2 GOALS%",S:S,"0",T:T,"0")</f>
        <v>0</v>
      </c>
      <c r="AM22" s="125">
        <f>COUNTIFS($B:$B, "H2 GOALS%",N:N, "WON")</f>
        <v>16</v>
      </c>
      <c r="AN22" s="124">
        <f t="shared" si="15"/>
        <v>1</v>
      </c>
      <c r="AO22" s="100">
        <f t="shared" si="9"/>
        <v>0.375</v>
      </c>
      <c r="AP22" s="108">
        <f t="shared" si="10"/>
        <v>0</v>
      </c>
      <c r="AQ22" s="134">
        <f t="shared" si="11"/>
        <v>0</v>
      </c>
      <c r="AR22" s="141" t="e">
        <f>#REF!</f>
        <v>#REF!</v>
      </c>
      <c r="AS22" s="142" t="e">
        <f t="shared" si="16"/>
        <v>#REF!</v>
      </c>
    </row>
    <row r="23" spans="1:45">
      <c r="A23" t="s">
        <v>930</v>
      </c>
      <c r="B23" s="163" t="s">
        <v>10</v>
      </c>
      <c r="C23" s="2" t="s">
        <v>119</v>
      </c>
      <c r="D23" s="2" t="s">
        <v>120</v>
      </c>
      <c r="E23" s="3">
        <v>45322.75</v>
      </c>
      <c r="F23" s="2" t="s">
        <v>361</v>
      </c>
      <c r="G23" s="2" t="s">
        <v>348</v>
      </c>
      <c r="H23" s="2">
        <v>2.35</v>
      </c>
      <c r="I23" s="2">
        <v>95</v>
      </c>
      <c r="J23" s="2">
        <v>65</v>
      </c>
      <c r="K23" s="2">
        <v>45</v>
      </c>
      <c r="L23" s="2">
        <v>67</v>
      </c>
      <c r="M23" s="11">
        <v>20</v>
      </c>
      <c r="N23" s="2" t="s">
        <v>95</v>
      </c>
      <c r="O23" s="14">
        <v>0</v>
      </c>
      <c r="P23" s="13">
        <v>0</v>
      </c>
      <c r="Q23" s="183">
        <v>1</v>
      </c>
      <c r="R23" s="181">
        <v>0</v>
      </c>
      <c r="S23" s="178">
        <f t="shared" si="0"/>
        <v>0</v>
      </c>
      <c r="T23" s="186">
        <f t="shared" si="1"/>
        <v>1</v>
      </c>
      <c r="U23" s="179">
        <f t="shared" si="2"/>
        <v>1</v>
      </c>
      <c r="V23" s="1">
        <f t="shared" si="5"/>
        <v>25</v>
      </c>
      <c r="W23" s="8">
        <f t="shared" si="3"/>
        <v>6.25</v>
      </c>
      <c r="X23" s="15">
        <f t="shared" si="17"/>
        <v>12.5</v>
      </c>
      <c r="Y23" s="58"/>
      <c r="Z23" s="68"/>
      <c r="AA23" s="60"/>
      <c r="AB23" s="84"/>
      <c r="AC23" s="76"/>
      <c r="AD23" s="52"/>
      <c r="AE23" s="89"/>
      <c r="AF23" s="80"/>
      <c r="AG23" s="52"/>
      <c r="AH23" s="52"/>
      <c r="AI23" s="112"/>
      <c r="AJ23" s="96"/>
      <c r="AK23" s="104"/>
      <c r="AL23" s="118"/>
      <c r="AM23" s="126"/>
      <c r="AN23" s="127"/>
      <c r="AO23" s="80"/>
      <c r="AP23" s="104"/>
      <c r="AQ23" s="135"/>
      <c r="AR23" s="143"/>
      <c r="AS23" s="144"/>
    </row>
    <row r="24" spans="1:45">
      <c r="A24" t="s">
        <v>930</v>
      </c>
      <c r="B24" s="163" t="s">
        <v>10</v>
      </c>
      <c r="C24" s="2" t="s">
        <v>58</v>
      </c>
      <c r="D24" s="2" t="s">
        <v>59</v>
      </c>
      <c r="E24" s="3">
        <v>45333.645833333336</v>
      </c>
      <c r="F24" s="2" t="s">
        <v>127</v>
      </c>
      <c r="G24" s="2" t="s">
        <v>111</v>
      </c>
      <c r="H24" s="2">
        <v>1.85</v>
      </c>
      <c r="I24" s="2">
        <v>100</v>
      </c>
      <c r="J24" s="2">
        <v>65</v>
      </c>
      <c r="K24" s="2">
        <v>20</v>
      </c>
      <c r="L24" s="2">
        <v>62</v>
      </c>
      <c r="M24" s="11">
        <v>20</v>
      </c>
      <c r="N24" s="2" t="s">
        <v>95</v>
      </c>
      <c r="O24" s="14">
        <v>0</v>
      </c>
      <c r="P24" s="13">
        <v>0</v>
      </c>
      <c r="Q24" s="183">
        <v>1</v>
      </c>
      <c r="R24" s="181">
        <v>0</v>
      </c>
      <c r="S24" s="178">
        <f t="shared" si="0"/>
        <v>0</v>
      </c>
      <c r="T24" s="186">
        <f t="shared" si="1"/>
        <v>1</v>
      </c>
      <c r="U24" s="179">
        <f t="shared" si="2"/>
        <v>1</v>
      </c>
      <c r="V24" s="1">
        <f t="shared" si="5"/>
        <v>25</v>
      </c>
      <c r="W24" s="8">
        <f t="shared" si="3"/>
        <v>6.25</v>
      </c>
      <c r="X24" s="15">
        <f t="shared" si="17"/>
        <v>18.75</v>
      </c>
      <c r="Y24" s="58"/>
      <c r="Z24" s="68"/>
      <c r="AA24" s="60"/>
      <c r="AB24" s="84"/>
      <c r="AC24" s="76"/>
      <c r="AD24" s="52"/>
      <c r="AE24" s="89"/>
      <c r="AF24" s="80"/>
      <c r="AG24" s="52"/>
      <c r="AH24" s="52"/>
      <c r="AI24" s="113"/>
      <c r="AJ24" s="97">
        <f>AJ25/AI25</f>
        <v>0.24682741116751269</v>
      </c>
      <c r="AK24" s="105">
        <f>AK25/AI25</f>
        <v>0.13324873096446702</v>
      </c>
      <c r="AL24" s="119">
        <f>AL25/AI25</f>
        <v>2.5380710659898477E-2</v>
      </c>
      <c r="AM24" s="128">
        <f>AM25/AI25</f>
        <v>0.96065989847715738</v>
      </c>
      <c r="AN24" s="129"/>
      <c r="AO24" s="80"/>
      <c r="AP24" s="104"/>
      <c r="AQ24" s="135"/>
      <c r="AR24" s="143"/>
      <c r="AS24" s="144"/>
    </row>
    <row r="25" spans="1:45" ht="15.75" thickBot="1">
      <c r="A25" t="s">
        <v>930</v>
      </c>
      <c r="B25" s="163" t="s">
        <v>10</v>
      </c>
      <c r="C25" s="2" t="s">
        <v>31</v>
      </c>
      <c r="D25" s="2" t="s">
        <v>32</v>
      </c>
      <c r="E25" s="3">
        <v>45339.625</v>
      </c>
      <c r="F25" s="2" t="s">
        <v>440</v>
      </c>
      <c r="G25" s="2" t="s">
        <v>33</v>
      </c>
      <c r="H25" s="2">
        <v>2.25</v>
      </c>
      <c r="I25" s="2">
        <v>85</v>
      </c>
      <c r="J25" s="2">
        <v>75</v>
      </c>
      <c r="K25" s="2">
        <v>55</v>
      </c>
      <c r="L25" s="2">
        <v>63</v>
      </c>
      <c r="M25" s="11">
        <v>20</v>
      </c>
      <c r="N25" s="2" t="s">
        <v>95</v>
      </c>
      <c r="O25" s="14">
        <v>0</v>
      </c>
      <c r="P25" s="14">
        <v>0</v>
      </c>
      <c r="Q25" s="183">
        <v>0</v>
      </c>
      <c r="R25" s="181">
        <v>1</v>
      </c>
      <c r="S25" s="178">
        <f t="shared" si="0"/>
        <v>0</v>
      </c>
      <c r="T25" s="186">
        <f t="shared" si="1"/>
        <v>1</v>
      </c>
      <c r="U25" s="179">
        <f t="shared" si="2"/>
        <v>1</v>
      </c>
      <c r="V25" s="1">
        <f t="shared" si="5"/>
        <v>25</v>
      </c>
      <c r="W25" s="8">
        <f t="shared" si="3"/>
        <v>6.25</v>
      </c>
      <c r="X25" s="15">
        <f t="shared" si="17"/>
        <v>25</v>
      </c>
      <c r="Y25" s="59"/>
      <c r="Z25" s="69"/>
      <c r="AA25" s="64"/>
      <c r="AB25" s="85"/>
      <c r="AC25" s="90">
        <f>SUM(AC3:AC22)</f>
        <v>2101</v>
      </c>
      <c r="AD25" s="91">
        <f>SUM(AD3:AD22)</f>
        <v>2902</v>
      </c>
      <c r="AE25" s="92">
        <f>SUM(AE3:AE22)</f>
        <v>5003</v>
      </c>
      <c r="AF25" s="81">
        <f>AC25/AE25</f>
        <v>0.4199480311812912</v>
      </c>
      <c r="AG25" s="53">
        <f>AD25/AE25</f>
        <v>0.5800519688187088</v>
      </c>
      <c r="AH25" s="54"/>
      <c r="AI25" s="114">
        <f>SUM(AI3:AI22)</f>
        <v>1576</v>
      </c>
      <c r="AJ25" s="98">
        <f>SUM(AJ3:AJ22)</f>
        <v>389</v>
      </c>
      <c r="AK25" s="106">
        <f>SUM(AK3:AK22)</f>
        <v>210</v>
      </c>
      <c r="AL25" s="120">
        <f>SUM(AL3:AL22)</f>
        <v>40</v>
      </c>
      <c r="AM25" s="130">
        <f>SUM(AM3:AM23)</f>
        <v>1514</v>
      </c>
      <c r="AN25" s="131"/>
      <c r="AO25" s="147" t="e">
        <f>AVERAGE(AO3:AO22)</f>
        <v>#DIV/0!</v>
      </c>
      <c r="AP25" s="147" t="e">
        <f>AVERAGE(AP3:AP22)</f>
        <v>#DIV/0!</v>
      </c>
      <c r="AQ25" s="136"/>
      <c r="AR25" s="145" t="e">
        <f>SUM(AR3:AR22)</f>
        <v>#REF!</v>
      </c>
      <c r="AS25" s="146" t="e">
        <f>AR25/AI25</f>
        <v>#REF!</v>
      </c>
    </row>
    <row r="26" spans="1:45">
      <c r="A26" t="s">
        <v>930</v>
      </c>
      <c r="B26" s="163" t="s">
        <v>10</v>
      </c>
      <c r="C26" s="2" t="s">
        <v>145</v>
      </c>
      <c r="D26" s="2" t="s">
        <v>190</v>
      </c>
      <c r="E26" s="3">
        <v>45346.666666666664</v>
      </c>
      <c r="F26" s="2" t="s">
        <v>227</v>
      </c>
      <c r="G26" s="2" t="s">
        <v>344</v>
      </c>
      <c r="H26" s="2">
        <v>1.75</v>
      </c>
      <c r="I26" s="2">
        <v>85</v>
      </c>
      <c r="J26" s="2">
        <v>65</v>
      </c>
      <c r="K26" s="2">
        <v>20</v>
      </c>
      <c r="L26" s="2">
        <v>60</v>
      </c>
      <c r="M26" s="11">
        <v>20</v>
      </c>
      <c r="N26" s="2" t="s">
        <v>95</v>
      </c>
      <c r="O26" s="14">
        <v>0</v>
      </c>
      <c r="P26" s="14">
        <v>0</v>
      </c>
      <c r="Q26" s="183">
        <v>0</v>
      </c>
      <c r="R26" s="181">
        <v>1</v>
      </c>
      <c r="S26" s="178">
        <f t="shared" si="0"/>
        <v>0</v>
      </c>
      <c r="T26" s="186">
        <f t="shared" si="1"/>
        <v>1</v>
      </c>
      <c r="U26" s="179">
        <f t="shared" si="2"/>
        <v>1</v>
      </c>
      <c r="V26" s="1">
        <f t="shared" si="5"/>
        <v>25</v>
      </c>
      <c r="W26" s="8">
        <f t="shared" si="3"/>
        <v>6.25</v>
      </c>
      <c r="X26" s="15">
        <f t="shared" si="17"/>
        <v>31.25</v>
      </c>
      <c r="Y26"/>
      <c r="Z26"/>
      <c r="AA26"/>
      <c r="AB26"/>
      <c r="AC26"/>
      <c r="AD26"/>
    </row>
    <row r="27" spans="1:45">
      <c r="A27" t="s">
        <v>930</v>
      </c>
      <c r="B27" s="163" t="s">
        <v>10</v>
      </c>
      <c r="C27" s="2" t="s">
        <v>67</v>
      </c>
      <c r="D27" s="2" t="s">
        <v>68</v>
      </c>
      <c r="E27" s="3">
        <v>45361.520833333336</v>
      </c>
      <c r="F27" s="2" t="s">
        <v>343</v>
      </c>
      <c r="G27" s="2" t="s">
        <v>338</v>
      </c>
      <c r="H27" s="2">
        <v>1.8</v>
      </c>
      <c r="I27" s="2">
        <v>100</v>
      </c>
      <c r="J27" s="2">
        <v>65</v>
      </c>
      <c r="K27" s="2">
        <v>15</v>
      </c>
      <c r="L27" s="2">
        <v>67</v>
      </c>
      <c r="M27" s="11">
        <v>20</v>
      </c>
      <c r="N27" s="2" t="s">
        <v>95</v>
      </c>
      <c r="O27" s="14">
        <v>0</v>
      </c>
      <c r="P27" s="14">
        <v>0</v>
      </c>
      <c r="Q27" s="183">
        <v>1</v>
      </c>
      <c r="R27" s="181">
        <v>0</v>
      </c>
      <c r="S27" s="178">
        <f t="shared" si="0"/>
        <v>0</v>
      </c>
      <c r="T27" s="186">
        <f t="shared" si="1"/>
        <v>1</v>
      </c>
      <c r="U27" s="179">
        <f t="shared" si="2"/>
        <v>1</v>
      </c>
      <c r="V27" s="1">
        <f t="shared" si="5"/>
        <v>25</v>
      </c>
      <c r="W27" s="8">
        <f t="shared" si="3"/>
        <v>6.25</v>
      </c>
      <c r="X27" s="15">
        <f t="shared" si="17"/>
        <v>37.5</v>
      </c>
      <c r="Y27"/>
      <c r="Z27"/>
      <c r="AA27"/>
      <c r="AB27"/>
      <c r="AC27"/>
      <c r="AD27"/>
    </row>
    <row r="28" spans="1:45">
      <c r="A28" t="s">
        <v>930</v>
      </c>
      <c r="B28" s="163" t="s">
        <v>10</v>
      </c>
      <c r="C28" s="2" t="s">
        <v>58</v>
      </c>
      <c r="D28" s="2" t="s">
        <v>59</v>
      </c>
      <c r="E28" s="3">
        <v>45366.84375</v>
      </c>
      <c r="F28" s="2" t="s">
        <v>105</v>
      </c>
      <c r="G28" s="2" t="s">
        <v>128</v>
      </c>
      <c r="H28" s="2">
        <v>2.2000000000000002</v>
      </c>
      <c r="I28" s="2">
        <v>85</v>
      </c>
      <c r="J28" s="2">
        <v>65</v>
      </c>
      <c r="K28" s="2">
        <v>35</v>
      </c>
      <c r="L28" s="2">
        <v>62</v>
      </c>
      <c r="M28" s="11"/>
      <c r="N28" s="2" t="s">
        <v>95</v>
      </c>
      <c r="O28" s="14">
        <v>0</v>
      </c>
      <c r="P28" s="14">
        <v>0</v>
      </c>
      <c r="Q28" s="183">
        <v>1</v>
      </c>
      <c r="R28" s="181">
        <v>0</v>
      </c>
      <c r="S28" s="178">
        <f t="shared" si="0"/>
        <v>0</v>
      </c>
      <c r="T28" s="186">
        <f t="shared" si="1"/>
        <v>1</v>
      </c>
      <c r="U28" s="179">
        <f t="shared" si="2"/>
        <v>1</v>
      </c>
      <c r="V28" s="1">
        <f t="shared" si="5"/>
        <v>25</v>
      </c>
      <c r="W28" s="8">
        <f t="shared" si="3"/>
        <v>6.25</v>
      </c>
      <c r="X28" s="15">
        <f t="shared" si="17"/>
        <v>43.75</v>
      </c>
      <c r="Y28"/>
      <c r="Z28"/>
      <c r="AA28"/>
      <c r="AB28"/>
      <c r="AC28"/>
      <c r="AD28"/>
    </row>
    <row r="29" spans="1:45">
      <c r="A29" t="s">
        <v>930</v>
      </c>
      <c r="B29" s="163" t="s">
        <v>792</v>
      </c>
      <c r="C29" s="2" t="s">
        <v>149</v>
      </c>
      <c r="D29" s="2" t="s">
        <v>153</v>
      </c>
      <c r="E29" s="3">
        <v>45410.5625</v>
      </c>
      <c r="F29" s="2" t="s">
        <v>395</v>
      </c>
      <c r="G29" s="2" t="s">
        <v>244</v>
      </c>
      <c r="H29" s="2">
        <v>1.95</v>
      </c>
      <c r="I29" s="2">
        <v>95</v>
      </c>
      <c r="J29" s="2">
        <v>70</v>
      </c>
      <c r="K29" s="2">
        <v>62</v>
      </c>
      <c r="L29" s="2">
        <v>20</v>
      </c>
      <c r="M29" s="11"/>
      <c r="N29" s="2" t="s">
        <v>95</v>
      </c>
      <c r="O29" s="14">
        <v>0</v>
      </c>
      <c r="P29" s="14">
        <v>0</v>
      </c>
      <c r="Q29" s="183">
        <v>1</v>
      </c>
      <c r="R29" s="181">
        <v>0</v>
      </c>
      <c r="S29" s="178">
        <f t="shared" si="0"/>
        <v>0</v>
      </c>
      <c r="T29" s="186">
        <f t="shared" si="1"/>
        <v>1</v>
      </c>
      <c r="U29" s="179">
        <f t="shared" si="2"/>
        <v>1</v>
      </c>
      <c r="V29" s="1">
        <f t="shared" si="5"/>
        <v>25</v>
      </c>
      <c r="W29" s="8">
        <f t="shared" si="3"/>
        <v>6.25</v>
      </c>
      <c r="X29" s="15">
        <f t="shared" si="17"/>
        <v>50</v>
      </c>
      <c r="Y29"/>
      <c r="Z29"/>
      <c r="AA29"/>
      <c r="AB29"/>
      <c r="AC29"/>
      <c r="AD29"/>
    </row>
    <row r="30" spans="1:45">
      <c r="A30" t="s">
        <v>930</v>
      </c>
      <c r="B30" s="163" t="s">
        <v>792</v>
      </c>
      <c r="C30" s="2" t="s">
        <v>149</v>
      </c>
      <c r="D30" s="2" t="s">
        <v>153</v>
      </c>
      <c r="E30" s="3">
        <v>45417.5625</v>
      </c>
      <c r="F30" s="2" t="s">
        <v>250</v>
      </c>
      <c r="G30" s="2" t="s">
        <v>281</v>
      </c>
      <c r="H30" s="2">
        <v>2.35</v>
      </c>
      <c r="I30" s="2">
        <v>90</v>
      </c>
      <c r="J30" s="2">
        <v>65</v>
      </c>
      <c r="K30" s="2">
        <v>59</v>
      </c>
      <c r="L30" s="2">
        <v>20</v>
      </c>
      <c r="M30" s="11"/>
      <c r="N30" s="2" t="s">
        <v>95</v>
      </c>
      <c r="O30" s="14">
        <v>0</v>
      </c>
      <c r="P30" s="14">
        <v>0</v>
      </c>
      <c r="Q30" s="183">
        <v>1</v>
      </c>
      <c r="R30" s="181">
        <v>0</v>
      </c>
      <c r="S30" s="178">
        <f t="shared" si="0"/>
        <v>0</v>
      </c>
      <c r="T30" s="186">
        <f t="shared" si="1"/>
        <v>1</v>
      </c>
      <c r="U30" s="179">
        <f t="shared" si="2"/>
        <v>1</v>
      </c>
      <c r="V30" s="1">
        <f t="shared" si="5"/>
        <v>25</v>
      </c>
      <c r="W30" s="8">
        <f t="shared" si="3"/>
        <v>6.25</v>
      </c>
      <c r="X30" s="15">
        <f t="shared" si="17"/>
        <v>56.25</v>
      </c>
      <c r="Y30"/>
      <c r="Z30"/>
      <c r="AA30"/>
      <c r="AB30"/>
      <c r="AC30"/>
      <c r="AD30"/>
    </row>
    <row r="31" spans="1:45">
      <c r="A31" t="s">
        <v>930</v>
      </c>
      <c r="B31" s="163" t="s">
        <v>792</v>
      </c>
      <c r="C31" s="2" t="s">
        <v>119</v>
      </c>
      <c r="D31" s="2" t="s">
        <v>120</v>
      </c>
      <c r="E31" s="3">
        <v>45426.875</v>
      </c>
      <c r="F31" s="2" t="s">
        <v>453</v>
      </c>
      <c r="G31" s="2" t="s">
        <v>362</v>
      </c>
      <c r="H31" s="2">
        <v>2.25</v>
      </c>
      <c r="I31" s="2">
        <v>90</v>
      </c>
      <c r="J31" s="2">
        <v>75</v>
      </c>
      <c r="K31" s="2">
        <v>61</v>
      </c>
      <c r="L31" s="2">
        <v>20</v>
      </c>
      <c r="M31" s="11"/>
      <c r="N31" s="2" t="s">
        <v>95</v>
      </c>
      <c r="O31" s="14">
        <v>0</v>
      </c>
      <c r="P31" s="14">
        <v>0</v>
      </c>
      <c r="Q31" s="183">
        <v>0</v>
      </c>
      <c r="R31" s="181">
        <v>1</v>
      </c>
      <c r="S31" s="178">
        <f t="shared" si="0"/>
        <v>0</v>
      </c>
      <c r="T31" s="186">
        <f t="shared" si="1"/>
        <v>1</v>
      </c>
      <c r="U31" s="179">
        <f t="shared" si="2"/>
        <v>1</v>
      </c>
      <c r="V31" s="1">
        <f t="shared" si="5"/>
        <v>25</v>
      </c>
      <c r="W31" s="8">
        <f t="shared" si="3"/>
        <v>6.25</v>
      </c>
      <c r="X31" s="15">
        <f t="shared" si="17"/>
        <v>62.5</v>
      </c>
      <c r="Y31"/>
      <c r="Z31"/>
      <c r="AA31"/>
      <c r="AB31"/>
      <c r="AC31"/>
      <c r="AD31"/>
    </row>
    <row r="32" spans="1:45">
      <c r="A32" t="s">
        <v>930</v>
      </c>
      <c r="B32" s="163" t="s">
        <v>28</v>
      </c>
      <c r="C32" s="2" t="s">
        <v>6</v>
      </c>
      <c r="D32" s="2" t="s">
        <v>7</v>
      </c>
      <c r="E32" s="3">
        <v>45286.625</v>
      </c>
      <c r="F32" s="2" t="s">
        <v>26</v>
      </c>
      <c r="G32" s="2" t="s">
        <v>84</v>
      </c>
      <c r="H32" s="2">
        <v>2.4</v>
      </c>
      <c r="I32" s="2">
        <v>5.29</v>
      </c>
      <c r="J32" s="2">
        <v>61</v>
      </c>
      <c r="K32" s="2">
        <v>0</v>
      </c>
      <c r="L32" s="2">
        <v>20</v>
      </c>
      <c r="M32" s="11"/>
      <c r="N32" s="2" t="s">
        <v>95</v>
      </c>
      <c r="O32" s="14">
        <v>0</v>
      </c>
      <c r="P32" s="13">
        <v>0</v>
      </c>
      <c r="Q32" s="183">
        <v>0</v>
      </c>
      <c r="R32" s="181">
        <v>1</v>
      </c>
      <c r="S32" s="178">
        <f t="shared" si="0"/>
        <v>0</v>
      </c>
      <c r="T32" s="186">
        <f t="shared" si="1"/>
        <v>1</v>
      </c>
      <c r="U32" s="179">
        <f t="shared" si="2"/>
        <v>1</v>
      </c>
      <c r="V32" s="1">
        <f t="shared" si="5"/>
        <v>25</v>
      </c>
      <c r="W32" s="8">
        <f t="shared" si="3"/>
        <v>6.25</v>
      </c>
      <c r="X32" s="15">
        <f t="shared" si="17"/>
        <v>68.75</v>
      </c>
      <c r="Y32"/>
      <c r="Z32"/>
      <c r="AA32"/>
      <c r="AB32"/>
      <c r="AC32"/>
      <c r="AD32"/>
    </row>
    <row r="33" spans="1:30">
      <c r="A33" t="s">
        <v>930</v>
      </c>
      <c r="B33" s="163" t="s">
        <v>28</v>
      </c>
      <c r="C33" s="2" t="s">
        <v>173</v>
      </c>
      <c r="D33" s="2" t="s">
        <v>174</v>
      </c>
      <c r="E33" s="3">
        <v>45305.916666666664</v>
      </c>
      <c r="F33" s="2" t="s">
        <v>175</v>
      </c>
      <c r="G33" s="2" t="s">
        <v>176</v>
      </c>
      <c r="H33" s="2">
        <v>1.95</v>
      </c>
      <c r="I33" s="2">
        <v>4.54</v>
      </c>
      <c r="J33" s="2">
        <v>63</v>
      </c>
      <c r="K33" s="2">
        <v>0</v>
      </c>
      <c r="L33" s="2">
        <v>20</v>
      </c>
      <c r="M33" s="11"/>
      <c r="N33" s="2" t="s">
        <v>95</v>
      </c>
      <c r="O33" s="14">
        <v>0</v>
      </c>
      <c r="P33" s="13">
        <v>0</v>
      </c>
      <c r="Q33" s="183">
        <v>1</v>
      </c>
      <c r="R33" s="181">
        <v>0</v>
      </c>
      <c r="S33" s="178">
        <f t="shared" si="0"/>
        <v>0</v>
      </c>
      <c r="T33" s="186">
        <f t="shared" si="1"/>
        <v>1</v>
      </c>
      <c r="U33" s="179">
        <f t="shared" si="2"/>
        <v>1</v>
      </c>
      <c r="V33" s="1">
        <f t="shared" si="5"/>
        <v>25</v>
      </c>
      <c r="W33" s="8">
        <f t="shared" si="3"/>
        <v>6.25</v>
      </c>
      <c r="X33" s="15">
        <f t="shared" si="17"/>
        <v>75</v>
      </c>
      <c r="Y33"/>
      <c r="Z33"/>
      <c r="AA33"/>
      <c r="AB33"/>
      <c r="AC33"/>
      <c r="AD33"/>
    </row>
    <row r="34" spans="1:30">
      <c r="A34" t="s">
        <v>930</v>
      </c>
      <c r="B34" s="163" t="s">
        <v>35</v>
      </c>
      <c r="C34" s="2" t="s">
        <v>149</v>
      </c>
      <c r="D34" s="2" t="s">
        <v>153</v>
      </c>
      <c r="E34" s="3">
        <v>45319.65625</v>
      </c>
      <c r="F34" s="2" t="s">
        <v>244</v>
      </c>
      <c r="G34" s="2" t="s">
        <v>249</v>
      </c>
      <c r="H34" s="2">
        <v>70</v>
      </c>
      <c r="I34" s="2">
        <v>82</v>
      </c>
      <c r="J34" s="2">
        <v>65</v>
      </c>
      <c r="K34" s="2">
        <v>41</v>
      </c>
      <c r="L34" s="2">
        <v>17</v>
      </c>
      <c r="M34" s="11">
        <v>1.21</v>
      </c>
      <c r="N34" s="2" t="s">
        <v>95</v>
      </c>
      <c r="O34" s="14">
        <v>0</v>
      </c>
      <c r="P34" s="13">
        <v>0</v>
      </c>
      <c r="Q34" s="183">
        <v>0</v>
      </c>
      <c r="R34" s="181">
        <v>1</v>
      </c>
      <c r="S34" s="178">
        <f t="shared" si="0"/>
        <v>0</v>
      </c>
      <c r="T34" s="186">
        <f t="shared" si="1"/>
        <v>1</v>
      </c>
      <c r="U34" s="179">
        <f t="shared" si="2"/>
        <v>1</v>
      </c>
      <c r="V34" s="1">
        <f t="shared" si="5"/>
        <v>25</v>
      </c>
      <c r="W34" s="8">
        <f t="shared" si="3"/>
        <v>6.25</v>
      </c>
      <c r="X34" s="15">
        <f t="shared" si="17"/>
        <v>81.25</v>
      </c>
      <c r="Y34"/>
      <c r="Z34"/>
      <c r="AA34"/>
      <c r="AB34"/>
      <c r="AC34"/>
      <c r="AD34"/>
    </row>
    <row r="35" spans="1:30">
      <c r="A35" t="s">
        <v>930</v>
      </c>
      <c r="B35" s="163" t="s">
        <v>35</v>
      </c>
      <c r="C35" s="2" t="s">
        <v>296</v>
      </c>
      <c r="D35" s="2" t="s">
        <v>78</v>
      </c>
      <c r="E35" s="3">
        <v>45325.8125</v>
      </c>
      <c r="F35" s="2" t="s">
        <v>392</v>
      </c>
      <c r="G35" s="2" t="s">
        <v>368</v>
      </c>
      <c r="H35" s="2">
        <v>72</v>
      </c>
      <c r="I35" s="2">
        <v>95</v>
      </c>
      <c r="J35" s="2">
        <v>80</v>
      </c>
      <c r="K35" s="2">
        <v>40</v>
      </c>
      <c r="L35" s="2">
        <v>20</v>
      </c>
      <c r="M35" s="11">
        <v>0.59</v>
      </c>
      <c r="N35" s="2" t="s">
        <v>95</v>
      </c>
      <c r="O35" s="14">
        <v>0</v>
      </c>
      <c r="P35" s="13">
        <v>0</v>
      </c>
      <c r="Q35" s="183">
        <v>0</v>
      </c>
      <c r="R35" s="181">
        <v>1</v>
      </c>
      <c r="S35" s="178">
        <f t="shared" si="0"/>
        <v>0</v>
      </c>
      <c r="T35" s="186">
        <f t="shared" si="1"/>
        <v>1</v>
      </c>
      <c r="U35" s="179">
        <f t="shared" si="2"/>
        <v>1</v>
      </c>
      <c r="V35" s="1">
        <f t="shared" si="5"/>
        <v>25</v>
      </c>
      <c r="W35" s="8">
        <f t="shared" si="3"/>
        <v>6.25</v>
      </c>
      <c r="X35" s="15">
        <f t="shared" si="17"/>
        <v>87.5</v>
      </c>
      <c r="Y35"/>
      <c r="Z35"/>
      <c r="AA35"/>
      <c r="AB35"/>
      <c r="AC35"/>
      <c r="AD35"/>
    </row>
    <row r="36" spans="1:30">
      <c r="A36" t="s">
        <v>930</v>
      </c>
      <c r="B36" s="163" t="s">
        <v>43</v>
      </c>
      <c r="C36" s="2" t="s">
        <v>20</v>
      </c>
      <c r="D36" s="2" t="s">
        <v>21</v>
      </c>
      <c r="E36" s="3">
        <v>45290.479166666664</v>
      </c>
      <c r="F36" s="2" t="s">
        <v>97</v>
      </c>
      <c r="G36" s="2" t="s">
        <v>98</v>
      </c>
      <c r="H36" s="2">
        <v>71</v>
      </c>
      <c r="I36" s="2">
        <v>73</v>
      </c>
      <c r="J36" s="2">
        <v>61</v>
      </c>
      <c r="K36" s="2">
        <v>1.9</v>
      </c>
      <c r="L36" s="2"/>
      <c r="M36" s="11"/>
      <c r="N36" s="2" t="s">
        <v>95</v>
      </c>
      <c r="O36" s="13">
        <v>0</v>
      </c>
      <c r="P36" s="13">
        <v>0</v>
      </c>
      <c r="Q36" s="183">
        <v>1</v>
      </c>
      <c r="R36" s="181">
        <v>0</v>
      </c>
      <c r="S36" s="178">
        <f t="shared" si="0"/>
        <v>0</v>
      </c>
      <c r="T36" s="186">
        <f t="shared" si="1"/>
        <v>1</v>
      </c>
      <c r="U36" s="179">
        <f t="shared" si="2"/>
        <v>1</v>
      </c>
      <c r="V36" s="1">
        <f t="shared" si="5"/>
        <v>25</v>
      </c>
      <c r="W36" s="8">
        <f t="shared" si="3"/>
        <v>6.25</v>
      </c>
      <c r="X36" s="15">
        <f t="shared" si="17"/>
        <v>93.75</v>
      </c>
      <c r="Y36"/>
      <c r="Z36"/>
      <c r="AA36"/>
      <c r="AB36"/>
      <c r="AC36"/>
      <c r="AD36"/>
    </row>
    <row r="37" spans="1:30">
      <c r="A37" t="s">
        <v>930</v>
      </c>
      <c r="B37" s="163" t="s">
        <v>43</v>
      </c>
      <c r="C37" s="2" t="s">
        <v>119</v>
      </c>
      <c r="D37" s="2" t="s">
        <v>120</v>
      </c>
      <c r="E37" s="3">
        <v>45294.760416666664</v>
      </c>
      <c r="F37" s="2" t="s">
        <v>122</v>
      </c>
      <c r="G37" s="2" t="s">
        <v>123</v>
      </c>
      <c r="H37" s="2">
        <v>67</v>
      </c>
      <c r="I37" s="2">
        <v>67</v>
      </c>
      <c r="J37" s="2">
        <v>60</v>
      </c>
      <c r="K37" s="2">
        <v>1.7</v>
      </c>
      <c r="L37" s="2"/>
      <c r="M37" s="11"/>
      <c r="N37" s="2" t="s">
        <v>95</v>
      </c>
      <c r="O37" s="13">
        <v>0</v>
      </c>
      <c r="P37" s="13">
        <v>0</v>
      </c>
      <c r="Q37" s="183">
        <v>1</v>
      </c>
      <c r="R37" s="181">
        <v>0</v>
      </c>
      <c r="S37" s="178">
        <f t="shared" si="0"/>
        <v>0</v>
      </c>
      <c r="T37" s="186">
        <f t="shared" si="1"/>
        <v>1</v>
      </c>
      <c r="U37" s="179">
        <f t="shared" si="2"/>
        <v>1</v>
      </c>
      <c r="V37" s="1">
        <f t="shared" si="5"/>
        <v>25</v>
      </c>
      <c r="W37" s="8">
        <f t="shared" si="3"/>
        <v>6.25</v>
      </c>
      <c r="X37" s="15">
        <f t="shared" si="17"/>
        <v>100</v>
      </c>
      <c r="Y37"/>
      <c r="Z37"/>
      <c r="AA37"/>
      <c r="AB37"/>
      <c r="AC37"/>
      <c r="AD37"/>
    </row>
    <row r="38" spans="1:30">
      <c r="A38" t="s">
        <v>930</v>
      </c>
      <c r="B38" s="163" t="s">
        <v>43</v>
      </c>
      <c r="C38" s="2" t="s">
        <v>119</v>
      </c>
      <c r="D38" s="2" t="s">
        <v>166</v>
      </c>
      <c r="E38" s="154">
        <v>45396.635416666664</v>
      </c>
      <c r="F38" s="155" t="s">
        <v>238</v>
      </c>
      <c r="G38" s="2" t="s">
        <v>327</v>
      </c>
      <c r="H38" s="2">
        <v>82</v>
      </c>
      <c r="I38" s="2">
        <v>70</v>
      </c>
      <c r="J38" s="2">
        <v>63</v>
      </c>
      <c r="K38" s="2">
        <v>1.8</v>
      </c>
      <c r="L38" s="2">
        <v>1.04</v>
      </c>
      <c r="M38" s="11"/>
      <c r="N38" s="2" t="s">
        <v>95</v>
      </c>
      <c r="O38" s="14">
        <v>0</v>
      </c>
      <c r="P38" s="14">
        <v>0</v>
      </c>
      <c r="Q38" s="183">
        <v>1</v>
      </c>
      <c r="R38" s="181">
        <v>0</v>
      </c>
      <c r="S38" s="178">
        <f t="shared" si="0"/>
        <v>0</v>
      </c>
      <c r="T38" s="186">
        <f t="shared" si="1"/>
        <v>1</v>
      </c>
      <c r="U38" s="179">
        <f t="shared" si="2"/>
        <v>1</v>
      </c>
      <c r="V38" s="1">
        <f t="shared" si="5"/>
        <v>25</v>
      </c>
      <c r="W38" s="8">
        <f t="shared" si="3"/>
        <v>6.25</v>
      </c>
      <c r="X38" s="15">
        <f t="shared" si="17"/>
        <v>106.25</v>
      </c>
      <c r="Y38"/>
      <c r="Z38"/>
      <c r="AA38"/>
      <c r="AB38"/>
      <c r="AC38"/>
      <c r="AD38"/>
    </row>
    <row r="39" spans="1:30">
      <c r="A39" t="s">
        <v>930</v>
      </c>
      <c r="B39" s="163" t="s">
        <v>43</v>
      </c>
      <c r="C39" s="2" t="s">
        <v>20</v>
      </c>
      <c r="D39" s="2" t="s">
        <v>322</v>
      </c>
      <c r="E39" s="3">
        <v>45413.708333333336</v>
      </c>
      <c r="F39" s="2" t="s">
        <v>749</v>
      </c>
      <c r="G39" s="2" t="s">
        <v>693</v>
      </c>
      <c r="H39" s="2">
        <v>71</v>
      </c>
      <c r="I39" s="2">
        <v>82</v>
      </c>
      <c r="J39" s="2">
        <v>64</v>
      </c>
      <c r="K39" s="2">
        <v>1.45</v>
      </c>
      <c r="L39" s="2">
        <v>1.48</v>
      </c>
      <c r="M39" s="11"/>
      <c r="N39" s="2" t="s">
        <v>95</v>
      </c>
      <c r="O39" s="14">
        <v>0</v>
      </c>
      <c r="P39" s="14">
        <v>0</v>
      </c>
      <c r="Q39" s="183">
        <v>1</v>
      </c>
      <c r="R39" s="181">
        <v>0</v>
      </c>
      <c r="S39" s="178">
        <f t="shared" si="0"/>
        <v>0</v>
      </c>
      <c r="T39" s="186">
        <f t="shared" si="1"/>
        <v>1</v>
      </c>
      <c r="U39" s="179">
        <f t="shared" si="2"/>
        <v>1</v>
      </c>
      <c r="V39" s="1">
        <f t="shared" si="5"/>
        <v>25</v>
      </c>
      <c r="W39" s="8">
        <f t="shared" si="3"/>
        <v>6.25</v>
      </c>
      <c r="X39" s="15">
        <f t="shared" si="17"/>
        <v>112.5</v>
      </c>
      <c r="Y39"/>
      <c r="Z39"/>
      <c r="AA39"/>
      <c r="AB39"/>
      <c r="AC39"/>
      <c r="AD39"/>
    </row>
    <row r="40" spans="1:30">
      <c r="A40" t="s">
        <v>930</v>
      </c>
      <c r="B40" s="163" t="s">
        <v>726</v>
      </c>
      <c r="C40" s="2" t="s">
        <v>296</v>
      </c>
      <c r="D40" s="2" t="s">
        <v>525</v>
      </c>
      <c r="E40" s="3">
        <v>45395.708333333336</v>
      </c>
      <c r="F40" s="2" t="s">
        <v>731</v>
      </c>
      <c r="G40" s="2" t="s">
        <v>685</v>
      </c>
      <c r="H40" s="2">
        <v>80</v>
      </c>
      <c r="I40" s="2">
        <v>20</v>
      </c>
      <c r="J40" s="2">
        <v>1.9</v>
      </c>
      <c r="K40" s="2">
        <v>61</v>
      </c>
      <c r="L40" s="2"/>
      <c r="M40" s="11"/>
      <c r="N40" s="2" t="s">
        <v>95</v>
      </c>
      <c r="O40" s="14">
        <v>0</v>
      </c>
      <c r="P40" s="14">
        <v>0</v>
      </c>
      <c r="Q40" s="183">
        <v>1</v>
      </c>
      <c r="R40" s="181">
        <v>0</v>
      </c>
      <c r="S40" s="178">
        <f t="shared" si="0"/>
        <v>0</v>
      </c>
      <c r="T40" s="186">
        <f t="shared" si="1"/>
        <v>1</v>
      </c>
      <c r="U40" s="179">
        <f t="shared" si="2"/>
        <v>1</v>
      </c>
      <c r="V40" s="1">
        <f t="shared" si="5"/>
        <v>25</v>
      </c>
      <c r="W40" s="8">
        <f t="shared" si="3"/>
        <v>6.25</v>
      </c>
      <c r="X40" s="15">
        <f t="shared" si="17"/>
        <v>118.75</v>
      </c>
      <c r="Y40"/>
      <c r="Z40"/>
      <c r="AA40"/>
      <c r="AB40"/>
      <c r="AC40"/>
      <c r="AD40"/>
    </row>
    <row r="41" spans="1:30">
      <c r="A41" t="s">
        <v>930</v>
      </c>
      <c r="B41" s="163" t="s">
        <v>726</v>
      </c>
      <c r="C41" s="2" t="s">
        <v>58</v>
      </c>
      <c r="D41" s="2" t="s">
        <v>59</v>
      </c>
      <c r="E41" s="3">
        <v>45395.854166666664</v>
      </c>
      <c r="F41" s="2" t="s">
        <v>105</v>
      </c>
      <c r="G41" s="2" t="s">
        <v>112</v>
      </c>
      <c r="H41" s="2">
        <v>85</v>
      </c>
      <c r="I41" s="2">
        <v>20</v>
      </c>
      <c r="J41" s="2">
        <v>2.15</v>
      </c>
      <c r="K41" s="2">
        <v>59</v>
      </c>
      <c r="L41" s="2"/>
      <c r="M41" s="11"/>
      <c r="N41" s="2" t="s">
        <v>95</v>
      </c>
      <c r="O41" s="14">
        <v>0</v>
      </c>
      <c r="P41" s="14">
        <v>0</v>
      </c>
      <c r="Q41" s="183">
        <v>0</v>
      </c>
      <c r="R41" s="181">
        <v>1</v>
      </c>
      <c r="S41" s="178">
        <f t="shared" si="0"/>
        <v>0</v>
      </c>
      <c r="T41" s="186">
        <f t="shared" si="1"/>
        <v>1</v>
      </c>
      <c r="U41" s="179">
        <f t="shared" si="2"/>
        <v>1</v>
      </c>
      <c r="V41" s="1">
        <f t="shared" si="5"/>
        <v>25</v>
      </c>
      <c r="W41" s="8">
        <f t="shared" si="3"/>
        <v>6.25</v>
      </c>
      <c r="X41" s="15">
        <f t="shared" si="17"/>
        <v>125</v>
      </c>
      <c r="Y41"/>
      <c r="Z41"/>
      <c r="AA41"/>
      <c r="AB41"/>
      <c r="AC41"/>
      <c r="AD41"/>
    </row>
    <row r="42" spans="1:30">
      <c r="A42" t="s">
        <v>930</v>
      </c>
      <c r="B42" s="163" t="s">
        <v>726</v>
      </c>
      <c r="C42" s="2" t="s">
        <v>149</v>
      </c>
      <c r="D42" s="2" t="s">
        <v>150</v>
      </c>
      <c r="E42" s="154">
        <v>45396.65625</v>
      </c>
      <c r="F42" s="155" t="s">
        <v>331</v>
      </c>
      <c r="G42" s="2" t="s">
        <v>732</v>
      </c>
      <c r="H42" s="2">
        <v>80</v>
      </c>
      <c r="I42" s="2">
        <v>20</v>
      </c>
      <c r="J42" s="155">
        <v>1.9</v>
      </c>
      <c r="K42" s="155">
        <v>58</v>
      </c>
      <c r="L42" s="2"/>
      <c r="M42" s="11"/>
      <c r="N42" s="2" t="s">
        <v>95</v>
      </c>
      <c r="O42" s="14">
        <v>0</v>
      </c>
      <c r="P42" s="14">
        <v>0</v>
      </c>
      <c r="Q42" s="183">
        <v>0</v>
      </c>
      <c r="R42" s="181">
        <v>1</v>
      </c>
      <c r="S42" s="178">
        <f t="shared" si="0"/>
        <v>0</v>
      </c>
      <c r="T42" s="186">
        <f t="shared" si="1"/>
        <v>1</v>
      </c>
      <c r="U42" s="179">
        <f t="shared" si="2"/>
        <v>1</v>
      </c>
      <c r="V42" s="1">
        <f t="shared" si="5"/>
        <v>25</v>
      </c>
      <c r="W42" s="8">
        <f t="shared" si="3"/>
        <v>6.25</v>
      </c>
      <c r="X42" s="15">
        <f t="shared" si="17"/>
        <v>131.25</v>
      </c>
    </row>
    <row r="43" spans="1:30">
      <c r="A43" t="s">
        <v>930</v>
      </c>
      <c r="B43" s="163" t="s">
        <v>726</v>
      </c>
      <c r="C43" s="2" t="s">
        <v>296</v>
      </c>
      <c r="D43" s="2" t="s">
        <v>525</v>
      </c>
      <c r="E43" s="3">
        <v>45401.802083333336</v>
      </c>
      <c r="F43" s="2" t="s">
        <v>529</v>
      </c>
      <c r="G43" s="2" t="s">
        <v>597</v>
      </c>
      <c r="H43" s="2">
        <v>85</v>
      </c>
      <c r="I43" s="2">
        <v>20</v>
      </c>
      <c r="J43" s="2">
        <v>2.15</v>
      </c>
      <c r="K43" s="2">
        <v>64</v>
      </c>
      <c r="L43" s="2"/>
      <c r="M43" s="11"/>
      <c r="N43" s="2" t="s">
        <v>95</v>
      </c>
      <c r="O43" s="14">
        <v>0</v>
      </c>
      <c r="P43" s="14">
        <v>0</v>
      </c>
      <c r="Q43" s="183">
        <v>1</v>
      </c>
      <c r="R43" s="181">
        <v>0</v>
      </c>
      <c r="S43" s="178">
        <f t="shared" si="0"/>
        <v>0</v>
      </c>
      <c r="T43" s="186">
        <f t="shared" si="1"/>
        <v>1</v>
      </c>
      <c r="U43" s="179">
        <f t="shared" si="2"/>
        <v>1</v>
      </c>
      <c r="V43" s="1">
        <f t="shared" si="5"/>
        <v>25</v>
      </c>
      <c r="W43" s="8">
        <f t="shared" si="3"/>
        <v>6.25</v>
      </c>
      <c r="X43" s="15">
        <f t="shared" si="17"/>
        <v>137.5</v>
      </c>
    </row>
    <row r="44" spans="1:30">
      <c r="A44" t="s">
        <v>930</v>
      </c>
      <c r="B44" s="163" t="s">
        <v>726</v>
      </c>
      <c r="C44" s="2" t="s">
        <v>89</v>
      </c>
      <c r="D44" s="2" t="s">
        <v>90</v>
      </c>
      <c r="E44" s="3">
        <v>45403.59375</v>
      </c>
      <c r="F44" s="2" t="s">
        <v>713</v>
      </c>
      <c r="G44" s="2" t="s">
        <v>714</v>
      </c>
      <c r="H44" s="2">
        <v>80</v>
      </c>
      <c r="I44" s="2">
        <v>20</v>
      </c>
      <c r="J44" s="2">
        <v>2.15</v>
      </c>
      <c r="K44" s="2">
        <v>58</v>
      </c>
      <c r="L44" s="2"/>
      <c r="M44" s="11"/>
      <c r="N44" s="2" t="s">
        <v>95</v>
      </c>
      <c r="O44" s="14">
        <v>0</v>
      </c>
      <c r="P44" s="14">
        <v>0</v>
      </c>
      <c r="Q44" s="183">
        <v>1</v>
      </c>
      <c r="R44" s="181">
        <v>0</v>
      </c>
      <c r="S44" s="178">
        <f t="shared" si="0"/>
        <v>0</v>
      </c>
      <c r="T44" s="186">
        <f t="shared" si="1"/>
        <v>1</v>
      </c>
      <c r="U44" s="179">
        <f t="shared" si="2"/>
        <v>1</v>
      </c>
      <c r="V44" s="1">
        <f t="shared" si="5"/>
        <v>25</v>
      </c>
      <c r="W44" s="8">
        <f t="shared" si="3"/>
        <v>6.25</v>
      </c>
      <c r="X44" s="15">
        <f t="shared" si="17"/>
        <v>143.75</v>
      </c>
    </row>
    <row r="45" spans="1:30">
      <c r="A45" t="s">
        <v>930</v>
      </c>
      <c r="B45" s="163" t="s">
        <v>726</v>
      </c>
      <c r="C45" s="2" t="s">
        <v>149</v>
      </c>
      <c r="D45" s="2" t="s">
        <v>153</v>
      </c>
      <c r="E45" s="3">
        <v>45410.5625</v>
      </c>
      <c r="F45" s="2" t="s">
        <v>395</v>
      </c>
      <c r="G45" s="2" t="s">
        <v>244</v>
      </c>
      <c r="H45" s="2">
        <v>95</v>
      </c>
      <c r="I45" s="2">
        <v>20</v>
      </c>
      <c r="J45" s="2">
        <v>1.95</v>
      </c>
      <c r="K45" s="2">
        <v>62</v>
      </c>
      <c r="L45" s="2"/>
      <c r="M45" s="11"/>
      <c r="N45" s="2" t="s">
        <v>95</v>
      </c>
      <c r="O45" s="14">
        <v>0</v>
      </c>
      <c r="P45" s="14">
        <v>0</v>
      </c>
      <c r="Q45" s="183">
        <v>1</v>
      </c>
      <c r="R45" s="181">
        <v>0</v>
      </c>
      <c r="S45" s="178">
        <f t="shared" si="0"/>
        <v>0</v>
      </c>
      <c r="T45" s="186">
        <f t="shared" si="1"/>
        <v>1</v>
      </c>
      <c r="U45" s="179">
        <f t="shared" si="2"/>
        <v>1</v>
      </c>
      <c r="V45" s="1">
        <f t="shared" si="5"/>
        <v>25</v>
      </c>
      <c r="W45" s="8">
        <f t="shared" si="3"/>
        <v>6.25</v>
      </c>
      <c r="X45" s="15">
        <f t="shared" si="17"/>
        <v>150</v>
      </c>
    </row>
    <row r="46" spans="1:30">
      <c r="A46" t="s">
        <v>930</v>
      </c>
      <c r="B46" s="163" t="s">
        <v>726</v>
      </c>
      <c r="C46" s="2" t="s">
        <v>149</v>
      </c>
      <c r="D46" s="2" t="s">
        <v>153</v>
      </c>
      <c r="E46" s="3">
        <v>45417.5625</v>
      </c>
      <c r="F46" s="2" t="s">
        <v>250</v>
      </c>
      <c r="G46" s="2" t="s">
        <v>281</v>
      </c>
      <c r="H46" s="2">
        <v>90</v>
      </c>
      <c r="I46" s="2">
        <v>20</v>
      </c>
      <c r="J46" s="2">
        <v>2.35</v>
      </c>
      <c r="K46" s="2">
        <v>59</v>
      </c>
      <c r="L46" s="2"/>
      <c r="M46" s="11"/>
      <c r="N46" s="2" t="s">
        <v>95</v>
      </c>
      <c r="O46" s="14">
        <v>0</v>
      </c>
      <c r="P46" s="14">
        <v>0</v>
      </c>
      <c r="Q46" s="183">
        <v>1</v>
      </c>
      <c r="R46" s="181">
        <v>0</v>
      </c>
      <c r="S46" s="178">
        <f t="shared" si="0"/>
        <v>0</v>
      </c>
      <c r="T46" s="186">
        <f t="shared" si="1"/>
        <v>1</v>
      </c>
      <c r="U46" s="179">
        <f t="shared" si="2"/>
        <v>1</v>
      </c>
      <c r="V46" s="1">
        <f t="shared" si="5"/>
        <v>25</v>
      </c>
      <c r="W46" s="8">
        <f t="shared" si="3"/>
        <v>6.25</v>
      </c>
      <c r="X46" s="15">
        <f t="shared" si="17"/>
        <v>156.25</v>
      </c>
    </row>
    <row r="47" spans="1:30">
      <c r="A47" t="s">
        <v>930</v>
      </c>
      <c r="B47" s="163" t="s">
        <v>726</v>
      </c>
      <c r="C47" s="2" t="s">
        <v>119</v>
      </c>
      <c r="D47" s="2" t="s">
        <v>120</v>
      </c>
      <c r="E47" s="3">
        <v>45424.635416666664</v>
      </c>
      <c r="F47" s="2" t="s">
        <v>349</v>
      </c>
      <c r="G47" s="2" t="s">
        <v>479</v>
      </c>
      <c r="H47" s="2">
        <v>90</v>
      </c>
      <c r="I47" s="2">
        <v>20</v>
      </c>
      <c r="J47" s="2">
        <v>1.95</v>
      </c>
      <c r="K47" s="2">
        <v>60</v>
      </c>
      <c r="L47" s="2"/>
      <c r="M47" s="11"/>
      <c r="N47" s="2" t="s">
        <v>95</v>
      </c>
      <c r="O47" s="14">
        <v>0</v>
      </c>
      <c r="P47" s="14">
        <v>0</v>
      </c>
      <c r="Q47" s="183">
        <v>1</v>
      </c>
      <c r="R47" s="181">
        <v>0</v>
      </c>
      <c r="S47" s="178">
        <f t="shared" si="0"/>
        <v>0</v>
      </c>
      <c r="T47" s="186">
        <f t="shared" si="1"/>
        <v>1</v>
      </c>
      <c r="U47" s="179">
        <f t="shared" si="2"/>
        <v>1</v>
      </c>
      <c r="V47" s="1">
        <f t="shared" si="5"/>
        <v>25</v>
      </c>
      <c r="W47" s="8">
        <f t="shared" si="3"/>
        <v>6.25</v>
      </c>
      <c r="X47" s="15">
        <f t="shared" si="17"/>
        <v>162.5</v>
      </c>
    </row>
    <row r="48" spans="1:30">
      <c r="A48" t="s">
        <v>930</v>
      </c>
      <c r="B48" s="163" t="s">
        <v>726</v>
      </c>
      <c r="C48" s="2" t="s">
        <v>145</v>
      </c>
      <c r="D48" s="2" t="s">
        <v>190</v>
      </c>
      <c r="E48" s="3">
        <v>45424.833333333336</v>
      </c>
      <c r="F48" s="2" t="s">
        <v>611</v>
      </c>
      <c r="G48" s="2" t="s">
        <v>571</v>
      </c>
      <c r="H48" s="2">
        <v>85</v>
      </c>
      <c r="I48" s="2">
        <v>20</v>
      </c>
      <c r="J48" s="2">
        <v>2.0499999999999998</v>
      </c>
      <c r="K48" s="2">
        <v>59</v>
      </c>
      <c r="L48" s="2"/>
      <c r="M48" s="11"/>
      <c r="N48" s="2" t="s">
        <v>95</v>
      </c>
      <c r="O48" s="14">
        <v>0</v>
      </c>
      <c r="P48" s="14">
        <v>0</v>
      </c>
      <c r="Q48" s="183">
        <v>0</v>
      </c>
      <c r="R48" s="181">
        <v>1</v>
      </c>
      <c r="S48" s="178">
        <f t="shared" si="0"/>
        <v>0</v>
      </c>
      <c r="T48" s="186">
        <f t="shared" si="1"/>
        <v>1</v>
      </c>
      <c r="U48" s="179">
        <f t="shared" si="2"/>
        <v>1</v>
      </c>
      <c r="V48" s="1">
        <f t="shared" si="5"/>
        <v>25</v>
      </c>
      <c r="W48" s="8">
        <f t="shared" si="3"/>
        <v>6.25</v>
      </c>
      <c r="X48" s="15">
        <f t="shared" ref="X48:X66" si="18">SUM(X47,W48)</f>
        <v>168.75</v>
      </c>
    </row>
    <row r="49" spans="1:24">
      <c r="A49" t="s">
        <v>930</v>
      </c>
      <c r="B49" s="163" t="s">
        <v>726</v>
      </c>
      <c r="C49" s="2" t="s">
        <v>119</v>
      </c>
      <c r="D49" s="2" t="s">
        <v>120</v>
      </c>
      <c r="E49" s="3">
        <v>45426.875</v>
      </c>
      <c r="F49" s="2" t="s">
        <v>453</v>
      </c>
      <c r="G49" s="2" t="s">
        <v>362</v>
      </c>
      <c r="H49" s="2">
        <v>90</v>
      </c>
      <c r="I49" s="2">
        <v>20</v>
      </c>
      <c r="J49" s="2">
        <v>2.25</v>
      </c>
      <c r="K49" s="2">
        <v>61</v>
      </c>
      <c r="L49" s="2"/>
      <c r="M49" s="11"/>
      <c r="N49" s="2" t="s">
        <v>95</v>
      </c>
      <c r="O49" s="14">
        <v>0</v>
      </c>
      <c r="P49" s="14">
        <v>0</v>
      </c>
      <c r="Q49" s="183">
        <v>0</v>
      </c>
      <c r="R49" s="181">
        <v>1</v>
      </c>
      <c r="S49" s="178">
        <f t="shared" si="0"/>
        <v>0</v>
      </c>
      <c r="T49" s="186">
        <f t="shared" si="1"/>
        <v>1</v>
      </c>
      <c r="U49" s="179">
        <f t="shared" si="2"/>
        <v>1</v>
      </c>
      <c r="V49" s="1">
        <f t="shared" si="5"/>
        <v>25</v>
      </c>
      <c r="W49" s="8">
        <f t="shared" si="3"/>
        <v>6.25</v>
      </c>
      <c r="X49" s="15">
        <f t="shared" si="18"/>
        <v>175</v>
      </c>
    </row>
    <row r="50" spans="1:24">
      <c r="A50" t="s">
        <v>930</v>
      </c>
      <c r="B50" s="163" t="s">
        <v>519</v>
      </c>
      <c r="C50" s="2" t="s">
        <v>410</v>
      </c>
      <c r="D50" s="2" t="s">
        <v>544</v>
      </c>
      <c r="E50" s="3">
        <v>45360.625</v>
      </c>
      <c r="F50" s="2" t="s">
        <v>545</v>
      </c>
      <c r="G50" s="2" t="s">
        <v>546</v>
      </c>
      <c r="H50" s="2">
        <v>20</v>
      </c>
      <c r="I50" s="2">
        <v>90</v>
      </c>
      <c r="J50" s="2">
        <v>90</v>
      </c>
      <c r="K50" s="2"/>
      <c r="L50" s="2"/>
      <c r="M50" s="11"/>
      <c r="N50" s="2" t="s">
        <v>95</v>
      </c>
      <c r="O50" s="14">
        <v>0</v>
      </c>
      <c r="P50" s="14">
        <v>0</v>
      </c>
      <c r="Q50" s="183">
        <v>0</v>
      </c>
      <c r="R50" s="187">
        <v>1</v>
      </c>
      <c r="S50" s="178">
        <f t="shared" si="0"/>
        <v>0</v>
      </c>
      <c r="T50" s="186">
        <f t="shared" si="1"/>
        <v>1</v>
      </c>
      <c r="U50" s="179">
        <f t="shared" si="2"/>
        <v>1</v>
      </c>
      <c r="V50" s="1">
        <f t="shared" si="5"/>
        <v>25</v>
      </c>
      <c r="W50" s="8">
        <f t="shared" si="3"/>
        <v>6.25</v>
      </c>
      <c r="X50" s="15">
        <f t="shared" si="18"/>
        <v>181.25</v>
      </c>
    </row>
    <row r="51" spans="1:24">
      <c r="A51" t="s">
        <v>930</v>
      </c>
      <c r="B51" s="163" t="s">
        <v>519</v>
      </c>
      <c r="C51" s="2" t="s">
        <v>119</v>
      </c>
      <c r="D51" s="2" t="s">
        <v>166</v>
      </c>
      <c r="E51" s="154">
        <v>45396.635416666664</v>
      </c>
      <c r="F51" s="155" t="s">
        <v>238</v>
      </c>
      <c r="G51" s="2" t="s">
        <v>327</v>
      </c>
      <c r="H51" s="2">
        <v>20</v>
      </c>
      <c r="I51" s="2">
        <v>95</v>
      </c>
      <c r="J51" s="2">
        <v>95</v>
      </c>
      <c r="K51" s="2"/>
      <c r="L51" s="2"/>
      <c r="M51" s="11"/>
      <c r="N51" s="2" t="s">
        <v>95</v>
      </c>
      <c r="O51" s="14">
        <v>0</v>
      </c>
      <c r="P51" s="14">
        <v>0</v>
      </c>
      <c r="Q51" s="183">
        <v>1</v>
      </c>
      <c r="R51" s="187">
        <v>0</v>
      </c>
      <c r="S51" s="178">
        <f t="shared" si="0"/>
        <v>0</v>
      </c>
      <c r="T51" s="186">
        <f t="shared" si="1"/>
        <v>1</v>
      </c>
      <c r="U51" s="179">
        <f t="shared" si="2"/>
        <v>1</v>
      </c>
      <c r="V51" s="1">
        <f t="shared" si="5"/>
        <v>25</v>
      </c>
      <c r="W51" s="8">
        <f t="shared" si="3"/>
        <v>6.25</v>
      </c>
      <c r="X51" s="15">
        <f t="shared" si="18"/>
        <v>187.5</v>
      </c>
    </row>
    <row r="52" spans="1:24">
      <c r="A52" t="s">
        <v>930</v>
      </c>
      <c r="B52" s="163" t="s">
        <v>522</v>
      </c>
      <c r="C52" s="2" t="s">
        <v>119</v>
      </c>
      <c r="D52" s="2" t="s">
        <v>166</v>
      </c>
      <c r="E52" s="154">
        <v>45396.635416666664</v>
      </c>
      <c r="F52" s="155" t="s">
        <v>238</v>
      </c>
      <c r="G52" s="2" t="s">
        <v>327</v>
      </c>
      <c r="H52" s="2">
        <v>80</v>
      </c>
      <c r="I52" s="2">
        <v>20</v>
      </c>
      <c r="J52" s="2">
        <v>95</v>
      </c>
      <c r="K52" s="2">
        <v>60</v>
      </c>
      <c r="L52" s="2">
        <v>1.8</v>
      </c>
      <c r="M52" s="11"/>
      <c r="N52" s="2" t="s">
        <v>95</v>
      </c>
      <c r="O52" s="14">
        <v>0</v>
      </c>
      <c r="P52" s="14">
        <v>0</v>
      </c>
      <c r="Q52" s="183">
        <v>1</v>
      </c>
      <c r="R52" s="187">
        <v>0</v>
      </c>
      <c r="S52" s="178">
        <f t="shared" si="0"/>
        <v>0</v>
      </c>
      <c r="T52" s="186">
        <f t="shared" si="1"/>
        <v>1</v>
      </c>
      <c r="U52" s="179">
        <f t="shared" si="2"/>
        <v>1</v>
      </c>
      <c r="V52" s="1">
        <f t="shared" si="5"/>
        <v>25</v>
      </c>
      <c r="W52" s="8">
        <f t="shared" si="3"/>
        <v>6.25</v>
      </c>
      <c r="X52" s="15">
        <f t="shared" si="18"/>
        <v>193.75</v>
      </c>
    </row>
    <row r="53" spans="1:24">
      <c r="A53" t="s">
        <v>930</v>
      </c>
      <c r="B53" s="163" t="s">
        <v>515</v>
      </c>
      <c r="C53" s="2" t="s">
        <v>516</v>
      </c>
      <c r="D53" s="2" t="s">
        <v>78</v>
      </c>
      <c r="E53" s="3">
        <v>45359.482638888891</v>
      </c>
      <c r="F53" s="2" t="s">
        <v>517</v>
      </c>
      <c r="G53" s="2" t="s">
        <v>518</v>
      </c>
      <c r="H53" s="2">
        <v>20</v>
      </c>
      <c r="I53" s="2">
        <v>70</v>
      </c>
      <c r="J53" s="2">
        <v>2.1</v>
      </c>
      <c r="K53" s="2"/>
      <c r="L53" s="2"/>
      <c r="M53" s="11"/>
      <c r="N53" s="2" t="s">
        <v>95</v>
      </c>
      <c r="O53" s="14">
        <v>0</v>
      </c>
      <c r="P53" s="14">
        <v>0</v>
      </c>
      <c r="Q53" s="183">
        <v>0</v>
      </c>
      <c r="R53" s="181">
        <v>1</v>
      </c>
      <c r="S53" s="178">
        <f t="shared" si="0"/>
        <v>0</v>
      </c>
      <c r="T53" s="186">
        <f t="shared" si="1"/>
        <v>1</v>
      </c>
      <c r="U53" s="179">
        <f t="shared" si="2"/>
        <v>1</v>
      </c>
      <c r="V53" s="1">
        <f t="shared" si="5"/>
        <v>25</v>
      </c>
      <c r="W53" s="8">
        <f t="shared" si="3"/>
        <v>6.25</v>
      </c>
      <c r="X53" s="15">
        <f t="shared" si="18"/>
        <v>200</v>
      </c>
    </row>
    <row r="54" spans="1:24">
      <c r="A54" t="s">
        <v>930</v>
      </c>
      <c r="B54" s="163" t="s">
        <v>515</v>
      </c>
      <c r="C54" s="2" t="s">
        <v>410</v>
      </c>
      <c r="D54" s="2" t="s">
        <v>544</v>
      </c>
      <c r="E54" s="3">
        <v>45360.625</v>
      </c>
      <c r="F54" s="2" t="s">
        <v>545</v>
      </c>
      <c r="G54" s="2" t="s">
        <v>546</v>
      </c>
      <c r="H54" s="2">
        <v>20</v>
      </c>
      <c r="I54" s="2">
        <v>73</v>
      </c>
      <c r="J54" s="2">
        <v>1.45</v>
      </c>
      <c r="K54" s="2"/>
      <c r="L54" s="2"/>
      <c r="M54" s="11"/>
      <c r="N54" s="2" t="s">
        <v>95</v>
      </c>
      <c r="O54" s="14">
        <v>0</v>
      </c>
      <c r="P54" s="14">
        <v>0</v>
      </c>
      <c r="Q54" s="183">
        <v>0</v>
      </c>
      <c r="R54" s="187">
        <v>1</v>
      </c>
      <c r="S54" s="178">
        <f t="shared" si="0"/>
        <v>0</v>
      </c>
      <c r="T54" s="186">
        <f t="shared" si="1"/>
        <v>1</v>
      </c>
      <c r="U54" s="179">
        <f t="shared" si="2"/>
        <v>1</v>
      </c>
      <c r="V54" s="1">
        <f t="shared" si="5"/>
        <v>25</v>
      </c>
      <c r="W54" s="8">
        <f t="shared" si="3"/>
        <v>6.25</v>
      </c>
      <c r="X54" s="15">
        <f t="shared" si="18"/>
        <v>206.25</v>
      </c>
    </row>
    <row r="55" spans="1:24">
      <c r="A55" t="s">
        <v>930</v>
      </c>
      <c r="B55" s="163" t="s">
        <v>515</v>
      </c>
      <c r="C55" s="2" t="s">
        <v>410</v>
      </c>
      <c r="D55" s="2" t="s">
        <v>544</v>
      </c>
      <c r="E55" s="3">
        <v>45364.708333333336</v>
      </c>
      <c r="F55" s="2" t="s">
        <v>563</v>
      </c>
      <c r="G55" s="2" t="s">
        <v>545</v>
      </c>
      <c r="H55" s="2">
        <v>20</v>
      </c>
      <c r="I55" s="2">
        <v>78</v>
      </c>
      <c r="J55" s="2">
        <v>2.15</v>
      </c>
      <c r="K55" s="2"/>
      <c r="L55" s="2"/>
      <c r="M55" s="11"/>
      <c r="N55" s="2" t="s">
        <v>95</v>
      </c>
      <c r="O55" s="14">
        <v>0</v>
      </c>
      <c r="P55" s="14">
        <v>0</v>
      </c>
      <c r="Q55" s="183">
        <v>1</v>
      </c>
      <c r="R55" s="187">
        <v>0</v>
      </c>
      <c r="S55" s="178">
        <f t="shared" si="0"/>
        <v>0</v>
      </c>
      <c r="T55" s="186">
        <f t="shared" si="1"/>
        <v>1</v>
      </c>
      <c r="U55" s="179">
        <f t="shared" si="2"/>
        <v>1</v>
      </c>
      <c r="V55" s="1">
        <f t="shared" si="5"/>
        <v>25</v>
      </c>
      <c r="W55" s="8">
        <f t="shared" si="3"/>
        <v>6.25</v>
      </c>
      <c r="X55" s="15">
        <f t="shared" si="18"/>
        <v>212.5</v>
      </c>
    </row>
    <row r="56" spans="1:24">
      <c r="A56" t="s">
        <v>930</v>
      </c>
      <c r="B56" s="163" t="s">
        <v>515</v>
      </c>
      <c r="C56" s="2" t="s">
        <v>119</v>
      </c>
      <c r="D56" s="2" t="s">
        <v>166</v>
      </c>
      <c r="E56" s="3">
        <v>45369.8125</v>
      </c>
      <c r="F56" s="2" t="s">
        <v>603</v>
      </c>
      <c r="G56" s="2" t="s">
        <v>561</v>
      </c>
      <c r="H56" s="2">
        <v>20</v>
      </c>
      <c r="I56" s="2">
        <v>74</v>
      </c>
      <c r="J56" s="2">
        <v>1.6</v>
      </c>
      <c r="K56" s="2"/>
      <c r="L56" s="2"/>
      <c r="N56" s="2" t="s">
        <v>95</v>
      </c>
      <c r="O56" s="14">
        <v>0</v>
      </c>
      <c r="P56" s="14">
        <v>0</v>
      </c>
      <c r="Q56" s="183">
        <v>0</v>
      </c>
      <c r="R56" s="187">
        <v>1</v>
      </c>
      <c r="S56" s="178">
        <f t="shared" si="0"/>
        <v>0</v>
      </c>
      <c r="T56" s="186">
        <f t="shared" si="1"/>
        <v>1</v>
      </c>
      <c r="U56" s="179">
        <f t="shared" si="2"/>
        <v>1</v>
      </c>
      <c r="V56" s="1">
        <f t="shared" si="5"/>
        <v>25</v>
      </c>
      <c r="W56" s="8">
        <f t="shared" si="3"/>
        <v>6.25</v>
      </c>
      <c r="X56" s="15">
        <f t="shared" si="18"/>
        <v>218.75</v>
      </c>
    </row>
    <row r="57" spans="1:24">
      <c r="A57" t="s">
        <v>930</v>
      </c>
      <c r="B57" s="163" t="s">
        <v>515</v>
      </c>
      <c r="C57" s="2" t="s">
        <v>145</v>
      </c>
      <c r="D57" s="2" t="s">
        <v>190</v>
      </c>
      <c r="E57" s="154">
        <v>45396.5</v>
      </c>
      <c r="F57" s="155" t="s">
        <v>612</v>
      </c>
      <c r="G57" s="2" t="s">
        <v>344</v>
      </c>
      <c r="H57" s="2">
        <v>20</v>
      </c>
      <c r="I57" s="2">
        <v>70</v>
      </c>
      <c r="J57" s="2">
        <v>1.5</v>
      </c>
      <c r="K57" s="2"/>
      <c r="L57" s="2"/>
      <c r="N57" s="2" t="s">
        <v>95</v>
      </c>
      <c r="O57" s="14">
        <v>0</v>
      </c>
      <c r="P57" s="14">
        <v>0</v>
      </c>
      <c r="Q57" s="183">
        <v>0</v>
      </c>
      <c r="R57" s="187">
        <v>1</v>
      </c>
      <c r="S57" s="178">
        <f t="shared" si="0"/>
        <v>0</v>
      </c>
      <c r="T57" s="186">
        <f t="shared" si="1"/>
        <v>1</v>
      </c>
      <c r="U57" s="179">
        <f t="shared" si="2"/>
        <v>1</v>
      </c>
      <c r="V57" s="1">
        <f t="shared" si="5"/>
        <v>25</v>
      </c>
      <c r="W57" s="8">
        <f t="shared" si="3"/>
        <v>6.25</v>
      </c>
      <c r="X57" s="15">
        <f t="shared" si="18"/>
        <v>225</v>
      </c>
    </row>
    <row r="58" spans="1:24">
      <c r="A58" t="s">
        <v>930</v>
      </c>
      <c r="B58" s="163" t="s">
        <v>515</v>
      </c>
      <c r="C58" s="2" t="s">
        <v>119</v>
      </c>
      <c r="D58" s="2" t="s">
        <v>166</v>
      </c>
      <c r="E58" s="154">
        <v>45396.635416666664</v>
      </c>
      <c r="F58" s="155" t="s">
        <v>238</v>
      </c>
      <c r="G58" s="2" t="s">
        <v>327</v>
      </c>
      <c r="H58" s="2">
        <v>20</v>
      </c>
      <c r="I58" s="2">
        <v>80</v>
      </c>
      <c r="J58" s="2">
        <v>1.8</v>
      </c>
      <c r="K58" s="2"/>
      <c r="L58" s="2"/>
      <c r="M58" s="11"/>
      <c r="N58" s="2" t="s">
        <v>95</v>
      </c>
      <c r="O58" s="14">
        <v>0</v>
      </c>
      <c r="P58" s="14">
        <v>0</v>
      </c>
      <c r="Q58" s="183">
        <v>1</v>
      </c>
      <c r="R58" s="187">
        <v>0</v>
      </c>
      <c r="S58" s="178">
        <f t="shared" si="0"/>
        <v>0</v>
      </c>
      <c r="T58" s="186">
        <f t="shared" si="1"/>
        <v>1</v>
      </c>
      <c r="U58" s="179">
        <f t="shared" si="2"/>
        <v>1</v>
      </c>
      <c r="V58" s="1">
        <f t="shared" si="5"/>
        <v>25</v>
      </c>
      <c r="W58" s="8">
        <f t="shared" si="3"/>
        <v>6.25</v>
      </c>
      <c r="X58" s="15">
        <f t="shared" si="18"/>
        <v>231.25</v>
      </c>
    </row>
    <row r="59" spans="1:24">
      <c r="A59" t="s">
        <v>930</v>
      </c>
      <c r="B59" s="163" t="s">
        <v>515</v>
      </c>
      <c r="C59" s="2" t="s">
        <v>626</v>
      </c>
      <c r="D59" s="2" t="s">
        <v>627</v>
      </c>
      <c r="E59" s="3">
        <v>45397.708333333336</v>
      </c>
      <c r="F59" s="2" t="s">
        <v>724</v>
      </c>
      <c r="G59" s="2" t="s">
        <v>725</v>
      </c>
      <c r="H59" s="2">
        <v>20</v>
      </c>
      <c r="I59" s="2">
        <v>73</v>
      </c>
      <c r="J59" s="2">
        <v>1.85</v>
      </c>
      <c r="K59" s="2"/>
      <c r="L59" s="2"/>
      <c r="M59" s="11"/>
      <c r="N59" s="2" t="s">
        <v>95</v>
      </c>
      <c r="O59" s="14">
        <v>0</v>
      </c>
      <c r="P59" s="14">
        <v>0</v>
      </c>
      <c r="Q59" s="183">
        <v>1</v>
      </c>
      <c r="R59" s="187">
        <v>0</v>
      </c>
      <c r="S59" s="178">
        <f t="shared" si="0"/>
        <v>0</v>
      </c>
      <c r="T59" s="186">
        <f t="shared" si="1"/>
        <v>1</v>
      </c>
      <c r="U59" s="179">
        <f t="shared" si="2"/>
        <v>1</v>
      </c>
      <c r="V59" s="1">
        <f t="shared" si="5"/>
        <v>25</v>
      </c>
      <c r="W59" s="8">
        <f t="shared" si="3"/>
        <v>6.25</v>
      </c>
      <c r="X59" s="15">
        <f t="shared" si="18"/>
        <v>237.5</v>
      </c>
    </row>
    <row r="60" spans="1:24">
      <c r="A60" t="s">
        <v>930</v>
      </c>
      <c r="B60" s="163" t="s">
        <v>515</v>
      </c>
      <c r="C60" s="2" t="s">
        <v>626</v>
      </c>
      <c r="D60" s="2" t="s">
        <v>627</v>
      </c>
      <c r="E60" s="3">
        <v>45403.625</v>
      </c>
      <c r="F60" s="2" t="s">
        <v>724</v>
      </c>
      <c r="G60" s="2" t="s">
        <v>725</v>
      </c>
      <c r="H60" s="2">
        <v>20</v>
      </c>
      <c r="I60" s="2">
        <v>73</v>
      </c>
      <c r="J60" s="2">
        <v>1.8</v>
      </c>
      <c r="K60" s="2"/>
      <c r="L60" s="2"/>
      <c r="M60" s="11"/>
      <c r="N60" s="2" t="s">
        <v>95</v>
      </c>
      <c r="O60" s="14">
        <v>0</v>
      </c>
      <c r="P60" s="14">
        <v>0</v>
      </c>
      <c r="Q60" s="183">
        <v>1</v>
      </c>
      <c r="R60" s="187">
        <v>0</v>
      </c>
      <c r="S60" s="178">
        <f t="shared" si="0"/>
        <v>0</v>
      </c>
      <c r="T60" s="186">
        <f t="shared" si="1"/>
        <v>1</v>
      </c>
      <c r="U60" s="179">
        <f t="shared" si="2"/>
        <v>1</v>
      </c>
      <c r="V60" s="1">
        <f t="shared" si="5"/>
        <v>25</v>
      </c>
      <c r="W60" s="8">
        <f t="shared" si="3"/>
        <v>6.25</v>
      </c>
      <c r="X60" s="15">
        <f t="shared" si="18"/>
        <v>243.75</v>
      </c>
    </row>
    <row r="61" spans="1:24">
      <c r="A61" t="s">
        <v>930</v>
      </c>
      <c r="B61" s="163" t="s">
        <v>515</v>
      </c>
      <c r="C61" s="2" t="s">
        <v>119</v>
      </c>
      <c r="D61" s="2" t="s">
        <v>166</v>
      </c>
      <c r="E61" s="3">
        <v>45417.635416666664</v>
      </c>
      <c r="F61" s="2" t="s">
        <v>603</v>
      </c>
      <c r="G61" s="2" t="s">
        <v>238</v>
      </c>
      <c r="H61" s="2">
        <v>20</v>
      </c>
      <c r="I61" s="2">
        <v>70</v>
      </c>
      <c r="J61" s="2">
        <v>1.85</v>
      </c>
      <c r="K61" s="2"/>
      <c r="L61" s="2"/>
      <c r="M61" s="11"/>
      <c r="N61" s="2" t="s">
        <v>95</v>
      </c>
      <c r="O61" s="14">
        <v>0</v>
      </c>
      <c r="P61" s="14">
        <v>0</v>
      </c>
      <c r="Q61" s="183">
        <v>0</v>
      </c>
      <c r="R61" s="187">
        <v>1</v>
      </c>
      <c r="S61" s="178">
        <f t="shared" si="0"/>
        <v>0</v>
      </c>
      <c r="T61" s="186">
        <f t="shared" si="1"/>
        <v>1</v>
      </c>
      <c r="U61" s="179">
        <f t="shared" si="2"/>
        <v>1</v>
      </c>
      <c r="V61" s="1">
        <f t="shared" si="5"/>
        <v>25</v>
      </c>
      <c r="W61" s="8">
        <f t="shared" si="3"/>
        <v>6.25</v>
      </c>
      <c r="X61" s="15">
        <f t="shared" si="18"/>
        <v>250</v>
      </c>
    </row>
    <row r="62" spans="1:24">
      <c r="A62" t="s">
        <v>930</v>
      </c>
      <c r="B62" s="163" t="s">
        <v>515</v>
      </c>
      <c r="C62" s="2" t="s">
        <v>564</v>
      </c>
      <c r="D62" s="2" t="s">
        <v>565</v>
      </c>
      <c r="E62" s="3">
        <v>45422.822916666664</v>
      </c>
      <c r="F62" s="2" t="s">
        <v>743</v>
      </c>
      <c r="G62" s="2" t="s">
        <v>708</v>
      </c>
      <c r="H62" s="2">
        <v>20</v>
      </c>
      <c r="I62" s="2">
        <v>75</v>
      </c>
      <c r="J62" s="2">
        <v>1.9</v>
      </c>
      <c r="K62" s="2"/>
      <c r="L62" s="2"/>
      <c r="M62" s="11"/>
      <c r="N62" s="2" t="s">
        <v>95</v>
      </c>
      <c r="O62" s="14">
        <v>0</v>
      </c>
      <c r="P62" s="14">
        <v>0</v>
      </c>
      <c r="Q62" s="183">
        <v>1</v>
      </c>
      <c r="R62" s="187">
        <v>0</v>
      </c>
      <c r="S62" s="178">
        <f t="shared" si="0"/>
        <v>0</v>
      </c>
      <c r="T62" s="186">
        <f t="shared" si="1"/>
        <v>1</v>
      </c>
      <c r="U62" s="179">
        <f t="shared" si="2"/>
        <v>1</v>
      </c>
      <c r="V62" s="1">
        <f t="shared" si="5"/>
        <v>25</v>
      </c>
      <c r="W62" s="8">
        <f t="shared" si="3"/>
        <v>6.25</v>
      </c>
      <c r="X62" s="15">
        <f t="shared" si="18"/>
        <v>256.25</v>
      </c>
    </row>
    <row r="63" spans="1:24">
      <c r="A63" t="s">
        <v>930</v>
      </c>
      <c r="B63" s="163" t="s">
        <v>515</v>
      </c>
      <c r="C63" s="2" t="s">
        <v>572</v>
      </c>
      <c r="D63" s="2" t="s">
        <v>670</v>
      </c>
      <c r="E63" s="3">
        <v>45431.291666666664</v>
      </c>
      <c r="F63" s="2" t="s">
        <v>842</v>
      </c>
      <c r="G63" s="2" t="s">
        <v>843</v>
      </c>
      <c r="H63" s="2">
        <v>20</v>
      </c>
      <c r="I63" s="2">
        <v>70</v>
      </c>
      <c r="J63" s="2">
        <v>1.65</v>
      </c>
      <c r="K63" s="2"/>
      <c r="L63" s="2"/>
      <c r="M63" s="11"/>
      <c r="N63" s="2" t="s">
        <v>95</v>
      </c>
      <c r="O63" s="14">
        <v>0</v>
      </c>
      <c r="P63" s="14">
        <v>0</v>
      </c>
      <c r="Q63" s="183">
        <v>1</v>
      </c>
      <c r="R63" s="187">
        <v>0</v>
      </c>
      <c r="S63" s="178">
        <f t="shared" si="0"/>
        <v>0</v>
      </c>
      <c r="T63" s="186">
        <f t="shared" si="1"/>
        <v>1</v>
      </c>
      <c r="U63" s="179">
        <f t="shared" si="2"/>
        <v>1</v>
      </c>
      <c r="V63" s="1">
        <f t="shared" si="5"/>
        <v>25</v>
      </c>
      <c r="W63" s="8">
        <f t="shared" si="3"/>
        <v>6.25</v>
      </c>
      <c r="X63" s="15">
        <f t="shared" si="18"/>
        <v>262.5</v>
      </c>
    </row>
    <row r="64" spans="1:24">
      <c r="A64" t="s">
        <v>930</v>
      </c>
      <c r="B64" s="163" t="s">
        <v>515</v>
      </c>
      <c r="C64" s="2" t="s">
        <v>534</v>
      </c>
      <c r="D64" s="2" t="s">
        <v>535</v>
      </c>
      <c r="E64" s="3">
        <v>45431.458333333336</v>
      </c>
      <c r="F64" s="2" t="s">
        <v>536</v>
      </c>
      <c r="G64" s="2" t="s">
        <v>828</v>
      </c>
      <c r="H64" s="2">
        <v>20</v>
      </c>
      <c r="I64" s="2">
        <v>76</v>
      </c>
      <c r="J64" s="2">
        <v>2.2000000000000002</v>
      </c>
      <c r="K64" s="2"/>
      <c r="L64" s="2"/>
      <c r="M64" s="11"/>
      <c r="N64" s="2" t="s">
        <v>95</v>
      </c>
      <c r="O64" s="14">
        <v>0</v>
      </c>
      <c r="P64" s="14">
        <v>0</v>
      </c>
      <c r="Q64" s="183">
        <v>1</v>
      </c>
      <c r="R64" s="187">
        <v>0</v>
      </c>
      <c r="S64" s="178">
        <f t="shared" si="0"/>
        <v>0</v>
      </c>
      <c r="T64" s="186">
        <f t="shared" si="1"/>
        <v>1</v>
      </c>
      <c r="U64" s="179">
        <f t="shared" si="2"/>
        <v>1</v>
      </c>
      <c r="V64" s="1">
        <f t="shared" si="5"/>
        <v>25</v>
      </c>
      <c r="W64" s="8">
        <f t="shared" si="3"/>
        <v>6.25</v>
      </c>
      <c r="X64" s="15">
        <f t="shared" si="18"/>
        <v>268.75</v>
      </c>
    </row>
    <row r="65" spans="1:24">
      <c r="A65" t="s">
        <v>930</v>
      </c>
      <c r="B65" s="163" t="s">
        <v>10</v>
      </c>
      <c r="C65" s="2" t="s">
        <v>6</v>
      </c>
      <c r="D65" s="2" t="s">
        <v>62</v>
      </c>
      <c r="E65" s="3">
        <v>45287.8125</v>
      </c>
      <c r="F65" s="2" t="s">
        <v>63</v>
      </c>
      <c r="G65" s="2" t="s">
        <v>64</v>
      </c>
      <c r="H65" s="2">
        <v>1.94</v>
      </c>
      <c r="I65" s="2">
        <v>94</v>
      </c>
      <c r="J65" s="2">
        <v>61</v>
      </c>
      <c r="K65" s="2">
        <v>22</v>
      </c>
      <c r="L65" s="2">
        <v>68</v>
      </c>
      <c r="M65" s="11">
        <v>18</v>
      </c>
      <c r="N65" s="2" t="s">
        <v>95</v>
      </c>
      <c r="O65" s="14">
        <v>1</v>
      </c>
      <c r="P65" s="13">
        <v>0</v>
      </c>
      <c r="Q65" s="183">
        <v>1</v>
      </c>
      <c r="R65" s="181">
        <v>1</v>
      </c>
      <c r="S65" s="178">
        <f t="shared" ref="S65:S128" si="19">SUM(O65:P65)</f>
        <v>1</v>
      </c>
      <c r="T65" s="186">
        <f t="shared" ref="T65:T128" si="20">SUM(Q65:R65)</f>
        <v>2</v>
      </c>
      <c r="U65" s="179">
        <f t="shared" ref="U65:U128" si="21">SUM(T65-S65)</f>
        <v>1</v>
      </c>
      <c r="V65" s="1">
        <f t="shared" si="5"/>
        <v>25</v>
      </c>
      <c r="W65" s="8">
        <f t="shared" si="3"/>
        <v>6.25</v>
      </c>
      <c r="X65" s="15">
        <f t="shared" si="18"/>
        <v>275</v>
      </c>
    </row>
    <row r="66" spans="1:24">
      <c r="A66" t="s">
        <v>930</v>
      </c>
      <c r="B66" s="163" t="s">
        <v>10</v>
      </c>
      <c r="C66" s="2" t="s">
        <v>6</v>
      </c>
      <c r="D66" s="2" t="s">
        <v>62</v>
      </c>
      <c r="E66" s="3">
        <v>45288.84375</v>
      </c>
      <c r="F66" s="2" t="s">
        <v>73</v>
      </c>
      <c r="G66" s="2" t="s">
        <v>74</v>
      </c>
      <c r="H66" s="2">
        <v>2.2799999999999998</v>
      </c>
      <c r="I66" s="2">
        <v>100</v>
      </c>
      <c r="J66" s="2">
        <v>83</v>
      </c>
      <c r="K66" s="2">
        <v>33</v>
      </c>
      <c r="L66" s="2">
        <v>64</v>
      </c>
      <c r="M66" s="11">
        <v>18</v>
      </c>
      <c r="N66" s="2" t="s">
        <v>95</v>
      </c>
      <c r="O66" s="14">
        <v>0</v>
      </c>
      <c r="P66" s="13">
        <v>1</v>
      </c>
      <c r="Q66" s="183">
        <v>0</v>
      </c>
      <c r="R66" s="181">
        <v>2</v>
      </c>
      <c r="S66" s="178">
        <f t="shared" si="19"/>
        <v>1</v>
      </c>
      <c r="T66" s="186">
        <f t="shared" si="20"/>
        <v>2</v>
      </c>
      <c r="U66" s="179">
        <f t="shared" si="21"/>
        <v>1</v>
      </c>
      <c r="V66" s="1">
        <f t="shared" si="5"/>
        <v>25</v>
      </c>
      <c r="W66" s="8">
        <f t="shared" ref="W66:W129" si="22">IF(N66="won",V66*0.25,-V66)</f>
        <v>6.25</v>
      </c>
      <c r="X66" s="15">
        <f t="shared" si="18"/>
        <v>281.25</v>
      </c>
    </row>
    <row r="67" spans="1:24">
      <c r="A67" t="s">
        <v>930</v>
      </c>
      <c r="B67" s="163" t="s">
        <v>10</v>
      </c>
      <c r="C67" s="2" t="s">
        <v>6</v>
      </c>
      <c r="D67" s="2" t="s">
        <v>11</v>
      </c>
      <c r="E67" s="3">
        <v>45304.625</v>
      </c>
      <c r="F67" s="2" t="s">
        <v>198</v>
      </c>
      <c r="G67" s="2" t="s">
        <v>199</v>
      </c>
      <c r="H67" s="2">
        <v>2.0499999999999998</v>
      </c>
      <c r="I67" s="2">
        <v>95</v>
      </c>
      <c r="J67" s="2">
        <v>65</v>
      </c>
      <c r="K67" s="2">
        <v>20</v>
      </c>
      <c r="L67" s="2">
        <v>67</v>
      </c>
      <c r="M67" s="11">
        <v>20</v>
      </c>
      <c r="N67" s="2" t="s">
        <v>95</v>
      </c>
      <c r="O67" s="14">
        <v>1</v>
      </c>
      <c r="P67" s="13">
        <v>0</v>
      </c>
      <c r="Q67" s="183">
        <v>2</v>
      </c>
      <c r="R67" s="181">
        <v>0</v>
      </c>
      <c r="S67" s="178">
        <f t="shared" si="19"/>
        <v>1</v>
      </c>
      <c r="T67" s="186">
        <f t="shared" si="20"/>
        <v>2</v>
      </c>
      <c r="U67" s="179">
        <f t="shared" si="21"/>
        <v>1</v>
      </c>
      <c r="V67" s="1">
        <f t="shared" ref="V67:V130" si="23">SUM($X$1*0.05)</f>
        <v>25</v>
      </c>
      <c r="W67" s="8">
        <f t="shared" si="22"/>
        <v>6.25</v>
      </c>
      <c r="X67" s="15">
        <f t="shared" ref="X67:X130" si="24">SUM(X66,W67)</f>
        <v>287.5</v>
      </c>
    </row>
    <row r="68" spans="1:24">
      <c r="A68" t="s">
        <v>930</v>
      </c>
      <c r="B68" s="163" t="s">
        <v>10</v>
      </c>
      <c r="C68" s="2" t="s">
        <v>31</v>
      </c>
      <c r="D68" s="2" t="s">
        <v>32</v>
      </c>
      <c r="E68" s="3">
        <v>45311.625</v>
      </c>
      <c r="F68" s="2" t="s">
        <v>261</v>
      </c>
      <c r="G68" s="2" t="s">
        <v>34</v>
      </c>
      <c r="H68" s="2">
        <v>2.35</v>
      </c>
      <c r="I68" s="2">
        <v>95</v>
      </c>
      <c r="J68" s="2">
        <v>70</v>
      </c>
      <c r="K68" s="2">
        <v>55</v>
      </c>
      <c r="L68" s="2">
        <v>65</v>
      </c>
      <c r="M68" s="11">
        <v>20</v>
      </c>
      <c r="N68" s="2" t="s">
        <v>95</v>
      </c>
      <c r="O68" s="14">
        <v>0</v>
      </c>
      <c r="P68" s="13">
        <v>0</v>
      </c>
      <c r="Q68" s="183">
        <v>0</v>
      </c>
      <c r="R68" s="181">
        <v>2</v>
      </c>
      <c r="S68" s="178">
        <f t="shared" si="19"/>
        <v>0</v>
      </c>
      <c r="T68" s="186">
        <f t="shared" si="20"/>
        <v>2</v>
      </c>
      <c r="U68" s="179">
        <f t="shared" si="21"/>
        <v>2</v>
      </c>
      <c r="V68" s="1">
        <f t="shared" si="23"/>
        <v>25</v>
      </c>
      <c r="W68" s="8">
        <f t="shared" si="22"/>
        <v>6.25</v>
      </c>
      <c r="X68" s="15">
        <f t="shared" si="24"/>
        <v>293.75</v>
      </c>
    </row>
    <row r="69" spans="1:24">
      <c r="A69" t="s">
        <v>930</v>
      </c>
      <c r="B69" s="163" t="s">
        <v>10</v>
      </c>
      <c r="C69" s="7" t="s">
        <v>6</v>
      </c>
      <c r="D69" s="7" t="s">
        <v>11</v>
      </c>
      <c r="E69" s="24">
        <v>45318.625</v>
      </c>
      <c r="F69" s="7" t="s">
        <v>198</v>
      </c>
      <c r="G69" s="7" t="s">
        <v>162</v>
      </c>
      <c r="H69" s="7">
        <v>2.0499999999999998</v>
      </c>
      <c r="I69" s="7">
        <v>95</v>
      </c>
      <c r="J69" s="7">
        <v>65</v>
      </c>
      <c r="K69" s="7">
        <v>25</v>
      </c>
      <c r="L69" s="7">
        <v>65</v>
      </c>
      <c r="M69" s="34">
        <v>20</v>
      </c>
      <c r="N69" s="2" t="s">
        <v>95</v>
      </c>
      <c r="O69" s="14">
        <v>0</v>
      </c>
      <c r="P69" s="13">
        <v>0</v>
      </c>
      <c r="Q69" s="183">
        <v>1</v>
      </c>
      <c r="R69" s="181">
        <v>1</v>
      </c>
      <c r="S69" s="178">
        <f t="shared" si="19"/>
        <v>0</v>
      </c>
      <c r="T69" s="186">
        <f t="shared" si="20"/>
        <v>2</v>
      </c>
      <c r="U69" s="179">
        <f t="shared" si="21"/>
        <v>2</v>
      </c>
      <c r="V69" s="1">
        <f t="shared" si="23"/>
        <v>25</v>
      </c>
      <c r="W69" s="8">
        <f t="shared" si="22"/>
        <v>6.25</v>
      </c>
      <c r="X69" s="15">
        <f t="shared" si="24"/>
        <v>300</v>
      </c>
    </row>
    <row r="70" spans="1:24">
      <c r="A70" t="s">
        <v>930</v>
      </c>
      <c r="B70" s="163" t="s">
        <v>10</v>
      </c>
      <c r="C70" s="2" t="s">
        <v>119</v>
      </c>
      <c r="D70" s="2" t="s">
        <v>120</v>
      </c>
      <c r="E70" s="3">
        <v>45319.729166666664</v>
      </c>
      <c r="F70" s="2" t="s">
        <v>347</v>
      </c>
      <c r="G70" s="2" t="s">
        <v>348</v>
      </c>
      <c r="H70" s="2">
        <v>2</v>
      </c>
      <c r="I70" s="2">
        <v>100</v>
      </c>
      <c r="J70" s="2">
        <v>63</v>
      </c>
      <c r="K70" s="2">
        <v>32</v>
      </c>
      <c r="L70" s="2">
        <v>68</v>
      </c>
      <c r="M70" s="11">
        <v>19</v>
      </c>
      <c r="N70" s="2" t="s">
        <v>95</v>
      </c>
      <c r="O70" s="14">
        <v>1</v>
      </c>
      <c r="P70" s="13">
        <v>0</v>
      </c>
      <c r="Q70" s="183">
        <v>1</v>
      </c>
      <c r="R70" s="181">
        <v>1</v>
      </c>
      <c r="S70" s="178">
        <f t="shared" si="19"/>
        <v>1</v>
      </c>
      <c r="T70" s="186">
        <f t="shared" si="20"/>
        <v>2</v>
      </c>
      <c r="U70" s="179">
        <f t="shared" si="21"/>
        <v>1</v>
      </c>
      <c r="V70" s="1">
        <f t="shared" si="23"/>
        <v>25</v>
      </c>
      <c r="W70" s="8">
        <f t="shared" si="22"/>
        <v>6.25</v>
      </c>
      <c r="X70" s="15">
        <f t="shared" si="24"/>
        <v>306.25</v>
      </c>
    </row>
    <row r="71" spans="1:24">
      <c r="A71" t="s">
        <v>930</v>
      </c>
      <c r="B71" s="163" t="s">
        <v>10</v>
      </c>
      <c r="C71" s="2" t="s">
        <v>77</v>
      </c>
      <c r="D71" s="2" t="s">
        <v>251</v>
      </c>
      <c r="E71" s="3">
        <v>45325.541666666664</v>
      </c>
      <c r="F71" s="2" t="s">
        <v>258</v>
      </c>
      <c r="G71" s="2" t="s">
        <v>398</v>
      </c>
      <c r="H71" s="2">
        <v>1.85</v>
      </c>
      <c r="I71" s="2">
        <v>95</v>
      </c>
      <c r="J71" s="2">
        <v>65</v>
      </c>
      <c r="K71" s="2">
        <v>20</v>
      </c>
      <c r="L71" s="2">
        <v>64</v>
      </c>
      <c r="M71" s="11">
        <v>20</v>
      </c>
      <c r="N71" s="2" t="s">
        <v>95</v>
      </c>
      <c r="O71" s="14">
        <v>1</v>
      </c>
      <c r="P71" s="13">
        <v>0</v>
      </c>
      <c r="Q71" s="183">
        <v>1</v>
      </c>
      <c r="R71" s="181">
        <v>1</v>
      </c>
      <c r="S71" s="178">
        <f t="shared" si="19"/>
        <v>1</v>
      </c>
      <c r="T71" s="186">
        <f t="shared" si="20"/>
        <v>2</v>
      </c>
      <c r="U71" s="179">
        <f t="shared" si="21"/>
        <v>1</v>
      </c>
      <c r="V71" s="1">
        <f t="shared" si="23"/>
        <v>25</v>
      </c>
      <c r="W71" s="8">
        <f t="shared" si="22"/>
        <v>6.25</v>
      </c>
      <c r="X71" s="15">
        <f t="shared" si="24"/>
        <v>312.5</v>
      </c>
    </row>
    <row r="72" spans="1:24">
      <c r="A72" t="s">
        <v>930</v>
      </c>
      <c r="B72" s="163" t="s">
        <v>10</v>
      </c>
      <c r="C72" s="2" t="s">
        <v>58</v>
      </c>
      <c r="D72" s="2" t="s">
        <v>59</v>
      </c>
      <c r="E72" s="3">
        <v>45326.645833333336</v>
      </c>
      <c r="F72" s="2" t="s">
        <v>165</v>
      </c>
      <c r="G72" s="2" t="s">
        <v>106</v>
      </c>
      <c r="H72" s="2">
        <v>1.83</v>
      </c>
      <c r="I72" s="2">
        <v>89</v>
      </c>
      <c r="J72" s="2">
        <v>61</v>
      </c>
      <c r="K72" s="2">
        <v>28</v>
      </c>
      <c r="L72" s="2">
        <v>65</v>
      </c>
      <c r="M72" s="11">
        <v>18</v>
      </c>
      <c r="N72" s="2" t="s">
        <v>95</v>
      </c>
      <c r="O72" s="14">
        <v>0</v>
      </c>
      <c r="P72" s="13">
        <v>1</v>
      </c>
      <c r="Q72" s="183">
        <v>1</v>
      </c>
      <c r="R72" s="181">
        <v>1</v>
      </c>
      <c r="S72" s="178">
        <f t="shared" si="19"/>
        <v>1</v>
      </c>
      <c r="T72" s="186">
        <f t="shared" si="20"/>
        <v>2</v>
      </c>
      <c r="U72" s="179">
        <f t="shared" si="21"/>
        <v>1</v>
      </c>
      <c r="V72" s="1">
        <f t="shared" si="23"/>
        <v>25</v>
      </c>
      <c r="W72" s="8">
        <f t="shared" si="22"/>
        <v>6.25</v>
      </c>
      <c r="X72" s="15">
        <f t="shared" si="24"/>
        <v>318.75</v>
      </c>
    </row>
    <row r="73" spans="1:24">
      <c r="A73" t="s">
        <v>930</v>
      </c>
      <c r="B73" s="163" t="s">
        <v>10</v>
      </c>
      <c r="C73" s="2" t="s">
        <v>133</v>
      </c>
      <c r="D73" s="2" t="s">
        <v>78</v>
      </c>
      <c r="E73" s="3">
        <v>45326.770833333336</v>
      </c>
      <c r="F73" s="2" t="s">
        <v>135</v>
      </c>
      <c r="G73" s="2" t="s">
        <v>137</v>
      </c>
      <c r="H73" s="2">
        <v>2.16</v>
      </c>
      <c r="I73" s="2">
        <v>89</v>
      </c>
      <c r="J73" s="2">
        <v>63</v>
      </c>
      <c r="K73" s="2">
        <v>37</v>
      </c>
      <c r="L73" s="2">
        <v>61</v>
      </c>
      <c r="M73" s="11">
        <v>19</v>
      </c>
      <c r="N73" s="2" t="s">
        <v>95</v>
      </c>
      <c r="O73" s="14">
        <v>0</v>
      </c>
      <c r="P73" s="13">
        <v>0</v>
      </c>
      <c r="Q73" s="183">
        <v>0</v>
      </c>
      <c r="R73" s="181">
        <v>2</v>
      </c>
      <c r="S73" s="178">
        <f t="shared" si="19"/>
        <v>0</v>
      </c>
      <c r="T73" s="186">
        <f t="shared" si="20"/>
        <v>2</v>
      </c>
      <c r="U73" s="179">
        <f t="shared" si="21"/>
        <v>2</v>
      </c>
      <c r="V73" s="1">
        <f t="shared" si="23"/>
        <v>25</v>
      </c>
      <c r="W73" s="8">
        <f t="shared" si="22"/>
        <v>6.25</v>
      </c>
      <c r="X73" s="15">
        <f t="shared" si="24"/>
        <v>325</v>
      </c>
    </row>
    <row r="74" spans="1:24">
      <c r="A74" t="s">
        <v>930</v>
      </c>
      <c r="B74" s="163" t="s">
        <v>10</v>
      </c>
      <c r="C74" s="2" t="s">
        <v>6</v>
      </c>
      <c r="D74" s="2" t="s">
        <v>62</v>
      </c>
      <c r="E74" s="3">
        <v>45332.625</v>
      </c>
      <c r="F74" s="2" t="s">
        <v>64</v>
      </c>
      <c r="G74" s="2" t="s">
        <v>63</v>
      </c>
      <c r="H74" s="2">
        <v>1.85</v>
      </c>
      <c r="I74" s="2">
        <v>85</v>
      </c>
      <c r="J74" s="2">
        <v>65</v>
      </c>
      <c r="K74" s="2">
        <v>20</v>
      </c>
      <c r="L74" s="2">
        <v>62</v>
      </c>
      <c r="M74" s="11">
        <v>20</v>
      </c>
      <c r="N74" s="2" t="s">
        <v>95</v>
      </c>
      <c r="O74" s="14">
        <v>0</v>
      </c>
      <c r="P74" s="13">
        <v>1</v>
      </c>
      <c r="Q74" s="183">
        <v>0</v>
      </c>
      <c r="R74" s="181">
        <v>2</v>
      </c>
      <c r="S74" s="178">
        <f t="shared" si="19"/>
        <v>1</v>
      </c>
      <c r="T74" s="186">
        <f t="shared" si="20"/>
        <v>2</v>
      </c>
      <c r="U74" s="179">
        <f t="shared" si="21"/>
        <v>1</v>
      </c>
      <c r="V74" s="1">
        <f t="shared" si="23"/>
        <v>25</v>
      </c>
      <c r="W74" s="8">
        <f t="shared" si="22"/>
        <v>6.25</v>
      </c>
      <c r="X74" s="15">
        <f t="shared" si="24"/>
        <v>331.25</v>
      </c>
    </row>
    <row r="75" spans="1:24">
      <c r="A75" t="s">
        <v>930</v>
      </c>
      <c r="B75" s="163" t="s">
        <v>10</v>
      </c>
      <c r="C75" s="2" t="s">
        <v>77</v>
      </c>
      <c r="D75" s="2" t="s">
        <v>251</v>
      </c>
      <c r="E75" s="3">
        <v>45339.541666666664</v>
      </c>
      <c r="F75" s="2" t="s">
        <v>294</v>
      </c>
      <c r="G75" s="2" t="s">
        <v>398</v>
      </c>
      <c r="H75" s="2">
        <v>2.1</v>
      </c>
      <c r="I75" s="2">
        <v>90</v>
      </c>
      <c r="J75" s="2">
        <v>70</v>
      </c>
      <c r="K75" s="2">
        <v>30</v>
      </c>
      <c r="L75" s="2">
        <v>65</v>
      </c>
      <c r="M75" s="11">
        <v>20</v>
      </c>
      <c r="N75" s="2" t="s">
        <v>95</v>
      </c>
      <c r="O75" s="14">
        <v>0</v>
      </c>
      <c r="P75" s="14">
        <v>0</v>
      </c>
      <c r="Q75" s="183">
        <v>0</v>
      </c>
      <c r="R75" s="181">
        <v>2</v>
      </c>
      <c r="S75" s="178">
        <f t="shared" si="19"/>
        <v>0</v>
      </c>
      <c r="T75" s="186">
        <f t="shared" si="20"/>
        <v>2</v>
      </c>
      <c r="U75" s="179">
        <f t="shared" si="21"/>
        <v>2</v>
      </c>
      <c r="V75" s="1">
        <f t="shared" si="23"/>
        <v>25</v>
      </c>
      <c r="W75" s="8">
        <f t="shared" si="22"/>
        <v>6.25</v>
      </c>
      <c r="X75" s="15">
        <f t="shared" si="24"/>
        <v>337.5</v>
      </c>
    </row>
    <row r="76" spans="1:24">
      <c r="A76" t="s">
        <v>930</v>
      </c>
      <c r="B76" s="163" t="s">
        <v>10</v>
      </c>
      <c r="C76" s="2" t="s">
        <v>6</v>
      </c>
      <c r="D76" s="2" t="s">
        <v>7</v>
      </c>
      <c r="E76" s="3">
        <v>45339.625</v>
      </c>
      <c r="F76" s="2" t="s">
        <v>26</v>
      </c>
      <c r="G76" s="2" t="s">
        <v>9</v>
      </c>
      <c r="H76" s="2">
        <v>2.1</v>
      </c>
      <c r="I76" s="2">
        <v>90</v>
      </c>
      <c r="J76" s="2">
        <v>65</v>
      </c>
      <c r="K76" s="2">
        <v>35</v>
      </c>
      <c r="L76" s="2">
        <v>60</v>
      </c>
      <c r="M76" s="11">
        <v>20</v>
      </c>
      <c r="N76" s="2" t="s">
        <v>95</v>
      </c>
      <c r="O76" s="14">
        <v>0</v>
      </c>
      <c r="P76" s="14">
        <v>0</v>
      </c>
      <c r="Q76" s="183">
        <v>1</v>
      </c>
      <c r="R76" s="181">
        <v>1</v>
      </c>
      <c r="S76" s="178">
        <f t="shared" si="19"/>
        <v>0</v>
      </c>
      <c r="T76" s="186">
        <f t="shared" si="20"/>
        <v>2</v>
      </c>
      <c r="U76" s="179">
        <f t="shared" si="21"/>
        <v>2</v>
      </c>
      <c r="V76" s="1">
        <f t="shared" si="23"/>
        <v>25</v>
      </c>
      <c r="W76" s="8">
        <f t="shared" si="22"/>
        <v>6.25</v>
      </c>
      <c r="X76" s="15">
        <f t="shared" si="24"/>
        <v>343.75</v>
      </c>
    </row>
    <row r="77" spans="1:24">
      <c r="A77" t="s">
        <v>930</v>
      </c>
      <c r="B77" s="163" t="s">
        <v>10</v>
      </c>
      <c r="C77" s="2" t="s">
        <v>6</v>
      </c>
      <c r="D77" s="2" t="s">
        <v>7</v>
      </c>
      <c r="E77" s="3">
        <v>45339.625</v>
      </c>
      <c r="F77" s="2" t="s">
        <v>27</v>
      </c>
      <c r="G77" s="2" t="s">
        <v>420</v>
      </c>
      <c r="H77" s="2">
        <v>2.2999999999999998</v>
      </c>
      <c r="I77" s="2">
        <v>95</v>
      </c>
      <c r="J77" s="2">
        <v>80</v>
      </c>
      <c r="K77" s="2">
        <v>40</v>
      </c>
      <c r="L77" s="2">
        <v>62</v>
      </c>
      <c r="M77" s="11">
        <v>20</v>
      </c>
      <c r="N77" s="2" t="s">
        <v>95</v>
      </c>
      <c r="O77" s="14">
        <v>1</v>
      </c>
      <c r="P77" s="14">
        <v>0</v>
      </c>
      <c r="Q77" s="183">
        <v>1</v>
      </c>
      <c r="R77" s="181">
        <v>1</v>
      </c>
      <c r="S77" s="178">
        <f t="shared" si="19"/>
        <v>1</v>
      </c>
      <c r="T77" s="186">
        <f t="shared" si="20"/>
        <v>2</v>
      </c>
      <c r="U77" s="179">
        <f t="shared" si="21"/>
        <v>1</v>
      </c>
      <c r="V77" s="1">
        <f t="shared" si="23"/>
        <v>25</v>
      </c>
      <c r="W77" s="8">
        <f t="shared" si="22"/>
        <v>6.25</v>
      </c>
      <c r="X77" s="15">
        <f t="shared" si="24"/>
        <v>350</v>
      </c>
    </row>
    <row r="78" spans="1:24">
      <c r="A78" t="s">
        <v>930</v>
      </c>
      <c r="B78" s="163" t="s">
        <v>10</v>
      </c>
      <c r="C78" s="2" t="s">
        <v>6</v>
      </c>
      <c r="D78" s="2" t="s">
        <v>62</v>
      </c>
      <c r="E78" s="3">
        <v>45339.729166666664</v>
      </c>
      <c r="F78" s="2" t="s">
        <v>72</v>
      </c>
      <c r="G78" s="2" t="s">
        <v>65</v>
      </c>
      <c r="H78" s="2">
        <v>2.2000000000000002</v>
      </c>
      <c r="I78" s="2">
        <v>90</v>
      </c>
      <c r="J78" s="2">
        <v>70</v>
      </c>
      <c r="K78" s="2">
        <v>55</v>
      </c>
      <c r="L78" s="2">
        <v>62</v>
      </c>
      <c r="M78" s="11">
        <v>20</v>
      </c>
      <c r="N78" s="2" t="s">
        <v>95</v>
      </c>
      <c r="O78" s="14">
        <v>0</v>
      </c>
      <c r="P78" s="14">
        <v>1</v>
      </c>
      <c r="Q78" s="183">
        <v>1</v>
      </c>
      <c r="R78" s="181">
        <v>1</v>
      </c>
      <c r="S78" s="178">
        <f t="shared" si="19"/>
        <v>1</v>
      </c>
      <c r="T78" s="186">
        <f t="shared" si="20"/>
        <v>2</v>
      </c>
      <c r="U78" s="179">
        <f t="shared" si="21"/>
        <v>1</v>
      </c>
      <c r="V78" s="1">
        <f t="shared" si="23"/>
        <v>25</v>
      </c>
      <c r="W78" s="8">
        <f t="shared" si="22"/>
        <v>6.25</v>
      </c>
      <c r="X78" s="15">
        <f t="shared" si="24"/>
        <v>356.25</v>
      </c>
    </row>
    <row r="79" spans="1:24">
      <c r="A79" t="s">
        <v>930</v>
      </c>
      <c r="B79" s="163" t="s">
        <v>10</v>
      </c>
      <c r="C79" s="2" t="s">
        <v>133</v>
      </c>
      <c r="D79" s="2" t="s">
        <v>78</v>
      </c>
      <c r="E79" s="3">
        <v>45347.75</v>
      </c>
      <c r="F79" s="2" t="s">
        <v>466</v>
      </c>
      <c r="G79" s="2" t="s">
        <v>427</v>
      </c>
      <c r="H79" s="2">
        <v>1.8</v>
      </c>
      <c r="I79" s="2">
        <v>100</v>
      </c>
      <c r="J79" s="2">
        <v>70</v>
      </c>
      <c r="K79" s="2">
        <v>10</v>
      </c>
      <c r="L79" s="2">
        <v>64</v>
      </c>
      <c r="M79" s="11">
        <v>20</v>
      </c>
      <c r="N79" s="2" t="s">
        <v>95</v>
      </c>
      <c r="O79" s="14">
        <v>1</v>
      </c>
      <c r="P79" s="14">
        <v>0</v>
      </c>
      <c r="Q79" s="183">
        <v>1</v>
      </c>
      <c r="R79" s="181">
        <v>1</v>
      </c>
      <c r="S79" s="178">
        <f t="shared" si="19"/>
        <v>1</v>
      </c>
      <c r="T79" s="186">
        <f t="shared" si="20"/>
        <v>2</v>
      </c>
      <c r="U79" s="179">
        <f t="shared" si="21"/>
        <v>1</v>
      </c>
      <c r="V79" s="1">
        <f t="shared" si="23"/>
        <v>25</v>
      </c>
      <c r="W79" s="8">
        <f t="shared" si="22"/>
        <v>6.25</v>
      </c>
      <c r="X79" s="15">
        <f t="shared" si="24"/>
        <v>362.5</v>
      </c>
    </row>
    <row r="80" spans="1:24">
      <c r="A80" t="s">
        <v>930</v>
      </c>
      <c r="B80" s="163" t="s">
        <v>10</v>
      </c>
      <c r="C80" s="2" t="s">
        <v>434</v>
      </c>
      <c r="D80" s="2" t="s">
        <v>435</v>
      </c>
      <c r="E80" s="3">
        <v>45352.75</v>
      </c>
      <c r="F80" s="2" t="s">
        <v>437</v>
      </c>
      <c r="G80" s="2" t="s">
        <v>476</v>
      </c>
      <c r="H80" s="2">
        <v>2.06</v>
      </c>
      <c r="I80" s="2">
        <v>94</v>
      </c>
      <c r="J80" s="2">
        <v>67</v>
      </c>
      <c r="K80" s="2">
        <v>33</v>
      </c>
      <c r="L80" s="2">
        <v>60</v>
      </c>
      <c r="M80" s="11">
        <v>18</v>
      </c>
      <c r="N80" s="2" t="s">
        <v>95</v>
      </c>
      <c r="O80" s="14">
        <v>1</v>
      </c>
      <c r="P80" s="14">
        <v>0</v>
      </c>
      <c r="Q80" s="183">
        <v>2</v>
      </c>
      <c r="R80" s="181">
        <v>0</v>
      </c>
      <c r="S80" s="178">
        <f t="shared" si="19"/>
        <v>1</v>
      </c>
      <c r="T80" s="186">
        <f t="shared" si="20"/>
        <v>2</v>
      </c>
      <c r="U80" s="179">
        <f t="shared" si="21"/>
        <v>1</v>
      </c>
      <c r="V80" s="1">
        <f t="shared" si="23"/>
        <v>25</v>
      </c>
      <c r="W80" s="8">
        <f t="shared" si="22"/>
        <v>6.25</v>
      </c>
      <c r="X80" s="15">
        <f t="shared" si="24"/>
        <v>368.75</v>
      </c>
    </row>
    <row r="81" spans="1:24">
      <c r="A81" t="s">
        <v>930</v>
      </c>
      <c r="B81" s="163" t="s">
        <v>10</v>
      </c>
      <c r="C81" s="2" t="s">
        <v>6</v>
      </c>
      <c r="D81" s="2" t="s">
        <v>7</v>
      </c>
      <c r="E81" s="3">
        <v>45353.625</v>
      </c>
      <c r="F81" s="2" t="s">
        <v>27</v>
      </c>
      <c r="G81" s="2" t="s">
        <v>18</v>
      </c>
      <c r="H81" s="2">
        <v>2.1</v>
      </c>
      <c r="I81" s="2">
        <v>90</v>
      </c>
      <c r="J81" s="2">
        <v>65</v>
      </c>
      <c r="K81" s="2">
        <v>35</v>
      </c>
      <c r="L81" s="2">
        <v>62</v>
      </c>
      <c r="M81" s="11">
        <v>20</v>
      </c>
      <c r="N81" s="2" t="s">
        <v>95</v>
      </c>
      <c r="O81" s="14">
        <v>1</v>
      </c>
      <c r="P81" s="14">
        <v>0</v>
      </c>
      <c r="Q81" s="183">
        <v>1</v>
      </c>
      <c r="R81" s="181">
        <v>1</v>
      </c>
      <c r="S81" s="178">
        <f t="shared" si="19"/>
        <v>1</v>
      </c>
      <c r="T81" s="186">
        <f t="shared" si="20"/>
        <v>2</v>
      </c>
      <c r="U81" s="179">
        <f t="shared" si="21"/>
        <v>1</v>
      </c>
      <c r="V81" s="1">
        <f t="shared" si="23"/>
        <v>25</v>
      </c>
      <c r="W81" s="8">
        <f t="shared" si="22"/>
        <v>6.25</v>
      </c>
      <c r="X81" s="15">
        <f t="shared" si="24"/>
        <v>375</v>
      </c>
    </row>
    <row r="82" spans="1:24">
      <c r="A82" t="s">
        <v>930</v>
      </c>
      <c r="B82" s="163" t="s">
        <v>10</v>
      </c>
      <c r="C82" s="2" t="s">
        <v>13</v>
      </c>
      <c r="D82" s="2" t="s">
        <v>11</v>
      </c>
      <c r="E82" s="3">
        <v>45353.625</v>
      </c>
      <c r="F82" s="2" t="s">
        <v>400</v>
      </c>
      <c r="G82" s="2" t="s">
        <v>138</v>
      </c>
      <c r="H82" s="2">
        <v>1.9</v>
      </c>
      <c r="I82" s="2">
        <v>90</v>
      </c>
      <c r="J82" s="2">
        <v>65</v>
      </c>
      <c r="K82" s="2">
        <v>30</v>
      </c>
      <c r="L82" s="2">
        <v>63</v>
      </c>
      <c r="M82" s="11">
        <v>20</v>
      </c>
      <c r="N82" s="2" t="s">
        <v>95</v>
      </c>
      <c r="O82" s="14">
        <v>0</v>
      </c>
      <c r="P82" s="14">
        <v>1</v>
      </c>
      <c r="Q82" s="183">
        <v>0</v>
      </c>
      <c r="R82" s="181">
        <v>2</v>
      </c>
      <c r="S82" s="178">
        <f t="shared" si="19"/>
        <v>1</v>
      </c>
      <c r="T82" s="186">
        <f t="shared" si="20"/>
        <v>2</v>
      </c>
      <c r="U82" s="179">
        <f t="shared" si="21"/>
        <v>1</v>
      </c>
      <c r="V82" s="1">
        <f t="shared" si="23"/>
        <v>25</v>
      </c>
      <c r="W82" s="8">
        <f t="shared" si="22"/>
        <v>6.25</v>
      </c>
      <c r="X82" s="15">
        <f t="shared" si="24"/>
        <v>381.25</v>
      </c>
    </row>
    <row r="83" spans="1:24">
      <c r="A83" t="s">
        <v>930</v>
      </c>
      <c r="B83" s="163" t="s">
        <v>10</v>
      </c>
      <c r="C83" s="2" t="s">
        <v>13</v>
      </c>
      <c r="D83" s="2" t="s">
        <v>37</v>
      </c>
      <c r="E83" s="3">
        <v>45354.5</v>
      </c>
      <c r="F83" s="2" t="s">
        <v>305</v>
      </c>
      <c r="G83" s="2" t="s">
        <v>99</v>
      </c>
      <c r="H83" s="2">
        <v>1.9</v>
      </c>
      <c r="I83" s="2">
        <v>85</v>
      </c>
      <c r="J83" s="2">
        <v>65</v>
      </c>
      <c r="K83" s="2">
        <v>35</v>
      </c>
      <c r="L83" s="2">
        <v>60</v>
      </c>
      <c r="M83" s="11">
        <v>20</v>
      </c>
      <c r="N83" s="2" t="s">
        <v>95</v>
      </c>
      <c r="O83" s="14">
        <v>1</v>
      </c>
      <c r="P83" s="14">
        <v>0</v>
      </c>
      <c r="Q83" s="183">
        <v>2</v>
      </c>
      <c r="R83" s="181">
        <v>0</v>
      </c>
      <c r="S83" s="178">
        <f t="shared" si="19"/>
        <v>1</v>
      </c>
      <c r="T83" s="186">
        <f t="shared" si="20"/>
        <v>2</v>
      </c>
      <c r="U83" s="179">
        <f t="shared" si="21"/>
        <v>1</v>
      </c>
      <c r="V83" s="1">
        <f t="shared" si="23"/>
        <v>25</v>
      </c>
      <c r="W83" s="8">
        <f t="shared" si="22"/>
        <v>6.25</v>
      </c>
      <c r="X83" s="15">
        <f t="shared" si="24"/>
        <v>387.5</v>
      </c>
    </row>
    <row r="84" spans="1:24">
      <c r="A84" t="s">
        <v>930</v>
      </c>
      <c r="B84" s="163" t="s">
        <v>10</v>
      </c>
      <c r="C84" s="2" t="s">
        <v>20</v>
      </c>
      <c r="D84" s="2" t="s">
        <v>21</v>
      </c>
      <c r="E84" s="3">
        <v>45354.583333333336</v>
      </c>
      <c r="F84" s="2" t="s">
        <v>402</v>
      </c>
      <c r="G84" s="2" t="s">
        <v>98</v>
      </c>
      <c r="H84" s="2">
        <v>1.9</v>
      </c>
      <c r="I84" s="2">
        <v>95</v>
      </c>
      <c r="J84" s="2">
        <v>70</v>
      </c>
      <c r="K84" s="2">
        <v>25</v>
      </c>
      <c r="L84" s="2">
        <v>64</v>
      </c>
      <c r="M84" s="11">
        <v>20</v>
      </c>
      <c r="N84" s="2" t="s">
        <v>95</v>
      </c>
      <c r="O84" s="14">
        <v>1</v>
      </c>
      <c r="P84" s="14">
        <v>0</v>
      </c>
      <c r="Q84" s="183">
        <v>1</v>
      </c>
      <c r="R84" s="181">
        <v>1</v>
      </c>
      <c r="S84" s="178">
        <f t="shared" si="19"/>
        <v>1</v>
      </c>
      <c r="T84" s="186">
        <f t="shared" si="20"/>
        <v>2</v>
      </c>
      <c r="U84" s="179">
        <f t="shared" si="21"/>
        <v>1</v>
      </c>
      <c r="V84" s="1">
        <f t="shared" si="23"/>
        <v>25</v>
      </c>
      <c r="W84" s="8">
        <f t="shared" si="22"/>
        <v>6.25</v>
      </c>
      <c r="X84" s="15">
        <f t="shared" si="24"/>
        <v>393.75</v>
      </c>
    </row>
    <row r="85" spans="1:24">
      <c r="A85" t="s">
        <v>930</v>
      </c>
      <c r="B85" s="163" t="s">
        <v>10</v>
      </c>
      <c r="C85" s="2" t="s">
        <v>133</v>
      </c>
      <c r="D85" s="2" t="s">
        <v>78</v>
      </c>
      <c r="E85" s="3">
        <v>45354.729166666664</v>
      </c>
      <c r="F85" s="2" t="s">
        <v>394</v>
      </c>
      <c r="G85" s="2" t="s">
        <v>137</v>
      </c>
      <c r="H85" s="2">
        <v>2.1</v>
      </c>
      <c r="I85" s="2">
        <v>85</v>
      </c>
      <c r="J85" s="2">
        <v>70</v>
      </c>
      <c r="K85" s="2">
        <v>35</v>
      </c>
      <c r="L85" s="2">
        <v>63</v>
      </c>
      <c r="M85" s="11">
        <v>20</v>
      </c>
      <c r="N85" s="2" t="s">
        <v>95</v>
      </c>
      <c r="O85" s="14">
        <v>0</v>
      </c>
      <c r="P85" s="14">
        <v>0</v>
      </c>
      <c r="Q85" s="183">
        <v>0</v>
      </c>
      <c r="R85" s="181">
        <v>2</v>
      </c>
      <c r="S85" s="178">
        <f t="shared" si="19"/>
        <v>0</v>
      </c>
      <c r="T85" s="186">
        <f t="shared" si="20"/>
        <v>2</v>
      </c>
      <c r="U85" s="179">
        <f t="shared" si="21"/>
        <v>2</v>
      </c>
      <c r="V85" s="1">
        <f t="shared" si="23"/>
        <v>25</v>
      </c>
      <c r="W85" s="8">
        <f t="shared" si="22"/>
        <v>6.25</v>
      </c>
      <c r="X85" s="15">
        <f t="shared" si="24"/>
        <v>400</v>
      </c>
    </row>
    <row r="86" spans="1:24">
      <c r="A86" t="s">
        <v>930</v>
      </c>
      <c r="B86" s="163" t="s">
        <v>10</v>
      </c>
      <c r="C86" s="2" t="s">
        <v>6</v>
      </c>
      <c r="D86" s="2" t="s">
        <v>62</v>
      </c>
      <c r="E86" s="3">
        <v>45361.65625</v>
      </c>
      <c r="F86" s="2" t="s">
        <v>285</v>
      </c>
      <c r="G86" s="2" t="s">
        <v>72</v>
      </c>
      <c r="H86" s="2">
        <v>2.1</v>
      </c>
      <c r="I86" s="2">
        <v>85</v>
      </c>
      <c r="J86" s="2">
        <v>70</v>
      </c>
      <c r="K86" s="2">
        <v>30</v>
      </c>
      <c r="L86" s="2">
        <v>63</v>
      </c>
      <c r="M86" s="11">
        <v>20</v>
      </c>
      <c r="N86" s="2" t="s">
        <v>95</v>
      </c>
      <c r="O86" s="14">
        <v>0</v>
      </c>
      <c r="P86" s="14">
        <v>1</v>
      </c>
      <c r="Q86" s="183">
        <v>1</v>
      </c>
      <c r="R86" s="181">
        <v>1</v>
      </c>
      <c r="S86" s="178">
        <f t="shared" si="19"/>
        <v>1</v>
      </c>
      <c r="T86" s="186">
        <f t="shared" si="20"/>
        <v>2</v>
      </c>
      <c r="U86" s="179">
        <f t="shared" si="21"/>
        <v>1</v>
      </c>
      <c r="V86" s="1">
        <f t="shared" si="23"/>
        <v>25</v>
      </c>
      <c r="W86" s="8">
        <f t="shared" si="22"/>
        <v>6.25</v>
      </c>
      <c r="X86" s="15">
        <f t="shared" si="24"/>
        <v>406.25</v>
      </c>
    </row>
    <row r="87" spans="1:24">
      <c r="A87" t="s">
        <v>930</v>
      </c>
      <c r="B87" s="163" t="s">
        <v>10</v>
      </c>
      <c r="C87" s="2" t="s">
        <v>6</v>
      </c>
      <c r="D87" s="2" t="s">
        <v>7</v>
      </c>
      <c r="E87" s="3">
        <v>45367.625</v>
      </c>
      <c r="F87" s="2" t="s">
        <v>27</v>
      </c>
      <c r="G87" s="2" t="s">
        <v>114</v>
      </c>
      <c r="H87" s="2">
        <v>2.1</v>
      </c>
      <c r="I87" s="2">
        <v>100</v>
      </c>
      <c r="J87" s="2">
        <v>70</v>
      </c>
      <c r="K87" s="2">
        <v>25</v>
      </c>
      <c r="L87" s="2">
        <v>62</v>
      </c>
      <c r="M87" s="11">
        <v>20</v>
      </c>
      <c r="N87" s="2" t="s">
        <v>95</v>
      </c>
      <c r="O87" s="14">
        <v>0</v>
      </c>
      <c r="P87" s="14">
        <v>1</v>
      </c>
      <c r="Q87" s="183">
        <v>1</v>
      </c>
      <c r="R87" s="181">
        <v>1</v>
      </c>
      <c r="S87" s="178">
        <f t="shared" si="19"/>
        <v>1</v>
      </c>
      <c r="T87" s="186">
        <f t="shared" si="20"/>
        <v>2</v>
      </c>
      <c r="U87" s="179">
        <f t="shared" si="21"/>
        <v>1</v>
      </c>
      <c r="V87" s="1">
        <f t="shared" si="23"/>
        <v>25</v>
      </c>
      <c r="W87" s="8">
        <f t="shared" si="22"/>
        <v>6.25</v>
      </c>
      <c r="X87" s="15">
        <f t="shared" si="24"/>
        <v>412.5</v>
      </c>
    </row>
    <row r="88" spans="1:24">
      <c r="A88" t="s">
        <v>930</v>
      </c>
      <c r="B88" s="163" t="s">
        <v>10</v>
      </c>
      <c r="C88" s="2" t="s">
        <v>31</v>
      </c>
      <c r="D88" s="2" t="s">
        <v>32</v>
      </c>
      <c r="E88" s="3">
        <v>45374.625</v>
      </c>
      <c r="F88" s="2" t="s">
        <v>261</v>
      </c>
      <c r="G88" s="2" t="s">
        <v>584</v>
      </c>
      <c r="H88" s="2">
        <v>1.95</v>
      </c>
      <c r="I88" s="2">
        <v>85</v>
      </c>
      <c r="J88" s="2">
        <v>65</v>
      </c>
      <c r="K88" s="2">
        <v>35</v>
      </c>
      <c r="L88" s="2">
        <v>64</v>
      </c>
      <c r="M88" s="11">
        <v>20</v>
      </c>
      <c r="N88" s="2" t="s">
        <v>95</v>
      </c>
      <c r="O88" s="14">
        <v>1</v>
      </c>
      <c r="P88" s="14">
        <v>0</v>
      </c>
      <c r="Q88" s="183">
        <v>1</v>
      </c>
      <c r="R88" s="181">
        <v>1</v>
      </c>
      <c r="S88" s="178">
        <f t="shared" si="19"/>
        <v>1</v>
      </c>
      <c r="T88" s="186">
        <f t="shared" si="20"/>
        <v>2</v>
      </c>
      <c r="U88" s="179">
        <f t="shared" si="21"/>
        <v>1</v>
      </c>
      <c r="V88" s="1">
        <f t="shared" si="23"/>
        <v>25</v>
      </c>
      <c r="W88" s="8">
        <f t="shared" si="22"/>
        <v>6.25</v>
      </c>
      <c r="X88" s="15">
        <f t="shared" si="24"/>
        <v>418.75</v>
      </c>
    </row>
    <row r="89" spans="1:24">
      <c r="A89" t="s">
        <v>930</v>
      </c>
      <c r="B89" s="163" t="s">
        <v>792</v>
      </c>
      <c r="C89" s="2" t="s">
        <v>6</v>
      </c>
      <c r="D89" s="2" t="s">
        <v>62</v>
      </c>
      <c r="E89" s="3">
        <v>45414.8125</v>
      </c>
      <c r="F89" s="2" t="s">
        <v>65</v>
      </c>
      <c r="G89" s="2" t="s">
        <v>116</v>
      </c>
      <c r="H89" s="2">
        <v>2.15</v>
      </c>
      <c r="I89" s="2">
        <v>90</v>
      </c>
      <c r="J89" s="2">
        <v>70</v>
      </c>
      <c r="K89" s="2">
        <v>63</v>
      </c>
      <c r="L89" s="2">
        <v>20</v>
      </c>
      <c r="M89" s="11"/>
      <c r="N89" s="2" t="s">
        <v>95</v>
      </c>
      <c r="O89" s="14">
        <v>1</v>
      </c>
      <c r="P89" s="14">
        <v>0</v>
      </c>
      <c r="Q89" s="183">
        <v>2</v>
      </c>
      <c r="R89" s="181">
        <v>0</v>
      </c>
      <c r="S89" s="178">
        <f t="shared" si="19"/>
        <v>1</v>
      </c>
      <c r="T89" s="186">
        <f t="shared" si="20"/>
        <v>2</v>
      </c>
      <c r="U89" s="179">
        <f t="shared" si="21"/>
        <v>1</v>
      </c>
      <c r="V89" s="1">
        <f t="shared" si="23"/>
        <v>25</v>
      </c>
      <c r="W89" s="8">
        <f t="shared" si="22"/>
        <v>6.25</v>
      </c>
      <c r="X89" s="15">
        <f t="shared" si="24"/>
        <v>425</v>
      </c>
    </row>
    <row r="90" spans="1:24">
      <c r="A90" t="s">
        <v>930</v>
      </c>
      <c r="B90" s="163" t="s">
        <v>792</v>
      </c>
      <c r="C90" s="2" t="s">
        <v>149</v>
      </c>
      <c r="D90" s="2" t="s">
        <v>153</v>
      </c>
      <c r="E90" s="3">
        <v>45415.791666666664</v>
      </c>
      <c r="F90" s="2" t="s">
        <v>248</v>
      </c>
      <c r="G90" s="2" t="s">
        <v>206</v>
      </c>
      <c r="H90" s="2">
        <v>1.95</v>
      </c>
      <c r="I90" s="2">
        <v>85</v>
      </c>
      <c r="J90" s="2">
        <v>65</v>
      </c>
      <c r="K90" s="2">
        <v>71</v>
      </c>
      <c r="L90" s="2">
        <v>20</v>
      </c>
      <c r="M90" s="11"/>
      <c r="N90" s="2" t="s">
        <v>95</v>
      </c>
      <c r="O90" s="14">
        <v>0</v>
      </c>
      <c r="P90" s="14">
        <v>0</v>
      </c>
      <c r="Q90" s="183">
        <v>1</v>
      </c>
      <c r="R90" s="181">
        <v>1</v>
      </c>
      <c r="S90" s="178">
        <f t="shared" si="19"/>
        <v>0</v>
      </c>
      <c r="T90" s="186">
        <f t="shared" si="20"/>
        <v>2</v>
      </c>
      <c r="U90" s="179">
        <f t="shared" si="21"/>
        <v>2</v>
      </c>
      <c r="V90" s="1">
        <f t="shared" si="23"/>
        <v>25</v>
      </c>
      <c r="W90" s="8">
        <f t="shared" si="22"/>
        <v>6.25</v>
      </c>
      <c r="X90" s="15">
        <f t="shared" si="24"/>
        <v>431.25</v>
      </c>
    </row>
    <row r="91" spans="1:24">
      <c r="A91" t="s">
        <v>930</v>
      </c>
      <c r="B91" s="163" t="s">
        <v>792</v>
      </c>
      <c r="C91" s="2" t="s">
        <v>77</v>
      </c>
      <c r="D91" s="2" t="s">
        <v>156</v>
      </c>
      <c r="E91" s="3">
        <v>45415.8125</v>
      </c>
      <c r="F91" s="2" t="s">
        <v>158</v>
      </c>
      <c r="G91" s="2" t="s">
        <v>181</v>
      </c>
      <c r="H91" s="2">
        <v>2.25</v>
      </c>
      <c r="I91" s="2">
        <v>95</v>
      </c>
      <c r="J91" s="2">
        <v>75</v>
      </c>
      <c r="K91" s="2">
        <v>62</v>
      </c>
      <c r="L91" s="2">
        <v>20</v>
      </c>
      <c r="M91" s="11"/>
      <c r="N91" s="2" t="s">
        <v>95</v>
      </c>
      <c r="O91" s="14">
        <v>0</v>
      </c>
      <c r="P91" s="14">
        <v>1</v>
      </c>
      <c r="Q91" s="183">
        <v>1</v>
      </c>
      <c r="R91" s="181">
        <v>1</v>
      </c>
      <c r="S91" s="178">
        <f t="shared" si="19"/>
        <v>1</v>
      </c>
      <c r="T91" s="186">
        <f t="shared" si="20"/>
        <v>2</v>
      </c>
      <c r="U91" s="179">
        <f t="shared" si="21"/>
        <v>1</v>
      </c>
      <c r="V91" s="1">
        <f t="shared" si="23"/>
        <v>25</v>
      </c>
      <c r="W91" s="8">
        <f t="shared" si="22"/>
        <v>6.25</v>
      </c>
      <c r="X91" s="15">
        <f t="shared" si="24"/>
        <v>437.5</v>
      </c>
    </row>
    <row r="92" spans="1:24">
      <c r="A92" t="s">
        <v>930</v>
      </c>
      <c r="B92" s="163" t="s">
        <v>792</v>
      </c>
      <c r="C92" s="2" t="s">
        <v>149</v>
      </c>
      <c r="D92" s="2" t="s">
        <v>150</v>
      </c>
      <c r="E92" s="3">
        <v>45422.791666666664</v>
      </c>
      <c r="F92" s="2" t="s">
        <v>256</v>
      </c>
      <c r="G92" s="2" t="s">
        <v>559</v>
      </c>
      <c r="H92" s="2">
        <v>2</v>
      </c>
      <c r="I92" s="2">
        <v>85</v>
      </c>
      <c r="J92" s="2">
        <v>65</v>
      </c>
      <c r="K92" s="2">
        <v>61</v>
      </c>
      <c r="L92" s="2">
        <v>20</v>
      </c>
      <c r="M92" s="11"/>
      <c r="N92" s="2" t="s">
        <v>95</v>
      </c>
      <c r="O92" s="14">
        <v>0</v>
      </c>
      <c r="P92" s="14">
        <v>1</v>
      </c>
      <c r="Q92" s="183">
        <v>1</v>
      </c>
      <c r="R92" s="181">
        <v>1</v>
      </c>
      <c r="S92" s="178">
        <f t="shared" si="19"/>
        <v>1</v>
      </c>
      <c r="T92" s="186">
        <f t="shared" si="20"/>
        <v>2</v>
      </c>
      <c r="U92" s="179">
        <f t="shared" si="21"/>
        <v>1</v>
      </c>
      <c r="V92" s="1">
        <f t="shared" si="23"/>
        <v>25</v>
      </c>
      <c r="W92" s="8">
        <f t="shared" si="22"/>
        <v>6.25</v>
      </c>
      <c r="X92" s="15">
        <f t="shared" si="24"/>
        <v>443.75</v>
      </c>
    </row>
    <row r="93" spans="1:24">
      <c r="A93" t="s">
        <v>930</v>
      </c>
      <c r="B93" s="163" t="s">
        <v>792</v>
      </c>
      <c r="C93" s="2" t="s">
        <v>802</v>
      </c>
      <c r="D93" s="2" t="s">
        <v>803</v>
      </c>
      <c r="E93" s="3">
        <v>45424.5</v>
      </c>
      <c r="F93" s="2" t="s">
        <v>822</v>
      </c>
      <c r="G93" s="2" t="s">
        <v>823</v>
      </c>
      <c r="H93" s="2">
        <v>2.1</v>
      </c>
      <c r="I93" s="2">
        <v>95</v>
      </c>
      <c r="J93" s="2">
        <v>70</v>
      </c>
      <c r="K93" s="2">
        <v>63</v>
      </c>
      <c r="L93" s="2">
        <v>20</v>
      </c>
      <c r="M93" s="11"/>
      <c r="N93" s="2" t="s">
        <v>95</v>
      </c>
      <c r="O93" s="14">
        <v>0</v>
      </c>
      <c r="P93" s="14">
        <v>0</v>
      </c>
      <c r="Q93" s="183">
        <v>2</v>
      </c>
      <c r="R93" s="181">
        <v>0</v>
      </c>
      <c r="S93" s="178">
        <f t="shared" si="19"/>
        <v>0</v>
      </c>
      <c r="T93" s="186">
        <f t="shared" si="20"/>
        <v>2</v>
      </c>
      <c r="U93" s="179">
        <f t="shared" si="21"/>
        <v>2</v>
      </c>
      <c r="V93" s="1">
        <f t="shared" si="23"/>
        <v>25</v>
      </c>
      <c r="W93" s="8">
        <f t="shared" si="22"/>
        <v>6.25</v>
      </c>
      <c r="X93" s="15">
        <f t="shared" si="24"/>
        <v>450</v>
      </c>
    </row>
    <row r="94" spans="1:24">
      <c r="A94" t="s">
        <v>930</v>
      </c>
      <c r="B94" s="163" t="s">
        <v>792</v>
      </c>
      <c r="C94" s="2" t="s">
        <v>149</v>
      </c>
      <c r="D94" s="2" t="s">
        <v>153</v>
      </c>
      <c r="E94" s="3">
        <v>45424.5625</v>
      </c>
      <c r="F94" s="2" t="s">
        <v>154</v>
      </c>
      <c r="G94" s="2" t="s">
        <v>205</v>
      </c>
      <c r="H94" s="2">
        <v>2.4500000000000002</v>
      </c>
      <c r="I94" s="2">
        <v>90</v>
      </c>
      <c r="J94" s="2">
        <v>75</v>
      </c>
      <c r="K94" s="2">
        <v>60</v>
      </c>
      <c r="L94" s="2">
        <v>20</v>
      </c>
      <c r="M94" s="11"/>
      <c r="N94" s="2" t="s">
        <v>95</v>
      </c>
      <c r="O94" s="14">
        <v>0</v>
      </c>
      <c r="P94" s="14">
        <v>0</v>
      </c>
      <c r="Q94" s="183">
        <v>1</v>
      </c>
      <c r="R94" s="181">
        <v>1</v>
      </c>
      <c r="S94" s="178">
        <f t="shared" si="19"/>
        <v>0</v>
      </c>
      <c r="T94" s="186">
        <f t="shared" si="20"/>
        <v>2</v>
      </c>
      <c r="U94" s="179">
        <f t="shared" si="21"/>
        <v>2</v>
      </c>
      <c r="V94" s="1">
        <f t="shared" si="23"/>
        <v>25</v>
      </c>
      <c r="W94" s="8">
        <f t="shared" si="22"/>
        <v>6.25</v>
      </c>
      <c r="X94" s="15">
        <f t="shared" si="24"/>
        <v>456.25</v>
      </c>
    </row>
    <row r="95" spans="1:24">
      <c r="A95" t="s">
        <v>930</v>
      </c>
      <c r="B95" s="163" t="s">
        <v>792</v>
      </c>
      <c r="C95" s="2" t="s">
        <v>133</v>
      </c>
      <c r="D95" s="2" t="s">
        <v>78</v>
      </c>
      <c r="E95" s="3">
        <v>45424.75</v>
      </c>
      <c r="F95" s="2" t="s">
        <v>137</v>
      </c>
      <c r="G95" s="2" t="s">
        <v>488</v>
      </c>
      <c r="H95" s="2">
        <v>1.8</v>
      </c>
      <c r="I95" s="2">
        <v>85</v>
      </c>
      <c r="J95" s="2">
        <v>65</v>
      </c>
      <c r="K95" s="2">
        <v>66</v>
      </c>
      <c r="L95" s="2">
        <v>20</v>
      </c>
      <c r="M95" s="11"/>
      <c r="N95" s="2" t="s">
        <v>95</v>
      </c>
      <c r="O95" s="14">
        <v>1</v>
      </c>
      <c r="P95" s="14">
        <v>0</v>
      </c>
      <c r="Q95" s="183">
        <v>2</v>
      </c>
      <c r="R95" s="181">
        <v>0</v>
      </c>
      <c r="S95" s="178">
        <f t="shared" si="19"/>
        <v>1</v>
      </c>
      <c r="T95" s="186">
        <f t="shared" si="20"/>
        <v>2</v>
      </c>
      <c r="U95" s="179">
        <f t="shared" si="21"/>
        <v>1</v>
      </c>
      <c r="V95" s="1">
        <f t="shared" si="23"/>
        <v>25</v>
      </c>
      <c r="W95" s="8">
        <f t="shared" si="22"/>
        <v>6.25</v>
      </c>
      <c r="X95" s="15">
        <f t="shared" si="24"/>
        <v>462.5</v>
      </c>
    </row>
    <row r="96" spans="1:24">
      <c r="A96" t="s">
        <v>930</v>
      </c>
      <c r="B96" s="163" t="s">
        <v>792</v>
      </c>
      <c r="C96" s="2" t="s">
        <v>6</v>
      </c>
      <c r="D96" s="2" t="s">
        <v>62</v>
      </c>
      <c r="E96" s="3">
        <v>45426.833333333336</v>
      </c>
      <c r="F96" s="2" t="s">
        <v>116</v>
      </c>
      <c r="G96" s="2" t="s">
        <v>72</v>
      </c>
      <c r="H96" s="2">
        <v>2.1</v>
      </c>
      <c r="I96" s="2">
        <v>95</v>
      </c>
      <c r="J96" s="2">
        <v>70</v>
      </c>
      <c r="K96" s="2">
        <v>60</v>
      </c>
      <c r="L96" s="2">
        <v>20</v>
      </c>
      <c r="M96" s="11"/>
      <c r="N96" s="2" t="s">
        <v>95</v>
      </c>
      <c r="O96" s="14">
        <v>0</v>
      </c>
      <c r="P96" s="14">
        <v>0</v>
      </c>
      <c r="Q96" s="183">
        <v>0</v>
      </c>
      <c r="R96" s="181">
        <v>2</v>
      </c>
      <c r="S96" s="178">
        <f t="shared" si="19"/>
        <v>0</v>
      </c>
      <c r="T96" s="186">
        <f t="shared" si="20"/>
        <v>2</v>
      </c>
      <c r="U96" s="179">
        <f t="shared" si="21"/>
        <v>2</v>
      </c>
      <c r="V96" s="1">
        <f t="shared" si="23"/>
        <v>25</v>
      </c>
      <c r="W96" s="8">
        <f t="shared" si="22"/>
        <v>6.25</v>
      </c>
      <c r="X96" s="15">
        <f t="shared" si="24"/>
        <v>468.75</v>
      </c>
    </row>
    <row r="97" spans="1:24">
      <c r="A97" t="s">
        <v>930</v>
      </c>
      <c r="B97" s="163" t="s">
        <v>792</v>
      </c>
      <c r="C97" s="2" t="s">
        <v>77</v>
      </c>
      <c r="D97" s="2" t="s">
        <v>234</v>
      </c>
      <c r="E97" s="3">
        <v>45431.604166666664</v>
      </c>
      <c r="F97" s="2" t="s">
        <v>633</v>
      </c>
      <c r="G97" s="2" t="s">
        <v>246</v>
      </c>
      <c r="H97" s="2">
        <v>2.0499999999999998</v>
      </c>
      <c r="I97" s="2">
        <v>95</v>
      </c>
      <c r="J97" s="2">
        <v>65</v>
      </c>
      <c r="K97" s="2">
        <v>60</v>
      </c>
      <c r="L97" s="2">
        <v>20</v>
      </c>
      <c r="M97" s="11"/>
      <c r="N97" s="2" t="s">
        <v>95</v>
      </c>
      <c r="O97" s="14">
        <v>0</v>
      </c>
      <c r="P97" s="14">
        <v>0</v>
      </c>
      <c r="Q97" s="183">
        <v>2</v>
      </c>
      <c r="R97" s="181">
        <v>0</v>
      </c>
      <c r="S97" s="178">
        <f t="shared" si="19"/>
        <v>0</v>
      </c>
      <c r="T97" s="186">
        <f t="shared" si="20"/>
        <v>2</v>
      </c>
      <c r="U97" s="179">
        <f t="shared" si="21"/>
        <v>2</v>
      </c>
      <c r="V97" s="1">
        <f t="shared" si="23"/>
        <v>25</v>
      </c>
      <c r="W97" s="8">
        <f t="shared" si="22"/>
        <v>6.25</v>
      </c>
      <c r="X97" s="15">
        <f t="shared" si="24"/>
        <v>475</v>
      </c>
    </row>
    <row r="98" spans="1:24">
      <c r="A98" t="s">
        <v>930</v>
      </c>
      <c r="B98" s="163" t="s">
        <v>792</v>
      </c>
      <c r="C98" s="2" t="s">
        <v>6</v>
      </c>
      <c r="D98" s="2" t="s">
        <v>62</v>
      </c>
      <c r="E98" s="3">
        <v>45431.666666666664</v>
      </c>
      <c r="F98" s="2" t="s">
        <v>267</v>
      </c>
      <c r="G98" s="2" t="s">
        <v>383</v>
      </c>
      <c r="H98" s="2">
        <v>1.9</v>
      </c>
      <c r="I98" s="2">
        <v>85</v>
      </c>
      <c r="J98" s="2">
        <v>65</v>
      </c>
      <c r="K98" s="2">
        <v>63</v>
      </c>
      <c r="L98" s="2">
        <v>20</v>
      </c>
      <c r="M98" s="2"/>
      <c r="N98" s="2" t="s">
        <v>95</v>
      </c>
      <c r="O98" s="13">
        <v>0</v>
      </c>
      <c r="P98" s="13">
        <v>0</v>
      </c>
      <c r="Q98" s="183">
        <v>0</v>
      </c>
      <c r="R98" s="181">
        <v>2</v>
      </c>
      <c r="S98" s="178">
        <f t="shared" si="19"/>
        <v>0</v>
      </c>
      <c r="T98" s="186">
        <f t="shared" si="20"/>
        <v>2</v>
      </c>
      <c r="U98" s="179">
        <f t="shared" si="21"/>
        <v>2</v>
      </c>
      <c r="V98" s="1">
        <f t="shared" si="23"/>
        <v>25</v>
      </c>
      <c r="W98" s="8">
        <f t="shared" si="22"/>
        <v>6.25</v>
      </c>
      <c r="X98" s="15">
        <f t="shared" si="24"/>
        <v>481.25</v>
      </c>
    </row>
    <row r="99" spans="1:24">
      <c r="A99" t="s">
        <v>930</v>
      </c>
      <c r="B99" s="163" t="s">
        <v>792</v>
      </c>
      <c r="C99" s="2" t="s">
        <v>516</v>
      </c>
      <c r="D99" s="2" t="s">
        <v>78</v>
      </c>
      <c r="E99" s="3">
        <v>45434.541666666664</v>
      </c>
      <c r="F99" s="2" t="s">
        <v>538</v>
      </c>
      <c r="G99" s="2" t="s">
        <v>718</v>
      </c>
      <c r="H99" s="2">
        <v>2.1</v>
      </c>
      <c r="I99" s="2">
        <v>90</v>
      </c>
      <c r="J99" s="2">
        <v>70</v>
      </c>
      <c r="K99" s="2">
        <v>66</v>
      </c>
      <c r="L99" s="2">
        <v>20</v>
      </c>
      <c r="M99" s="2"/>
      <c r="N99" s="2" t="s">
        <v>95</v>
      </c>
      <c r="O99" s="14">
        <v>0</v>
      </c>
      <c r="P99" s="14">
        <v>0</v>
      </c>
      <c r="Q99" s="183">
        <v>2</v>
      </c>
      <c r="R99" s="181">
        <v>0</v>
      </c>
      <c r="S99" s="178">
        <f t="shared" si="19"/>
        <v>0</v>
      </c>
      <c r="T99" s="186">
        <f t="shared" si="20"/>
        <v>2</v>
      </c>
      <c r="U99" s="179">
        <f t="shared" si="21"/>
        <v>2</v>
      </c>
      <c r="V99" s="1">
        <f t="shared" si="23"/>
        <v>25</v>
      </c>
      <c r="W99" s="8">
        <f t="shared" si="22"/>
        <v>6.25</v>
      </c>
      <c r="X99" s="15">
        <f t="shared" si="24"/>
        <v>487.5</v>
      </c>
    </row>
    <row r="100" spans="1:24">
      <c r="A100" t="s">
        <v>930</v>
      </c>
      <c r="B100" s="163" t="s">
        <v>28</v>
      </c>
      <c r="C100" s="2" t="s">
        <v>31</v>
      </c>
      <c r="D100" s="2" t="s">
        <v>32</v>
      </c>
      <c r="E100" s="3">
        <v>45290.625</v>
      </c>
      <c r="F100" s="2" t="s">
        <v>33</v>
      </c>
      <c r="G100" s="2" t="s">
        <v>34</v>
      </c>
      <c r="H100" s="2">
        <v>1.9</v>
      </c>
      <c r="I100" s="2">
        <v>4.3899999999999997</v>
      </c>
      <c r="J100" s="2">
        <v>64</v>
      </c>
      <c r="K100" s="2">
        <v>0</v>
      </c>
      <c r="L100" s="2">
        <v>20</v>
      </c>
      <c r="M100" s="2"/>
      <c r="N100" s="2" t="s">
        <v>95</v>
      </c>
      <c r="O100" s="14">
        <v>0</v>
      </c>
      <c r="P100" s="13">
        <v>0</v>
      </c>
      <c r="Q100" s="183">
        <v>2</v>
      </c>
      <c r="R100" s="181">
        <v>0</v>
      </c>
      <c r="S100" s="178">
        <f t="shared" si="19"/>
        <v>0</v>
      </c>
      <c r="T100" s="186">
        <f t="shared" si="20"/>
        <v>2</v>
      </c>
      <c r="U100" s="179">
        <f t="shared" si="21"/>
        <v>2</v>
      </c>
      <c r="V100" s="1">
        <f t="shared" si="23"/>
        <v>25</v>
      </c>
      <c r="W100" s="8">
        <f t="shared" si="22"/>
        <v>6.25</v>
      </c>
      <c r="X100" s="15">
        <f t="shared" si="24"/>
        <v>493.75</v>
      </c>
    </row>
    <row r="101" spans="1:24">
      <c r="A101" t="s">
        <v>930</v>
      </c>
      <c r="B101" s="163" t="s">
        <v>28</v>
      </c>
      <c r="C101" s="2" t="s">
        <v>159</v>
      </c>
      <c r="D101" s="2" t="s">
        <v>228</v>
      </c>
      <c r="E101" s="3">
        <v>45309.128472222219</v>
      </c>
      <c r="F101" s="2" t="s">
        <v>229</v>
      </c>
      <c r="G101" s="2" t="s">
        <v>230</v>
      </c>
      <c r="H101" s="2">
        <v>2.2999999999999998</v>
      </c>
      <c r="I101" s="2">
        <v>5.07</v>
      </c>
      <c r="J101" s="2">
        <v>63</v>
      </c>
      <c r="K101" s="2">
        <v>0</v>
      </c>
      <c r="L101" s="2">
        <v>20</v>
      </c>
      <c r="M101" s="2"/>
      <c r="N101" s="2" t="s">
        <v>95</v>
      </c>
      <c r="O101" s="14">
        <v>0</v>
      </c>
      <c r="P101" s="13">
        <v>0</v>
      </c>
      <c r="Q101" s="183">
        <v>1</v>
      </c>
      <c r="R101" s="181">
        <v>1</v>
      </c>
      <c r="S101" s="178">
        <f t="shared" si="19"/>
        <v>0</v>
      </c>
      <c r="T101" s="186">
        <f t="shared" si="20"/>
        <v>2</v>
      </c>
      <c r="U101" s="179">
        <f t="shared" si="21"/>
        <v>2</v>
      </c>
      <c r="V101" s="1">
        <f t="shared" si="23"/>
        <v>25</v>
      </c>
      <c r="W101" s="8">
        <f t="shared" si="22"/>
        <v>6.25</v>
      </c>
      <c r="X101" s="15">
        <f t="shared" si="24"/>
        <v>500</v>
      </c>
    </row>
    <row r="102" spans="1:24">
      <c r="A102" t="s">
        <v>930</v>
      </c>
      <c r="B102" s="163" t="s">
        <v>35</v>
      </c>
      <c r="C102" s="2" t="s">
        <v>6</v>
      </c>
      <c r="D102" s="2" t="s">
        <v>40</v>
      </c>
      <c r="E102" s="3">
        <v>45286.625</v>
      </c>
      <c r="F102" s="2" t="s">
        <v>93</v>
      </c>
      <c r="G102" s="2" t="s">
        <v>94</v>
      </c>
      <c r="H102" s="7">
        <v>68</v>
      </c>
      <c r="I102" s="2">
        <v>90</v>
      </c>
      <c r="J102" s="2">
        <v>70</v>
      </c>
      <c r="K102" s="2">
        <v>45</v>
      </c>
      <c r="L102" s="2">
        <v>20</v>
      </c>
      <c r="M102" s="2"/>
      <c r="N102" s="2" t="s">
        <v>95</v>
      </c>
      <c r="O102" s="14">
        <v>0</v>
      </c>
      <c r="P102" s="13">
        <v>1</v>
      </c>
      <c r="Q102" s="183">
        <v>1</v>
      </c>
      <c r="R102" s="181">
        <v>1</v>
      </c>
      <c r="S102" s="178">
        <f t="shared" si="19"/>
        <v>1</v>
      </c>
      <c r="T102" s="186">
        <f t="shared" si="20"/>
        <v>2</v>
      </c>
      <c r="U102" s="179">
        <f t="shared" si="21"/>
        <v>1</v>
      </c>
      <c r="V102" s="1">
        <f t="shared" si="23"/>
        <v>25</v>
      </c>
      <c r="W102" s="8">
        <f t="shared" si="22"/>
        <v>6.25</v>
      </c>
      <c r="X102" s="15">
        <f t="shared" si="24"/>
        <v>506.25</v>
      </c>
    </row>
    <row r="103" spans="1:24">
      <c r="A103" t="s">
        <v>930</v>
      </c>
      <c r="B103" s="163" t="s">
        <v>35</v>
      </c>
      <c r="C103" s="2" t="s">
        <v>149</v>
      </c>
      <c r="D103" s="2" t="s">
        <v>153</v>
      </c>
      <c r="E103" s="3">
        <v>45312.46875</v>
      </c>
      <c r="F103" s="2" t="s">
        <v>250</v>
      </c>
      <c r="G103" s="2" t="s">
        <v>188</v>
      </c>
      <c r="H103" s="2">
        <v>68</v>
      </c>
      <c r="I103" s="2">
        <v>88</v>
      </c>
      <c r="J103" s="2">
        <v>75</v>
      </c>
      <c r="K103" s="2">
        <v>50</v>
      </c>
      <c r="L103" s="2">
        <v>16</v>
      </c>
      <c r="M103" s="2"/>
      <c r="N103" s="2" t="s">
        <v>95</v>
      </c>
      <c r="O103" s="14">
        <v>0</v>
      </c>
      <c r="P103" s="13">
        <v>1</v>
      </c>
      <c r="Q103" s="183">
        <v>1</v>
      </c>
      <c r="R103" s="181">
        <v>1</v>
      </c>
      <c r="S103" s="178">
        <f t="shared" si="19"/>
        <v>1</v>
      </c>
      <c r="T103" s="186">
        <f t="shared" si="20"/>
        <v>2</v>
      </c>
      <c r="U103" s="179">
        <f t="shared" si="21"/>
        <v>1</v>
      </c>
      <c r="V103" s="1">
        <f t="shared" si="23"/>
        <v>25</v>
      </c>
      <c r="W103" s="8">
        <f t="shared" si="22"/>
        <v>6.25</v>
      </c>
      <c r="X103" s="15">
        <f t="shared" si="24"/>
        <v>512.5</v>
      </c>
    </row>
    <row r="104" spans="1:24">
      <c r="A104" t="s">
        <v>930</v>
      </c>
      <c r="B104" s="163" t="s">
        <v>35</v>
      </c>
      <c r="C104" s="2" t="s">
        <v>149</v>
      </c>
      <c r="D104" s="2" t="s">
        <v>153</v>
      </c>
      <c r="E104" s="3">
        <v>45326.65625</v>
      </c>
      <c r="F104" s="2" t="s">
        <v>395</v>
      </c>
      <c r="G104" s="2" t="s">
        <v>205</v>
      </c>
      <c r="H104" s="2">
        <v>75</v>
      </c>
      <c r="I104" s="2">
        <v>94</v>
      </c>
      <c r="J104" s="2">
        <v>78</v>
      </c>
      <c r="K104" s="2">
        <v>44</v>
      </c>
      <c r="L104" s="2">
        <v>18</v>
      </c>
      <c r="M104" s="2">
        <v>1.76</v>
      </c>
      <c r="N104" s="2" t="s">
        <v>95</v>
      </c>
      <c r="O104" s="14">
        <v>0</v>
      </c>
      <c r="P104" s="13">
        <v>1</v>
      </c>
      <c r="Q104" s="183">
        <v>0</v>
      </c>
      <c r="R104" s="181">
        <v>2</v>
      </c>
      <c r="S104" s="178">
        <f t="shared" si="19"/>
        <v>1</v>
      </c>
      <c r="T104" s="186">
        <f t="shared" si="20"/>
        <v>2</v>
      </c>
      <c r="U104" s="179">
        <f t="shared" si="21"/>
        <v>1</v>
      </c>
      <c r="V104" s="1">
        <f t="shared" si="23"/>
        <v>25</v>
      </c>
      <c r="W104" s="8">
        <f t="shared" si="22"/>
        <v>6.25</v>
      </c>
      <c r="X104" s="15">
        <f t="shared" si="24"/>
        <v>518.75</v>
      </c>
    </row>
    <row r="105" spans="1:24">
      <c r="A105" t="s">
        <v>930</v>
      </c>
      <c r="B105" s="163" t="s">
        <v>35</v>
      </c>
      <c r="C105" s="2" t="s">
        <v>119</v>
      </c>
      <c r="D105" s="2" t="s">
        <v>120</v>
      </c>
      <c r="E105" s="3">
        <v>45332.833333333336</v>
      </c>
      <c r="F105" s="2" t="s">
        <v>389</v>
      </c>
      <c r="G105" s="2" t="s">
        <v>350</v>
      </c>
      <c r="H105" s="2">
        <v>73</v>
      </c>
      <c r="I105" s="2">
        <v>90</v>
      </c>
      <c r="J105" s="2">
        <v>55</v>
      </c>
      <c r="K105" s="2">
        <v>40</v>
      </c>
      <c r="L105" s="2">
        <v>20</v>
      </c>
      <c r="M105" s="2">
        <v>1.24</v>
      </c>
      <c r="N105" s="2" t="s">
        <v>95</v>
      </c>
      <c r="O105" s="14">
        <v>0</v>
      </c>
      <c r="P105" s="13">
        <v>0</v>
      </c>
      <c r="Q105" s="183">
        <v>2</v>
      </c>
      <c r="R105" s="181">
        <v>0</v>
      </c>
      <c r="S105" s="178">
        <f t="shared" si="19"/>
        <v>0</v>
      </c>
      <c r="T105" s="186">
        <f t="shared" si="20"/>
        <v>2</v>
      </c>
      <c r="U105" s="179">
        <f t="shared" si="21"/>
        <v>2</v>
      </c>
      <c r="V105" s="1">
        <f t="shared" si="23"/>
        <v>25</v>
      </c>
      <c r="W105" s="8">
        <f t="shared" si="22"/>
        <v>6.25</v>
      </c>
      <c r="X105" s="15">
        <f t="shared" si="24"/>
        <v>525</v>
      </c>
    </row>
    <row r="106" spans="1:24">
      <c r="A106" t="s">
        <v>930</v>
      </c>
      <c r="B106" s="163" t="s">
        <v>35</v>
      </c>
      <c r="C106" s="2" t="s">
        <v>412</v>
      </c>
      <c r="D106" s="2" t="s">
        <v>156</v>
      </c>
      <c r="E106" s="3">
        <v>45333.5625</v>
      </c>
      <c r="F106" s="2" t="s">
        <v>425</v>
      </c>
      <c r="G106" s="2" t="s">
        <v>426</v>
      </c>
      <c r="H106" s="2">
        <v>69</v>
      </c>
      <c r="I106" s="2">
        <v>88</v>
      </c>
      <c r="J106" s="2">
        <v>63</v>
      </c>
      <c r="K106" s="2">
        <v>38</v>
      </c>
      <c r="L106" s="2">
        <v>16</v>
      </c>
      <c r="M106" s="2">
        <v>0.99</v>
      </c>
      <c r="N106" s="2" t="s">
        <v>95</v>
      </c>
      <c r="O106" s="14">
        <v>0</v>
      </c>
      <c r="P106" s="13">
        <v>0</v>
      </c>
      <c r="Q106" s="183">
        <v>0</v>
      </c>
      <c r="R106" s="181">
        <v>2</v>
      </c>
      <c r="S106" s="178">
        <f t="shared" si="19"/>
        <v>0</v>
      </c>
      <c r="T106" s="186">
        <f t="shared" si="20"/>
        <v>2</v>
      </c>
      <c r="U106" s="179">
        <f t="shared" si="21"/>
        <v>2</v>
      </c>
      <c r="V106" s="1">
        <f t="shared" si="23"/>
        <v>25</v>
      </c>
      <c r="W106" s="8">
        <f t="shared" si="22"/>
        <v>6.25</v>
      </c>
      <c r="X106" s="15">
        <f t="shared" si="24"/>
        <v>531.25</v>
      </c>
    </row>
    <row r="107" spans="1:24">
      <c r="A107" t="s">
        <v>930</v>
      </c>
      <c r="B107" s="163" t="s">
        <v>35</v>
      </c>
      <c r="C107" s="2" t="s">
        <v>6</v>
      </c>
      <c r="D107" s="2" t="s">
        <v>7</v>
      </c>
      <c r="E107" s="3">
        <v>45339.625</v>
      </c>
      <c r="F107" s="2" t="s">
        <v>27</v>
      </c>
      <c r="G107" s="2" t="s">
        <v>420</v>
      </c>
      <c r="H107" s="2">
        <v>73</v>
      </c>
      <c r="I107" s="2">
        <v>95</v>
      </c>
      <c r="J107" s="2">
        <v>80</v>
      </c>
      <c r="K107" s="2">
        <v>40</v>
      </c>
      <c r="L107" s="2">
        <v>20</v>
      </c>
      <c r="M107" s="2">
        <v>1.38</v>
      </c>
      <c r="N107" s="2" t="s">
        <v>95</v>
      </c>
      <c r="O107" s="14">
        <v>1</v>
      </c>
      <c r="P107" s="14">
        <v>0</v>
      </c>
      <c r="Q107" s="183">
        <v>1</v>
      </c>
      <c r="R107" s="181">
        <v>1</v>
      </c>
      <c r="S107" s="178">
        <f t="shared" si="19"/>
        <v>1</v>
      </c>
      <c r="T107" s="186">
        <f t="shared" si="20"/>
        <v>2</v>
      </c>
      <c r="U107" s="179">
        <f t="shared" si="21"/>
        <v>1</v>
      </c>
      <c r="V107" s="1">
        <f t="shared" si="23"/>
        <v>25</v>
      </c>
      <c r="W107" s="8">
        <f t="shared" si="22"/>
        <v>6.25</v>
      </c>
      <c r="X107" s="15">
        <f t="shared" si="24"/>
        <v>537.5</v>
      </c>
    </row>
    <row r="108" spans="1:24">
      <c r="A108" t="s">
        <v>930</v>
      </c>
      <c r="B108" s="163" t="s">
        <v>35</v>
      </c>
      <c r="C108" s="2" t="s">
        <v>441</v>
      </c>
      <c r="D108" s="2" t="s">
        <v>442</v>
      </c>
      <c r="E108" s="3">
        <v>45340.458333333336</v>
      </c>
      <c r="F108" s="2" t="s">
        <v>443</v>
      </c>
      <c r="G108" s="2" t="s">
        <v>444</v>
      </c>
      <c r="H108" s="2">
        <v>71</v>
      </c>
      <c r="I108" s="2">
        <v>87</v>
      </c>
      <c r="J108" s="2">
        <v>67</v>
      </c>
      <c r="K108" s="2">
        <v>40</v>
      </c>
      <c r="L108" s="2">
        <v>15</v>
      </c>
      <c r="M108" s="2">
        <v>0.78</v>
      </c>
      <c r="N108" s="2" t="s">
        <v>95</v>
      </c>
      <c r="O108" s="14">
        <v>1</v>
      </c>
      <c r="P108" s="14">
        <v>0</v>
      </c>
      <c r="Q108" s="183">
        <v>2</v>
      </c>
      <c r="R108" s="181">
        <v>0</v>
      </c>
      <c r="S108" s="178">
        <f t="shared" si="19"/>
        <v>1</v>
      </c>
      <c r="T108" s="186">
        <f t="shared" si="20"/>
        <v>2</v>
      </c>
      <c r="U108" s="179">
        <f t="shared" si="21"/>
        <v>1</v>
      </c>
      <c r="V108" s="1">
        <f t="shared" si="23"/>
        <v>25</v>
      </c>
      <c r="W108" s="8">
        <f t="shared" si="22"/>
        <v>6.25</v>
      </c>
      <c r="X108" s="15">
        <f t="shared" si="24"/>
        <v>543.75</v>
      </c>
    </row>
    <row r="109" spans="1:24">
      <c r="A109" t="s">
        <v>930</v>
      </c>
      <c r="B109" s="163" t="s">
        <v>35</v>
      </c>
      <c r="C109" s="2" t="s">
        <v>441</v>
      </c>
      <c r="D109" s="2" t="s">
        <v>442</v>
      </c>
      <c r="E109" s="3">
        <v>45340.5</v>
      </c>
      <c r="F109" s="2" t="s">
        <v>445</v>
      </c>
      <c r="G109" s="2" t="s">
        <v>446</v>
      </c>
      <c r="H109" s="2">
        <v>71</v>
      </c>
      <c r="I109" s="2">
        <v>88</v>
      </c>
      <c r="J109" s="2">
        <v>65</v>
      </c>
      <c r="K109" s="2">
        <v>41</v>
      </c>
      <c r="L109" s="2">
        <v>17</v>
      </c>
      <c r="M109" s="2">
        <v>0.54</v>
      </c>
      <c r="N109" s="2" t="s">
        <v>95</v>
      </c>
      <c r="O109" s="14">
        <v>0</v>
      </c>
      <c r="P109" s="14">
        <v>0</v>
      </c>
      <c r="Q109" s="183">
        <v>1</v>
      </c>
      <c r="R109" s="181">
        <v>1</v>
      </c>
      <c r="S109" s="178">
        <f t="shared" si="19"/>
        <v>0</v>
      </c>
      <c r="T109" s="186">
        <f t="shared" si="20"/>
        <v>2</v>
      </c>
      <c r="U109" s="179">
        <f t="shared" si="21"/>
        <v>2</v>
      </c>
      <c r="V109" s="1">
        <f t="shared" si="23"/>
        <v>25</v>
      </c>
      <c r="W109" s="8">
        <f t="shared" si="22"/>
        <v>6.25</v>
      </c>
      <c r="X109" s="15">
        <f t="shared" si="24"/>
        <v>550</v>
      </c>
    </row>
    <row r="110" spans="1:24">
      <c r="A110" t="s">
        <v>930</v>
      </c>
      <c r="B110" s="163" t="s">
        <v>35</v>
      </c>
      <c r="C110" s="2" t="s">
        <v>77</v>
      </c>
      <c r="D110" s="2" t="s">
        <v>234</v>
      </c>
      <c r="E110" s="3">
        <v>45402.5</v>
      </c>
      <c r="F110" s="2" t="s">
        <v>631</v>
      </c>
      <c r="G110" s="2" t="s">
        <v>407</v>
      </c>
      <c r="H110" s="2">
        <v>69</v>
      </c>
      <c r="I110" s="2">
        <v>100</v>
      </c>
      <c r="J110" s="2">
        <v>70</v>
      </c>
      <c r="K110" s="2">
        <v>40</v>
      </c>
      <c r="L110" s="2">
        <v>20</v>
      </c>
      <c r="M110" s="2">
        <v>2.0299999999999998</v>
      </c>
      <c r="N110" s="2" t="s">
        <v>95</v>
      </c>
      <c r="O110" s="14">
        <v>1</v>
      </c>
      <c r="P110" s="14">
        <v>0</v>
      </c>
      <c r="Q110" s="183">
        <v>1</v>
      </c>
      <c r="R110" s="181">
        <v>1</v>
      </c>
      <c r="S110" s="178">
        <f t="shared" si="19"/>
        <v>1</v>
      </c>
      <c r="T110" s="186">
        <f t="shared" si="20"/>
        <v>2</v>
      </c>
      <c r="U110" s="179">
        <f t="shared" si="21"/>
        <v>1</v>
      </c>
      <c r="V110" s="1">
        <f t="shared" si="23"/>
        <v>25</v>
      </c>
      <c r="W110" s="8">
        <f t="shared" si="22"/>
        <v>6.25</v>
      </c>
      <c r="X110" s="15">
        <f t="shared" si="24"/>
        <v>556.25</v>
      </c>
    </row>
    <row r="111" spans="1:24">
      <c r="A111" t="s">
        <v>930</v>
      </c>
      <c r="B111" s="163" t="s">
        <v>35</v>
      </c>
      <c r="C111" s="2" t="s">
        <v>149</v>
      </c>
      <c r="D111" s="2" t="s">
        <v>153</v>
      </c>
      <c r="E111" s="3">
        <v>45424.5625</v>
      </c>
      <c r="F111" s="2" t="s">
        <v>154</v>
      </c>
      <c r="G111" s="2" t="s">
        <v>205</v>
      </c>
      <c r="H111" s="2">
        <v>75</v>
      </c>
      <c r="I111" s="2">
        <v>90</v>
      </c>
      <c r="J111" s="2">
        <v>75</v>
      </c>
      <c r="K111" s="2">
        <v>50</v>
      </c>
      <c r="L111" s="2">
        <v>20</v>
      </c>
      <c r="M111" s="2">
        <v>1.5</v>
      </c>
      <c r="N111" s="2" t="s">
        <v>95</v>
      </c>
      <c r="O111" s="14">
        <v>0</v>
      </c>
      <c r="P111" s="14">
        <v>0</v>
      </c>
      <c r="Q111" s="183">
        <v>1</v>
      </c>
      <c r="R111" s="181">
        <v>1</v>
      </c>
      <c r="S111" s="178">
        <f t="shared" si="19"/>
        <v>0</v>
      </c>
      <c r="T111" s="186">
        <f t="shared" si="20"/>
        <v>2</v>
      </c>
      <c r="U111" s="179">
        <f t="shared" si="21"/>
        <v>2</v>
      </c>
      <c r="V111" s="1">
        <f t="shared" si="23"/>
        <v>25</v>
      </c>
      <c r="W111" s="8">
        <f t="shared" si="22"/>
        <v>6.25</v>
      </c>
      <c r="X111" s="15">
        <f t="shared" si="24"/>
        <v>562.5</v>
      </c>
    </row>
    <row r="112" spans="1:24">
      <c r="A112" t="s">
        <v>930</v>
      </c>
      <c r="B112" s="163" t="s">
        <v>43</v>
      </c>
      <c r="C112" s="2" t="s">
        <v>6</v>
      </c>
      <c r="D112" s="2" t="s">
        <v>14</v>
      </c>
      <c r="E112" s="3">
        <v>45304.625</v>
      </c>
      <c r="F112" s="2" t="s">
        <v>200</v>
      </c>
      <c r="G112" s="2" t="s">
        <v>201</v>
      </c>
      <c r="H112" s="2">
        <v>67</v>
      </c>
      <c r="I112" s="2">
        <v>67</v>
      </c>
      <c r="J112" s="2">
        <v>58</v>
      </c>
      <c r="K112" s="2">
        <v>1.75</v>
      </c>
      <c r="L112" s="2">
        <v>1.5</v>
      </c>
      <c r="M112" s="2"/>
      <c r="N112" s="2" t="s">
        <v>95</v>
      </c>
      <c r="O112" s="13">
        <v>0</v>
      </c>
      <c r="P112" s="13">
        <v>0</v>
      </c>
      <c r="Q112" s="183">
        <v>2</v>
      </c>
      <c r="R112" s="181">
        <v>0</v>
      </c>
      <c r="S112" s="178">
        <f t="shared" si="19"/>
        <v>0</v>
      </c>
      <c r="T112" s="186">
        <f t="shared" si="20"/>
        <v>2</v>
      </c>
      <c r="U112" s="179">
        <f t="shared" si="21"/>
        <v>2</v>
      </c>
      <c r="V112" s="1">
        <f t="shared" si="23"/>
        <v>25</v>
      </c>
      <c r="W112" s="8">
        <f t="shared" si="22"/>
        <v>6.25</v>
      </c>
      <c r="X112" s="15">
        <f t="shared" si="24"/>
        <v>568.75</v>
      </c>
    </row>
    <row r="113" spans="1:24">
      <c r="A113" t="s">
        <v>930</v>
      </c>
      <c r="B113" s="163" t="s">
        <v>43</v>
      </c>
      <c r="C113" s="2" t="s">
        <v>80</v>
      </c>
      <c r="D113" s="2" t="s">
        <v>81</v>
      </c>
      <c r="E113" s="3">
        <v>45314.583333333336</v>
      </c>
      <c r="F113" s="2" t="s">
        <v>292</v>
      </c>
      <c r="G113" s="2" t="s">
        <v>293</v>
      </c>
      <c r="H113" s="2">
        <v>82</v>
      </c>
      <c r="I113" s="2">
        <v>71</v>
      </c>
      <c r="J113" s="2">
        <v>61</v>
      </c>
      <c r="K113" s="2">
        <v>1.8</v>
      </c>
      <c r="L113" s="2">
        <v>1.5</v>
      </c>
      <c r="M113" s="2">
        <v>0.69</v>
      </c>
      <c r="N113" s="2" t="s">
        <v>95</v>
      </c>
      <c r="O113" s="14">
        <v>1</v>
      </c>
      <c r="P113" s="13">
        <v>0</v>
      </c>
      <c r="Q113" s="183">
        <v>1</v>
      </c>
      <c r="R113" s="181">
        <v>1</v>
      </c>
      <c r="S113" s="178">
        <f t="shared" si="19"/>
        <v>1</v>
      </c>
      <c r="T113" s="186">
        <f t="shared" si="20"/>
        <v>2</v>
      </c>
      <c r="U113" s="179">
        <f t="shared" si="21"/>
        <v>1</v>
      </c>
      <c r="V113" s="1">
        <f t="shared" si="23"/>
        <v>25</v>
      </c>
      <c r="W113" s="8">
        <f t="shared" si="22"/>
        <v>6.25</v>
      </c>
      <c r="X113" s="15">
        <f t="shared" si="24"/>
        <v>575</v>
      </c>
    </row>
    <row r="114" spans="1:24">
      <c r="A114" t="s">
        <v>930</v>
      </c>
      <c r="B114" s="163" t="s">
        <v>43</v>
      </c>
      <c r="C114" s="2" t="s">
        <v>119</v>
      </c>
      <c r="D114" s="2" t="s">
        <v>120</v>
      </c>
      <c r="E114" s="3">
        <v>45332.833333333336</v>
      </c>
      <c r="F114" s="2" t="s">
        <v>389</v>
      </c>
      <c r="G114" s="2" t="s">
        <v>350</v>
      </c>
      <c r="H114" s="2">
        <v>69</v>
      </c>
      <c r="I114" s="2">
        <v>75</v>
      </c>
      <c r="J114" s="2">
        <v>65</v>
      </c>
      <c r="K114" s="2">
        <v>1.9</v>
      </c>
      <c r="L114" s="2">
        <v>1.24</v>
      </c>
      <c r="M114" s="2"/>
      <c r="N114" s="2" t="s">
        <v>95</v>
      </c>
      <c r="O114" s="14">
        <v>0</v>
      </c>
      <c r="P114" s="13">
        <v>0</v>
      </c>
      <c r="Q114" s="183">
        <v>2</v>
      </c>
      <c r="R114" s="181">
        <v>0</v>
      </c>
      <c r="S114" s="178">
        <f t="shared" si="19"/>
        <v>0</v>
      </c>
      <c r="T114" s="186">
        <f t="shared" si="20"/>
        <v>2</v>
      </c>
      <c r="U114" s="179">
        <f t="shared" si="21"/>
        <v>2</v>
      </c>
      <c r="V114" s="1">
        <f t="shared" si="23"/>
        <v>25</v>
      </c>
      <c r="W114" s="8">
        <f t="shared" si="22"/>
        <v>6.25</v>
      </c>
      <c r="X114" s="15">
        <f t="shared" si="24"/>
        <v>581.25</v>
      </c>
    </row>
    <row r="115" spans="1:24">
      <c r="A115" t="s">
        <v>930</v>
      </c>
      <c r="B115" s="163" t="s">
        <v>43</v>
      </c>
      <c r="C115" s="2" t="s">
        <v>20</v>
      </c>
      <c r="D115" s="2" t="s">
        <v>21</v>
      </c>
      <c r="E115" s="3">
        <v>45338.75</v>
      </c>
      <c r="F115" s="2" t="s">
        <v>336</v>
      </c>
      <c r="G115" s="2" t="s">
        <v>98</v>
      </c>
      <c r="H115" s="2">
        <v>67</v>
      </c>
      <c r="I115" s="2">
        <v>67</v>
      </c>
      <c r="J115" s="2">
        <v>65</v>
      </c>
      <c r="K115" s="2">
        <v>1.5</v>
      </c>
      <c r="L115" s="2">
        <v>1.22</v>
      </c>
      <c r="M115" s="2"/>
      <c r="N115" s="2" t="s">
        <v>95</v>
      </c>
      <c r="O115" s="14">
        <v>0</v>
      </c>
      <c r="P115" s="14">
        <v>0</v>
      </c>
      <c r="Q115" s="183">
        <v>2</v>
      </c>
      <c r="R115" s="181">
        <v>0</v>
      </c>
      <c r="S115" s="178">
        <f t="shared" si="19"/>
        <v>0</v>
      </c>
      <c r="T115" s="186">
        <f t="shared" si="20"/>
        <v>2</v>
      </c>
      <c r="U115" s="179">
        <f t="shared" si="21"/>
        <v>2</v>
      </c>
      <c r="V115" s="1">
        <f t="shared" si="23"/>
        <v>25</v>
      </c>
      <c r="W115" s="8">
        <f t="shared" si="22"/>
        <v>6.25</v>
      </c>
      <c r="X115" s="15">
        <f t="shared" si="24"/>
        <v>587.5</v>
      </c>
    </row>
    <row r="116" spans="1:24">
      <c r="A116" t="s">
        <v>930</v>
      </c>
      <c r="B116" s="163" t="s">
        <v>43</v>
      </c>
      <c r="C116" s="2" t="s">
        <v>13</v>
      </c>
      <c r="D116" s="2" t="s">
        <v>37</v>
      </c>
      <c r="E116" s="3">
        <v>45339.625</v>
      </c>
      <c r="F116" s="2" t="s">
        <v>306</v>
      </c>
      <c r="G116" s="2" t="s">
        <v>323</v>
      </c>
      <c r="H116" s="2">
        <v>69</v>
      </c>
      <c r="I116" s="2">
        <v>80</v>
      </c>
      <c r="J116" s="2">
        <v>65</v>
      </c>
      <c r="K116" s="2">
        <v>2.1</v>
      </c>
      <c r="L116" s="2">
        <v>1.56</v>
      </c>
      <c r="M116" s="2"/>
      <c r="N116" s="2" t="s">
        <v>95</v>
      </c>
      <c r="O116" s="14">
        <v>1</v>
      </c>
      <c r="P116" s="14">
        <v>0</v>
      </c>
      <c r="Q116" s="183">
        <v>2</v>
      </c>
      <c r="R116" s="181">
        <v>0</v>
      </c>
      <c r="S116" s="178">
        <f t="shared" si="19"/>
        <v>1</v>
      </c>
      <c r="T116" s="186">
        <f t="shared" si="20"/>
        <v>2</v>
      </c>
      <c r="U116" s="179">
        <f t="shared" si="21"/>
        <v>1</v>
      </c>
      <c r="V116" s="1">
        <f t="shared" si="23"/>
        <v>25</v>
      </c>
      <c r="W116" s="8">
        <f t="shared" si="22"/>
        <v>6.25</v>
      </c>
      <c r="X116" s="15">
        <f t="shared" si="24"/>
        <v>593.75</v>
      </c>
    </row>
    <row r="117" spans="1:24">
      <c r="A117" t="s">
        <v>930</v>
      </c>
      <c r="B117" s="163" t="s">
        <v>43</v>
      </c>
      <c r="C117" s="2" t="s">
        <v>80</v>
      </c>
      <c r="D117" s="2" t="s">
        <v>81</v>
      </c>
      <c r="E117" s="3">
        <v>45340.541666666664</v>
      </c>
      <c r="F117" s="2" t="s">
        <v>312</v>
      </c>
      <c r="G117" s="2" t="s">
        <v>320</v>
      </c>
      <c r="H117" s="2">
        <v>67</v>
      </c>
      <c r="I117" s="2">
        <v>78</v>
      </c>
      <c r="J117" s="2">
        <v>64</v>
      </c>
      <c r="K117" s="2">
        <v>1.55</v>
      </c>
      <c r="L117" s="2">
        <v>0.88</v>
      </c>
      <c r="M117" s="2"/>
      <c r="N117" s="2" t="s">
        <v>95</v>
      </c>
      <c r="O117" s="14">
        <v>0</v>
      </c>
      <c r="P117" s="14">
        <v>0</v>
      </c>
      <c r="Q117" s="183">
        <v>1</v>
      </c>
      <c r="R117" s="181">
        <v>1</v>
      </c>
      <c r="S117" s="178">
        <f t="shared" si="19"/>
        <v>0</v>
      </c>
      <c r="T117" s="186">
        <f t="shared" si="20"/>
        <v>2</v>
      </c>
      <c r="U117" s="179">
        <f t="shared" si="21"/>
        <v>2</v>
      </c>
      <c r="V117" s="1">
        <f t="shared" si="23"/>
        <v>25</v>
      </c>
      <c r="W117" s="8">
        <f t="shared" si="22"/>
        <v>6.25</v>
      </c>
      <c r="X117" s="15">
        <f t="shared" si="24"/>
        <v>600</v>
      </c>
    </row>
    <row r="118" spans="1:24">
      <c r="A118" t="s">
        <v>930</v>
      </c>
      <c r="B118" s="163" t="s">
        <v>43</v>
      </c>
      <c r="C118" s="2" t="s">
        <v>13</v>
      </c>
      <c r="D118" s="2" t="s">
        <v>37</v>
      </c>
      <c r="E118" s="3">
        <v>45354.5</v>
      </c>
      <c r="F118" s="2" t="s">
        <v>305</v>
      </c>
      <c r="G118" s="2" t="s">
        <v>99</v>
      </c>
      <c r="H118" s="2">
        <v>87</v>
      </c>
      <c r="I118" s="2">
        <v>70</v>
      </c>
      <c r="J118" s="2">
        <v>60</v>
      </c>
      <c r="K118" s="2">
        <v>1.9</v>
      </c>
      <c r="L118" s="2">
        <v>1.63</v>
      </c>
      <c r="M118" s="2"/>
      <c r="N118" s="2" t="s">
        <v>95</v>
      </c>
      <c r="O118" s="14">
        <v>1</v>
      </c>
      <c r="P118" s="14">
        <v>0</v>
      </c>
      <c r="Q118" s="183">
        <v>2</v>
      </c>
      <c r="R118" s="181">
        <v>0</v>
      </c>
      <c r="S118" s="178">
        <f t="shared" si="19"/>
        <v>1</v>
      </c>
      <c r="T118" s="186">
        <f t="shared" si="20"/>
        <v>2</v>
      </c>
      <c r="U118" s="179">
        <f t="shared" si="21"/>
        <v>1</v>
      </c>
      <c r="V118" s="1">
        <f t="shared" si="23"/>
        <v>25</v>
      </c>
      <c r="W118" s="8">
        <f t="shared" si="22"/>
        <v>6.25</v>
      </c>
      <c r="X118" s="15">
        <f t="shared" si="24"/>
        <v>606.25</v>
      </c>
    </row>
    <row r="119" spans="1:24">
      <c r="A119" t="s">
        <v>930</v>
      </c>
      <c r="B119" s="163" t="s">
        <v>43</v>
      </c>
      <c r="C119" s="2" t="s">
        <v>20</v>
      </c>
      <c r="D119" s="2" t="s">
        <v>21</v>
      </c>
      <c r="E119" s="3">
        <v>45354.583333333336</v>
      </c>
      <c r="F119" s="2" t="s">
        <v>402</v>
      </c>
      <c r="G119" s="2" t="s">
        <v>98</v>
      </c>
      <c r="H119" s="2">
        <v>80</v>
      </c>
      <c r="I119" s="2">
        <v>67</v>
      </c>
      <c r="J119" s="2">
        <v>64</v>
      </c>
      <c r="K119" s="2">
        <v>1.9</v>
      </c>
      <c r="L119" s="2">
        <v>1.31</v>
      </c>
      <c r="M119" s="2"/>
      <c r="N119" s="2" t="s">
        <v>95</v>
      </c>
      <c r="O119" s="14">
        <v>1</v>
      </c>
      <c r="P119" s="14">
        <v>0</v>
      </c>
      <c r="Q119" s="183">
        <v>1</v>
      </c>
      <c r="R119" s="181">
        <v>1</v>
      </c>
      <c r="S119" s="178">
        <f t="shared" si="19"/>
        <v>1</v>
      </c>
      <c r="T119" s="186">
        <f t="shared" si="20"/>
        <v>2</v>
      </c>
      <c r="U119" s="179">
        <f t="shared" si="21"/>
        <v>1</v>
      </c>
      <c r="V119" s="1">
        <f t="shared" si="23"/>
        <v>25</v>
      </c>
      <c r="W119" s="8">
        <f t="shared" si="22"/>
        <v>6.25</v>
      </c>
      <c r="X119" s="15">
        <f t="shared" si="24"/>
        <v>612.5</v>
      </c>
    </row>
    <row r="120" spans="1:24">
      <c r="A120" t="s">
        <v>930</v>
      </c>
      <c r="B120" s="163" t="s">
        <v>43</v>
      </c>
      <c r="C120" s="2" t="s">
        <v>67</v>
      </c>
      <c r="D120" s="2" t="s">
        <v>169</v>
      </c>
      <c r="E120" s="3">
        <v>45366.791666666664</v>
      </c>
      <c r="F120" s="2" t="s">
        <v>203</v>
      </c>
      <c r="G120" s="2" t="s">
        <v>393</v>
      </c>
      <c r="H120" s="2">
        <v>73</v>
      </c>
      <c r="I120" s="2">
        <v>100</v>
      </c>
      <c r="J120" s="2">
        <v>64</v>
      </c>
      <c r="K120" s="2">
        <v>1.75</v>
      </c>
      <c r="L120" s="2">
        <v>0.98</v>
      </c>
      <c r="M120" s="2"/>
      <c r="N120" s="2" t="s">
        <v>95</v>
      </c>
      <c r="O120" s="14">
        <v>1</v>
      </c>
      <c r="P120" s="14">
        <v>0</v>
      </c>
      <c r="Q120" s="183">
        <v>1</v>
      </c>
      <c r="R120" s="181">
        <v>1</v>
      </c>
      <c r="S120" s="178">
        <f t="shared" si="19"/>
        <v>1</v>
      </c>
      <c r="T120" s="186">
        <f t="shared" si="20"/>
        <v>2</v>
      </c>
      <c r="U120" s="179">
        <f t="shared" si="21"/>
        <v>1</v>
      </c>
      <c r="V120" s="1">
        <f t="shared" si="23"/>
        <v>25</v>
      </c>
      <c r="W120" s="8">
        <f t="shared" si="22"/>
        <v>6.25</v>
      </c>
      <c r="X120" s="15">
        <f t="shared" si="24"/>
        <v>618.75</v>
      </c>
    </row>
    <row r="121" spans="1:24">
      <c r="A121" t="s">
        <v>930</v>
      </c>
      <c r="B121" s="163" t="s">
        <v>43</v>
      </c>
      <c r="C121" s="2" t="s">
        <v>149</v>
      </c>
      <c r="D121" s="2" t="s">
        <v>150</v>
      </c>
      <c r="E121" s="3">
        <v>45380.791666666664</v>
      </c>
      <c r="F121" s="2" t="s">
        <v>331</v>
      </c>
      <c r="G121" s="2" t="s">
        <v>562</v>
      </c>
      <c r="H121" s="2">
        <v>68</v>
      </c>
      <c r="I121" s="2">
        <v>86</v>
      </c>
      <c r="J121" s="2">
        <v>62</v>
      </c>
      <c r="K121" s="2">
        <v>1.75</v>
      </c>
      <c r="L121" s="2">
        <v>1.41</v>
      </c>
      <c r="M121" s="2"/>
      <c r="N121" s="2" t="s">
        <v>95</v>
      </c>
      <c r="O121" s="14">
        <v>0</v>
      </c>
      <c r="P121" s="14">
        <v>0</v>
      </c>
      <c r="Q121" s="183">
        <v>2</v>
      </c>
      <c r="R121" s="181">
        <v>0</v>
      </c>
      <c r="S121" s="178">
        <f t="shared" si="19"/>
        <v>0</v>
      </c>
      <c r="T121" s="186">
        <f t="shared" si="20"/>
        <v>2</v>
      </c>
      <c r="U121" s="179">
        <f t="shared" si="21"/>
        <v>2</v>
      </c>
      <c r="V121" s="1">
        <f t="shared" si="23"/>
        <v>25</v>
      </c>
      <c r="W121" s="8">
        <f t="shared" si="22"/>
        <v>6.25</v>
      </c>
      <c r="X121" s="15">
        <f t="shared" si="24"/>
        <v>625</v>
      </c>
    </row>
    <row r="122" spans="1:24">
      <c r="A122" t="s">
        <v>930</v>
      </c>
      <c r="B122" s="163" t="s">
        <v>43</v>
      </c>
      <c r="C122" s="2" t="s">
        <v>44</v>
      </c>
      <c r="D122" s="2" t="s">
        <v>45</v>
      </c>
      <c r="E122" s="3">
        <v>45389.333333333336</v>
      </c>
      <c r="F122" s="2" t="s">
        <v>131</v>
      </c>
      <c r="G122" s="2" t="s">
        <v>124</v>
      </c>
      <c r="H122" s="2">
        <v>70</v>
      </c>
      <c r="I122" s="2">
        <v>73</v>
      </c>
      <c r="J122" s="2">
        <v>65</v>
      </c>
      <c r="K122" s="2">
        <v>2</v>
      </c>
      <c r="L122" s="2">
        <v>1.68</v>
      </c>
      <c r="M122" s="2"/>
      <c r="N122" s="2" t="s">
        <v>95</v>
      </c>
      <c r="O122" s="14">
        <v>0</v>
      </c>
      <c r="P122" s="14">
        <v>1</v>
      </c>
      <c r="Q122" s="183">
        <v>1</v>
      </c>
      <c r="R122" s="181">
        <v>1</v>
      </c>
      <c r="S122" s="178">
        <f t="shared" si="19"/>
        <v>1</v>
      </c>
      <c r="T122" s="186">
        <f t="shared" si="20"/>
        <v>2</v>
      </c>
      <c r="U122" s="179">
        <f t="shared" si="21"/>
        <v>1</v>
      </c>
      <c r="V122" s="1">
        <f t="shared" si="23"/>
        <v>25</v>
      </c>
      <c r="W122" s="8">
        <f t="shared" si="22"/>
        <v>6.25</v>
      </c>
      <c r="X122" s="15">
        <f t="shared" si="24"/>
        <v>631.25</v>
      </c>
    </row>
    <row r="123" spans="1:24">
      <c r="A123" t="s">
        <v>930</v>
      </c>
      <c r="B123" s="163" t="s">
        <v>43</v>
      </c>
      <c r="C123" s="2" t="s">
        <v>516</v>
      </c>
      <c r="D123" s="2" t="s">
        <v>78</v>
      </c>
      <c r="E123" s="3">
        <v>45408.458333333336</v>
      </c>
      <c r="F123" s="2" t="s">
        <v>785</v>
      </c>
      <c r="G123" s="2" t="s">
        <v>674</v>
      </c>
      <c r="H123" s="2">
        <v>67</v>
      </c>
      <c r="I123" s="2">
        <v>77</v>
      </c>
      <c r="J123" s="2">
        <v>60</v>
      </c>
      <c r="K123" s="2">
        <v>1.62</v>
      </c>
      <c r="L123" s="2">
        <v>0.68</v>
      </c>
      <c r="M123" s="2"/>
      <c r="N123" s="2" t="s">
        <v>95</v>
      </c>
      <c r="O123" s="14">
        <v>0</v>
      </c>
      <c r="P123" s="14">
        <v>2</v>
      </c>
      <c r="Q123" s="183">
        <v>0</v>
      </c>
      <c r="R123" s="181">
        <v>2</v>
      </c>
      <c r="S123" s="178">
        <f t="shared" si="19"/>
        <v>2</v>
      </c>
      <c r="T123" s="186">
        <f t="shared" si="20"/>
        <v>2</v>
      </c>
      <c r="U123" s="179">
        <f t="shared" si="21"/>
        <v>0</v>
      </c>
      <c r="V123" s="1">
        <f t="shared" si="23"/>
        <v>25</v>
      </c>
      <c r="W123" s="8">
        <f t="shared" si="22"/>
        <v>6.25</v>
      </c>
      <c r="X123" s="15">
        <f t="shared" si="24"/>
        <v>637.5</v>
      </c>
    </row>
    <row r="124" spans="1:24">
      <c r="A124" t="s">
        <v>930</v>
      </c>
      <c r="B124" s="163" t="s">
        <v>43</v>
      </c>
      <c r="C124" s="2" t="s">
        <v>119</v>
      </c>
      <c r="D124" s="2" t="s">
        <v>166</v>
      </c>
      <c r="E124" s="3">
        <v>45411.8125</v>
      </c>
      <c r="F124" s="2" t="s">
        <v>723</v>
      </c>
      <c r="G124" s="2" t="s">
        <v>794</v>
      </c>
      <c r="H124" s="2">
        <v>76</v>
      </c>
      <c r="I124" s="2">
        <v>100</v>
      </c>
      <c r="J124" s="2">
        <v>63</v>
      </c>
      <c r="K124" s="2">
        <v>1.45</v>
      </c>
      <c r="L124" s="2">
        <v>1.1599999999999999</v>
      </c>
      <c r="M124" s="2"/>
      <c r="N124" s="2" t="s">
        <v>95</v>
      </c>
      <c r="O124" s="14">
        <v>0</v>
      </c>
      <c r="P124" s="14">
        <v>1</v>
      </c>
      <c r="Q124" s="183">
        <v>0</v>
      </c>
      <c r="R124" s="181">
        <v>2</v>
      </c>
      <c r="S124" s="178">
        <f t="shared" si="19"/>
        <v>1</v>
      </c>
      <c r="T124" s="186">
        <f t="shared" si="20"/>
        <v>2</v>
      </c>
      <c r="U124" s="179">
        <f t="shared" si="21"/>
        <v>1</v>
      </c>
      <c r="V124" s="1">
        <f t="shared" si="23"/>
        <v>25</v>
      </c>
      <c r="W124" s="8">
        <f t="shared" si="22"/>
        <v>6.25</v>
      </c>
      <c r="X124" s="15">
        <f t="shared" si="24"/>
        <v>643.75</v>
      </c>
    </row>
    <row r="125" spans="1:24">
      <c r="A125" t="s">
        <v>930</v>
      </c>
      <c r="B125" s="163" t="s">
        <v>43</v>
      </c>
      <c r="C125" s="2" t="s">
        <v>516</v>
      </c>
      <c r="D125" s="2" t="s">
        <v>78</v>
      </c>
      <c r="E125" s="3">
        <v>45433.541666666664</v>
      </c>
      <c r="F125" s="2" t="s">
        <v>674</v>
      </c>
      <c r="G125" s="2" t="s">
        <v>862</v>
      </c>
      <c r="H125" s="2">
        <v>80</v>
      </c>
      <c r="I125" s="2">
        <v>67</v>
      </c>
      <c r="J125" s="2">
        <v>65</v>
      </c>
      <c r="K125" s="2">
        <v>1.7</v>
      </c>
      <c r="L125" s="2">
        <v>1.36</v>
      </c>
      <c r="M125" s="2"/>
      <c r="N125" s="2" t="s">
        <v>95</v>
      </c>
      <c r="O125" s="14">
        <v>0</v>
      </c>
      <c r="P125" s="14">
        <v>0</v>
      </c>
      <c r="Q125" s="183">
        <v>1</v>
      </c>
      <c r="R125" s="181">
        <v>1</v>
      </c>
      <c r="S125" s="178">
        <f t="shared" si="19"/>
        <v>0</v>
      </c>
      <c r="T125" s="186">
        <f t="shared" si="20"/>
        <v>2</v>
      </c>
      <c r="U125" s="179">
        <f t="shared" si="21"/>
        <v>2</v>
      </c>
      <c r="V125" s="1">
        <f t="shared" si="23"/>
        <v>25</v>
      </c>
      <c r="W125" s="8">
        <f t="shared" si="22"/>
        <v>6.25</v>
      </c>
      <c r="X125" s="15">
        <f t="shared" si="24"/>
        <v>650</v>
      </c>
    </row>
    <row r="126" spans="1:24">
      <c r="A126" t="s">
        <v>930</v>
      </c>
      <c r="B126" s="163" t="s">
        <v>726</v>
      </c>
      <c r="C126" s="2" t="s">
        <v>77</v>
      </c>
      <c r="D126" s="2" t="s">
        <v>251</v>
      </c>
      <c r="E126" s="3">
        <v>45394.75</v>
      </c>
      <c r="F126" s="2" t="s">
        <v>707</v>
      </c>
      <c r="G126" s="2" t="s">
        <v>259</v>
      </c>
      <c r="H126" s="2">
        <v>85</v>
      </c>
      <c r="I126" s="2">
        <v>20</v>
      </c>
      <c r="J126" s="2">
        <v>2.0499999999999998</v>
      </c>
      <c r="K126" s="2">
        <v>64</v>
      </c>
      <c r="L126" s="2"/>
      <c r="M126" s="2"/>
      <c r="N126" s="2" t="s">
        <v>95</v>
      </c>
      <c r="O126" s="13">
        <v>1</v>
      </c>
      <c r="P126" s="14">
        <v>0</v>
      </c>
      <c r="Q126" s="183">
        <v>1</v>
      </c>
      <c r="R126" s="181">
        <v>1</v>
      </c>
      <c r="S126" s="178">
        <f t="shared" si="19"/>
        <v>1</v>
      </c>
      <c r="T126" s="186">
        <f t="shared" si="20"/>
        <v>2</v>
      </c>
      <c r="U126" s="179">
        <f t="shared" si="21"/>
        <v>1</v>
      </c>
      <c r="V126" s="1">
        <f t="shared" si="23"/>
        <v>25</v>
      </c>
      <c r="W126" s="8">
        <f t="shared" si="22"/>
        <v>6.25</v>
      </c>
      <c r="X126" s="15">
        <f t="shared" si="24"/>
        <v>656.25</v>
      </c>
    </row>
    <row r="127" spans="1:24">
      <c r="A127" t="s">
        <v>930</v>
      </c>
      <c r="B127" s="163" t="s">
        <v>726</v>
      </c>
      <c r="C127" s="2" t="s">
        <v>44</v>
      </c>
      <c r="D127" s="2" t="s">
        <v>45</v>
      </c>
      <c r="E127" s="3">
        <v>45395.354166666664</v>
      </c>
      <c r="F127" s="2" t="s">
        <v>233</v>
      </c>
      <c r="G127" s="2" t="s">
        <v>52</v>
      </c>
      <c r="H127" s="2">
        <v>85</v>
      </c>
      <c r="I127" s="2">
        <v>20</v>
      </c>
      <c r="J127" s="2">
        <v>2.15</v>
      </c>
      <c r="K127" s="2">
        <v>57</v>
      </c>
      <c r="L127" s="2"/>
      <c r="M127" s="2"/>
      <c r="N127" s="2" t="s">
        <v>95</v>
      </c>
      <c r="O127" s="14">
        <v>0</v>
      </c>
      <c r="P127" s="14">
        <v>0</v>
      </c>
      <c r="Q127" s="183">
        <v>0</v>
      </c>
      <c r="R127" s="181">
        <v>2</v>
      </c>
      <c r="S127" s="178">
        <f t="shared" si="19"/>
        <v>0</v>
      </c>
      <c r="T127" s="186">
        <f t="shared" si="20"/>
        <v>2</v>
      </c>
      <c r="U127" s="179">
        <f t="shared" si="21"/>
        <v>2</v>
      </c>
      <c r="V127" s="1">
        <f t="shared" si="23"/>
        <v>25</v>
      </c>
      <c r="W127" s="8">
        <f t="shared" si="22"/>
        <v>6.25</v>
      </c>
      <c r="X127" s="15">
        <f t="shared" si="24"/>
        <v>662.5</v>
      </c>
    </row>
    <row r="128" spans="1:24">
      <c r="A128" t="s">
        <v>930</v>
      </c>
      <c r="B128" s="163" t="s">
        <v>726</v>
      </c>
      <c r="C128" s="2" t="s">
        <v>77</v>
      </c>
      <c r="D128" s="2" t="s">
        <v>234</v>
      </c>
      <c r="E128" s="3">
        <v>45395.5</v>
      </c>
      <c r="F128" s="2" t="s">
        <v>407</v>
      </c>
      <c r="G128" s="2" t="s">
        <v>632</v>
      </c>
      <c r="H128" s="2">
        <v>95</v>
      </c>
      <c r="I128" s="2">
        <v>20</v>
      </c>
      <c r="J128" s="2">
        <v>2.0499999999999998</v>
      </c>
      <c r="K128" s="2">
        <v>60</v>
      </c>
      <c r="L128" s="2"/>
      <c r="M128" s="2"/>
      <c r="N128" s="2" t="s">
        <v>95</v>
      </c>
      <c r="O128" s="14">
        <v>0</v>
      </c>
      <c r="P128" s="14">
        <v>1</v>
      </c>
      <c r="Q128" s="183">
        <v>0</v>
      </c>
      <c r="R128" s="181">
        <v>2</v>
      </c>
      <c r="S128" s="178">
        <f t="shared" si="19"/>
        <v>1</v>
      </c>
      <c r="T128" s="186">
        <f t="shared" si="20"/>
        <v>2</v>
      </c>
      <c r="U128" s="179">
        <f t="shared" si="21"/>
        <v>1</v>
      </c>
      <c r="V128" s="1">
        <f t="shared" si="23"/>
        <v>25</v>
      </c>
      <c r="W128" s="8">
        <f t="shared" si="22"/>
        <v>6.25</v>
      </c>
      <c r="X128" s="15">
        <f t="shared" si="24"/>
        <v>668.75</v>
      </c>
    </row>
    <row r="129" spans="1:24">
      <c r="A129" t="s">
        <v>930</v>
      </c>
      <c r="B129" s="163" t="s">
        <v>726</v>
      </c>
      <c r="C129" s="2" t="s">
        <v>6</v>
      </c>
      <c r="D129" s="2" t="s">
        <v>62</v>
      </c>
      <c r="E129" s="3">
        <v>45395.625</v>
      </c>
      <c r="F129" s="2" t="s">
        <v>63</v>
      </c>
      <c r="G129" s="2" t="s">
        <v>85</v>
      </c>
      <c r="H129" s="2">
        <v>90</v>
      </c>
      <c r="I129" s="2">
        <v>20</v>
      </c>
      <c r="J129" s="2">
        <v>2</v>
      </c>
      <c r="K129" s="2">
        <v>61</v>
      </c>
      <c r="L129" s="2"/>
      <c r="M129" s="2"/>
      <c r="N129" s="2" t="s">
        <v>95</v>
      </c>
      <c r="O129" s="14">
        <v>0</v>
      </c>
      <c r="P129" s="14">
        <v>0</v>
      </c>
      <c r="Q129" s="183">
        <v>2</v>
      </c>
      <c r="R129" s="181">
        <v>0</v>
      </c>
      <c r="S129" s="178">
        <f t="shared" ref="S129:S192" si="25">SUM(O129:P129)</f>
        <v>0</v>
      </c>
      <c r="T129" s="186">
        <f t="shared" ref="T129:T192" si="26">SUM(Q129:R129)</f>
        <v>2</v>
      </c>
      <c r="U129" s="179">
        <f t="shared" ref="U129:U192" si="27">SUM(T129-S129)</f>
        <v>2</v>
      </c>
      <c r="V129" s="1">
        <f t="shared" si="23"/>
        <v>25</v>
      </c>
      <c r="W129" s="8">
        <f t="shared" si="22"/>
        <v>6.25</v>
      </c>
      <c r="X129" s="15">
        <f t="shared" si="24"/>
        <v>675</v>
      </c>
    </row>
    <row r="130" spans="1:24">
      <c r="A130" t="s">
        <v>930</v>
      </c>
      <c r="B130" s="163" t="s">
        <v>726</v>
      </c>
      <c r="C130" s="2" t="s">
        <v>77</v>
      </c>
      <c r="D130" s="2" t="s">
        <v>234</v>
      </c>
      <c r="E130" s="3">
        <v>45395.8125</v>
      </c>
      <c r="F130" s="2" t="s">
        <v>246</v>
      </c>
      <c r="G130" s="2" t="s">
        <v>328</v>
      </c>
      <c r="H130" s="2">
        <v>85</v>
      </c>
      <c r="I130" s="2">
        <v>20</v>
      </c>
      <c r="J130" s="2">
        <v>2</v>
      </c>
      <c r="K130" s="2">
        <v>63</v>
      </c>
      <c r="L130" s="2"/>
      <c r="M130" s="2"/>
      <c r="N130" s="2" t="s">
        <v>95</v>
      </c>
      <c r="O130" s="14">
        <v>1</v>
      </c>
      <c r="P130" s="14">
        <v>0</v>
      </c>
      <c r="Q130" s="183">
        <v>2</v>
      </c>
      <c r="R130" s="181">
        <v>0</v>
      </c>
      <c r="S130" s="178">
        <f t="shared" si="25"/>
        <v>1</v>
      </c>
      <c r="T130" s="186">
        <f t="shared" si="26"/>
        <v>2</v>
      </c>
      <c r="U130" s="179">
        <f t="shared" si="27"/>
        <v>1</v>
      </c>
      <c r="V130" s="1">
        <f t="shared" si="23"/>
        <v>25</v>
      </c>
      <c r="W130" s="8">
        <f t="shared" ref="W130:W193" si="28">IF(N130="won",V130*0.25,-V130)</f>
        <v>6.25</v>
      </c>
      <c r="X130" s="15">
        <f t="shared" si="24"/>
        <v>681.25</v>
      </c>
    </row>
    <row r="131" spans="1:24">
      <c r="A131" t="s">
        <v>930</v>
      </c>
      <c r="B131" s="163" t="s">
        <v>726</v>
      </c>
      <c r="C131" s="2" t="s">
        <v>149</v>
      </c>
      <c r="D131" s="2" t="s">
        <v>153</v>
      </c>
      <c r="E131" s="154">
        <v>45396.46875</v>
      </c>
      <c r="F131" s="155" t="s">
        <v>155</v>
      </c>
      <c r="G131" s="2" t="s">
        <v>206</v>
      </c>
      <c r="H131" s="2">
        <v>100</v>
      </c>
      <c r="I131" s="2">
        <v>20</v>
      </c>
      <c r="J131" s="155">
        <v>2.2000000000000002</v>
      </c>
      <c r="K131" s="155">
        <v>64</v>
      </c>
      <c r="L131" s="2"/>
      <c r="M131" s="2"/>
      <c r="N131" s="2" t="s">
        <v>95</v>
      </c>
      <c r="O131" s="14">
        <v>0</v>
      </c>
      <c r="P131" s="14">
        <v>1</v>
      </c>
      <c r="Q131" s="183">
        <v>0</v>
      </c>
      <c r="R131" s="181">
        <v>2</v>
      </c>
      <c r="S131" s="178">
        <f t="shared" si="25"/>
        <v>1</v>
      </c>
      <c r="T131" s="186">
        <f t="shared" si="26"/>
        <v>2</v>
      </c>
      <c r="U131" s="179">
        <f t="shared" si="27"/>
        <v>1</v>
      </c>
      <c r="V131" s="1">
        <f t="shared" ref="V131:V192" si="29">SUM($X$1*0.05)</f>
        <v>25</v>
      </c>
      <c r="W131" s="8">
        <f t="shared" si="28"/>
        <v>6.25</v>
      </c>
      <c r="X131" s="15">
        <f t="shared" ref="X131:X188" si="30">SUM(X130,W131)</f>
        <v>687.5</v>
      </c>
    </row>
    <row r="132" spans="1:24">
      <c r="A132" t="s">
        <v>930</v>
      </c>
      <c r="B132" s="163" t="s">
        <v>726</v>
      </c>
      <c r="C132" s="2" t="s">
        <v>6</v>
      </c>
      <c r="D132" s="2" t="s">
        <v>62</v>
      </c>
      <c r="E132" s="154">
        <v>45396.583333333336</v>
      </c>
      <c r="F132" s="155" t="s">
        <v>74</v>
      </c>
      <c r="G132" s="2" t="s">
        <v>115</v>
      </c>
      <c r="H132" s="2">
        <v>85</v>
      </c>
      <c r="I132" s="2">
        <v>20</v>
      </c>
      <c r="J132" s="155">
        <v>1.9</v>
      </c>
      <c r="K132" s="155">
        <v>63</v>
      </c>
      <c r="L132" s="2"/>
      <c r="M132" s="2"/>
      <c r="N132" s="2" t="s">
        <v>95</v>
      </c>
      <c r="O132" s="14">
        <v>0</v>
      </c>
      <c r="P132" s="14">
        <v>1</v>
      </c>
      <c r="Q132" s="183">
        <v>0</v>
      </c>
      <c r="R132" s="181">
        <v>2</v>
      </c>
      <c r="S132" s="178">
        <f t="shared" si="25"/>
        <v>1</v>
      </c>
      <c r="T132" s="186">
        <f t="shared" si="26"/>
        <v>2</v>
      </c>
      <c r="U132" s="179">
        <f t="shared" si="27"/>
        <v>1</v>
      </c>
      <c r="V132" s="1">
        <f t="shared" si="29"/>
        <v>25</v>
      </c>
      <c r="W132" s="8">
        <f t="shared" si="28"/>
        <v>6.25</v>
      </c>
      <c r="X132" s="15">
        <f t="shared" si="30"/>
        <v>693.75</v>
      </c>
    </row>
    <row r="133" spans="1:24">
      <c r="A133" t="s">
        <v>930</v>
      </c>
      <c r="B133" s="163" t="s">
        <v>726</v>
      </c>
      <c r="C133" s="2" t="s">
        <v>6</v>
      </c>
      <c r="D133" s="2" t="s">
        <v>62</v>
      </c>
      <c r="E133" s="154">
        <v>45396.6875</v>
      </c>
      <c r="F133" s="155" t="s">
        <v>73</v>
      </c>
      <c r="G133" s="2" t="s">
        <v>102</v>
      </c>
      <c r="H133" s="2">
        <v>90</v>
      </c>
      <c r="I133" s="2">
        <v>20</v>
      </c>
      <c r="J133" s="155">
        <v>1.85</v>
      </c>
      <c r="K133" s="155">
        <v>63</v>
      </c>
      <c r="L133" s="2"/>
      <c r="M133" s="2"/>
      <c r="N133" s="2" t="s">
        <v>95</v>
      </c>
      <c r="O133" s="14">
        <v>0</v>
      </c>
      <c r="P133" s="14">
        <v>0</v>
      </c>
      <c r="Q133" s="183">
        <v>0</v>
      </c>
      <c r="R133" s="181">
        <v>2</v>
      </c>
      <c r="S133" s="178">
        <f t="shared" si="25"/>
        <v>0</v>
      </c>
      <c r="T133" s="186">
        <f t="shared" si="26"/>
        <v>2</v>
      </c>
      <c r="U133" s="179">
        <f t="shared" si="27"/>
        <v>2</v>
      </c>
      <c r="V133" s="1">
        <f t="shared" si="29"/>
        <v>25</v>
      </c>
      <c r="W133" s="8">
        <f t="shared" si="28"/>
        <v>6.25</v>
      </c>
      <c r="X133" s="15">
        <f t="shared" si="30"/>
        <v>700</v>
      </c>
    </row>
    <row r="134" spans="1:24">
      <c r="A134" t="s">
        <v>930</v>
      </c>
      <c r="B134" s="163" t="s">
        <v>726</v>
      </c>
      <c r="C134" s="2" t="s">
        <v>119</v>
      </c>
      <c r="D134" s="2" t="s">
        <v>120</v>
      </c>
      <c r="E134" s="154">
        <v>45396.729166666664</v>
      </c>
      <c r="F134" s="155" t="s">
        <v>384</v>
      </c>
      <c r="G134" s="2" t="s">
        <v>362</v>
      </c>
      <c r="H134" s="2">
        <v>80</v>
      </c>
      <c r="I134" s="2">
        <v>20</v>
      </c>
      <c r="J134" s="155">
        <v>2.1</v>
      </c>
      <c r="K134" s="155">
        <v>61</v>
      </c>
      <c r="L134" s="2"/>
      <c r="M134" s="2"/>
      <c r="N134" s="2" t="s">
        <v>95</v>
      </c>
      <c r="O134" s="14">
        <v>0</v>
      </c>
      <c r="P134" s="14">
        <v>0</v>
      </c>
      <c r="Q134" s="183">
        <v>1</v>
      </c>
      <c r="R134" s="181">
        <v>1</v>
      </c>
      <c r="S134" s="178">
        <f t="shared" si="25"/>
        <v>0</v>
      </c>
      <c r="T134" s="186">
        <f t="shared" si="26"/>
        <v>2</v>
      </c>
      <c r="U134" s="179">
        <f t="shared" si="27"/>
        <v>2</v>
      </c>
      <c r="V134" s="1">
        <f t="shared" si="29"/>
        <v>25</v>
      </c>
      <c r="W134" s="8">
        <f t="shared" si="28"/>
        <v>6.25</v>
      </c>
      <c r="X134" s="15">
        <f t="shared" si="30"/>
        <v>706.25</v>
      </c>
    </row>
    <row r="135" spans="1:24">
      <c r="A135" t="s">
        <v>930</v>
      </c>
      <c r="B135" s="163" t="s">
        <v>726</v>
      </c>
      <c r="C135" s="2" t="s">
        <v>31</v>
      </c>
      <c r="D135" s="2" t="s">
        <v>32</v>
      </c>
      <c r="E135" s="3">
        <v>45398.822916666664</v>
      </c>
      <c r="F135" s="2" t="s">
        <v>584</v>
      </c>
      <c r="G135" s="2" t="s">
        <v>440</v>
      </c>
      <c r="H135" s="2">
        <v>85</v>
      </c>
      <c r="I135" s="2">
        <v>20</v>
      </c>
      <c r="J135" s="2">
        <v>1.9</v>
      </c>
      <c r="K135" s="2">
        <v>59</v>
      </c>
      <c r="L135" s="2"/>
      <c r="M135" s="2"/>
      <c r="N135" s="2" t="s">
        <v>95</v>
      </c>
      <c r="O135" s="14">
        <v>0</v>
      </c>
      <c r="P135" s="14">
        <v>0</v>
      </c>
      <c r="Q135" s="183">
        <v>2</v>
      </c>
      <c r="R135" s="181">
        <v>0</v>
      </c>
      <c r="S135" s="178">
        <f t="shared" si="25"/>
        <v>0</v>
      </c>
      <c r="T135" s="186">
        <f t="shared" si="26"/>
        <v>2</v>
      </c>
      <c r="U135" s="179">
        <f t="shared" si="27"/>
        <v>2</v>
      </c>
      <c r="V135" s="1">
        <f t="shared" si="29"/>
        <v>25</v>
      </c>
      <c r="W135" s="8">
        <f t="shared" si="28"/>
        <v>6.25</v>
      </c>
      <c r="X135" s="15">
        <f t="shared" si="30"/>
        <v>712.5</v>
      </c>
    </row>
    <row r="136" spans="1:24">
      <c r="A136" t="s">
        <v>930</v>
      </c>
      <c r="B136" s="163" t="s">
        <v>726</v>
      </c>
      <c r="C136" s="2" t="s">
        <v>77</v>
      </c>
      <c r="D136" s="2" t="s">
        <v>234</v>
      </c>
      <c r="E136" s="3">
        <v>45402.5</v>
      </c>
      <c r="F136" s="2" t="s">
        <v>631</v>
      </c>
      <c r="G136" s="2" t="s">
        <v>407</v>
      </c>
      <c r="H136" s="2">
        <v>100</v>
      </c>
      <c r="I136" s="2">
        <v>20</v>
      </c>
      <c r="J136" s="2">
        <v>2.35</v>
      </c>
      <c r="K136" s="2">
        <v>60</v>
      </c>
      <c r="L136" s="2"/>
      <c r="M136" s="2"/>
      <c r="N136" s="2" t="s">
        <v>95</v>
      </c>
      <c r="O136" s="14">
        <v>1</v>
      </c>
      <c r="P136" s="14">
        <v>0</v>
      </c>
      <c r="Q136" s="183">
        <v>1</v>
      </c>
      <c r="R136" s="181">
        <v>1</v>
      </c>
      <c r="S136" s="178">
        <f t="shared" si="25"/>
        <v>1</v>
      </c>
      <c r="T136" s="186">
        <f t="shared" si="26"/>
        <v>2</v>
      </c>
      <c r="U136" s="179">
        <f t="shared" si="27"/>
        <v>1</v>
      </c>
      <c r="V136" s="1">
        <f t="shared" si="29"/>
        <v>25</v>
      </c>
      <c r="W136" s="8">
        <f t="shared" si="28"/>
        <v>6.25</v>
      </c>
      <c r="X136" s="15">
        <f t="shared" si="30"/>
        <v>718.75</v>
      </c>
    </row>
    <row r="137" spans="1:24">
      <c r="A137" t="s">
        <v>930</v>
      </c>
      <c r="B137" s="163" t="s">
        <v>726</v>
      </c>
      <c r="C137" s="2" t="s">
        <v>31</v>
      </c>
      <c r="D137" s="2" t="s">
        <v>32</v>
      </c>
      <c r="E137" s="3">
        <v>45402.625</v>
      </c>
      <c r="F137" s="2" t="s">
        <v>584</v>
      </c>
      <c r="G137" s="2" t="s">
        <v>186</v>
      </c>
      <c r="H137" s="2">
        <v>90</v>
      </c>
      <c r="I137" s="2">
        <v>20</v>
      </c>
      <c r="J137" s="2">
        <v>1.85</v>
      </c>
      <c r="K137" s="2">
        <v>64</v>
      </c>
      <c r="L137" s="2"/>
      <c r="M137" s="2"/>
      <c r="N137" s="2" t="s">
        <v>95</v>
      </c>
      <c r="O137" s="14">
        <v>1</v>
      </c>
      <c r="P137" s="14">
        <v>0</v>
      </c>
      <c r="Q137" s="183">
        <v>2</v>
      </c>
      <c r="R137" s="181">
        <v>0</v>
      </c>
      <c r="S137" s="178">
        <f t="shared" si="25"/>
        <v>1</v>
      </c>
      <c r="T137" s="186">
        <f t="shared" si="26"/>
        <v>2</v>
      </c>
      <c r="U137" s="179">
        <f t="shared" si="27"/>
        <v>1</v>
      </c>
      <c r="V137" s="1">
        <f t="shared" si="29"/>
        <v>25</v>
      </c>
      <c r="W137" s="8">
        <f t="shared" si="28"/>
        <v>6.25</v>
      </c>
      <c r="X137" s="15">
        <f t="shared" si="30"/>
        <v>725</v>
      </c>
    </row>
    <row r="138" spans="1:24">
      <c r="A138" t="s">
        <v>930</v>
      </c>
      <c r="B138" s="163" t="s">
        <v>726</v>
      </c>
      <c r="C138" s="2" t="s">
        <v>149</v>
      </c>
      <c r="D138" s="2" t="s">
        <v>150</v>
      </c>
      <c r="E138" s="3">
        <v>45404.791666666664</v>
      </c>
      <c r="F138" s="2" t="s">
        <v>493</v>
      </c>
      <c r="G138" s="2" t="s">
        <v>256</v>
      </c>
      <c r="H138" s="2">
        <v>95</v>
      </c>
      <c r="I138" s="2">
        <v>20</v>
      </c>
      <c r="J138" s="2">
        <v>2.25</v>
      </c>
      <c r="K138" s="2">
        <v>62</v>
      </c>
      <c r="L138" s="2"/>
      <c r="M138" s="2"/>
      <c r="N138" s="2" t="s">
        <v>95</v>
      </c>
      <c r="O138" s="14">
        <v>1</v>
      </c>
      <c r="P138" s="14">
        <v>0</v>
      </c>
      <c r="Q138" s="183">
        <v>2</v>
      </c>
      <c r="R138" s="181">
        <v>0</v>
      </c>
      <c r="S138" s="178">
        <f t="shared" si="25"/>
        <v>1</v>
      </c>
      <c r="T138" s="186">
        <f t="shared" si="26"/>
        <v>2</v>
      </c>
      <c r="U138" s="179">
        <f t="shared" si="27"/>
        <v>1</v>
      </c>
      <c r="V138" s="1">
        <f t="shared" si="29"/>
        <v>25</v>
      </c>
      <c r="W138" s="8">
        <f t="shared" si="28"/>
        <v>6.25</v>
      </c>
      <c r="X138" s="15">
        <f t="shared" si="30"/>
        <v>731.25</v>
      </c>
    </row>
    <row r="139" spans="1:24">
      <c r="A139" t="s">
        <v>930</v>
      </c>
      <c r="B139" s="163" t="s">
        <v>726</v>
      </c>
      <c r="C139" s="2" t="s">
        <v>6</v>
      </c>
      <c r="D139" s="2" t="s">
        <v>62</v>
      </c>
      <c r="E139" s="3">
        <v>45409.625</v>
      </c>
      <c r="F139" s="2" t="s">
        <v>383</v>
      </c>
      <c r="G139" s="2" t="s">
        <v>103</v>
      </c>
      <c r="H139" s="2">
        <v>90</v>
      </c>
      <c r="I139" s="2">
        <v>20</v>
      </c>
      <c r="J139" s="2">
        <v>2</v>
      </c>
      <c r="K139" s="2">
        <v>57</v>
      </c>
      <c r="L139" s="2"/>
      <c r="M139" s="2"/>
      <c r="N139" s="2" t="s">
        <v>95</v>
      </c>
      <c r="O139" s="14">
        <v>0</v>
      </c>
      <c r="P139" s="14">
        <v>0</v>
      </c>
      <c r="Q139" s="183">
        <v>1</v>
      </c>
      <c r="R139" s="181">
        <v>1</v>
      </c>
      <c r="S139" s="178">
        <f t="shared" si="25"/>
        <v>0</v>
      </c>
      <c r="T139" s="186">
        <f t="shared" si="26"/>
        <v>2</v>
      </c>
      <c r="U139" s="179">
        <f t="shared" si="27"/>
        <v>2</v>
      </c>
      <c r="V139" s="1">
        <f t="shared" si="29"/>
        <v>25</v>
      </c>
      <c r="W139" s="8">
        <f t="shared" si="28"/>
        <v>6.25</v>
      </c>
      <c r="X139" s="15">
        <f t="shared" si="30"/>
        <v>737.5</v>
      </c>
    </row>
    <row r="140" spans="1:24">
      <c r="A140" t="s">
        <v>930</v>
      </c>
      <c r="B140" s="163" t="s">
        <v>726</v>
      </c>
      <c r="C140" s="2" t="s">
        <v>77</v>
      </c>
      <c r="D140" s="2" t="s">
        <v>251</v>
      </c>
      <c r="E140" s="3">
        <v>45409.645833333336</v>
      </c>
      <c r="F140" s="2" t="s">
        <v>776</v>
      </c>
      <c r="G140" s="2" t="s">
        <v>259</v>
      </c>
      <c r="H140" s="2">
        <v>85</v>
      </c>
      <c r="I140" s="2">
        <v>20</v>
      </c>
      <c r="J140" s="2">
        <v>1.95</v>
      </c>
      <c r="K140" s="2">
        <v>64</v>
      </c>
      <c r="L140" s="2"/>
      <c r="M140" s="2"/>
      <c r="N140" s="2" t="s">
        <v>95</v>
      </c>
      <c r="O140" s="14">
        <v>0</v>
      </c>
      <c r="P140" s="14">
        <v>1</v>
      </c>
      <c r="Q140" s="183">
        <v>1</v>
      </c>
      <c r="R140" s="181">
        <v>1</v>
      </c>
      <c r="S140" s="178">
        <f t="shared" si="25"/>
        <v>1</v>
      </c>
      <c r="T140" s="186">
        <f t="shared" si="26"/>
        <v>2</v>
      </c>
      <c r="U140" s="179">
        <f t="shared" si="27"/>
        <v>1</v>
      </c>
      <c r="V140" s="1">
        <f t="shared" si="29"/>
        <v>25</v>
      </c>
      <c r="W140" s="8">
        <f t="shared" si="28"/>
        <v>6.25</v>
      </c>
      <c r="X140" s="15">
        <f t="shared" si="30"/>
        <v>743.75</v>
      </c>
    </row>
    <row r="141" spans="1:24">
      <c r="A141" t="s">
        <v>930</v>
      </c>
      <c r="B141" s="163" t="s">
        <v>726</v>
      </c>
      <c r="C141" s="2" t="s">
        <v>31</v>
      </c>
      <c r="D141" s="2" t="s">
        <v>32</v>
      </c>
      <c r="E141" s="3">
        <v>45409.729166666664</v>
      </c>
      <c r="F141" s="2" t="s">
        <v>690</v>
      </c>
      <c r="G141" s="2" t="s">
        <v>419</v>
      </c>
      <c r="H141" s="2">
        <v>90</v>
      </c>
      <c r="I141" s="2">
        <v>20</v>
      </c>
      <c r="J141" s="2">
        <v>2.2999999999999998</v>
      </c>
      <c r="K141" s="2">
        <v>59</v>
      </c>
      <c r="L141" s="2"/>
      <c r="M141" s="2"/>
      <c r="N141" s="2" t="s">
        <v>95</v>
      </c>
      <c r="O141" s="14">
        <v>0</v>
      </c>
      <c r="P141" s="14">
        <v>0</v>
      </c>
      <c r="Q141" s="183">
        <v>1</v>
      </c>
      <c r="R141" s="181">
        <v>1</v>
      </c>
      <c r="S141" s="178">
        <f t="shared" si="25"/>
        <v>0</v>
      </c>
      <c r="T141" s="186">
        <f t="shared" si="26"/>
        <v>2</v>
      </c>
      <c r="U141" s="179">
        <f t="shared" si="27"/>
        <v>2</v>
      </c>
      <c r="V141" s="1">
        <f t="shared" si="29"/>
        <v>25</v>
      </c>
      <c r="W141" s="8">
        <f t="shared" si="28"/>
        <v>6.25</v>
      </c>
      <c r="X141" s="15">
        <f t="shared" si="30"/>
        <v>750</v>
      </c>
    </row>
    <row r="142" spans="1:24">
      <c r="A142" t="s">
        <v>930</v>
      </c>
      <c r="B142" s="163" t="s">
        <v>726</v>
      </c>
      <c r="C142" s="2" t="s">
        <v>77</v>
      </c>
      <c r="D142" s="2" t="s">
        <v>234</v>
      </c>
      <c r="E142" s="3">
        <v>45409.8125</v>
      </c>
      <c r="F142" s="2" t="s">
        <v>246</v>
      </c>
      <c r="G142" s="2" t="s">
        <v>632</v>
      </c>
      <c r="H142" s="2">
        <v>85</v>
      </c>
      <c r="I142" s="2">
        <v>20</v>
      </c>
      <c r="J142" s="2">
        <v>2</v>
      </c>
      <c r="K142" s="2">
        <v>58</v>
      </c>
      <c r="L142" s="2"/>
      <c r="M142" s="2"/>
      <c r="N142" s="2" t="s">
        <v>95</v>
      </c>
      <c r="O142" s="14">
        <v>0</v>
      </c>
      <c r="P142" s="14">
        <v>0</v>
      </c>
      <c r="Q142" s="183">
        <v>1</v>
      </c>
      <c r="R142" s="181">
        <v>1</v>
      </c>
      <c r="S142" s="178">
        <f t="shared" si="25"/>
        <v>0</v>
      </c>
      <c r="T142" s="186">
        <f t="shared" si="26"/>
        <v>2</v>
      </c>
      <c r="U142" s="179">
        <f t="shared" si="27"/>
        <v>2</v>
      </c>
      <c r="V142" s="1">
        <f t="shared" si="29"/>
        <v>25</v>
      </c>
      <c r="W142" s="8">
        <f t="shared" si="28"/>
        <v>6.25</v>
      </c>
      <c r="X142" s="15">
        <f t="shared" si="30"/>
        <v>756.25</v>
      </c>
    </row>
    <row r="143" spans="1:24">
      <c r="A143" t="s">
        <v>930</v>
      </c>
      <c r="B143" s="163" t="s">
        <v>726</v>
      </c>
      <c r="C143" s="2" t="s">
        <v>149</v>
      </c>
      <c r="D143" s="2" t="s">
        <v>150</v>
      </c>
      <c r="E143" s="3">
        <v>45410.65625</v>
      </c>
      <c r="F143" s="2" t="s">
        <v>746</v>
      </c>
      <c r="G143" s="2" t="s">
        <v>493</v>
      </c>
      <c r="H143" s="2">
        <v>90</v>
      </c>
      <c r="I143" s="2">
        <v>20</v>
      </c>
      <c r="J143" s="2">
        <v>1.95</v>
      </c>
      <c r="K143" s="2">
        <v>62</v>
      </c>
      <c r="L143" s="2"/>
      <c r="M143" s="2"/>
      <c r="N143" s="2" t="s">
        <v>95</v>
      </c>
      <c r="O143" s="14">
        <v>1</v>
      </c>
      <c r="P143" s="14">
        <v>0</v>
      </c>
      <c r="Q143" s="183">
        <v>2</v>
      </c>
      <c r="R143" s="181">
        <v>0</v>
      </c>
      <c r="S143" s="178">
        <f t="shared" si="25"/>
        <v>1</v>
      </c>
      <c r="T143" s="186">
        <f t="shared" si="26"/>
        <v>2</v>
      </c>
      <c r="U143" s="179">
        <f t="shared" si="27"/>
        <v>1</v>
      </c>
      <c r="V143" s="1">
        <f t="shared" si="29"/>
        <v>25</v>
      </c>
      <c r="W143" s="8">
        <f t="shared" si="28"/>
        <v>6.25</v>
      </c>
      <c r="X143" s="15">
        <f t="shared" si="30"/>
        <v>762.5</v>
      </c>
    </row>
    <row r="144" spans="1:24">
      <c r="A144" t="s">
        <v>930</v>
      </c>
      <c r="B144" s="163" t="s">
        <v>726</v>
      </c>
      <c r="C144" s="2" t="s">
        <v>6</v>
      </c>
      <c r="D144" s="2" t="s">
        <v>62</v>
      </c>
      <c r="E144" s="3">
        <v>45414.8125</v>
      </c>
      <c r="F144" s="2" t="s">
        <v>65</v>
      </c>
      <c r="G144" s="2" t="s">
        <v>116</v>
      </c>
      <c r="H144" s="2">
        <v>90</v>
      </c>
      <c r="I144" s="2">
        <v>20</v>
      </c>
      <c r="J144" s="2">
        <v>2.15</v>
      </c>
      <c r="K144" s="2">
        <v>63</v>
      </c>
      <c r="L144" s="2"/>
      <c r="M144" s="2"/>
      <c r="N144" s="2" t="s">
        <v>95</v>
      </c>
      <c r="O144" s="14">
        <v>1</v>
      </c>
      <c r="P144" s="14">
        <v>0</v>
      </c>
      <c r="Q144" s="183">
        <v>2</v>
      </c>
      <c r="R144" s="181">
        <v>0</v>
      </c>
      <c r="S144" s="178">
        <f t="shared" si="25"/>
        <v>1</v>
      </c>
      <c r="T144" s="186">
        <f t="shared" si="26"/>
        <v>2</v>
      </c>
      <c r="U144" s="179">
        <f t="shared" si="27"/>
        <v>1</v>
      </c>
      <c r="V144" s="1">
        <f t="shared" si="29"/>
        <v>25</v>
      </c>
      <c r="W144" s="8">
        <f t="shared" si="28"/>
        <v>6.25</v>
      </c>
      <c r="X144" s="15">
        <f t="shared" si="30"/>
        <v>768.75</v>
      </c>
    </row>
    <row r="145" spans="1:24">
      <c r="A145" t="s">
        <v>930</v>
      </c>
      <c r="B145" s="163" t="s">
        <v>726</v>
      </c>
      <c r="C145" s="2" t="s">
        <v>149</v>
      </c>
      <c r="D145" s="2" t="s">
        <v>150</v>
      </c>
      <c r="E145" s="3">
        <v>45415.791666666664</v>
      </c>
      <c r="F145" s="2" t="s">
        <v>331</v>
      </c>
      <c r="G145" s="2" t="s">
        <v>237</v>
      </c>
      <c r="H145" s="2">
        <v>85</v>
      </c>
      <c r="I145" s="2">
        <v>20</v>
      </c>
      <c r="J145" s="2">
        <v>1.85</v>
      </c>
      <c r="K145" s="2">
        <v>61</v>
      </c>
      <c r="L145" s="2"/>
      <c r="M145" s="2"/>
      <c r="N145" s="2" t="s">
        <v>95</v>
      </c>
      <c r="O145" s="14">
        <v>0</v>
      </c>
      <c r="P145" s="14">
        <v>0</v>
      </c>
      <c r="Q145" s="183">
        <v>2</v>
      </c>
      <c r="R145" s="181">
        <v>0</v>
      </c>
      <c r="S145" s="178">
        <f t="shared" si="25"/>
        <v>0</v>
      </c>
      <c r="T145" s="186">
        <f t="shared" si="26"/>
        <v>2</v>
      </c>
      <c r="U145" s="179">
        <f t="shared" si="27"/>
        <v>2</v>
      </c>
      <c r="V145" s="1">
        <f t="shared" si="29"/>
        <v>25</v>
      </c>
      <c r="W145" s="8">
        <f t="shared" si="28"/>
        <v>6.25</v>
      </c>
      <c r="X145" s="15">
        <f t="shared" si="30"/>
        <v>775</v>
      </c>
    </row>
    <row r="146" spans="1:24">
      <c r="A146" t="s">
        <v>930</v>
      </c>
      <c r="B146" s="163" t="s">
        <v>726</v>
      </c>
      <c r="C146" s="2" t="s">
        <v>149</v>
      </c>
      <c r="D146" s="2" t="s">
        <v>150</v>
      </c>
      <c r="E146" s="3">
        <v>45422.791666666664</v>
      </c>
      <c r="F146" s="2" t="s">
        <v>330</v>
      </c>
      <c r="G146" s="2" t="s">
        <v>332</v>
      </c>
      <c r="H146" s="2">
        <v>90</v>
      </c>
      <c r="I146" s="2">
        <v>20</v>
      </c>
      <c r="J146" s="2">
        <v>1.85</v>
      </c>
      <c r="K146" s="2">
        <v>62</v>
      </c>
      <c r="L146" s="2"/>
      <c r="M146" s="2"/>
      <c r="N146" s="1" t="s">
        <v>95</v>
      </c>
      <c r="O146" s="14">
        <v>0</v>
      </c>
      <c r="P146" s="14">
        <v>0</v>
      </c>
      <c r="Q146" s="183">
        <v>2</v>
      </c>
      <c r="R146" s="181">
        <v>0</v>
      </c>
      <c r="S146" s="178">
        <f t="shared" si="25"/>
        <v>0</v>
      </c>
      <c r="T146" s="186">
        <f t="shared" si="26"/>
        <v>2</v>
      </c>
      <c r="U146" s="179">
        <f t="shared" si="27"/>
        <v>2</v>
      </c>
      <c r="V146" s="1">
        <f t="shared" si="29"/>
        <v>25</v>
      </c>
      <c r="W146" s="8">
        <f t="shared" si="28"/>
        <v>6.25</v>
      </c>
      <c r="X146" s="15">
        <f t="shared" si="30"/>
        <v>781.25</v>
      </c>
    </row>
    <row r="147" spans="1:24">
      <c r="A147" t="s">
        <v>930</v>
      </c>
      <c r="B147" s="163" t="s">
        <v>726</v>
      </c>
      <c r="C147" s="2" t="s">
        <v>149</v>
      </c>
      <c r="D147" s="2" t="s">
        <v>150</v>
      </c>
      <c r="E147" s="3">
        <v>45422.791666666664</v>
      </c>
      <c r="F147" s="2" t="s">
        <v>256</v>
      </c>
      <c r="G147" s="2" t="s">
        <v>559</v>
      </c>
      <c r="H147" s="2">
        <v>85</v>
      </c>
      <c r="I147" s="2">
        <v>20</v>
      </c>
      <c r="J147" s="2">
        <v>2</v>
      </c>
      <c r="K147" s="2">
        <v>61</v>
      </c>
      <c r="L147" s="2"/>
      <c r="M147" s="2"/>
      <c r="N147" s="1" t="s">
        <v>95</v>
      </c>
      <c r="O147" s="14">
        <v>0</v>
      </c>
      <c r="P147" s="14">
        <v>1</v>
      </c>
      <c r="Q147" s="183">
        <v>1</v>
      </c>
      <c r="R147" s="181">
        <v>1</v>
      </c>
      <c r="S147" s="178">
        <f t="shared" si="25"/>
        <v>1</v>
      </c>
      <c r="T147" s="186">
        <f t="shared" si="26"/>
        <v>2</v>
      </c>
      <c r="U147" s="179">
        <f t="shared" si="27"/>
        <v>1</v>
      </c>
      <c r="V147" s="1">
        <f t="shared" si="29"/>
        <v>25</v>
      </c>
      <c r="W147" s="8">
        <f t="shared" si="28"/>
        <v>6.25</v>
      </c>
      <c r="X147" s="15">
        <f t="shared" si="30"/>
        <v>787.5</v>
      </c>
    </row>
    <row r="148" spans="1:24">
      <c r="A148" t="s">
        <v>930</v>
      </c>
      <c r="B148" s="163" t="s">
        <v>726</v>
      </c>
      <c r="C148" s="2" t="s">
        <v>77</v>
      </c>
      <c r="D148" s="2" t="s">
        <v>234</v>
      </c>
      <c r="E148" s="3">
        <v>45423.8125</v>
      </c>
      <c r="F148" s="2" t="s">
        <v>235</v>
      </c>
      <c r="G148" s="2" t="s">
        <v>632</v>
      </c>
      <c r="H148" s="2">
        <v>95</v>
      </c>
      <c r="I148" s="2">
        <v>20</v>
      </c>
      <c r="J148" s="2">
        <v>2.15</v>
      </c>
      <c r="K148" s="2">
        <v>59</v>
      </c>
      <c r="L148" s="2"/>
      <c r="M148" s="2"/>
      <c r="N148" s="1" t="s">
        <v>95</v>
      </c>
      <c r="O148" s="14">
        <v>1</v>
      </c>
      <c r="P148" s="14">
        <v>0</v>
      </c>
      <c r="Q148" s="183">
        <v>1</v>
      </c>
      <c r="R148" s="181">
        <v>1</v>
      </c>
      <c r="S148" s="178">
        <f t="shared" si="25"/>
        <v>1</v>
      </c>
      <c r="T148" s="186">
        <f t="shared" si="26"/>
        <v>2</v>
      </c>
      <c r="U148" s="179">
        <f t="shared" si="27"/>
        <v>1</v>
      </c>
      <c r="V148" s="1">
        <f t="shared" si="29"/>
        <v>25</v>
      </c>
      <c r="W148" s="8">
        <f t="shared" si="28"/>
        <v>6.25</v>
      </c>
      <c r="X148" s="15">
        <f t="shared" si="30"/>
        <v>793.75</v>
      </c>
    </row>
    <row r="149" spans="1:24">
      <c r="A149" t="s">
        <v>930</v>
      </c>
      <c r="B149" s="163" t="s">
        <v>726</v>
      </c>
      <c r="C149" s="2" t="s">
        <v>149</v>
      </c>
      <c r="D149" s="2" t="s">
        <v>153</v>
      </c>
      <c r="E149" s="3">
        <v>45424.5625</v>
      </c>
      <c r="F149" s="2" t="s">
        <v>249</v>
      </c>
      <c r="G149" s="2" t="s">
        <v>188</v>
      </c>
      <c r="H149" s="2">
        <v>80</v>
      </c>
      <c r="I149" s="2">
        <v>20</v>
      </c>
      <c r="J149" s="2">
        <v>1.95</v>
      </c>
      <c r="K149" s="2">
        <v>58</v>
      </c>
      <c r="L149" s="2"/>
      <c r="N149" s="1" t="s">
        <v>95</v>
      </c>
      <c r="O149" s="14">
        <v>1</v>
      </c>
      <c r="P149" s="14">
        <v>0</v>
      </c>
      <c r="Q149" s="183">
        <v>1</v>
      </c>
      <c r="R149" s="181">
        <v>1</v>
      </c>
      <c r="S149" s="178">
        <f t="shared" si="25"/>
        <v>1</v>
      </c>
      <c r="T149" s="186">
        <f t="shared" si="26"/>
        <v>2</v>
      </c>
      <c r="U149" s="179">
        <f t="shared" si="27"/>
        <v>1</v>
      </c>
      <c r="V149" s="1">
        <f t="shared" si="29"/>
        <v>25</v>
      </c>
      <c r="W149" s="8">
        <f t="shared" si="28"/>
        <v>6.25</v>
      </c>
      <c r="X149" s="15">
        <f t="shared" si="30"/>
        <v>800</v>
      </c>
    </row>
    <row r="150" spans="1:24">
      <c r="A150" t="s">
        <v>930</v>
      </c>
      <c r="B150" s="163" t="s">
        <v>726</v>
      </c>
      <c r="C150" s="2" t="s">
        <v>149</v>
      </c>
      <c r="D150" s="2" t="s">
        <v>153</v>
      </c>
      <c r="E150" s="3">
        <v>45424.5625</v>
      </c>
      <c r="F150" s="2" t="s">
        <v>154</v>
      </c>
      <c r="G150" s="2" t="s">
        <v>205</v>
      </c>
      <c r="H150" s="2">
        <v>90</v>
      </c>
      <c r="I150" s="2">
        <v>20</v>
      </c>
      <c r="J150" s="2">
        <v>2.4500000000000002</v>
      </c>
      <c r="K150" s="2">
        <v>60</v>
      </c>
      <c r="L150" s="2"/>
      <c r="N150" s="1" t="s">
        <v>95</v>
      </c>
      <c r="O150" s="14">
        <v>0</v>
      </c>
      <c r="P150" s="14">
        <v>0</v>
      </c>
      <c r="Q150" s="183">
        <v>1</v>
      </c>
      <c r="R150" s="181">
        <v>1</v>
      </c>
      <c r="S150" s="178">
        <f t="shared" si="25"/>
        <v>0</v>
      </c>
      <c r="T150" s="186">
        <f t="shared" si="26"/>
        <v>2</v>
      </c>
      <c r="U150" s="179">
        <f t="shared" si="27"/>
        <v>2</v>
      </c>
      <c r="V150" s="1">
        <f t="shared" si="29"/>
        <v>25</v>
      </c>
      <c r="W150" s="8">
        <f t="shared" si="28"/>
        <v>6.25</v>
      </c>
      <c r="X150" s="15">
        <f t="shared" si="30"/>
        <v>806.25</v>
      </c>
    </row>
    <row r="151" spans="1:24">
      <c r="A151" t="s">
        <v>930</v>
      </c>
      <c r="B151" s="163" t="s">
        <v>726</v>
      </c>
      <c r="C151" s="2" t="s">
        <v>145</v>
      </c>
      <c r="D151" s="2" t="s">
        <v>190</v>
      </c>
      <c r="E151" s="3">
        <v>45424.833333333336</v>
      </c>
      <c r="F151" s="2" t="s">
        <v>390</v>
      </c>
      <c r="G151" s="2" t="s">
        <v>364</v>
      </c>
      <c r="H151" s="2">
        <v>80</v>
      </c>
      <c r="I151" s="2">
        <v>20</v>
      </c>
      <c r="J151" s="2">
        <v>1.85</v>
      </c>
      <c r="K151" s="2">
        <v>61</v>
      </c>
      <c r="L151" s="2"/>
      <c r="M151" s="2"/>
      <c r="N151" s="1" t="s">
        <v>95</v>
      </c>
      <c r="O151" s="14">
        <v>0</v>
      </c>
      <c r="P151" s="14">
        <v>0</v>
      </c>
      <c r="Q151" s="183">
        <v>0</v>
      </c>
      <c r="R151" s="181">
        <v>2</v>
      </c>
      <c r="S151" s="178">
        <f t="shared" si="25"/>
        <v>0</v>
      </c>
      <c r="T151" s="186">
        <f t="shared" si="26"/>
        <v>2</v>
      </c>
      <c r="U151" s="179">
        <f t="shared" si="27"/>
        <v>2</v>
      </c>
      <c r="V151" s="1">
        <f t="shared" si="29"/>
        <v>25</v>
      </c>
      <c r="W151" s="8">
        <f t="shared" si="28"/>
        <v>6.25</v>
      </c>
      <c r="X151" s="15">
        <f t="shared" si="30"/>
        <v>812.5</v>
      </c>
    </row>
    <row r="152" spans="1:24">
      <c r="A152" t="s">
        <v>930</v>
      </c>
      <c r="B152" s="163" t="s">
        <v>726</v>
      </c>
      <c r="C152" s="2" t="s">
        <v>6</v>
      </c>
      <c r="D152" s="2" t="s">
        <v>62</v>
      </c>
      <c r="E152" s="3">
        <v>45426.833333333336</v>
      </c>
      <c r="F152" s="2" t="s">
        <v>116</v>
      </c>
      <c r="G152" s="2" t="s">
        <v>72</v>
      </c>
      <c r="H152" s="2">
        <v>95</v>
      </c>
      <c r="I152" s="2">
        <v>20</v>
      </c>
      <c r="J152" s="2">
        <v>2.1</v>
      </c>
      <c r="K152" s="2">
        <v>60</v>
      </c>
      <c r="L152" s="2"/>
      <c r="M152" s="2"/>
      <c r="N152" s="1" t="s">
        <v>95</v>
      </c>
      <c r="O152" s="14">
        <v>0</v>
      </c>
      <c r="P152" s="14">
        <v>0</v>
      </c>
      <c r="Q152" s="183">
        <v>0</v>
      </c>
      <c r="R152" s="181">
        <v>2</v>
      </c>
      <c r="S152" s="178">
        <f t="shared" si="25"/>
        <v>0</v>
      </c>
      <c r="T152" s="186">
        <f t="shared" si="26"/>
        <v>2</v>
      </c>
      <c r="U152" s="179">
        <f t="shared" si="27"/>
        <v>2</v>
      </c>
      <c r="V152" s="1">
        <f t="shared" si="29"/>
        <v>25</v>
      </c>
      <c r="W152" s="8">
        <f t="shared" si="28"/>
        <v>6.25</v>
      </c>
      <c r="X152" s="15">
        <f t="shared" si="30"/>
        <v>818.75</v>
      </c>
    </row>
    <row r="153" spans="1:24">
      <c r="A153" t="s">
        <v>930</v>
      </c>
      <c r="B153" s="163" t="s">
        <v>726</v>
      </c>
      <c r="C153" s="2" t="s">
        <v>77</v>
      </c>
      <c r="D153" s="2" t="s">
        <v>251</v>
      </c>
      <c r="E153" s="3">
        <v>45430.520833333336</v>
      </c>
      <c r="F153" s="2" t="s">
        <v>605</v>
      </c>
      <c r="G153" s="2" t="s">
        <v>259</v>
      </c>
      <c r="H153" s="2">
        <v>90</v>
      </c>
      <c r="I153" s="2">
        <v>20</v>
      </c>
      <c r="J153" s="2">
        <v>1.85</v>
      </c>
      <c r="K153" s="2">
        <v>63</v>
      </c>
      <c r="L153" s="2"/>
      <c r="M153" s="2"/>
      <c r="N153" s="1" t="s">
        <v>95</v>
      </c>
      <c r="O153" s="14">
        <v>1</v>
      </c>
      <c r="P153" s="14">
        <v>0</v>
      </c>
      <c r="Q153" s="183">
        <v>2</v>
      </c>
      <c r="R153" s="181">
        <v>0</v>
      </c>
      <c r="S153" s="178">
        <f t="shared" si="25"/>
        <v>1</v>
      </c>
      <c r="T153" s="186">
        <f t="shared" si="26"/>
        <v>2</v>
      </c>
      <c r="U153" s="179">
        <f t="shared" si="27"/>
        <v>1</v>
      </c>
      <c r="V153" s="1">
        <f t="shared" si="29"/>
        <v>25</v>
      </c>
      <c r="W153" s="8">
        <f t="shared" si="28"/>
        <v>6.25</v>
      </c>
      <c r="X153" s="15">
        <f t="shared" si="30"/>
        <v>825</v>
      </c>
    </row>
    <row r="154" spans="1:24">
      <c r="A154" t="s">
        <v>930</v>
      </c>
      <c r="B154" s="163" t="s">
        <v>726</v>
      </c>
      <c r="C154" s="2" t="s">
        <v>77</v>
      </c>
      <c r="D154" s="2" t="s">
        <v>234</v>
      </c>
      <c r="E154" s="3">
        <v>45431.604166666664</v>
      </c>
      <c r="F154" s="2" t="s">
        <v>633</v>
      </c>
      <c r="G154" s="2" t="s">
        <v>246</v>
      </c>
      <c r="H154" s="2">
        <v>95</v>
      </c>
      <c r="I154" s="2">
        <v>20</v>
      </c>
      <c r="J154" s="2">
        <v>2.0499999999999998</v>
      </c>
      <c r="K154" s="2">
        <v>60</v>
      </c>
      <c r="L154" s="2"/>
      <c r="M154" s="2"/>
      <c r="N154" s="1" t="s">
        <v>95</v>
      </c>
      <c r="O154" s="14">
        <v>0</v>
      </c>
      <c r="P154" s="14">
        <v>0</v>
      </c>
      <c r="Q154" s="183">
        <v>2</v>
      </c>
      <c r="R154" s="181">
        <v>0</v>
      </c>
      <c r="S154" s="178">
        <f t="shared" si="25"/>
        <v>0</v>
      </c>
      <c r="T154" s="186">
        <f t="shared" si="26"/>
        <v>2</v>
      </c>
      <c r="U154" s="179">
        <f t="shared" si="27"/>
        <v>2</v>
      </c>
      <c r="V154" s="1">
        <f t="shared" si="29"/>
        <v>25</v>
      </c>
      <c r="W154" s="8">
        <f t="shared" si="28"/>
        <v>6.25</v>
      </c>
      <c r="X154" s="15">
        <f t="shared" si="30"/>
        <v>831.25</v>
      </c>
    </row>
    <row r="155" spans="1:24">
      <c r="A155" t="s">
        <v>930</v>
      </c>
      <c r="B155" s="163" t="s">
        <v>726</v>
      </c>
      <c r="C155" s="2" t="s">
        <v>6</v>
      </c>
      <c r="D155" s="2" t="s">
        <v>62</v>
      </c>
      <c r="E155" s="3">
        <v>45431.666666666664</v>
      </c>
      <c r="F155" s="2" t="s">
        <v>267</v>
      </c>
      <c r="G155" s="2" t="s">
        <v>383</v>
      </c>
      <c r="H155" s="2">
        <v>85</v>
      </c>
      <c r="I155" s="2">
        <v>20</v>
      </c>
      <c r="J155" s="2">
        <v>1.9</v>
      </c>
      <c r="K155" s="2">
        <v>63</v>
      </c>
      <c r="L155" s="2"/>
      <c r="M155" s="2"/>
      <c r="N155" s="1" t="s">
        <v>95</v>
      </c>
      <c r="O155" s="14">
        <v>0</v>
      </c>
      <c r="P155" s="14">
        <v>0</v>
      </c>
      <c r="Q155" s="183">
        <v>0</v>
      </c>
      <c r="R155" s="181">
        <v>2</v>
      </c>
      <c r="S155" s="178">
        <f t="shared" si="25"/>
        <v>0</v>
      </c>
      <c r="T155" s="186">
        <f t="shared" si="26"/>
        <v>2</v>
      </c>
      <c r="U155" s="179">
        <f t="shared" si="27"/>
        <v>2</v>
      </c>
      <c r="V155" s="1">
        <f t="shared" si="29"/>
        <v>25</v>
      </c>
      <c r="W155" s="8">
        <f t="shared" si="28"/>
        <v>6.25</v>
      </c>
      <c r="X155" s="15">
        <f t="shared" si="30"/>
        <v>837.5</v>
      </c>
    </row>
    <row r="156" spans="1:24">
      <c r="A156" t="s">
        <v>930</v>
      </c>
      <c r="B156" s="163" t="s">
        <v>519</v>
      </c>
      <c r="C156" s="2" t="s">
        <v>581</v>
      </c>
      <c r="D156" s="2" t="s">
        <v>62</v>
      </c>
      <c r="E156" s="3">
        <v>45367.604166666664</v>
      </c>
      <c r="F156" s="2" t="s">
        <v>582</v>
      </c>
      <c r="G156" s="2" t="s">
        <v>583</v>
      </c>
      <c r="H156" s="2">
        <v>20</v>
      </c>
      <c r="I156" s="2">
        <v>90</v>
      </c>
      <c r="J156" s="2">
        <v>90</v>
      </c>
      <c r="K156" s="2"/>
      <c r="L156" s="2"/>
      <c r="M156" s="2"/>
      <c r="N156" s="1" t="s">
        <v>95</v>
      </c>
      <c r="O156" s="14">
        <v>0</v>
      </c>
      <c r="P156" s="14">
        <v>1</v>
      </c>
      <c r="Q156" s="183">
        <v>1</v>
      </c>
      <c r="R156" s="187">
        <v>1</v>
      </c>
      <c r="S156" s="178">
        <f t="shared" si="25"/>
        <v>1</v>
      </c>
      <c r="T156" s="186">
        <f t="shared" si="26"/>
        <v>2</v>
      </c>
      <c r="U156" s="179">
        <f t="shared" si="27"/>
        <v>1</v>
      </c>
      <c r="V156" s="1">
        <f t="shared" si="29"/>
        <v>25</v>
      </c>
      <c r="W156" s="8">
        <f t="shared" si="28"/>
        <v>6.25</v>
      </c>
      <c r="X156" s="15">
        <f t="shared" si="30"/>
        <v>843.75</v>
      </c>
    </row>
    <row r="157" spans="1:24">
      <c r="A157" t="s">
        <v>930</v>
      </c>
      <c r="B157" s="163" t="s">
        <v>519</v>
      </c>
      <c r="C157" s="2" t="s">
        <v>80</v>
      </c>
      <c r="D157" s="2" t="s">
        <v>600</v>
      </c>
      <c r="E157" s="3">
        <v>45368.729166666664</v>
      </c>
      <c r="F157" s="2" t="s">
        <v>601</v>
      </c>
      <c r="G157" s="2" t="s">
        <v>602</v>
      </c>
      <c r="H157" s="2">
        <v>20</v>
      </c>
      <c r="I157" s="2">
        <v>90</v>
      </c>
      <c r="J157" s="2">
        <v>90</v>
      </c>
      <c r="K157" s="2"/>
      <c r="L157" s="2"/>
      <c r="M157" s="2"/>
      <c r="N157" s="1" t="s">
        <v>95</v>
      </c>
      <c r="O157" s="14">
        <v>1</v>
      </c>
      <c r="P157" s="14">
        <v>0</v>
      </c>
      <c r="Q157" s="183">
        <v>2</v>
      </c>
      <c r="R157" s="187">
        <v>0</v>
      </c>
      <c r="S157" s="178">
        <f t="shared" si="25"/>
        <v>1</v>
      </c>
      <c r="T157" s="186">
        <f t="shared" si="26"/>
        <v>2</v>
      </c>
      <c r="U157" s="179">
        <f t="shared" si="27"/>
        <v>1</v>
      </c>
      <c r="V157" s="1">
        <f t="shared" si="29"/>
        <v>25</v>
      </c>
      <c r="W157" s="8">
        <f t="shared" si="28"/>
        <v>6.25</v>
      </c>
      <c r="X157" s="15">
        <f t="shared" si="30"/>
        <v>850</v>
      </c>
    </row>
    <row r="158" spans="1:24">
      <c r="A158" t="s">
        <v>930</v>
      </c>
      <c r="B158" s="163" t="s">
        <v>519</v>
      </c>
      <c r="C158" s="2" t="s">
        <v>77</v>
      </c>
      <c r="D158" s="2" t="s">
        <v>251</v>
      </c>
      <c r="E158" s="3">
        <v>45430.520833333336</v>
      </c>
      <c r="F158" s="2" t="s">
        <v>605</v>
      </c>
      <c r="G158" s="2" t="s">
        <v>259</v>
      </c>
      <c r="H158" s="2">
        <v>20</v>
      </c>
      <c r="I158" s="2">
        <v>90</v>
      </c>
      <c r="J158" s="2">
        <v>90</v>
      </c>
      <c r="K158" s="2"/>
      <c r="L158" s="2"/>
      <c r="M158" s="2"/>
      <c r="N158" s="1" t="s">
        <v>95</v>
      </c>
      <c r="O158" s="14">
        <v>1</v>
      </c>
      <c r="P158" s="14">
        <v>0</v>
      </c>
      <c r="Q158" s="183">
        <v>2</v>
      </c>
      <c r="R158" s="187">
        <v>0</v>
      </c>
      <c r="S158" s="178">
        <f t="shared" si="25"/>
        <v>1</v>
      </c>
      <c r="T158" s="186">
        <f t="shared" si="26"/>
        <v>2</v>
      </c>
      <c r="U158" s="179">
        <f t="shared" si="27"/>
        <v>1</v>
      </c>
      <c r="V158" s="1">
        <f t="shared" si="29"/>
        <v>25</v>
      </c>
      <c r="W158" s="8">
        <f t="shared" si="28"/>
        <v>6.25</v>
      </c>
      <c r="X158" s="15">
        <f t="shared" si="30"/>
        <v>856.25</v>
      </c>
    </row>
    <row r="159" spans="1:24">
      <c r="A159" t="s">
        <v>930</v>
      </c>
      <c r="B159" s="163" t="s">
        <v>522</v>
      </c>
      <c r="C159" s="2" t="s">
        <v>6</v>
      </c>
      <c r="D159" s="2" t="s">
        <v>62</v>
      </c>
      <c r="E159" s="3">
        <v>45406.833333333336</v>
      </c>
      <c r="F159" s="2" t="s">
        <v>71</v>
      </c>
      <c r="G159" s="2" t="s">
        <v>285</v>
      </c>
      <c r="H159" s="2">
        <v>71</v>
      </c>
      <c r="I159" s="2">
        <v>20</v>
      </c>
      <c r="J159" s="2">
        <v>90</v>
      </c>
      <c r="K159" s="2">
        <v>60</v>
      </c>
      <c r="L159" s="2">
        <v>2</v>
      </c>
      <c r="M159" s="2"/>
      <c r="N159" s="1" t="s">
        <v>95</v>
      </c>
      <c r="O159" s="14">
        <v>1</v>
      </c>
      <c r="P159" s="14">
        <v>0</v>
      </c>
      <c r="Q159" s="183">
        <v>2</v>
      </c>
      <c r="R159" s="187">
        <v>0</v>
      </c>
      <c r="S159" s="178">
        <f t="shared" si="25"/>
        <v>1</v>
      </c>
      <c r="T159" s="186">
        <f t="shared" si="26"/>
        <v>2</v>
      </c>
      <c r="U159" s="179">
        <f t="shared" si="27"/>
        <v>1</v>
      </c>
      <c r="V159" s="1">
        <f t="shared" si="29"/>
        <v>25</v>
      </c>
      <c r="W159" s="8">
        <f t="shared" si="28"/>
        <v>6.25</v>
      </c>
      <c r="X159" s="15">
        <f t="shared" si="30"/>
        <v>862.5</v>
      </c>
    </row>
    <row r="160" spans="1:24">
      <c r="A160" t="s">
        <v>930</v>
      </c>
      <c r="B160" s="163" t="s">
        <v>522</v>
      </c>
      <c r="C160" s="2" t="s">
        <v>119</v>
      </c>
      <c r="D160" s="2" t="s">
        <v>166</v>
      </c>
      <c r="E160" s="3">
        <v>45408.8125</v>
      </c>
      <c r="F160" s="2" t="s">
        <v>603</v>
      </c>
      <c r="G160" s="2" t="s">
        <v>560</v>
      </c>
      <c r="H160" s="2">
        <v>73</v>
      </c>
      <c r="I160" s="2">
        <v>20</v>
      </c>
      <c r="J160" s="2">
        <v>90</v>
      </c>
      <c r="K160" s="2">
        <v>55</v>
      </c>
      <c r="L160" s="2">
        <v>1.85</v>
      </c>
      <c r="M160" s="2"/>
      <c r="N160" s="1" t="s">
        <v>95</v>
      </c>
      <c r="O160" s="14">
        <v>1</v>
      </c>
      <c r="P160" s="14">
        <v>0</v>
      </c>
      <c r="Q160" s="183">
        <v>1</v>
      </c>
      <c r="R160" s="187">
        <v>1</v>
      </c>
      <c r="S160" s="178">
        <f t="shared" si="25"/>
        <v>1</v>
      </c>
      <c r="T160" s="186">
        <f t="shared" si="26"/>
        <v>2</v>
      </c>
      <c r="U160" s="179">
        <f t="shared" si="27"/>
        <v>1</v>
      </c>
      <c r="V160" s="1">
        <f t="shared" si="29"/>
        <v>25</v>
      </c>
      <c r="W160" s="8">
        <f t="shared" si="28"/>
        <v>6.25</v>
      </c>
      <c r="X160" s="15">
        <f t="shared" si="30"/>
        <v>868.75</v>
      </c>
    </row>
    <row r="161" spans="1:24">
      <c r="A161" t="s">
        <v>930</v>
      </c>
      <c r="B161" s="163" t="s">
        <v>522</v>
      </c>
      <c r="C161" s="2" t="s">
        <v>149</v>
      </c>
      <c r="D161" s="2" t="s">
        <v>153</v>
      </c>
      <c r="E161" s="3">
        <v>45424.5625</v>
      </c>
      <c r="F161" s="2" t="s">
        <v>154</v>
      </c>
      <c r="G161" s="2" t="s">
        <v>205</v>
      </c>
      <c r="H161" s="2">
        <v>75</v>
      </c>
      <c r="I161" s="2">
        <v>20</v>
      </c>
      <c r="J161" s="2">
        <v>90</v>
      </c>
      <c r="K161" s="2">
        <v>75</v>
      </c>
      <c r="L161" s="2">
        <v>2.4500000000000002</v>
      </c>
      <c r="M161" s="2"/>
      <c r="N161" s="1" t="s">
        <v>95</v>
      </c>
      <c r="O161" s="14">
        <v>0</v>
      </c>
      <c r="P161" s="14">
        <v>0</v>
      </c>
      <c r="Q161" s="183">
        <v>1</v>
      </c>
      <c r="R161" s="187">
        <v>1</v>
      </c>
      <c r="S161" s="178">
        <f t="shared" si="25"/>
        <v>0</v>
      </c>
      <c r="T161" s="186">
        <f t="shared" si="26"/>
        <v>2</v>
      </c>
      <c r="U161" s="179">
        <f t="shared" si="27"/>
        <v>2</v>
      </c>
      <c r="V161" s="1">
        <f t="shared" si="29"/>
        <v>25</v>
      </c>
      <c r="W161" s="8">
        <f t="shared" si="28"/>
        <v>6.25</v>
      </c>
      <c r="X161" s="15">
        <f t="shared" si="30"/>
        <v>875</v>
      </c>
    </row>
    <row r="162" spans="1:24">
      <c r="A162" t="s">
        <v>930</v>
      </c>
      <c r="B162" s="163" t="s">
        <v>515</v>
      </c>
      <c r="C162" s="2" t="s">
        <v>581</v>
      </c>
      <c r="D162" s="2" t="s">
        <v>62</v>
      </c>
      <c r="E162" s="3">
        <v>45367.604166666664</v>
      </c>
      <c r="F162" s="2" t="s">
        <v>582</v>
      </c>
      <c r="G162" s="2" t="s">
        <v>583</v>
      </c>
      <c r="H162" s="2">
        <v>20</v>
      </c>
      <c r="I162" s="2">
        <v>72</v>
      </c>
      <c r="J162" s="2">
        <v>1.55</v>
      </c>
      <c r="K162" s="2"/>
      <c r="L162" s="2"/>
      <c r="M162" s="2"/>
      <c r="N162" s="1" t="s">
        <v>95</v>
      </c>
      <c r="O162" s="14">
        <v>0</v>
      </c>
      <c r="P162" s="14">
        <v>1</v>
      </c>
      <c r="Q162" s="183">
        <v>1</v>
      </c>
      <c r="R162" s="187">
        <v>1</v>
      </c>
      <c r="S162" s="178">
        <f t="shared" si="25"/>
        <v>1</v>
      </c>
      <c r="T162" s="186">
        <f t="shared" si="26"/>
        <v>2</v>
      </c>
      <c r="U162" s="179">
        <f t="shared" si="27"/>
        <v>1</v>
      </c>
      <c r="V162" s="1">
        <f t="shared" si="29"/>
        <v>25</v>
      </c>
      <c r="W162" s="8">
        <f t="shared" si="28"/>
        <v>6.25</v>
      </c>
      <c r="X162" s="15">
        <f t="shared" si="30"/>
        <v>881.25</v>
      </c>
    </row>
    <row r="163" spans="1:24">
      <c r="A163" t="s">
        <v>930</v>
      </c>
      <c r="B163" s="163" t="s">
        <v>515</v>
      </c>
      <c r="C163" s="2" t="s">
        <v>80</v>
      </c>
      <c r="D163" s="2" t="s">
        <v>600</v>
      </c>
      <c r="E163" s="3">
        <v>45368.729166666664</v>
      </c>
      <c r="F163" s="2" t="s">
        <v>601</v>
      </c>
      <c r="G163" s="2" t="s">
        <v>602</v>
      </c>
      <c r="H163" s="2">
        <v>20</v>
      </c>
      <c r="I163" s="2">
        <v>73</v>
      </c>
      <c r="J163" s="2">
        <v>1.85</v>
      </c>
      <c r="K163" s="2"/>
      <c r="L163" s="2"/>
      <c r="M163" s="2"/>
      <c r="N163" s="2" t="s">
        <v>95</v>
      </c>
      <c r="O163" s="14">
        <v>1</v>
      </c>
      <c r="P163" s="14">
        <v>0</v>
      </c>
      <c r="Q163" s="183">
        <v>2</v>
      </c>
      <c r="R163" s="187">
        <v>0</v>
      </c>
      <c r="S163" s="178">
        <f t="shared" si="25"/>
        <v>1</v>
      </c>
      <c r="T163" s="186">
        <f t="shared" si="26"/>
        <v>2</v>
      </c>
      <c r="U163" s="179">
        <f t="shared" si="27"/>
        <v>1</v>
      </c>
      <c r="V163" s="1">
        <f t="shared" si="29"/>
        <v>25</v>
      </c>
      <c r="W163" s="8">
        <f t="shared" si="28"/>
        <v>6.25</v>
      </c>
      <c r="X163" s="15">
        <f t="shared" si="30"/>
        <v>887.5</v>
      </c>
    </row>
    <row r="164" spans="1:24">
      <c r="A164" t="s">
        <v>930</v>
      </c>
      <c r="B164" s="163" t="s">
        <v>515</v>
      </c>
      <c r="C164" s="2" t="s">
        <v>119</v>
      </c>
      <c r="D164" s="2" t="s">
        <v>166</v>
      </c>
      <c r="E164" s="154">
        <v>45396.635416666664</v>
      </c>
      <c r="F164" s="155" t="s">
        <v>603</v>
      </c>
      <c r="G164" s="2" t="s">
        <v>719</v>
      </c>
      <c r="H164" s="2">
        <v>20</v>
      </c>
      <c r="I164" s="2">
        <v>70</v>
      </c>
      <c r="J164" s="2">
        <v>1.65</v>
      </c>
      <c r="K164" s="2"/>
      <c r="L164" s="2"/>
      <c r="M164" s="2"/>
      <c r="N164" s="2" t="s">
        <v>95</v>
      </c>
      <c r="O164" s="14">
        <v>0</v>
      </c>
      <c r="P164" s="14">
        <v>0</v>
      </c>
      <c r="Q164" s="183">
        <v>0</v>
      </c>
      <c r="R164" s="187">
        <v>2</v>
      </c>
      <c r="S164" s="178">
        <f t="shared" si="25"/>
        <v>0</v>
      </c>
      <c r="T164" s="186">
        <f t="shared" si="26"/>
        <v>2</v>
      </c>
      <c r="U164" s="179">
        <f t="shared" si="27"/>
        <v>2</v>
      </c>
      <c r="V164" s="1">
        <f t="shared" si="29"/>
        <v>25</v>
      </c>
      <c r="W164" s="8">
        <f t="shared" si="28"/>
        <v>6.25</v>
      </c>
      <c r="X164" s="15">
        <f t="shared" si="30"/>
        <v>893.75</v>
      </c>
    </row>
    <row r="165" spans="1:24">
      <c r="A165" t="s">
        <v>930</v>
      </c>
      <c r="B165" s="163" t="s">
        <v>515</v>
      </c>
      <c r="C165" s="2" t="s">
        <v>6</v>
      </c>
      <c r="D165" s="2" t="s">
        <v>62</v>
      </c>
      <c r="E165" s="3">
        <v>45406.833333333336</v>
      </c>
      <c r="F165" s="2" t="s">
        <v>71</v>
      </c>
      <c r="G165" s="2" t="s">
        <v>285</v>
      </c>
      <c r="H165" s="2">
        <v>20</v>
      </c>
      <c r="I165" s="2">
        <v>71</v>
      </c>
      <c r="J165" s="2">
        <v>2</v>
      </c>
      <c r="K165" s="2"/>
      <c r="L165" s="2"/>
      <c r="M165" s="2"/>
      <c r="N165" s="2" t="s">
        <v>95</v>
      </c>
      <c r="O165" s="14">
        <v>1</v>
      </c>
      <c r="P165" s="14">
        <v>0</v>
      </c>
      <c r="Q165" s="183">
        <v>2</v>
      </c>
      <c r="R165" s="187">
        <v>0</v>
      </c>
      <c r="S165" s="178">
        <f t="shared" si="25"/>
        <v>1</v>
      </c>
      <c r="T165" s="186">
        <f t="shared" si="26"/>
        <v>2</v>
      </c>
      <c r="U165" s="179">
        <f t="shared" si="27"/>
        <v>1</v>
      </c>
      <c r="V165" s="1">
        <f t="shared" si="29"/>
        <v>25</v>
      </c>
      <c r="W165" s="8">
        <f t="shared" si="28"/>
        <v>6.25</v>
      </c>
      <c r="X165" s="15">
        <f t="shared" si="30"/>
        <v>900</v>
      </c>
    </row>
    <row r="166" spans="1:24">
      <c r="A166" t="s">
        <v>930</v>
      </c>
      <c r="B166" s="163" t="s">
        <v>515</v>
      </c>
      <c r="C166" s="2" t="s">
        <v>119</v>
      </c>
      <c r="D166" s="2" t="s">
        <v>166</v>
      </c>
      <c r="E166" s="3">
        <v>45408.8125</v>
      </c>
      <c r="F166" s="2" t="s">
        <v>603</v>
      </c>
      <c r="G166" s="2" t="s">
        <v>560</v>
      </c>
      <c r="H166" s="2">
        <v>20</v>
      </c>
      <c r="I166" s="2">
        <v>73</v>
      </c>
      <c r="J166" s="2">
        <v>1.85</v>
      </c>
      <c r="K166" s="2"/>
      <c r="L166" s="2"/>
      <c r="M166" s="2"/>
      <c r="N166" s="2" t="s">
        <v>95</v>
      </c>
      <c r="O166" s="14">
        <v>1</v>
      </c>
      <c r="P166" s="14">
        <v>0</v>
      </c>
      <c r="Q166" s="183">
        <v>1</v>
      </c>
      <c r="R166" s="187">
        <v>1</v>
      </c>
      <c r="S166" s="178">
        <f t="shared" si="25"/>
        <v>1</v>
      </c>
      <c r="T166" s="186">
        <f t="shared" si="26"/>
        <v>2</v>
      </c>
      <c r="U166" s="179">
        <f t="shared" si="27"/>
        <v>1</v>
      </c>
      <c r="V166" s="1">
        <f t="shared" si="29"/>
        <v>25</v>
      </c>
      <c r="W166" s="8">
        <f t="shared" si="28"/>
        <v>6.25</v>
      </c>
      <c r="X166" s="15">
        <f t="shared" si="30"/>
        <v>906.25</v>
      </c>
    </row>
    <row r="167" spans="1:24">
      <c r="A167" t="s">
        <v>930</v>
      </c>
      <c r="B167" s="163" t="s">
        <v>515</v>
      </c>
      <c r="C167" s="2" t="s">
        <v>534</v>
      </c>
      <c r="D167" s="2" t="s">
        <v>535</v>
      </c>
      <c r="E167" s="3">
        <v>45412.479166666664</v>
      </c>
      <c r="F167" s="2" t="s">
        <v>536</v>
      </c>
      <c r="G167" s="2" t="s">
        <v>795</v>
      </c>
      <c r="H167" s="2">
        <v>20</v>
      </c>
      <c r="I167" s="2">
        <v>70</v>
      </c>
      <c r="J167" s="2">
        <v>2.15</v>
      </c>
      <c r="K167" s="2"/>
      <c r="L167" s="2"/>
      <c r="M167" s="2"/>
      <c r="N167" s="2" t="s">
        <v>95</v>
      </c>
      <c r="O167" s="14">
        <v>0</v>
      </c>
      <c r="P167" s="14">
        <v>1</v>
      </c>
      <c r="Q167" s="183">
        <v>0</v>
      </c>
      <c r="R167" s="187">
        <v>2</v>
      </c>
      <c r="S167" s="178">
        <f t="shared" si="25"/>
        <v>1</v>
      </c>
      <c r="T167" s="186">
        <f t="shared" si="26"/>
        <v>2</v>
      </c>
      <c r="U167" s="179">
        <f t="shared" si="27"/>
        <v>1</v>
      </c>
      <c r="V167" s="1">
        <f t="shared" si="29"/>
        <v>25</v>
      </c>
      <c r="W167" s="8">
        <f t="shared" si="28"/>
        <v>6.25</v>
      </c>
      <c r="X167" s="15">
        <f t="shared" si="30"/>
        <v>912.5</v>
      </c>
    </row>
    <row r="168" spans="1:24">
      <c r="A168" t="s">
        <v>930</v>
      </c>
      <c r="B168" s="163" t="s">
        <v>515</v>
      </c>
      <c r="C168" s="2" t="s">
        <v>626</v>
      </c>
      <c r="D168" s="2" t="s">
        <v>627</v>
      </c>
      <c r="E168" s="3">
        <v>45413.729166666664</v>
      </c>
      <c r="F168" s="2" t="s">
        <v>724</v>
      </c>
      <c r="G168" s="2" t="s">
        <v>629</v>
      </c>
      <c r="H168" s="2">
        <v>20</v>
      </c>
      <c r="I168" s="2">
        <v>72</v>
      </c>
      <c r="J168" s="2">
        <v>1.95</v>
      </c>
      <c r="K168" s="2"/>
      <c r="L168" s="2"/>
      <c r="M168" s="2"/>
      <c r="N168" s="2" t="s">
        <v>95</v>
      </c>
      <c r="O168" s="14">
        <v>1</v>
      </c>
      <c r="P168" s="14">
        <v>0</v>
      </c>
      <c r="Q168" s="183">
        <v>1</v>
      </c>
      <c r="R168" s="187">
        <v>1</v>
      </c>
      <c r="S168" s="178">
        <f t="shared" si="25"/>
        <v>1</v>
      </c>
      <c r="T168" s="186">
        <f t="shared" si="26"/>
        <v>2</v>
      </c>
      <c r="U168" s="179">
        <f t="shared" si="27"/>
        <v>1</v>
      </c>
      <c r="V168" s="1">
        <f t="shared" si="29"/>
        <v>25</v>
      </c>
      <c r="W168" s="8">
        <f t="shared" si="28"/>
        <v>6.25</v>
      </c>
      <c r="X168" s="15">
        <f t="shared" si="30"/>
        <v>918.75</v>
      </c>
    </row>
    <row r="169" spans="1:24">
      <c r="A169" t="s">
        <v>930</v>
      </c>
      <c r="B169" s="163" t="s">
        <v>515</v>
      </c>
      <c r="C169" s="2" t="s">
        <v>564</v>
      </c>
      <c r="D169" s="2" t="s">
        <v>565</v>
      </c>
      <c r="E169" s="3">
        <v>45418.822916666664</v>
      </c>
      <c r="F169" s="2" t="s">
        <v>743</v>
      </c>
      <c r="G169" s="2" t="s">
        <v>567</v>
      </c>
      <c r="H169" s="2">
        <v>20</v>
      </c>
      <c r="I169" s="2">
        <v>73</v>
      </c>
      <c r="J169" s="2">
        <v>1.9</v>
      </c>
      <c r="K169" s="2"/>
      <c r="L169" s="2"/>
      <c r="M169" s="2"/>
      <c r="N169" s="2" t="s">
        <v>95</v>
      </c>
      <c r="O169" s="14">
        <v>0</v>
      </c>
      <c r="P169" s="14">
        <v>0</v>
      </c>
      <c r="Q169" s="183">
        <v>1</v>
      </c>
      <c r="R169" s="187">
        <v>1</v>
      </c>
      <c r="S169" s="178">
        <f t="shared" si="25"/>
        <v>0</v>
      </c>
      <c r="T169" s="186">
        <f t="shared" si="26"/>
        <v>2</v>
      </c>
      <c r="U169" s="179">
        <f t="shared" si="27"/>
        <v>2</v>
      </c>
      <c r="V169" s="1">
        <f t="shared" si="29"/>
        <v>25</v>
      </c>
      <c r="W169" s="8">
        <f t="shared" si="28"/>
        <v>6.25</v>
      </c>
      <c r="X169" s="15">
        <f t="shared" si="30"/>
        <v>925</v>
      </c>
    </row>
    <row r="170" spans="1:24">
      <c r="A170" t="s">
        <v>930</v>
      </c>
      <c r="B170" s="163" t="s">
        <v>515</v>
      </c>
      <c r="C170" s="2" t="s">
        <v>149</v>
      </c>
      <c r="D170" s="2" t="s">
        <v>153</v>
      </c>
      <c r="E170" s="3">
        <v>45424.5625</v>
      </c>
      <c r="F170" s="2" t="s">
        <v>154</v>
      </c>
      <c r="G170" s="2" t="s">
        <v>205</v>
      </c>
      <c r="H170" s="2">
        <v>20</v>
      </c>
      <c r="I170" s="2">
        <v>75</v>
      </c>
      <c r="J170" s="2">
        <v>2.4500000000000002</v>
      </c>
      <c r="K170" s="2"/>
      <c r="L170" s="2"/>
      <c r="M170" s="2"/>
      <c r="N170" s="2" t="s">
        <v>95</v>
      </c>
      <c r="O170" s="14">
        <v>0</v>
      </c>
      <c r="P170" s="14">
        <v>0</v>
      </c>
      <c r="Q170" s="183">
        <v>1</v>
      </c>
      <c r="R170" s="187">
        <v>1</v>
      </c>
      <c r="S170" s="178">
        <f t="shared" si="25"/>
        <v>0</v>
      </c>
      <c r="T170" s="186">
        <f t="shared" si="26"/>
        <v>2</v>
      </c>
      <c r="U170" s="179">
        <f t="shared" si="27"/>
        <v>2</v>
      </c>
      <c r="V170" s="1">
        <f t="shared" si="29"/>
        <v>25</v>
      </c>
      <c r="W170" s="8">
        <f t="shared" si="28"/>
        <v>6.25</v>
      </c>
      <c r="X170" s="15">
        <f t="shared" si="30"/>
        <v>931.25</v>
      </c>
    </row>
    <row r="171" spans="1:24">
      <c r="A171" t="s">
        <v>930</v>
      </c>
      <c r="B171" s="163" t="s">
        <v>877</v>
      </c>
      <c r="C171" s="2" t="s">
        <v>878</v>
      </c>
      <c r="D171" s="2" t="s">
        <v>62</v>
      </c>
      <c r="E171" s="3">
        <v>45438.458333333336</v>
      </c>
      <c r="F171" s="2" t="s">
        <v>883</v>
      </c>
      <c r="G171" s="2" t="s">
        <v>884</v>
      </c>
      <c r="H171" s="2">
        <v>2.35</v>
      </c>
      <c r="I171" s="2">
        <v>95</v>
      </c>
      <c r="J171" s="2">
        <v>75</v>
      </c>
      <c r="K171" s="2">
        <v>62</v>
      </c>
      <c r="L171" s="2">
        <v>20</v>
      </c>
      <c r="M171" s="2"/>
      <c r="N171" s="2" t="s">
        <v>95</v>
      </c>
      <c r="O171" s="14">
        <v>0</v>
      </c>
      <c r="P171" s="14">
        <v>0</v>
      </c>
      <c r="Q171" s="183">
        <v>1</v>
      </c>
      <c r="R171" s="187">
        <v>1</v>
      </c>
      <c r="S171" s="178">
        <f t="shared" si="25"/>
        <v>0</v>
      </c>
      <c r="T171" s="186">
        <f t="shared" si="26"/>
        <v>2</v>
      </c>
      <c r="U171" s="179">
        <f t="shared" si="27"/>
        <v>2</v>
      </c>
      <c r="V171" s="1">
        <f t="shared" si="29"/>
        <v>25</v>
      </c>
      <c r="W171" s="8">
        <f t="shared" si="28"/>
        <v>6.25</v>
      </c>
      <c r="X171" s="15">
        <f t="shared" si="30"/>
        <v>937.5</v>
      </c>
    </row>
    <row r="172" spans="1:24">
      <c r="A172" t="s">
        <v>930</v>
      </c>
      <c r="B172" s="163" t="s">
        <v>10</v>
      </c>
      <c r="C172" s="2" t="s">
        <v>77</v>
      </c>
      <c r="D172" s="2" t="s">
        <v>251</v>
      </c>
      <c r="E172" s="3">
        <v>45311.541666666664</v>
      </c>
      <c r="F172" s="2" t="s">
        <v>258</v>
      </c>
      <c r="G172" s="2" t="s">
        <v>259</v>
      </c>
      <c r="H172" s="2">
        <v>1.78</v>
      </c>
      <c r="I172" s="2">
        <v>89</v>
      </c>
      <c r="J172" s="2">
        <v>61</v>
      </c>
      <c r="K172" s="2">
        <v>22</v>
      </c>
      <c r="L172" s="2">
        <v>64</v>
      </c>
      <c r="M172" s="2">
        <v>18</v>
      </c>
      <c r="N172" s="2" t="s">
        <v>95</v>
      </c>
      <c r="O172" s="14">
        <v>0</v>
      </c>
      <c r="P172" s="13">
        <v>0</v>
      </c>
      <c r="Q172" s="183">
        <v>2</v>
      </c>
      <c r="R172" s="181">
        <v>1</v>
      </c>
      <c r="S172" s="178">
        <f t="shared" si="25"/>
        <v>0</v>
      </c>
      <c r="T172" s="186">
        <f t="shared" si="26"/>
        <v>3</v>
      </c>
      <c r="U172" s="179">
        <f t="shared" si="27"/>
        <v>3</v>
      </c>
      <c r="V172" s="1">
        <f t="shared" si="29"/>
        <v>25</v>
      </c>
      <c r="W172" s="8">
        <f t="shared" si="28"/>
        <v>6.25</v>
      </c>
      <c r="X172" s="15">
        <f t="shared" si="30"/>
        <v>943.75</v>
      </c>
    </row>
    <row r="173" spans="1:24">
      <c r="A173" t="s">
        <v>930</v>
      </c>
      <c r="B173" s="163" t="s">
        <v>10</v>
      </c>
      <c r="C173" s="2" t="s">
        <v>67</v>
      </c>
      <c r="D173" s="2" t="s">
        <v>68</v>
      </c>
      <c r="E173" s="3">
        <v>45311.822916666664</v>
      </c>
      <c r="F173" s="2" t="s">
        <v>265</v>
      </c>
      <c r="G173" s="2" t="s">
        <v>266</v>
      </c>
      <c r="H173" s="2">
        <v>1.9</v>
      </c>
      <c r="I173" s="2">
        <v>85</v>
      </c>
      <c r="J173" s="2">
        <v>65</v>
      </c>
      <c r="K173" s="2">
        <v>25</v>
      </c>
      <c r="L173" s="2">
        <v>63</v>
      </c>
      <c r="M173" s="2">
        <v>20</v>
      </c>
      <c r="N173" s="2" t="s">
        <v>95</v>
      </c>
      <c r="O173" s="14">
        <v>1</v>
      </c>
      <c r="P173" s="13">
        <v>0</v>
      </c>
      <c r="Q173" s="183">
        <v>3</v>
      </c>
      <c r="R173" s="181">
        <v>0</v>
      </c>
      <c r="S173" s="178">
        <f t="shared" si="25"/>
        <v>1</v>
      </c>
      <c r="T173" s="186">
        <f t="shared" si="26"/>
        <v>3</v>
      </c>
      <c r="U173" s="179">
        <f t="shared" si="27"/>
        <v>2</v>
      </c>
      <c r="V173" s="1">
        <f t="shared" si="29"/>
        <v>25</v>
      </c>
      <c r="W173" s="8">
        <f t="shared" si="28"/>
        <v>6.25</v>
      </c>
      <c r="X173" s="15">
        <f t="shared" si="30"/>
        <v>950</v>
      </c>
    </row>
    <row r="174" spans="1:24">
      <c r="A174" t="s">
        <v>930</v>
      </c>
      <c r="B174" s="163" t="s">
        <v>10</v>
      </c>
      <c r="C174" s="7" t="s">
        <v>6</v>
      </c>
      <c r="D174" s="7" t="s">
        <v>7</v>
      </c>
      <c r="E174" s="24">
        <v>45318.625</v>
      </c>
      <c r="F174" s="7" t="s">
        <v>26</v>
      </c>
      <c r="G174" s="7" t="s">
        <v>307</v>
      </c>
      <c r="H174" s="7">
        <v>1.95</v>
      </c>
      <c r="I174" s="7">
        <v>90</v>
      </c>
      <c r="J174" s="7">
        <v>65</v>
      </c>
      <c r="K174" s="7">
        <v>25</v>
      </c>
      <c r="L174" s="7">
        <v>61</v>
      </c>
      <c r="M174" s="7">
        <v>20</v>
      </c>
      <c r="N174" s="2" t="s">
        <v>95</v>
      </c>
      <c r="O174" s="14">
        <v>1</v>
      </c>
      <c r="P174" s="13">
        <v>0</v>
      </c>
      <c r="Q174" s="183">
        <v>2</v>
      </c>
      <c r="R174" s="181">
        <v>1</v>
      </c>
      <c r="S174" s="178">
        <f t="shared" si="25"/>
        <v>1</v>
      </c>
      <c r="T174" s="186">
        <f t="shared" si="26"/>
        <v>3</v>
      </c>
      <c r="U174" s="179">
        <f t="shared" si="27"/>
        <v>2</v>
      </c>
      <c r="V174" s="1">
        <f t="shared" si="29"/>
        <v>25</v>
      </c>
      <c r="W174" s="8">
        <f t="shared" si="28"/>
        <v>6.25</v>
      </c>
      <c r="X174" s="15">
        <f t="shared" si="30"/>
        <v>956.25</v>
      </c>
    </row>
    <row r="175" spans="1:24">
      <c r="A175" t="s">
        <v>930</v>
      </c>
      <c r="B175" s="163" t="s">
        <v>10</v>
      </c>
      <c r="C175" s="2" t="s">
        <v>6</v>
      </c>
      <c r="D175" s="2" t="s">
        <v>7</v>
      </c>
      <c r="E175" s="3">
        <v>45325.53125</v>
      </c>
      <c r="F175" s="2" t="s">
        <v>397</v>
      </c>
      <c r="G175" s="2" t="s">
        <v>163</v>
      </c>
      <c r="H175" s="2">
        <v>2.0499999999999998</v>
      </c>
      <c r="I175" s="2">
        <v>90</v>
      </c>
      <c r="J175" s="2">
        <v>65</v>
      </c>
      <c r="K175" s="2">
        <v>30</v>
      </c>
      <c r="L175" s="2">
        <v>62</v>
      </c>
      <c r="M175" s="2">
        <v>20</v>
      </c>
      <c r="N175" s="2" t="s">
        <v>95</v>
      </c>
      <c r="O175" s="14">
        <v>0</v>
      </c>
      <c r="P175" s="13">
        <v>0</v>
      </c>
      <c r="Q175" s="183">
        <v>2</v>
      </c>
      <c r="R175" s="181">
        <v>1</v>
      </c>
      <c r="S175" s="178">
        <f t="shared" si="25"/>
        <v>0</v>
      </c>
      <c r="T175" s="186">
        <f t="shared" si="26"/>
        <v>3</v>
      </c>
      <c r="U175" s="179">
        <f t="shared" si="27"/>
        <v>3</v>
      </c>
      <c r="V175" s="1">
        <f t="shared" si="29"/>
        <v>25</v>
      </c>
      <c r="W175" s="8">
        <f t="shared" si="28"/>
        <v>6.25</v>
      </c>
      <c r="X175" s="15">
        <f t="shared" si="30"/>
        <v>962.5</v>
      </c>
    </row>
    <row r="176" spans="1:24">
      <c r="A176" t="s">
        <v>930</v>
      </c>
      <c r="B176" s="163" t="s">
        <v>10</v>
      </c>
      <c r="C176" s="2" t="s">
        <v>13</v>
      </c>
      <c r="D176" s="2" t="s">
        <v>11</v>
      </c>
      <c r="E176" s="3">
        <v>45325.625</v>
      </c>
      <c r="F176" s="2" t="s">
        <v>400</v>
      </c>
      <c r="G176" s="2" t="s">
        <v>139</v>
      </c>
      <c r="H176" s="2">
        <v>2</v>
      </c>
      <c r="I176" s="2">
        <v>100</v>
      </c>
      <c r="J176" s="2">
        <v>75</v>
      </c>
      <c r="K176" s="2">
        <v>20</v>
      </c>
      <c r="L176" s="2">
        <v>62</v>
      </c>
      <c r="M176" s="2">
        <v>20</v>
      </c>
      <c r="N176" s="2" t="s">
        <v>95</v>
      </c>
      <c r="O176" s="14">
        <v>0</v>
      </c>
      <c r="P176" s="13">
        <v>1</v>
      </c>
      <c r="Q176" s="183">
        <v>0</v>
      </c>
      <c r="R176" s="181">
        <v>3</v>
      </c>
      <c r="S176" s="178">
        <f t="shared" si="25"/>
        <v>1</v>
      </c>
      <c r="T176" s="186">
        <f t="shared" si="26"/>
        <v>3</v>
      </c>
      <c r="U176" s="179">
        <f t="shared" si="27"/>
        <v>2</v>
      </c>
      <c r="V176" s="1">
        <f t="shared" si="29"/>
        <v>25</v>
      </c>
      <c r="W176" s="8">
        <f t="shared" si="28"/>
        <v>6.25</v>
      </c>
      <c r="X176" s="15">
        <f t="shared" si="30"/>
        <v>968.75</v>
      </c>
    </row>
    <row r="177" spans="1:24">
      <c r="A177" t="s">
        <v>930</v>
      </c>
      <c r="B177" s="163" t="s">
        <v>10</v>
      </c>
      <c r="C177" s="2" t="s">
        <v>6</v>
      </c>
      <c r="D177" s="2" t="s">
        <v>62</v>
      </c>
      <c r="E177" s="3">
        <v>45326.583333333336</v>
      </c>
      <c r="F177" s="2" t="s">
        <v>383</v>
      </c>
      <c r="G177" s="2" t="s">
        <v>74</v>
      </c>
      <c r="H177" s="2">
        <v>2</v>
      </c>
      <c r="I177" s="2">
        <v>95</v>
      </c>
      <c r="J177" s="2">
        <v>75</v>
      </c>
      <c r="K177" s="2">
        <v>25</v>
      </c>
      <c r="L177" s="2">
        <v>61</v>
      </c>
      <c r="M177" s="2">
        <v>20</v>
      </c>
      <c r="N177" s="2" t="s">
        <v>95</v>
      </c>
      <c r="O177" s="14">
        <v>1</v>
      </c>
      <c r="P177" s="13">
        <v>0</v>
      </c>
      <c r="Q177" s="183">
        <v>3</v>
      </c>
      <c r="R177" s="181">
        <v>0</v>
      </c>
      <c r="S177" s="178">
        <f t="shared" si="25"/>
        <v>1</v>
      </c>
      <c r="T177" s="186">
        <f t="shared" si="26"/>
        <v>3</v>
      </c>
      <c r="U177" s="179">
        <f t="shared" si="27"/>
        <v>2</v>
      </c>
      <c r="V177" s="1">
        <f t="shared" si="29"/>
        <v>25</v>
      </c>
      <c r="W177" s="8">
        <f t="shared" si="28"/>
        <v>6.25</v>
      </c>
      <c r="X177" s="15">
        <f t="shared" si="30"/>
        <v>975</v>
      </c>
    </row>
    <row r="178" spans="1:24">
      <c r="A178" t="s">
        <v>930</v>
      </c>
      <c r="B178" s="163" t="s">
        <v>10</v>
      </c>
      <c r="C178" s="2" t="s">
        <v>58</v>
      </c>
      <c r="D178" s="2" t="s">
        <v>59</v>
      </c>
      <c r="E178" s="3">
        <v>45326.75</v>
      </c>
      <c r="F178" s="2" t="s">
        <v>60</v>
      </c>
      <c r="G178" s="2" t="s">
        <v>107</v>
      </c>
      <c r="H178" s="2">
        <v>1.78</v>
      </c>
      <c r="I178" s="2">
        <v>100</v>
      </c>
      <c r="J178" s="2">
        <v>61</v>
      </c>
      <c r="K178" s="2">
        <v>17</v>
      </c>
      <c r="L178" s="2">
        <v>68</v>
      </c>
      <c r="M178" s="2">
        <v>18</v>
      </c>
      <c r="N178" s="2" t="s">
        <v>95</v>
      </c>
      <c r="O178" s="14">
        <v>2</v>
      </c>
      <c r="P178" s="13">
        <v>0</v>
      </c>
      <c r="Q178" s="183">
        <v>3</v>
      </c>
      <c r="R178" s="181">
        <v>0</v>
      </c>
      <c r="S178" s="178">
        <f t="shared" si="25"/>
        <v>2</v>
      </c>
      <c r="T178" s="186">
        <f t="shared" si="26"/>
        <v>3</v>
      </c>
      <c r="U178" s="179">
        <f t="shared" si="27"/>
        <v>1</v>
      </c>
      <c r="V178" s="1">
        <f t="shared" si="29"/>
        <v>25</v>
      </c>
      <c r="W178" s="8">
        <f t="shared" si="28"/>
        <v>6.25</v>
      </c>
      <c r="X178" s="15">
        <f t="shared" si="30"/>
        <v>981.25</v>
      </c>
    </row>
    <row r="179" spans="1:24">
      <c r="A179" t="s">
        <v>930</v>
      </c>
      <c r="B179" s="163" t="s">
        <v>10</v>
      </c>
      <c r="C179" s="2" t="s">
        <v>6</v>
      </c>
      <c r="D179" s="2" t="s">
        <v>62</v>
      </c>
      <c r="E179" s="3">
        <v>45333.6875</v>
      </c>
      <c r="F179" s="2" t="s">
        <v>102</v>
      </c>
      <c r="G179" s="2" t="s">
        <v>383</v>
      </c>
      <c r="H179" s="2">
        <v>2.0499999999999998</v>
      </c>
      <c r="I179" s="2">
        <v>85</v>
      </c>
      <c r="J179" s="2">
        <v>65</v>
      </c>
      <c r="K179" s="2">
        <v>30</v>
      </c>
      <c r="L179" s="2">
        <v>66</v>
      </c>
      <c r="M179" s="2">
        <v>20</v>
      </c>
      <c r="N179" s="2" t="s">
        <v>95</v>
      </c>
      <c r="O179" s="14">
        <v>0</v>
      </c>
      <c r="P179" s="13">
        <v>1</v>
      </c>
      <c r="Q179" s="183">
        <v>1</v>
      </c>
      <c r="R179" s="181">
        <v>2</v>
      </c>
      <c r="S179" s="178">
        <f t="shared" si="25"/>
        <v>1</v>
      </c>
      <c r="T179" s="186">
        <f t="shared" si="26"/>
        <v>3</v>
      </c>
      <c r="U179" s="179">
        <f t="shared" si="27"/>
        <v>2</v>
      </c>
      <c r="V179" s="1">
        <f t="shared" si="29"/>
        <v>25</v>
      </c>
      <c r="W179" s="8">
        <f t="shared" si="28"/>
        <v>6.25</v>
      </c>
      <c r="X179" s="15">
        <f t="shared" si="30"/>
        <v>987.5</v>
      </c>
    </row>
    <row r="180" spans="1:24">
      <c r="A180" t="s">
        <v>930</v>
      </c>
      <c r="B180" s="163" t="s">
        <v>10</v>
      </c>
      <c r="C180" s="2" t="s">
        <v>67</v>
      </c>
      <c r="D180" s="2" t="s">
        <v>68</v>
      </c>
      <c r="E180" s="3">
        <v>45338.822916666664</v>
      </c>
      <c r="F180" s="2" t="s">
        <v>266</v>
      </c>
      <c r="G180" s="2" t="s">
        <v>338</v>
      </c>
      <c r="H180" s="2">
        <v>1.8</v>
      </c>
      <c r="I180" s="2">
        <v>95</v>
      </c>
      <c r="J180" s="2">
        <v>70</v>
      </c>
      <c r="K180" s="2">
        <v>15</v>
      </c>
      <c r="L180" s="2">
        <v>69</v>
      </c>
      <c r="M180" s="2">
        <v>20</v>
      </c>
      <c r="N180" s="2" t="s">
        <v>95</v>
      </c>
      <c r="O180" s="14">
        <v>1</v>
      </c>
      <c r="P180" s="14">
        <v>1</v>
      </c>
      <c r="Q180" s="183">
        <v>2</v>
      </c>
      <c r="R180" s="181">
        <v>1</v>
      </c>
      <c r="S180" s="178">
        <f t="shared" si="25"/>
        <v>2</v>
      </c>
      <c r="T180" s="186">
        <f t="shared" si="26"/>
        <v>3</v>
      </c>
      <c r="U180" s="179">
        <f t="shared" si="27"/>
        <v>1</v>
      </c>
      <c r="V180" s="1">
        <f t="shared" si="29"/>
        <v>25</v>
      </c>
      <c r="W180" s="8">
        <f t="shared" si="28"/>
        <v>6.25</v>
      </c>
      <c r="X180" s="15">
        <f t="shared" si="30"/>
        <v>993.75</v>
      </c>
    </row>
    <row r="181" spans="1:24">
      <c r="A181" t="s">
        <v>930</v>
      </c>
      <c r="B181" s="163" t="s">
        <v>10</v>
      </c>
      <c r="C181" s="2" t="s">
        <v>13</v>
      </c>
      <c r="D181" s="2" t="s">
        <v>37</v>
      </c>
      <c r="E181" s="3">
        <v>45339.625</v>
      </c>
      <c r="F181" s="2" t="s">
        <v>306</v>
      </c>
      <c r="G181" s="2" t="s">
        <v>323</v>
      </c>
      <c r="H181" s="2">
        <v>2.1</v>
      </c>
      <c r="I181" s="2">
        <v>85</v>
      </c>
      <c r="J181" s="2">
        <v>65</v>
      </c>
      <c r="K181" s="2">
        <v>30</v>
      </c>
      <c r="L181" s="2">
        <v>65</v>
      </c>
      <c r="M181" s="2">
        <v>20</v>
      </c>
      <c r="N181" s="2" t="s">
        <v>95</v>
      </c>
      <c r="O181" s="14">
        <v>1</v>
      </c>
      <c r="P181" s="14">
        <v>0</v>
      </c>
      <c r="Q181" s="183">
        <v>2</v>
      </c>
      <c r="R181" s="181">
        <v>1</v>
      </c>
      <c r="S181" s="178">
        <f t="shared" si="25"/>
        <v>1</v>
      </c>
      <c r="T181" s="186">
        <f t="shared" si="26"/>
        <v>3</v>
      </c>
      <c r="U181" s="179">
        <f t="shared" si="27"/>
        <v>2</v>
      </c>
      <c r="V181" s="1">
        <f t="shared" si="29"/>
        <v>25</v>
      </c>
      <c r="W181" s="8">
        <f t="shared" si="28"/>
        <v>6.25</v>
      </c>
      <c r="X181" s="15">
        <f t="shared" si="30"/>
        <v>1000</v>
      </c>
    </row>
    <row r="182" spans="1:24">
      <c r="A182" t="s">
        <v>930</v>
      </c>
      <c r="B182" s="163" t="s">
        <v>10</v>
      </c>
      <c r="C182" s="2" t="s">
        <v>20</v>
      </c>
      <c r="D182" s="2" t="s">
        <v>21</v>
      </c>
      <c r="E182" s="3">
        <v>45340.708333333336</v>
      </c>
      <c r="F182" s="2" t="s">
        <v>402</v>
      </c>
      <c r="G182" s="2" t="s">
        <v>380</v>
      </c>
      <c r="H182" s="2">
        <v>1.95</v>
      </c>
      <c r="I182" s="2">
        <v>90</v>
      </c>
      <c r="J182" s="2">
        <v>65</v>
      </c>
      <c r="K182" s="2">
        <v>40</v>
      </c>
      <c r="L182" s="2">
        <v>64</v>
      </c>
      <c r="M182" s="2">
        <v>20</v>
      </c>
      <c r="N182" s="2" t="s">
        <v>95</v>
      </c>
      <c r="O182" s="14">
        <v>0</v>
      </c>
      <c r="P182" s="14">
        <v>1</v>
      </c>
      <c r="Q182" s="183">
        <v>0</v>
      </c>
      <c r="R182" s="181">
        <v>3</v>
      </c>
      <c r="S182" s="178">
        <f t="shared" si="25"/>
        <v>1</v>
      </c>
      <c r="T182" s="186">
        <f t="shared" si="26"/>
        <v>3</v>
      </c>
      <c r="U182" s="179">
        <f t="shared" si="27"/>
        <v>2</v>
      </c>
      <c r="V182" s="1">
        <f t="shared" si="29"/>
        <v>25</v>
      </c>
      <c r="W182" s="8">
        <f t="shared" si="28"/>
        <v>6.25</v>
      </c>
      <c r="X182" s="15">
        <f t="shared" si="30"/>
        <v>1006.25</v>
      </c>
    </row>
    <row r="183" spans="1:24">
      <c r="A183" t="s">
        <v>930</v>
      </c>
      <c r="B183" s="163" t="s">
        <v>10</v>
      </c>
      <c r="C183" s="2" t="s">
        <v>6</v>
      </c>
      <c r="D183" s="2" t="s">
        <v>11</v>
      </c>
      <c r="E183" s="3">
        <v>45349.822916666664</v>
      </c>
      <c r="F183" s="2" t="s">
        <v>231</v>
      </c>
      <c r="G183" s="2" t="s">
        <v>162</v>
      </c>
      <c r="H183" s="2">
        <v>2.25</v>
      </c>
      <c r="I183" s="2">
        <v>100</v>
      </c>
      <c r="J183" s="2">
        <v>75</v>
      </c>
      <c r="K183" s="2">
        <v>40</v>
      </c>
      <c r="L183" s="2">
        <v>62</v>
      </c>
      <c r="M183" s="2">
        <v>20</v>
      </c>
      <c r="N183" s="2" t="s">
        <v>95</v>
      </c>
      <c r="O183" s="14">
        <v>1</v>
      </c>
      <c r="P183" s="14">
        <v>0</v>
      </c>
      <c r="Q183" s="183">
        <v>1</v>
      </c>
      <c r="R183" s="181">
        <v>2</v>
      </c>
      <c r="S183" s="178">
        <f t="shared" si="25"/>
        <v>1</v>
      </c>
      <c r="T183" s="186">
        <f t="shared" si="26"/>
        <v>3</v>
      </c>
      <c r="U183" s="179">
        <f t="shared" si="27"/>
        <v>2</v>
      </c>
      <c r="V183" s="1">
        <f t="shared" si="29"/>
        <v>25</v>
      </c>
      <c r="W183" s="8">
        <f t="shared" si="28"/>
        <v>6.25</v>
      </c>
      <c r="X183" s="15">
        <f t="shared" si="30"/>
        <v>1012.5</v>
      </c>
    </row>
    <row r="184" spans="1:24">
      <c r="A184" t="s">
        <v>930</v>
      </c>
      <c r="B184" s="163" t="s">
        <v>10</v>
      </c>
      <c r="C184" s="2" t="s">
        <v>67</v>
      </c>
      <c r="D184" s="2" t="s">
        <v>68</v>
      </c>
      <c r="E184" s="3">
        <v>45354.520833333336</v>
      </c>
      <c r="F184" s="2" t="s">
        <v>343</v>
      </c>
      <c r="G184" s="2" t="s">
        <v>265</v>
      </c>
      <c r="H184" s="2">
        <v>1.85</v>
      </c>
      <c r="I184" s="2">
        <v>85</v>
      </c>
      <c r="J184" s="2">
        <v>65</v>
      </c>
      <c r="K184" s="2">
        <v>30</v>
      </c>
      <c r="L184" s="2">
        <v>64</v>
      </c>
      <c r="M184" s="2">
        <v>20</v>
      </c>
      <c r="N184" s="2" t="s">
        <v>95</v>
      </c>
      <c r="O184" s="14">
        <v>0</v>
      </c>
      <c r="P184" s="14">
        <v>1</v>
      </c>
      <c r="Q184" s="183">
        <v>0</v>
      </c>
      <c r="R184" s="181">
        <v>3</v>
      </c>
      <c r="S184" s="178">
        <f t="shared" si="25"/>
        <v>1</v>
      </c>
      <c r="T184" s="186">
        <f t="shared" si="26"/>
        <v>3</v>
      </c>
      <c r="U184" s="179">
        <f t="shared" si="27"/>
        <v>2</v>
      </c>
      <c r="V184" s="1">
        <f t="shared" si="29"/>
        <v>25</v>
      </c>
      <c r="W184" s="8">
        <f t="shared" si="28"/>
        <v>6.25</v>
      </c>
      <c r="X184" s="15">
        <f t="shared" si="30"/>
        <v>1018.75</v>
      </c>
    </row>
    <row r="185" spans="1:24">
      <c r="A185" t="s">
        <v>930</v>
      </c>
      <c r="B185" s="163" t="s">
        <v>10</v>
      </c>
      <c r="C185" s="2" t="s">
        <v>67</v>
      </c>
      <c r="D185" s="2" t="s">
        <v>68</v>
      </c>
      <c r="E185" s="3">
        <v>45354.625</v>
      </c>
      <c r="F185" s="2" t="s">
        <v>371</v>
      </c>
      <c r="G185" s="2" t="s">
        <v>342</v>
      </c>
      <c r="H185" s="2">
        <v>1.9</v>
      </c>
      <c r="I185" s="2">
        <v>85</v>
      </c>
      <c r="J185" s="2">
        <v>65</v>
      </c>
      <c r="K185" s="2">
        <v>35</v>
      </c>
      <c r="L185" s="2">
        <v>67</v>
      </c>
      <c r="M185" s="2">
        <v>20</v>
      </c>
      <c r="N185" s="2" t="s">
        <v>95</v>
      </c>
      <c r="O185" s="14">
        <v>0</v>
      </c>
      <c r="P185" s="14">
        <v>0</v>
      </c>
      <c r="Q185" s="183">
        <v>3</v>
      </c>
      <c r="R185" s="181">
        <v>0</v>
      </c>
      <c r="S185" s="178">
        <f t="shared" si="25"/>
        <v>0</v>
      </c>
      <c r="T185" s="186">
        <f t="shared" si="26"/>
        <v>3</v>
      </c>
      <c r="U185" s="179">
        <f t="shared" si="27"/>
        <v>3</v>
      </c>
      <c r="V185" s="1">
        <f t="shared" si="29"/>
        <v>25</v>
      </c>
      <c r="W185" s="8">
        <f t="shared" si="28"/>
        <v>6.25</v>
      </c>
      <c r="X185" s="15">
        <f t="shared" si="30"/>
        <v>1025</v>
      </c>
    </row>
    <row r="186" spans="1:24">
      <c r="A186" t="s">
        <v>930</v>
      </c>
      <c r="B186" s="163" t="s">
        <v>10</v>
      </c>
      <c r="C186" s="2" t="s">
        <v>145</v>
      </c>
      <c r="D186" s="2" t="s">
        <v>190</v>
      </c>
      <c r="E186" s="3">
        <v>45354.670138888891</v>
      </c>
      <c r="F186" s="2" t="s">
        <v>339</v>
      </c>
      <c r="G186" s="2" t="s">
        <v>227</v>
      </c>
      <c r="H186" s="2">
        <v>2</v>
      </c>
      <c r="I186" s="2">
        <v>95</v>
      </c>
      <c r="J186" s="2">
        <v>65</v>
      </c>
      <c r="K186" s="2">
        <v>25</v>
      </c>
      <c r="L186" s="2">
        <v>62</v>
      </c>
      <c r="M186" s="2">
        <v>20</v>
      </c>
      <c r="N186" s="2" t="s">
        <v>95</v>
      </c>
      <c r="O186" s="14">
        <v>0</v>
      </c>
      <c r="P186" s="14">
        <v>0</v>
      </c>
      <c r="Q186" s="183">
        <v>1</v>
      </c>
      <c r="R186" s="181">
        <v>2</v>
      </c>
      <c r="S186" s="178">
        <f t="shared" si="25"/>
        <v>0</v>
      </c>
      <c r="T186" s="186">
        <f t="shared" si="26"/>
        <v>3</v>
      </c>
      <c r="U186" s="179">
        <f t="shared" si="27"/>
        <v>3</v>
      </c>
      <c r="V186" s="1">
        <f t="shared" si="29"/>
        <v>25</v>
      </c>
      <c r="W186" s="8">
        <f t="shared" si="28"/>
        <v>6.25</v>
      </c>
      <c r="X186" s="15">
        <f t="shared" si="30"/>
        <v>1031.25</v>
      </c>
    </row>
    <row r="187" spans="1:24">
      <c r="A187" t="s">
        <v>930</v>
      </c>
      <c r="B187" s="163" t="s">
        <v>10</v>
      </c>
      <c r="C187" s="2" t="s">
        <v>13</v>
      </c>
      <c r="D187" s="2" t="s">
        <v>11</v>
      </c>
      <c r="E187" s="3">
        <v>45360.625</v>
      </c>
      <c r="F187" s="2" t="s">
        <v>542</v>
      </c>
      <c r="G187" s="2" t="s">
        <v>139</v>
      </c>
      <c r="H187" s="2">
        <v>2.4</v>
      </c>
      <c r="I187" s="2">
        <v>95</v>
      </c>
      <c r="J187" s="2">
        <v>85</v>
      </c>
      <c r="K187" s="2">
        <v>35</v>
      </c>
      <c r="L187" s="2">
        <v>60</v>
      </c>
      <c r="M187" s="2"/>
      <c r="N187" s="2" t="s">
        <v>95</v>
      </c>
      <c r="O187" s="14">
        <v>1</v>
      </c>
      <c r="P187" s="14">
        <v>0</v>
      </c>
      <c r="Q187" s="183">
        <v>3</v>
      </c>
      <c r="R187" s="181">
        <v>0</v>
      </c>
      <c r="S187" s="178">
        <f t="shared" si="25"/>
        <v>1</v>
      </c>
      <c r="T187" s="186">
        <f t="shared" si="26"/>
        <v>3</v>
      </c>
      <c r="U187" s="179">
        <f t="shared" si="27"/>
        <v>2</v>
      </c>
      <c r="V187" s="1">
        <f t="shared" si="29"/>
        <v>25</v>
      </c>
      <c r="W187" s="8">
        <f t="shared" si="28"/>
        <v>6.25</v>
      </c>
      <c r="X187" s="15">
        <f t="shared" si="30"/>
        <v>1037.5</v>
      </c>
    </row>
    <row r="188" spans="1:24">
      <c r="A188" t="s">
        <v>930</v>
      </c>
      <c r="B188" s="163" t="s">
        <v>10</v>
      </c>
      <c r="C188" s="2" t="s">
        <v>58</v>
      </c>
      <c r="D188" s="2" t="s">
        <v>59</v>
      </c>
      <c r="E188" s="3">
        <v>45361.75</v>
      </c>
      <c r="F188" s="2" t="s">
        <v>76</v>
      </c>
      <c r="G188" s="2" t="s">
        <v>125</v>
      </c>
      <c r="H188" s="2">
        <v>1.85</v>
      </c>
      <c r="I188" s="2">
        <v>85</v>
      </c>
      <c r="J188" s="2">
        <v>70</v>
      </c>
      <c r="K188" s="2">
        <v>20</v>
      </c>
      <c r="L188" s="2">
        <v>63</v>
      </c>
      <c r="M188" s="2">
        <v>20</v>
      </c>
      <c r="N188" s="2" t="s">
        <v>95</v>
      </c>
      <c r="O188" s="14">
        <v>0</v>
      </c>
      <c r="P188" s="14">
        <v>1</v>
      </c>
      <c r="Q188" s="183">
        <v>0</v>
      </c>
      <c r="R188" s="181">
        <v>3</v>
      </c>
      <c r="S188" s="178">
        <f t="shared" si="25"/>
        <v>1</v>
      </c>
      <c r="T188" s="186">
        <f t="shared" si="26"/>
        <v>3</v>
      </c>
      <c r="U188" s="179">
        <f t="shared" si="27"/>
        <v>2</v>
      </c>
      <c r="V188" s="1">
        <f t="shared" si="29"/>
        <v>25</v>
      </c>
      <c r="W188" s="8">
        <f t="shared" si="28"/>
        <v>6.25</v>
      </c>
      <c r="X188" s="15">
        <f t="shared" si="30"/>
        <v>1043.75</v>
      </c>
    </row>
    <row r="189" spans="1:24">
      <c r="A189" t="s">
        <v>930</v>
      </c>
      <c r="B189" s="163" t="s">
        <v>10</v>
      </c>
      <c r="C189" s="2" t="s">
        <v>6</v>
      </c>
      <c r="D189" s="2" t="s">
        <v>7</v>
      </c>
      <c r="E189" s="3">
        <v>45363.822916666664</v>
      </c>
      <c r="F189" s="2" t="s">
        <v>240</v>
      </c>
      <c r="G189" s="2" t="s">
        <v>307</v>
      </c>
      <c r="H189" s="2">
        <v>1.8</v>
      </c>
      <c r="I189" s="2">
        <v>90</v>
      </c>
      <c r="J189" s="2">
        <v>70</v>
      </c>
      <c r="K189" s="2">
        <v>20</v>
      </c>
      <c r="L189" s="2">
        <v>61</v>
      </c>
      <c r="M189" s="2">
        <v>20</v>
      </c>
      <c r="N189" s="2" t="s">
        <v>95</v>
      </c>
      <c r="O189" s="14">
        <v>1</v>
      </c>
      <c r="P189" s="14">
        <v>1</v>
      </c>
      <c r="Q189" s="183">
        <v>2</v>
      </c>
      <c r="R189" s="181">
        <v>1</v>
      </c>
      <c r="S189" s="178">
        <f t="shared" si="25"/>
        <v>2</v>
      </c>
      <c r="T189" s="186">
        <f t="shared" si="26"/>
        <v>3</v>
      </c>
      <c r="U189" s="179">
        <f t="shared" si="27"/>
        <v>1</v>
      </c>
      <c r="V189" s="1">
        <f t="shared" si="29"/>
        <v>25</v>
      </c>
      <c r="W189" s="8">
        <f t="shared" si="28"/>
        <v>6.25</v>
      </c>
      <c r="X189" s="15">
        <f t="shared" ref="X189:X240" si="31">SUM(X188,W189)</f>
        <v>1050</v>
      </c>
    </row>
    <row r="190" spans="1:24">
      <c r="A190" t="s">
        <v>930</v>
      </c>
      <c r="B190" s="163" t="s">
        <v>10</v>
      </c>
      <c r="C190" s="2" t="s">
        <v>77</v>
      </c>
      <c r="D190" s="2" t="s">
        <v>251</v>
      </c>
      <c r="E190" s="3">
        <v>45367.541666666664</v>
      </c>
      <c r="F190" s="2" t="s">
        <v>605</v>
      </c>
      <c r="G190" s="2" t="s">
        <v>295</v>
      </c>
      <c r="H190" s="2">
        <v>1.75</v>
      </c>
      <c r="I190" s="2">
        <v>85</v>
      </c>
      <c r="J190" s="2">
        <v>65</v>
      </c>
      <c r="K190" s="2">
        <v>20</v>
      </c>
      <c r="L190" s="2">
        <v>63</v>
      </c>
      <c r="M190" s="2">
        <v>20</v>
      </c>
      <c r="N190" s="2" t="s">
        <v>95</v>
      </c>
      <c r="O190" s="14">
        <v>0</v>
      </c>
      <c r="P190" s="14">
        <v>1</v>
      </c>
      <c r="Q190" s="183">
        <v>2</v>
      </c>
      <c r="R190" s="181">
        <v>1</v>
      </c>
      <c r="S190" s="178">
        <f t="shared" si="25"/>
        <v>1</v>
      </c>
      <c r="T190" s="186">
        <f t="shared" si="26"/>
        <v>3</v>
      </c>
      <c r="U190" s="179">
        <f t="shared" si="27"/>
        <v>2</v>
      </c>
      <c r="V190" s="1">
        <f t="shared" si="29"/>
        <v>25</v>
      </c>
      <c r="W190" s="8">
        <f t="shared" si="28"/>
        <v>6.25</v>
      </c>
      <c r="X190" s="15">
        <f t="shared" si="31"/>
        <v>1056.25</v>
      </c>
    </row>
    <row r="191" spans="1:24">
      <c r="A191" t="s">
        <v>930</v>
      </c>
      <c r="B191" s="163" t="s">
        <v>10</v>
      </c>
      <c r="C191" s="2" t="s">
        <v>58</v>
      </c>
      <c r="D191" s="2" t="s">
        <v>59</v>
      </c>
      <c r="E191" s="3">
        <v>45367.75</v>
      </c>
      <c r="F191" s="2" t="s">
        <v>112</v>
      </c>
      <c r="G191" s="2" t="s">
        <v>107</v>
      </c>
      <c r="H191" s="2">
        <v>1.95</v>
      </c>
      <c r="I191" s="2">
        <v>85</v>
      </c>
      <c r="J191" s="2">
        <v>65</v>
      </c>
      <c r="K191" s="2">
        <v>25</v>
      </c>
      <c r="L191" s="2">
        <v>62</v>
      </c>
      <c r="M191" s="2">
        <v>20</v>
      </c>
      <c r="N191" s="1" t="s">
        <v>95</v>
      </c>
      <c r="O191" s="14">
        <v>1</v>
      </c>
      <c r="P191" s="14">
        <v>0</v>
      </c>
      <c r="Q191" s="183">
        <v>2</v>
      </c>
      <c r="R191" s="181">
        <v>1</v>
      </c>
      <c r="S191" s="178">
        <f t="shared" si="25"/>
        <v>1</v>
      </c>
      <c r="T191" s="186">
        <f t="shared" si="26"/>
        <v>3</v>
      </c>
      <c r="U191" s="179">
        <f t="shared" si="27"/>
        <v>2</v>
      </c>
      <c r="V191" s="1">
        <f t="shared" si="29"/>
        <v>25</v>
      </c>
      <c r="W191" s="8">
        <f t="shared" si="28"/>
        <v>6.25</v>
      </c>
      <c r="X191" s="15">
        <f t="shared" si="31"/>
        <v>1062.5</v>
      </c>
    </row>
    <row r="192" spans="1:24">
      <c r="A192" t="s">
        <v>930</v>
      </c>
      <c r="B192" s="163" t="s">
        <v>792</v>
      </c>
      <c r="C192" s="2" t="s">
        <v>149</v>
      </c>
      <c r="D192" s="2" t="s">
        <v>153</v>
      </c>
      <c r="E192" s="3">
        <v>45410.46875</v>
      </c>
      <c r="F192" s="2" t="s">
        <v>241</v>
      </c>
      <c r="G192" s="2" t="s">
        <v>245</v>
      </c>
      <c r="H192" s="2">
        <v>1.9</v>
      </c>
      <c r="I192" s="2">
        <v>85</v>
      </c>
      <c r="J192" s="2">
        <v>65</v>
      </c>
      <c r="K192" s="2">
        <v>58</v>
      </c>
      <c r="L192" s="2">
        <v>20</v>
      </c>
      <c r="M192" s="2"/>
      <c r="N192" s="1" t="s">
        <v>95</v>
      </c>
      <c r="O192" s="14">
        <v>0</v>
      </c>
      <c r="P192" s="14">
        <v>1</v>
      </c>
      <c r="Q192" s="183">
        <v>0</v>
      </c>
      <c r="R192" s="181">
        <v>3</v>
      </c>
      <c r="S192" s="178">
        <f t="shared" si="25"/>
        <v>1</v>
      </c>
      <c r="T192" s="186">
        <f t="shared" si="26"/>
        <v>3</v>
      </c>
      <c r="U192" s="179">
        <f t="shared" si="27"/>
        <v>2</v>
      </c>
      <c r="V192" s="1">
        <f t="shared" si="29"/>
        <v>25</v>
      </c>
      <c r="W192" s="8">
        <f t="shared" si="28"/>
        <v>6.25</v>
      </c>
      <c r="X192" s="15">
        <f t="shared" si="31"/>
        <v>1068.75</v>
      </c>
    </row>
    <row r="193" spans="1:24">
      <c r="A193" t="s">
        <v>930</v>
      </c>
      <c r="B193" s="163" t="s">
        <v>792</v>
      </c>
      <c r="C193" s="2" t="s">
        <v>13</v>
      </c>
      <c r="D193" s="2" t="s">
        <v>37</v>
      </c>
      <c r="E193" s="3">
        <v>45410.625</v>
      </c>
      <c r="F193" s="2" t="s">
        <v>306</v>
      </c>
      <c r="G193" s="2" t="s">
        <v>99</v>
      </c>
      <c r="H193" s="2">
        <v>2.25</v>
      </c>
      <c r="I193" s="2">
        <v>95</v>
      </c>
      <c r="J193" s="2">
        <v>75</v>
      </c>
      <c r="K193" s="2">
        <v>60</v>
      </c>
      <c r="L193" s="2">
        <v>20</v>
      </c>
      <c r="M193" s="2"/>
      <c r="N193" s="1" t="s">
        <v>95</v>
      </c>
      <c r="O193" s="14">
        <v>0</v>
      </c>
      <c r="P193" s="14">
        <v>1</v>
      </c>
      <c r="Q193" s="183">
        <v>1</v>
      </c>
      <c r="R193" s="181">
        <v>2</v>
      </c>
      <c r="S193" s="178">
        <f t="shared" ref="S193:S256" si="32">SUM(O193:P193)</f>
        <v>1</v>
      </c>
      <c r="T193" s="186">
        <f t="shared" ref="T193:T256" si="33">SUM(Q193:R193)</f>
        <v>3</v>
      </c>
      <c r="U193" s="179">
        <f t="shared" ref="U193:U256" si="34">SUM(T193-S193)</f>
        <v>2</v>
      </c>
      <c r="V193" s="1">
        <f t="shared" ref="V193:V246" si="35">SUM($X$1*0.05)</f>
        <v>25</v>
      </c>
      <c r="W193" s="8">
        <f t="shared" si="28"/>
        <v>6.25</v>
      </c>
      <c r="X193" s="15">
        <f t="shared" si="31"/>
        <v>1075</v>
      </c>
    </row>
    <row r="194" spans="1:24">
      <c r="A194" t="s">
        <v>930</v>
      </c>
      <c r="B194" s="163" t="s">
        <v>792</v>
      </c>
      <c r="C194" s="2" t="s">
        <v>149</v>
      </c>
      <c r="D194" s="2" t="s">
        <v>150</v>
      </c>
      <c r="E194" s="3">
        <v>45415.791666666664</v>
      </c>
      <c r="F194" s="2" t="s">
        <v>332</v>
      </c>
      <c r="G194" s="2" t="s">
        <v>329</v>
      </c>
      <c r="H194" s="2">
        <v>1.95</v>
      </c>
      <c r="I194" s="2">
        <v>85</v>
      </c>
      <c r="J194" s="2">
        <v>65</v>
      </c>
      <c r="K194" s="2">
        <v>65</v>
      </c>
      <c r="L194" s="2">
        <v>20</v>
      </c>
      <c r="M194" s="2"/>
      <c r="N194" s="1" t="s">
        <v>95</v>
      </c>
      <c r="O194" s="14">
        <v>0</v>
      </c>
      <c r="P194" s="14">
        <v>1</v>
      </c>
      <c r="Q194" s="183">
        <v>1</v>
      </c>
      <c r="R194" s="181">
        <v>2</v>
      </c>
      <c r="S194" s="178">
        <f t="shared" si="32"/>
        <v>1</v>
      </c>
      <c r="T194" s="186">
        <f t="shared" si="33"/>
        <v>3</v>
      </c>
      <c r="U194" s="179">
        <f t="shared" si="34"/>
        <v>2</v>
      </c>
      <c r="V194" s="1">
        <f t="shared" si="35"/>
        <v>25</v>
      </c>
      <c r="W194" s="8">
        <f t="shared" ref="W194:W257" si="36">IF(N194="won",V194*0.25,-V194)</f>
        <v>6.25</v>
      </c>
      <c r="X194" s="15">
        <f t="shared" si="31"/>
        <v>1081.25</v>
      </c>
    </row>
    <row r="195" spans="1:24">
      <c r="A195" t="s">
        <v>930</v>
      </c>
      <c r="B195" s="163" t="s">
        <v>792</v>
      </c>
      <c r="C195" s="2" t="s">
        <v>6</v>
      </c>
      <c r="D195" s="2" t="s">
        <v>62</v>
      </c>
      <c r="E195" s="3">
        <v>45416.520833333336</v>
      </c>
      <c r="F195" s="2" t="s">
        <v>73</v>
      </c>
      <c r="G195" s="2" t="s">
        <v>117</v>
      </c>
      <c r="H195" s="2">
        <v>2.1</v>
      </c>
      <c r="I195" s="2">
        <v>90</v>
      </c>
      <c r="J195" s="2">
        <v>65</v>
      </c>
      <c r="K195" s="2">
        <v>64</v>
      </c>
      <c r="L195" s="2">
        <v>20</v>
      </c>
      <c r="M195" s="2"/>
      <c r="N195" s="1" t="s">
        <v>95</v>
      </c>
      <c r="O195" s="14">
        <v>1</v>
      </c>
      <c r="P195" s="14">
        <v>0</v>
      </c>
      <c r="Q195" s="183">
        <v>3</v>
      </c>
      <c r="R195" s="181">
        <v>0</v>
      </c>
      <c r="S195" s="178">
        <f t="shared" si="32"/>
        <v>1</v>
      </c>
      <c r="T195" s="186">
        <f t="shared" si="33"/>
        <v>3</v>
      </c>
      <c r="U195" s="179">
        <f t="shared" si="34"/>
        <v>2</v>
      </c>
      <c r="V195" s="1">
        <f t="shared" si="35"/>
        <v>25</v>
      </c>
      <c r="W195" s="8">
        <f t="shared" si="36"/>
        <v>6.25</v>
      </c>
      <c r="X195" s="15">
        <f t="shared" si="31"/>
        <v>1087.5</v>
      </c>
    </row>
    <row r="196" spans="1:24">
      <c r="A196" t="s">
        <v>930</v>
      </c>
      <c r="B196" s="163" t="s">
        <v>792</v>
      </c>
      <c r="C196" s="2" t="s">
        <v>58</v>
      </c>
      <c r="D196" s="2" t="s">
        <v>59</v>
      </c>
      <c r="E196" s="3">
        <v>45416.75</v>
      </c>
      <c r="F196" s="2" t="s">
        <v>125</v>
      </c>
      <c r="G196" s="2" t="s">
        <v>128</v>
      </c>
      <c r="H196" s="2">
        <v>2.65</v>
      </c>
      <c r="I196" s="2">
        <v>95</v>
      </c>
      <c r="J196" s="2">
        <v>70</v>
      </c>
      <c r="K196" s="2">
        <v>59</v>
      </c>
      <c r="L196" s="2">
        <v>20</v>
      </c>
      <c r="M196" s="2"/>
      <c r="N196" s="1" t="s">
        <v>95</v>
      </c>
      <c r="O196" s="14">
        <v>1</v>
      </c>
      <c r="P196" s="14">
        <v>0</v>
      </c>
      <c r="Q196" s="183">
        <v>3</v>
      </c>
      <c r="R196" s="181">
        <v>0</v>
      </c>
      <c r="S196" s="178">
        <f t="shared" si="32"/>
        <v>1</v>
      </c>
      <c r="T196" s="186">
        <f t="shared" si="33"/>
        <v>3</v>
      </c>
      <c r="U196" s="179">
        <f t="shared" si="34"/>
        <v>2</v>
      </c>
      <c r="V196" s="1">
        <f t="shared" si="35"/>
        <v>25</v>
      </c>
      <c r="W196" s="8">
        <f t="shared" si="36"/>
        <v>6.25</v>
      </c>
      <c r="X196" s="15">
        <f t="shared" si="31"/>
        <v>1093.75</v>
      </c>
    </row>
    <row r="197" spans="1:24">
      <c r="A197" t="s">
        <v>930</v>
      </c>
      <c r="B197" s="163" t="s">
        <v>792</v>
      </c>
      <c r="C197" s="2" t="s">
        <v>67</v>
      </c>
      <c r="D197" s="2" t="s">
        <v>68</v>
      </c>
      <c r="E197" s="3">
        <v>45417.520833333336</v>
      </c>
      <c r="F197" s="2" t="s">
        <v>371</v>
      </c>
      <c r="G197" s="2" t="s">
        <v>265</v>
      </c>
      <c r="H197" s="2">
        <v>2</v>
      </c>
      <c r="I197" s="2">
        <v>85</v>
      </c>
      <c r="J197" s="2">
        <v>70</v>
      </c>
      <c r="K197" s="2">
        <v>64</v>
      </c>
      <c r="L197" s="2">
        <v>20</v>
      </c>
      <c r="M197" s="2"/>
      <c r="N197" s="1" t="s">
        <v>95</v>
      </c>
      <c r="O197" s="14">
        <v>0</v>
      </c>
      <c r="P197" s="14">
        <v>0</v>
      </c>
      <c r="Q197" s="183">
        <v>1</v>
      </c>
      <c r="R197" s="181">
        <v>2</v>
      </c>
      <c r="S197" s="178">
        <f t="shared" si="32"/>
        <v>0</v>
      </c>
      <c r="T197" s="186">
        <f t="shared" si="33"/>
        <v>3</v>
      </c>
      <c r="U197" s="179">
        <f t="shared" si="34"/>
        <v>3</v>
      </c>
      <c r="V197" s="1">
        <f t="shared" si="35"/>
        <v>25</v>
      </c>
      <c r="W197" s="8">
        <f t="shared" si="36"/>
        <v>6.25</v>
      </c>
      <c r="X197" s="15">
        <f t="shared" si="31"/>
        <v>1100</v>
      </c>
    </row>
    <row r="198" spans="1:24">
      <c r="A198" t="s">
        <v>930</v>
      </c>
      <c r="B198" s="163" t="s">
        <v>792</v>
      </c>
      <c r="C198" s="2" t="s">
        <v>149</v>
      </c>
      <c r="D198" s="2" t="s">
        <v>153</v>
      </c>
      <c r="E198" s="3">
        <v>45418.791666666664</v>
      </c>
      <c r="F198" s="2" t="s">
        <v>647</v>
      </c>
      <c r="G198" s="2" t="s">
        <v>241</v>
      </c>
      <c r="H198" s="2">
        <v>2</v>
      </c>
      <c r="I198" s="2">
        <v>90</v>
      </c>
      <c r="J198" s="2">
        <v>65</v>
      </c>
      <c r="K198" s="2">
        <v>60</v>
      </c>
      <c r="L198" s="2">
        <v>20</v>
      </c>
      <c r="M198" s="2"/>
      <c r="N198" s="1" t="s">
        <v>95</v>
      </c>
      <c r="O198" s="14">
        <v>0</v>
      </c>
      <c r="P198" s="14">
        <v>0</v>
      </c>
      <c r="Q198" s="183">
        <v>0</v>
      </c>
      <c r="R198" s="181">
        <v>3</v>
      </c>
      <c r="S198" s="178">
        <f t="shared" si="32"/>
        <v>0</v>
      </c>
      <c r="T198" s="186">
        <f t="shared" si="33"/>
        <v>3</v>
      </c>
      <c r="U198" s="179">
        <f t="shared" si="34"/>
        <v>3</v>
      </c>
      <c r="V198" s="1">
        <f t="shared" si="35"/>
        <v>25</v>
      </c>
      <c r="W198" s="8">
        <f t="shared" si="36"/>
        <v>6.25</v>
      </c>
      <c r="X198" s="15">
        <f t="shared" si="31"/>
        <v>1106.25</v>
      </c>
    </row>
    <row r="199" spans="1:24">
      <c r="A199" t="s">
        <v>930</v>
      </c>
      <c r="B199" s="163" t="s">
        <v>792</v>
      </c>
      <c r="C199" s="2" t="s">
        <v>6</v>
      </c>
      <c r="D199" s="2" t="s">
        <v>62</v>
      </c>
      <c r="E199" s="3">
        <v>45423.625</v>
      </c>
      <c r="F199" s="2" t="s">
        <v>116</v>
      </c>
      <c r="G199" s="2" t="s">
        <v>103</v>
      </c>
      <c r="H199" s="2">
        <v>2.2999999999999998</v>
      </c>
      <c r="I199" s="2">
        <v>95</v>
      </c>
      <c r="J199" s="2">
        <v>90</v>
      </c>
      <c r="K199" s="2">
        <v>58</v>
      </c>
      <c r="L199" s="2">
        <v>20</v>
      </c>
      <c r="M199" s="2"/>
      <c r="N199" s="1" t="s">
        <v>95</v>
      </c>
      <c r="O199" s="14">
        <v>1</v>
      </c>
      <c r="P199" s="14">
        <v>1</v>
      </c>
      <c r="Q199" s="183">
        <v>2</v>
      </c>
      <c r="R199" s="181">
        <v>1</v>
      </c>
      <c r="S199" s="178">
        <f t="shared" si="32"/>
        <v>2</v>
      </c>
      <c r="T199" s="186">
        <f t="shared" si="33"/>
        <v>3</v>
      </c>
      <c r="U199" s="179">
        <f t="shared" si="34"/>
        <v>1</v>
      </c>
      <c r="V199" s="1">
        <f t="shared" si="35"/>
        <v>25</v>
      </c>
      <c r="W199" s="8">
        <f t="shared" si="36"/>
        <v>6.25</v>
      </c>
      <c r="X199" s="15">
        <f t="shared" si="31"/>
        <v>1112.5</v>
      </c>
    </row>
    <row r="200" spans="1:24">
      <c r="A200" t="s">
        <v>930</v>
      </c>
      <c r="B200" s="163" t="s">
        <v>792</v>
      </c>
      <c r="C200" s="2" t="s">
        <v>20</v>
      </c>
      <c r="D200" s="2" t="s">
        <v>21</v>
      </c>
      <c r="E200" s="3">
        <v>45424.822916666664</v>
      </c>
      <c r="F200" s="2" t="s">
        <v>97</v>
      </c>
      <c r="G200" s="2" t="s">
        <v>380</v>
      </c>
      <c r="H200" s="2">
        <v>2.0499999999999998</v>
      </c>
      <c r="I200" s="2">
        <v>90</v>
      </c>
      <c r="J200" s="2">
        <v>70</v>
      </c>
      <c r="K200" s="2">
        <v>60</v>
      </c>
      <c r="L200" s="2">
        <v>20</v>
      </c>
      <c r="M200" s="2"/>
      <c r="N200" s="1" t="s">
        <v>95</v>
      </c>
      <c r="O200" s="14">
        <v>2</v>
      </c>
      <c r="P200" s="14">
        <v>0</v>
      </c>
      <c r="Q200" s="183">
        <v>2</v>
      </c>
      <c r="R200" s="181">
        <v>1</v>
      </c>
      <c r="S200" s="178">
        <f t="shared" si="32"/>
        <v>2</v>
      </c>
      <c r="T200" s="186">
        <f t="shared" si="33"/>
        <v>3</v>
      </c>
      <c r="U200" s="179">
        <f t="shared" si="34"/>
        <v>1</v>
      </c>
      <c r="V200" s="1">
        <f t="shared" si="35"/>
        <v>25</v>
      </c>
      <c r="W200" s="8">
        <f t="shared" si="36"/>
        <v>6.25</v>
      </c>
      <c r="X200" s="15">
        <f t="shared" si="31"/>
        <v>1118.75</v>
      </c>
    </row>
    <row r="201" spans="1:24">
      <c r="A201" t="s">
        <v>930</v>
      </c>
      <c r="B201" s="163" t="s">
        <v>792</v>
      </c>
      <c r="C201" s="2" t="s">
        <v>6</v>
      </c>
      <c r="D201" s="2" t="s">
        <v>62</v>
      </c>
      <c r="E201" s="3">
        <v>45427.822916666664</v>
      </c>
      <c r="F201" s="2" t="s">
        <v>267</v>
      </c>
      <c r="G201" s="2" t="s">
        <v>65</v>
      </c>
      <c r="H201" s="2">
        <v>2.0499999999999998</v>
      </c>
      <c r="I201" s="2">
        <v>90</v>
      </c>
      <c r="J201" s="2">
        <v>65</v>
      </c>
      <c r="K201" s="2">
        <v>65</v>
      </c>
      <c r="L201" s="2">
        <v>20</v>
      </c>
      <c r="M201" s="2"/>
      <c r="N201" s="1" t="s">
        <v>95</v>
      </c>
      <c r="O201" s="14">
        <v>0</v>
      </c>
      <c r="P201" s="14">
        <v>1</v>
      </c>
      <c r="Q201" s="183">
        <v>1</v>
      </c>
      <c r="R201" s="181">
        <v>2</v>
      </c>
      <c r="S201" s="178">
        <f t="shared" si="32"/>
        <v>1</v>
      </c>
      <c r="T201" s="186">
        <f t="shared" si="33"/>
        <v>3</v>
      </c>
      <c r="U201" s="179">
        <f t="shared" si="34"/>
        <v>2</v>
      </c>
      <c r="V201" s="1">
        <f t="shared" si="35"/>
        <v>25</v>
      </c>
      <c r="W201" s="8">
        <f t="shared" si="36"/>
        <v>6.25</v>
      </c>
      <c r="X201" s="15">
        <f t="shared" si="31"/>
        <v>1125</v>
      </c>
    </row>
    <row r="202" spans="1:24">
      <c r="A202" t="s">
        <v>930</v>
      </c>
      <c r="B202" s="163" t="s">
        <v>792</v>
      </c>
      <c r="C202" s="2" t="s">
        <v>6</v>
      </c>
      <c r="D202" s="2" t="s">
        <v>62</v>
      </c>
      <c r="E202" s="3">
        <v>45431.666666666664</v>
      </c>
      <c r="F202" s="2" t="s">
        <v>65</v>
      </c>
      <c r="G202" s="2" t="s">
        <v>117</v>
      </c>
      <c r="H202" s="2">
        <v>2.15</v>
      </c>
      <c r="I202" s="2">
        <v>90</v>
      </c>
      <c r="J202" s="2">
        <v>70</v>
      </c>
      <c r="K202" s="2">
        <v>62</v>
      </c>
      <c r="L202" s="2">
        <v>20</v>
      </c>
      <c r="M202" s="2"/>
      <c r="N202" s="1" t="s">
        <v>95</v>
      </c>
      <c r="O202" s="14">
        <v>1</v>
      </c>
      <c r="P202" s="14">
        <v>0</v>
      </c>
      <c r="Q202" s="183">
        <v>2</v>
      </c>
      <c r="R202" s="181">
        <v>1</v>
      </c>
      <c r="S202" s="178">
        <f t="shared" si="32"/>
        <v>1</v>
      </c>
      <c r="T202" s="186">
        <f t="shared" si="33"/>
        <v>3</v>
      </c>
      <c r="U202" s="179">
        <f t="shared" si="34"/>
        <v>2</v>
      </c>
      <c r="V202" s="1">
        <f t="shared" si="35"/>
        <v>25</v>
      </c>
      <c r="W202" s="8">
        <f t="shared" si="36"/>
        <v>6.25</v>
      </c>
      <c r="X202" s="15">
        <f t="shared" si="31"/>
        <v>1131.25</v>
      </c>
    </row>
    <row r="203" spans="1:24">
      <c r="A203" t="s">
        <v>930</v>
      </c>
      <c r="B203" s="163" t="s">
        <v>792</v>
      </c>
      <c r="C203" s="2" t="s">
        <v>133</v>
      </c>
      <c r="D203" s="2" t="s">
        <v>78</v>
      </c>
      <c r="E203" s="3">
        <v>45431.75</v>
      </c>
      <c r="F203" s="2" t="s">
        <v>447</v>
      </c>
      <c r="G203" s="2" t="s">
        <v>394</v>
      </c>
      <c r="H203" s="2">
        <v>2</v>
      </c>
      <c r="I203" s="2">
        <v>90</v>
      </c>
      <c r="J203" s="2">
        <v>75</v>
      </c>
      <c r="K203" s="2">
        <v>63</v>
      </c>
      <c r="L203" s="2">
        <v>20</v>
      </c>
      <c r="M203" s="2"/>
      <c r="N203" s="1" t="s">
        <v>95</v>
      </c>
      <c r="O203" s="14">
        <v>2</v>
      </c>
      <c r="P203" s="14">
        <v>0</v>
      </c>
      <c r="Q203" s="183">
        <v>3</v>
      </c>
      <c r="R203" s="181">
        <v>0</v>
      </c>
      <c r="S203" s="178">
        <f t="shared" si="32"/>
        <v>2</v>
      </c>
      <c r="T203" s="186">
        <f t="shared" si="33"/>
        <v>3</v>
      </c>
      <c r="U203" s="179">
        <f t="shared" si="34"/>
        <v>1</v>
      </c>
      <c r="V203" s="1">
        <f t="shared" si="35"/>
        <v>25</v>
      </c>
      <c r="W203" s="8">
        <f t="shared" si="36"/>
        <v>6.25</v>
      </c>
      <c r="X203" s="15">
        <f t="shared" si="31"/>
        <v>1137.5</v>
      </c>
    </row>
    <row r="204" spans="1:24">
      <c r="A204" t="s">
        <v>930</v>
      </c>
      <c r="B204" s="163" t="s">
        <v>792</v>
      </c>
      <c r="C204" s="2" t="s">
        <v>133</v>
      </c>
      <c r="D204" s="2" t="s">
        <v>78</v>
      </c>
      <c r="E204" s="3">
        <v>45431.75</v>
      </c>
      <c r="F204" s="2" t="s">
        <v>136</v>
      </c>
      <c r="G204" s="2" t="s">
        <v>137</v>
      </c>
      <c r="H204" s="2">
        <v>2.2999999999999998</v>
      </c>
      <c r="I204" s="2">
        <v>95</v>
      </c>
      <c r="J204" s="2">
        <v>75</v>
      </c>
      <c r="K204" s="2">
        <v>66</v>
      </c>
      <c r="L204" s="2">
        <v>20</v>
      </c>
      <c r="M204" s="2"/>
      <c r="N204" s="1" t="s">
        <v>95</v>
      </c>
      <c r="O204" s="14">
        <v>0</v>
      </c>
      <c r="P204" s="14">
        <v>1</v>
      </c>
      <c r="Q204" s="183">
        <v>1</v>
      </c>
      <c r="R204" s="181">
        <v>2</v>
      </c>
      <c r="S204" s="178">
        <f t="shared" si="32"/>
        <v>1</v>
      </c>
      <c r="T204" s="186">
        <f t="shared" si="33"/>
        <v>3</v>
      </c>
      <c r="U204" s="179">
        <f t="shared" si="34"/>
        <v>2</v>
      </c>
      <c r="V204" s="1">
        <f t="shared" si="35"/>
        <v>25</v>
      </c>
      <c r="W204" s="8">
        <f t="shared" si="36"/>
        <v>6.25</v>
      </c>
      <c r="X204" s="15">
        <f t="shared" si="31"/>
        <v>1143.75</v>
      </c>
    </row>
    <row r="205" spans="1:24">
      <c r="A205" t="s">
        <v>930</v>
      </c>
      <c r="B205" s="163" t="s">
        <v>792</v>
      </c>
      <c r="C205" s="2" t="s">
        <v>516</v>
      </c>
      <c r="D205" s="2" t="s">
        <v>78</v>
      </c>
      <c r="E205" s="3">
        <v>45437.524305555555</v>
      </c>
      <c r="F205" s="2" t="s">
        <v>868</v>
      </c>
      <c r="G205" s="2" t="s">
        <v>857</v>
      </c>
      <c r="H205" s="2">
        <v>2.2000000000000002</v>
      </c>
      <c r="I205" s="2">
        <v>95</v>
      </c>
      <c r="J205" s="2">
        <v>70</v>
      </c>
      <c r="K205" s="2">
        <v>65</v>
      </c>
      <c r="L205" s="2">
        <v>20</v>
      </c>
      <c r="M205" s="2"/>
      <c r="N205" s="1" t="s">
        <v>95</v>
      </c>
      <c r="O205" s="14">
        <v>3</v>
      </c>
      <c r="P205" s="14">
        <v>0</v>
      </c>
      <c r="Q205" s="183">
        <v>3</v>
      </c>
      <c r="R205" s="181">
        <v>0</v>
      </c>
      <c r="S205" s="178">
        <f t="shared" si="32"/>
        <v>3</v>
      </c>
      <c r="T205" s="186">
        <f t="shared" si="33"/>
        <v>3</v>
      </c>
      <c r="U205" s="179">
        <f t="shared" si="34"/>
        <v>0</v>
      </c>
      <c r="V205" s="1">
        <f t="shared" si="35"/>
        <v>25</v>
      </c>
      <c r="W205" s="8">
        <f t="shared" si="36"/>
        <v>6.25</v>
      </c>
      <c r="X205" s="15">
        <f t="shared" si="31"/>
        <v>1150</v>
      </c>
    </row>
    <row r="206" spans="1:24">
      <c r="A206" t="s">
        <v>930</v>
      </c>
      <c r="B206" s="163" t="s">
        <v>28</v>
      </c>
      <c r="C206" s="2" t="s">
        <v>89</v>
      </c>
      <c r="D206" s="2" t="s">
        <v>90</v>
      </c>
      <c r="E206" s="3">
        <v>45286.604166666664</v>
      </c>
      <c r="F206" s="2" t="s">
        <v>91</v>
      </c>
      <c r="G206" s="2" t="s">
        <v>92</v>
      </c>
      <c r="H206" s="2">
        <v>2.5</v>
      </c>
      <c r="I206" s="2">
        <v>5.08</v>
      </c>
      <c r="J206" s="2">
        <v>65</v>
      </c>
      <c r="K206" s="2">
        <v>0</v>
      </c>
      <c r="L206" s="2">
        <v>20</v>
      </c>
      <c r="M206" s="2"/>
      <c r="N206" s="1" t="s">
        <v>95</v>
      </c>
      <c r="O206" s="14">
        <v>0</v>
      </c>
      <c r="P206" s="13">
        <v>1</v>
      </c>
      <c r="Q206" s="183">
        <v>2</v>
      </c>
      <c r="R206" s="181">
        <v>1</v>
      </c>
      <c r="S206" s="178">
        <f t="shared" si="32"/>
        <v>1</v>
      </c>
      <c r="T206" s="186">
        <f t="shared" si="33"/>
        <v>3</v>
      </c>
      <c r="U206" s="179">
        <f t="shared" si="34"/>
        <v>2</v>
      </c>
      <c r="V206" s="1">
        <f t="shared" si="35"/>
        <v>25</v>
      </c>
      <c r="W206" s="8">
        <f t="shared" si="36"/>
        <v>6.25</v>
      </c>
      <c r="X206" s="15">
        <f t="shared" si="31"/>
        <v>1156.25</v>
      </c>
    </row>
    <row r="207" spans="1:24">
      <c r="A207" t="s">
        <v>930</v>
      </c>
      <c r="B207" s="163" t="s">
        <v>28</v>
      </c>
      <c r="C207" s="2" t="s">
        <v>6</v>
      </c>
      <c r="D207" s="2" t="s">
        <v>11</v>
      </c>
      <c r="E207" s="3">
        <v>45349.822916666664</v>
      </c>
      <c r="F207" s="2" t="s">
        <v>231</v>
      </c>
      <c r="G207" s="2" t="s">
        <v>162</v>
      </c>
      <c r="H207" s="2">
        <v>2.25</v>
      </c>
      <c r="I207" s="2">
        <v>5.4</v>
      </c>
      <c r="J207" s="2">
        <v>62</v>
      </c>
      <c r="K207" s="2">
        <v>0</v>
      </c>
      <c r="L207" s="2">
        <v>20</v>
      </c>
      <c r="M207" s="2">
        <v>1.2</v>
      </c>
      <c r="N207" s="1" t="s">
        <v>95</v>
      </c>
      <c r="O207" s="14">
        <v>1</v>
      </c>
      <c r="P207" s="14">
        <v>0</v>
      </c>
      <c r="Q207" s="183">
        <v>1</v>
      </c>
      <c r="R207" s="181">
        <v>2</v>
      </c>
      <c r="S207" s="178">
        <f t="shared" si="32"/>
        <v>1</v>
      </c>
      <c r="T207" s="186">
        <f t="shared" si="33"/>
        <v>3</v>
      </c>
      <c r="U207" s="179">
        <f t="shared" si="34"/>
        <v>2</v>
      </c>
      <c r="V207" s="1">
        <f t="shared" si="35"/>
        <v>25</v>
      </c>
      <c r="W207" s="8">
        <f t="shared" si="36"/>
        <v>6.25</v>
      </c>
      <c r="X207" s="15">
        <f t="shared" si="31"/>
        <v>1162.5</v>
      </c>
    </row>
    <row r="208" spans="1:24">
      <c r="A208" t="s">
        <v>930</v>
      </c>
      <c r="B208" s="163" t="s">
        <v>35</v>
      </c>
      <c r="C208" s="2" t="s">
        <v>13</v>
      </c>
      <c r="D208" s="2" t="s">
        <v>14</v>
      </c>
      <c r="E208" s="3">
        <v>45289.822916666664</v>
      </c>
      <c r="F208" s="2" t="s">
        <v>15</v>
      </c>
      <c r="G208" s="2" t="s">
        <v>16</v>
      </c>
      <c r="H208" s="2">
        <v>69</v>
      </c>
      <c r="I208" s="2">
        <v>94</v>
      </c>
      <c r="J208" s="2">
        <v>63</v>
      </c>
      <c r="K208" s="2">
        <v>44</v>
      </c>
      <c r="L208" s="2">
        <v>16</v>
      </c>
      <c r="M208" s="2"/>
      <c r="N208" s="1" t="s">
        <v>95</v>
      </c>
      <c r="O208" s="14">
        <v>1</v>
      </c>
      <c r="P208" s="13">
        <v>0</v>
      </c>
      <c r="Q208" s="183">
        <v>3</v>
      </c>
      <c r="R208" s="181">
        <v>0</v>
      </c>
      <c r="S208" s="178">
        <f t="shared" si="32"/>
        <v>1</v>
      </c>
      <c r="T208" s="186">
        <f t="shared" si="33"/>
        <v>3</v>
      </c>
      <c r="U208" s="179">
        <f t="shared" si="34"/>
        <v>2</v>
      </c>
      <c r="V208" s="1">
        <f t="shared" si="35"/>
        <v>25</v>
      </c>
      <c r="W208" s="8">
        <f t="shared" si="36"/>
        <v>6.25</v>
      </c>
      <c r="X208" s="15">
        <f t="shared" si="31"/>
        <v>1168.75</v>
      </c>
    </row>
    <row r="209" spans="1:24">
      <c r="A209" t="s">
        <v>930</v>
      </c>
      <c r="B209" s="163" t="s">
        <v>35</v>
      </c>
      <c r="C209" s="2" t="s">
        <v>6</v>
      </c>
      <c r="D209" s="2" t="s">
        <v>40</v>
      </c>
      <c r="E209" s="3">
        <v>45307.822916666664</v>
      </c>
      <c r="F209" s="2" t="s">
        <v>41</v>
      </c>
      <c r="G209" s="2" t="s">
        <v>189</v>
      </c>
      <c r="H209" s="2">
        <v>71</v>
      </c>
      <c r="I209" s="2">
        <v>90</v>
      </c>
      <c r="J209" s="2">
        <v>75</v>
      </c>
      <c r="K209" s="2">
        <v>40</v>
      </c>
      <c r="L209" s="2">
        <v>20</v>
      </c>
      <c r="M209" s="2"/>
      <c r="N209" s="1" t="s">
        <v>95</v>
      </c>
      <c r="O209" s="14">
        <v>1</v>
      </c>
      <c r="P209" s="13">
        <v>1</v>
      </c>
      <c r="Q209" s="183">
        <v>2</v>
      </c>
      <c r="R209" s="181">
        <v>1</v>
      </c>
      <c r="S209" s="178">
        <f t="shared" si="32"/>
        <v>2</v>
      </c>
      <c r="T209" s="186">
        <f t="shared" si="33"/>
        <v>3</v>
      </c>
      <c r="U209" s="179">
        <f t="shared" si="34"/>
        <v>1</v>
      </c>
      <c r="V209" s="1">
        <f t="shared" si="35"/>
        <v>25</v>
      </c>
      <c r="W209" s="8">
        <f t="shared" si="36"/>
        <v>6.25</v>
      </c>
      <c r="X209" s="15">
        <f t="shared" si="31"/>
        <v>1175</v>
      </c>
    </row>
    <row r="210" spans="1:24">
      <c r="A210" t="s">
        <v>930</v>
      </c>
      <c r="B210" s="163" t="s">
        <v>35</v>
      </c>
      <c r="C210" s="2" t="s">
        <v>149</v>
      </c>
      <c r="D210" s="2" t="s">
        <v>153</v>
      </c>
      <c r="E210" s="3">
        <v>45311.833333333336</v>
      </c>
      <c r="F210" s="2" t="s">
        <v>248</v>
      </c>
      <c r="G210" s="2" t="s">
        <v>249</v>
      </c>
      <c r="H210" s="2">
        <v>71</v>
      </c>
      <c r="I210" s="2">
        <v>81</v>
      </c>
      <c r="J210" s="2">
        <v>75</v>
      </c>
      <c r="K210" s="2">
        <v>50</v>
      </c>
      <c r="L210" s="2">
        <v>16</v>
      </c>
      <c r="M210" s="2"/>
      <c r="N210" s="1" t="s">
        <v>95</v>
      </c>
      <c r="O210" s="14">
        <v>0</v>
      </c>
      <c r="P210" s="13">
        <v>2</v>
      </c>
      <c r="Q210" s="183">
        <v>1</v>
      </c>
      <c r="R210" s="181">
        <v>2</v>
      </c>
      <c r="S210" s="178">
        <f t="shared" si="32"/>
        <v>2</v>
      </c>
      <c r="T210" s="186">
        <f t="shared" si="33"/>
        <v>3</v>
      </c>
      <c r="U210" s="179">
        <f t="shared" si="34"/>
        <v>1</v>
      </c>
      <c r="V210" s="1">
        <f t="shared" si="35"/>
        <v>25</v>
      </c>
      <c r="W210" s="8">
        <f t="shared" si="36"/>
        <v>6.25</v>
      </c>
      <c r="X210" s="15">
        <f t="shared" si="31"/>
        <v>1181.25</v>
      </c>
    </row>
    <row r="211" spans="1:24">
      <c r="A211" t="s">
        <v>930</v>
      </c>
      <c r="B211" s="163" t="s">
        <v>35</v>
      </c>
      <c r="C211" s="2" t="s">
        <v>149</v>
      </c>
      <c r="D211" s="2" t="s">
        <v>153</v>
      </c>
      <c r="E211" s="3">
        <v>45315.739583333336</v>
      </c>
      <c r="F211" s="2" t="s">
        <v>248</v>
      </c>
      <c r="G211" s="2" t="s">
        <v>249</v>
      </c>
      <c r="H211" s="2">
        <v>71</v>
      </c>
      <c r="I211" s="2">
        <v>81</v>
      </c>
      <c r="J211" s="2">
        <v>75</v>
      </c>
      <c r="K211" s="2">
        <v>50</v>
      </c>
      <c r="L211" s="2">
        <v>16</v>
      </c>
      <c r="M211" s="2">
        <v>1.1499999999999999</v>
      </c>
      <c r="N211" s="1" t="s">
        <v>95</v>
      </c>
      <c r="O211" s="14">
        <v>0</v>
      </c>
      <c r="P211" s="13">
        <v>2</v>
      </c>
      <c r="Q211" s="183">
        <v>1</v>
      </c>
      <c r="R211" s="181">
        <v>2</v>
      </c>
      <c r="S211" s="178">
        <f t="shared" si="32"/>
        <v>2</v>
      </c>
      <c r="T211" s="186">
        <f t="shared" si="33"/>
        <v>3</v>
      </c>
      <c r="U211" s="179">
        <f t="shared" si="34"/>
        <v>1</v>
      </c>
      <c r="V211" s="1">
        <f t="shared" si="35"/>
        <v>25</v>
      </c>
      <c r="W211" s="8">
        <f t="shared" si="36"/>
        <v>6.25</v>
      </c>
      <c r="X211" s="15">
        <f t="shared" si="31"/>
        <v>1187.5</v>
      </c>
    </row>
    <row r="212" spans="1:24">
      <c r="A212" t="s">
        <v>930</v>
      </c>
      <c r="B212" s="163" t="s">
        <v>35</v>
      </c>
      <c r="C212" s="2" t="s">
        <v>296</v>
      </c>
      <c r="D212" s="2" t="s">
        <v>78</v>
      </c>
      <c r="E212" s="3">
        <v>45319.645833333336</v>
      </c>
      <c r="F212" s="2" t="s">
        <v>299</v>
      </c>
      <c r="G212" s="2" t="s">
        <v>346</v>
      </c>
      <c r="H212" s="2">
        <v>68</v>
      </c>
      <c r="I212" s="2">
        <v>89</v>
      </c>
      <c r="J212" s="2">
        <v>67</v>
      </c>
      <c r="K212" s="2">
        <v>39</v>
      </c>
      <c r="L212" s="2">
        <v>18</v>
      </c>
      <c r="M212" s="2">
        <v>0.5</v>
      </c>
      <c r="N212" s="1" t="s">
        <v>95</v>
      </c>
      <c r="O212" s="14">
        <v>0</v>
      </c>
      <c r="P212" s="13">
        <v>1</v>
      </c>
      <c r="Q212" s="183">
        <v>2</v>
      </c>
      <c r="R212" s="181">
        <v>1</v>
      </c>
      <c r="S212" s="178">
        <f t="shared" si="32"/>
        <v>1</v>
      </c>
      <c r="T212" s="186">
        <f t="shared" si="33"/>
        <v>3</v>
      </c>
      <c r="U212" s="179">
        <f t="shared" si="34"/>
        <v>2</v>
      </c>
      <c r="V212" s="1">
        <f t="shared" si="35"/>
        <v>25</v>
      </c>
      <c r="W212" s="8">
        <f t="shared" si="36"/>
        <v>6.25</v>
      </c>
      <c r="X212" s="15">
        <f t="shared" si="31"/>
        <v>1193.75</v>
      </c>
    </row>
    <row r="213" spans="1:24">
      <c r="A213" t="s">
        <v>930</v>
      </c>
      <c r="B213" s="163" t="s">
        <v>35</v>
      </c>
      <c r="C213" s="2" t="s">
        <v>296</v>
      </c>
      <c r="D213" s="2" t="s">
        <v>78</v>
      </c>
      <c r="E213" s="3">
        <v>45340.645833333336</v>
      </c>
      <c r="F213" s="2" t="s">
        <v>298</v>
      </c>
      <c r="G213" s="2" t="s">
        <v>368</v>
      </c>
      <c r="H213" s="2">
        <v>68</v>
      </c>
      <c r="I213" s="2">
        <v>95</v>
      </c>
      <c r="J213" s="2">
        <v>75</v>
      </c>
      <c r="K213" s="2">
        <v>45</v>
      </c>
      <c r="L213" s="2">
        <v>20</v>
      </c>
      <c r="M213" s="2">
        <v>0.67</v>
      </c>
      <c r="N213" s="1" t="s">
        <v>95</v>
      </c>
      <c r="O213" s="14">
        <v>0</v>
      </c>
      <c r="P213" s="14">
        <v>1</v>
      </c>
      <c r="Q213" s="183">
        <v>2</v>
      </c>
      <c r="R213" s="181">
        <v>1</v>
      </c>
      <c r="S213" s="178">
        <f t="shared" si="32"/>
        <v>1</v>
      </c>
      <c r="T213" s="186">
        <f t="shared" si="33"/>
        <v>3</v>
      </c>
      <c r="U213" s="179">
        <f t="shared" si="34"/>
        <v>2</v>
      </c>
      <c r="V213" s="1">
        <f t="shared" si="35"/>
        <v>25</v>
      </c>
      <c r="W213" s="8">
        <f t="shared" si="36"/>
        <v>6.25</v>
      </c>
      <c r="X213" s="15">
        <f t="shared" si="31"/>
        <v>1200</v>
      </c>
    </row>
    <row r="214" spans="1:24">
      <c r="A214" t="s">
        <v>930</v>
      </c>
      <c r="B214" s="163" t="s">
        <v>35</v>
      </c>
      <c r="C214" s="2" t="s">
        <v>6</v>
      </c>
      <c r="D214" s="2" t="s">
        <v>11</v>
      </c>
      <c r="E214" s="3">
        <v>45349.822916666664</v>
      </c>
      <c r="F214" s="2" t="s">
        <v>231</v>
      </c>
      <c r="G214" s="2" t="s">
        <v>162</v>
      </c>
      <c r="H214" s="2">
        <v>73</v>
      </c>
      <c r="I214" s="2">
        <v>100</v>
      </c>
      <c r="J214" s="2">
        <v>75</v>
      </c>
      <c r="K214" s="2">
        <v>40</v>
      </c>
      <c r="L214" s="2">
        <v>20</v>
      </c>
      <c r="M214" s="2">
        <v>1.2</v>
      </c>
      <c r="N214" s="1" t="s">
        <v>95</v>
      </c>
      <c r="O214" s="14">
        <v>1</v>
      </c>
      <c r="P214" s="14">
        <v>0</v>
      </c>
      <c r="Q214" s="183">
        <v>1</v>
      </c>
      <c r="R214" s="181">
        <v>2</v>
      </c>
      <c r="S214" s="178">
        <f t="shared" si="32"/>
        <v>1</v>
      </c>
      <c r="T214" s="186">
        <f t="shared" si="33"/>
        <v>3</v>
      </c>
      <c r="U214" s="179">
        <f t="shared" si="34"/>
        <v>2</v>
      </c>
      <c r="V214" s="1">
        <f t="shared" si="35"/>
        <v>25</v>
      </c>
      <c r="W214" s="8">
        <f t="shared" si="36"/>
        <v>6.25</v>
      </c>
      <c r="X214" s="15">
        <f t="shared" si="31"/>
        <v>1206.25</v>
      </c>
    </row>
    <row r="215" spans="1:24">
      <c r="A215" t="s">
        <v>930</v>
      </c>
      <c r="B215" s="163" t="s">
        <v>35</v>
      </c>
      <c r="C215" s="2" t="s">
        <v>67</v>
      </c>
      <c r="D215" s="2" t="s">
        <v>68</v>
      </c>
      <c r="E215" s="3">
        <v>45417.520833333336</v>
      </c>
      <c r="F215" s="2" t="s">
        <v>371</v>
      </c>
      <c r="G215" s="2" t="s">
        <v>265</v>
      </c>
      <c r="H215" s="2">
        <v>71</v>
      </c>
      <c r="I215" s="2">
        <v>85</v>
      </c>
      <c r="J215" s="2">
        <v>70</v>
      </c>
      <c r="K215" s="2">
        <v>40</v>
      </c>
      <c r="L215" s="2">
        <v>20</v>
      </c>
      <c r="M215" s="2">
        <v>1.77</v>
      </c>
      <c r="N215" s="1" t="s">
        <v>95</v>
      </c>
      <c r="O215" s="14">
        <v>0</v>
      </c>
      <c r="P215" s="14">
        <v>0</v>
      </c>
      <c r="Q215" s="183">
        <v>1</v>
      </c>
      <c r="R215" s="181">
        <v>2</v>
      </c>
      <c r="S215" s="178">
        <f t="shared" si="32"/>
        <v>0</v>
      </c>
      <c r="T215" s="186">
        <f t="shared" si="33"/>
        <v>3</v>
      </c>
      <c r="U215" s="179">
        <f t="shared" si="34"/>
        <v>3</v>
      </c>
      <c r="V215" s="1">
        <f t="shared" si="35"/>
        <v>25</v>
      </c>
      <c r="W215" s="8">
        <f t="shared" si="36"/>
        <v>6.25</v>
      </c>
      <c r="X215" s="15">
        <f t="shared" si="31"/>
        <v>1212.5</v>
      </c>
    </row>
    <row r="216" spans="1:24">
      <c r="A216" t="s">
        <v>930</v>
      </c>
      <c r="B216" s="163" t="s">
        <v>35</v>
      </c>
      <c r="C216" s="2" t="s">
        <v>133</v>
      </c>
      <c r="D216" s="2" t="s">
        <v>78</v>
      </c>
      <c r="E216" s="3">
        <v>45431.75</v>
      </c>
      <c r="F216" s="2" t="s">
        <v>136</v>
      </c>
      <c r="G216" s="2" t="s">
        <v>137</v>
      </c>
      <c r="H216" s="2">
        <v>73</v>
      </c>
      <c r="I216" s="2">
        <v>95</v>
      </c>
      <c r="J216" s="2">
        <v>75</v>
      </c>
      <c r="K216" s="2">
        <v>40</v>
      </c>
      <c r="L216" s="2">
        <v>20</v>
      </c>
      <c r="M216" s="2">
        <v>1.44</v>
      </c>
      <c r="N216" s="1" t="s">
        <v>95</v>
      </c>
      <c r="O216" s="14">
        <v>0</v>
      </c>
      <c r="P216" s="14">
        <v>1</v>
      </c>
      <c r="Q216" s="183">
        <v>1</v>
      </c>
      <c r="R216" s="181">
        <v>2</v>
      </c>
      <c r="S216" s="178">
        <f t="shared" si="32"/>
        <v>1</v>
      </c>
      <c r="T216" s="186">
        <f t="shared" si="33"/>
        <v>3</v>
      </c>
      <c r="U216" s="179">
        <f t="shared" si="34"/>
        <v>2</v>
      </c>
      <c r="V216" s="1">
        <f t="shared" si="35"/>
        <v>25</v>
      </c>
      <c r="W216" s="8">
        <f t="shared" si="36"/>
        <v>6.25</v>
      </c>
      <c r="X216" s="15">
        <f t="shared" si="31"/>
        <v>1218.75</v>
      </c>
    </row>
    <row r="217" spans="1:24">
      <c r="A217" t="s">
        <v>930</v>
      </c>
      <c r="B217" s="163" t="s">
        <v>43</v>
      </c>
      <c r="C217" s="2" t="s">
        <v>20</v>
      </c>
      <c r="D217" s="2" t="s">
        <v>21</v>
      </c>
      <c r="E217" s="3">
        <v>45320.822916666664</v>
      </c>
      <c r="F217" s="2" t="s">
        <v>110</v>
      </c>
      <c r="G217" s="2" t="s">
        <v>380</v>
      </c>
      <c r="H217" s="2">
        <v>70</v>
      </c>
      <c r="I217" s="2">
        <v>70</v>
      </c>
      <c r="J217" s="2">
        <v>63</v>
      </c>
      <c r="K217" s="2">
        <v>1.75</v>
      </c>
      <c r="L217" s="2">
        <v>2.2000000000000002</v>
      </c>
      <c r="M217" s="2">
        <v>1.39</v>
      </c>
      <c r="N217" s="1" t="s">
        <v>95</v>
      </c>
      <c r="O217" s="14">
        <v>0</v>
      </c>
      <c r="P217" s="13">
        <v>0</v>
      </c>
      <c r="Q217" s="183">
        <v>1</v>
      </c>
      <c r="R217" s="181">
        <v>2</v>
      </c>
      <c r="S217" s="178">
        <f t="shared" si="32"/>
        <v>0</v>
      </c>
      <c r="T217" s="186">
        <f t="shared" si="33"/>
        <v>3</v>
      </c>
      <c r="U217" s="179">
        <f t="shared" si="34"/>
        <v>3</v>
      </c>
      <c r="V217" s="1">
        <f t="shared" si="35"/>
        <v>25</v>
      </c>
      <c r="W217" s="8">
        <f t="shared" si="36"/>
        <v>6.25</v>
      </c>
      <c r="X217" s="15">
        <f t="shared" si="31"/>
        <v>1225</v>
      </c>
    </row>
    <row r="218" spans="1:24">
      <c r="A218" t="s">
        <v>930</v>
      </c>
      <c r="B218" s="163" t="s">
        <v>43</v>
      </c>
      <c r="C218" s="2" t="s">
        <v>20</v>
      </c>
      <c r="D218" s="2" t="s">
        <v>322</v>
      </c>
      <c r="E218" s="3">
        <v>45325.541666666664</v>
      </c>
      <c r="F218" s="2" t="s">
        <v>399</v>
      </c>
      <c r="G218" s="2" t="s">
        <v>340</v>
      </c>
      <c r="H218" s="2">
        <v>71</v>
      </c>
      <c r="I218" s="2">
        <v>77</v>
      </c>
      <c r="J218" s="2">
        <v>62</v>
      </c>
      <c r="K218" s="2">
        <v>1.65</v>
      </c>
      <c r="L218" s="2">
        <v>2.29</v>
      </c>
      <c r="M218" s="2">
        <v>0.94</v>
      </c>
      <c r="N218" s="1" t="s">
        <v>95</v>
      </c>
      <c r="O218" s="14">
        <v>1</v>
      </c>
      <c r="P218" s="13">
        <v>1</v>
      </c>
      <c r="Q218" s="183">
        <v>2</v>
      </c>
      <c r="R218" s="181">
        <v>1</v>
      </c>
      <c r="S218" s="178">
        <f t="shared" si="32"/>
        <v>2</v>
      </c>
      <c r="T218" s="186">
        <f t="shared" si="33"/>
        <v>3</v>
      </c>
      <c r="U218" s="179">
        <f t="shared" si="34"/>
        <v>1</v>
      </c>
      <c r="V218" s="1">
        <f t="shared" si="35"/>
        <v>25</v>
      </c>
      <c r="W218" s="8">
        <f t="shared" si="36"/>
        <v>6.25</v>
      </c>
      <c r="X218" s="15">
        <f t="shared" si="31"/>
        <v>1231.25</v>
      </c>
    </row>
    <row r="219" spans="1:24">
      <c r="A219" t="s">
        <v>930</v>
      </c>
      <c r="B219" s="163" t="s">
        <v>43</v>
      </c>
      <c r="C219" s="2" t="s">
        <v>20</v>
      </c>
      <c r="D219" s="2" t="s">
        <v>322</v>
      </c>
      <c r="E219" s="3">
        <v>45332.541666666664</v>
      </c>
      <c r="F219" s="2" t="s">
        <v>356</v>
      </c>
      <c r="G219" s="2" t="s">
        <v>334</v>
      </c>
      <c r="H219" s="2">
        <v>69</v>
      </c>
      <c r="I219" s="2">
        <v>65</v>
      </c>
      <c r="J219" s="2">
        <v>62</v>
      </c>
      <c r="K219" s="2">
        <v>1.85</v>
      </c>
      <c r="L219" s="2">
        <v>1.21</v>
      </c>
      <c r="M219" s="2"/>
      <c r="N219" s="1" t="s">
        <v>95</v>
      </c>
      <c r="O219" s="14">
        <v>0</v>
      </c>
      <c r="P219" s="13">
        <v>0</v>
      </c>
      <c r="Q219" s="183">
        <v>1</v>
      </c>
      <c r="R219" s="181">
        <v>2</v>
      </c>
      <c r="S219" s="178">
        <f t="shared" si="32"/>
        <v>0</v>
      </c>
      <c r="T219" s="186">
        <f t="shared" si="33"/>
        <v>3</v>
      </c>
      <c r="U219" s="179">
        <f t="shared" si="34"/>
        <v>3</v>
      </c>
      <c r="V219" s="1">
        <f t="shared" si="35"/>
        <v>25</v>
      </c>
      <c r="W219" s="8">
        <f t="shared" si="36"/>
        <v>6.25</v>
      </c>
      <c r="X219" s="15">
        <f t="shared" si="31"/>
        <v>1237.5</v>
      </c>
    </row>
    <row r="220" spans="1:24">
      <c r="A220" t="s">
        <v>930</v>
      </c>
      <c r="B220" s="163" t="s">
        <v>43</v>
      </c>
      <c r="C220" s="2" t="s">
        <v>13</v>
      </c>
      <c r="D220" s="2" t="s">
        <v>37</v>
      </c>
      <c r="E220" s="3">
        <v>45333.583333333336</v>
      </c>
      <c r="F220" s="2" t="s">
        <v>306</v>
      </c>
      <c r="G220" s="2" t="s">
        <v>318</v>
      </c>
      <c r="H220" s="2">
        <v>67</v>
      </c>
      <c r="I220" s="2">
        <v>67</v>
      </c>
      <c r="J220" s="2">
        <v>61</v>
      </c>
      <c r="K220" s="2">
        <v>1.45</v>
      </c>
      <c r="L220" s="2">
        <v>1.3</v>
      </c>
      <c r="M220" s="2"/>
      <c r="N220" s="1" t="s">
        <v>95</v>
      </c>
      <c r="O220" s="14">
        <v>0</v>
      </c>
      <c r="P220" s="13">
        <v>1</v>
      </c>
      <c r="Q220" s="183">
        <v>2</v>
      </c>
      <c r="R220" s="181">
        <v>1</v>
      </c>
      <c r="S220" s="178">
        <f t="shared" si="32"/>
        <v>1</v>
      </c>
      <c r="T220" s="186">
        <f t="shared" si="33"/>
        <v>3</v>
      </c>
      <c r="U220" s="179">
        <f t="shared" si="34"/>
        <v>2</v>
      </c>
      <c r="V220" s="1">
        <f t="shared" si="35"/>
        <v>25</v>
      </c>
      <c r="W220" s="8">
        <f t="shared" si="36"/>
        <v>6.25</v>
      </c>
      <c r="X220" s="15">
        <f t="shared" si="31"/>
        <v>1243.75</v>
      </c>
    </row>
    <row r="221" spans="1:24">
      <c r="A221" t="s">
        <v>930</v>
      </c>
      <c r="B221" s="163" t="s">
        <v>43</v>
      </c>
      <c r="C221" s="2" t="s">
        <v>6</v>
      </c>
      <c r="D221" s="2" t="s">
        <v>14</v>
      </c>
      <c r="E221" s="3">
        <v>45339.625</v>
      </c>
      <c r="F221" s="2" t="s">
        <v>290</v>
      </c>
      <c r="G221" s="2" t="s">
        <v>17</v>
      </c>
      <c r="H221" s="2">
        <v>70</v>
      </c>
      <c r="I221" s="2">
        <v>76</v>
      </c>
      <c r="J221" s="2">
        <v>59</v>
      </c>
      <c r="K221" s="2">
        <v>2.2000000000000002</v>
      </c>
      <c r="L221" s="2">
        <v>1.79</v>
      </c>
      <c r="M221" s="2"/>
      <c r="N221" s="1" t="s">
        <v>95</v>
      </c>
      <c r="O221" s="14">
        <v>0</v>
      </c>
      <c r="P221" s="14">
        <v>2</v>
      </c>
      <c r="Q221" s="183">
        <v>1</v>
      </c>
      <c r="R221" s="181">
        <v>2</v>
      </c>
      <c r="S221" s="178">
        <f t="shared" si="32"/>
        <v>2</v>
      </c>
      <c r="T221" s="186">
        <f t="shared" si="33"/>
        <v>3</v>
      </c>
      <c r="U221" s="179">
        <f t="shared" si="34"/>
        <v>1</v>
      </c>
      <c r="V221" s="1">
        <f t="shared" si="35"/>
        <v>25</v>
      </c>
      <c r="W221" s="8">
        <f t="shared" si="36"/>
        <v>6.25</v>
      </c>
      <c r="X221" s="15">
        <f t="shared" si="31"/>
        <v>1250</v>
      </c>
    </row>
    <row r="222" spans="1:24">
      <c r="A222" t="s">
        <v>930</v>
      </c>
      <c r="B222" s="163" t="s">
        <v>43</v>
      </c>
      <c r="C222" s="2" t="s">
        <v>20</v>
      </c>
      <c r="D222" s="2" t="s">
        <v>21</v>
      </c>
      <c r="E222" s="3">
        <v>45340.708333333336</v>
      </c>
      <c r="F222" s="2" t="s">
        <v>402</v>
      </c>
      <c r="G222" s="2" t="s">
        <v>380</v>
      </c>
      <c r="H222" s="2">
        <v>79</v>
      </c>
      <c r="I222" s="2">
        <v>73</v>
      </c>
      <c r="J222" s="2">
        <v>64</v>
      </c>
      <c r="K222" s="2">
        <v>1.95</v>
      </c>
      <c r="L222" s="2">
        <v>1.22</v>
      </c>
      <c r="M222" s="2"/>
      <c r="N222" s="1" t="s">
        <v>95</v>
      </c>
      <c r="O222" s="14">
        <v>0</v>
      </c>
      <c r="P222" s="14">
        <v>1</v>
      </c>
      <c r="Q222" s="183">
        <v>0</v>
      </c>
      <c r="R222" s="181">
        <v>3</v>
      </c>
      <c r="S222" s="178">
        <f t="shared" si="32"/>
        <v>1</v>
      </c>
      <c r="T222" s="186">
        <f t="shared" si="33"/>
        <v>3</v>
      </c>
      <c r="U222" s="179">
        <f t="shared" si="34"/>
        <v>2</v>
      </c>
      <c r="V222" s="1">
        <f t="shared" si="35"/>
        <v>25</v>
      </c>
      <c r="W222" s="8">
        <f t="shared" si="36"/>
        <v>6.25</v>
      </c>
      <c r="X222" s="15">
        <f t="shared" si="31"/>
        <v>1256.25</v>
      </c>
    </row>
    <row r="223" spans="1:24">
      <c r="A223" t="s">
        <v>930</v>
      </c>
      <c r="B223" s="163" t="s">
        <v>43</v>
      </c>
      <c r="C223" s="2" t="s">
        <v>6</v>
      </c>
      <c r="D223" s="2" t="s">
        <v>14</v>
      </c>
      <c r="E223" s="3">
        <v>45342.822916666664</v>
      </c>
      <c r="F223" s="2" t="s">
        <v>56</v>
      </c>
      <c r="G223" s="2" t="s">
        <v>387</v>
      </c>
      <c r="H223" s="2">
        <v>69</v>
      </c>
      <c r="I223" s="2">
        <v>67</v>
      </c>
      <c r="J223" s="2">
        <v>59</v>
      </c>
      <c r="K223" s="2">
        <v>2.2000000000000002</v>
      </c>
      <c r="L223" s="2">
        <v>1.19</v>
      </c>
      <c r="M223" s="2"/>
      <c r="N223" s="1" t="s">
        <v>95</v>
      </c>
      <c r="O223" s="14">
        <v>0</v>
      </c>
      <c r="P223" s="14">
        <v>2</v>
      </c>
      <c r="Q223" s="183">
        <v>1</v>
      </c>
      <c r="R223" s="181">
        <v>2</v>
      </c>
      <c r="S223" s="178">
        <f t="shared" si="32"/>
        <v>2</v>
      </c>
      <c r="T223" s="186">
        <f t="shared" si="33"/>
        <v>3</v>
      </c>
      <c r="U223" s="179">
        <f t="shared" si="34"/>
        <v>1</v>
      </c>
      <c r="V223" s="1">
        <f t="shared" si="35"/>
        <v>25</v>
      </c>
      <c r="W223" s="8">
        <f t="shared" si="36"/>
        <v>6.25</v>
      </c>
      <c r="X223" s="15">
        <f t="shared" si="31"/>
        <v>1262.5</v>
      </c>
    </row>
    <row r="224" spans="1:24">
      <c r="A224" t="s">
        <v>930</v>
      </c>
      <c r="B224" s="163" t="s">
        <v>43</v>
      </c>
      <c r="C224" s="2" t="s">
        <v>6</v>
      </c>
      <c r="D224" s="2" t="s">
        <v>14</v>
      </c>
      <c r="E224" s="3">
        <v>45346.625</v>
      </c>
      <c r="F224" s="2" t="s">
        <v>430</v>
      </c>
      <c r="G224" s="2" t="s">
        <v>262</v>
      </c>
      <c r="H224" s="2">
        <v>69</v>
      </c>
      <c r="I224" s="2">
        <v>67</v>
      </c>
      <c r="J224" s="2">
        <v>60</v>
      </c>
      <c r="K224" s="2">
        <v>1.8</v>
      </c>
      <c r="L224" s="2">
        <v>1.27</v>
      </c>
      <c r="M224" s="2"/>
      <c r="N224" s="1" t="s">
        <v>95</v>
      </c>
      <c r="O224" s="14">
        <v>0</v>
      </c>
      <c r="P224" s="14">
        <v>1</v>
      </c>
      <c r="Q224" s="183">
        <v>2</v>
      </c>
      <c r="R224" s="181">
        <v>1</v>
      </c>
      <c r="S224" s="178">
        <f t="shared" si="32"/>
        <v>1</v>
      </c>
      <c r="T224" s="186">
        <f t="shared" si="33"/>
        <v>3</v>
      </c>
      <c r="U224" s="179">
        <f t="shared" si="34"/>
        <v>2</v>
      </c>
      <c r="V224" s="1">
        <f t="shared" si="35"/>
        <v>25</v>
      </c>
      <c r="W224" s="8">
        <f t="shared" si="36"/>
        <v>6.25</v>
      </c>
      <c r="X224" s="15">
        <f t="shared" si="31"/>
        <v>1268.75</v>
      </c>
    </row>
    <row r="225" spans="1:24">
      <c r="A225" t="s">
        <v>930</v>
      </c>
      <c r="B225" s="163" t="s">
        <v>43</v>
      </c>
      <c r="C225" s="2" t="s">
        <v>6</v>
      </c>
      <c r="D225" s="2" t="s">
        <v>11</v>
      </c>
      <c r="E225" s="3">
        <v>45349.822916666664</v>
      </c>
      <c r="F225" s="2" t="s">
        <v>231</v>
      </c>
      <c r="G225" s="2" t="s">
        <v>162</v>
      </c>
      <c r="H225" s="2">
        <v>68</v>
      </c>
      <c r="I225" s="2">
        <v>75</v>
      </c>
      <c r="J225" s="2">
        <v>62</v>
      </c>
      <c r="K225" s="2">
        <v>2.25</v>
      </c>
      <c r="L225" s="2">
        <v>1.2</v>
      </c>
      <c r="M225" s="2"/>
      <c r="N225" s="1" t="s">
        <v>95</v>
      </c>
      <c r="O225" s="14">
        <v>1</v>
      </c>
      <c r="P225" s="14">
        <v>0</v>
      </c>
      <c r="Q225" s="183">
        <v>1</v>
      </c>
      <c r="R225" s="181">
        <v>2</v>
      </c>
      <c r="S225" s="178">
        <f t="shared" si="32"/>
        <v>1</v>
      </c>
      <c r="T225" s="186">
        <f t="shared" si="33"/>
        <v>3</v>
      </c>
      <c r="U225" s="179">
        <f t="shared" si="34"/>
        <v>2</v>
      </c>
      <c r="V225" s="1">
        <f t="shared" si="35"/>
        <v>25</v>
      </c>
      <c r="W225" s="8">
        <f t="shared" si="36"/>
        <v>6.25</v>
      </c>
      <c r="X225" s="15">
        <f t="shared" si="31"/>
        <v>1275</v>
      </c>
    </row>
    <row r="226" spans="1:24">
      <c r="A226" t="s">
        <v>930</v>
      </c>
      <c r="B226" s="163" t="s">
        <v>43</v>
      </c>
      <c r="C226" s="2" t="s">
        <v>119</v>
      </c>
      <c r="D226" s="2" t="s">
        <v>166</v>
      </c>
      <c r="E226" s="3">
        <v>45352.8125</v>
      </c>
      <c r="F226" s="2" t="s">
        <v>481</v>
      </c>
      <c r="G226" s="2" t="s">
        <v>238</v>
      </c>
      <c r="H226" s="2">
        <v>73</v>
      </c>
      <c r="I226" s="2">
        <v>70</v>
      </c>
      <c r="J226" s="2">
        <v>62</v>
      </c>
      <c r="K226" s="2">
        <v>1.5</v>
      </c>
      <c r="L226" s="2">
        <v>1.54</v>
      </c>
      <c r="M226" s="2"/>
      <c r="N226" s="1" t="s">
        <v>95</v>
      </c>
      <c r="O226" s="14">
        <v>1</v>
      </c>
      <c r="P226" s="14">
        <v>1</v>
      </c>
      <c r="Q226" s="183">
        <v>2</v>
      </c>
      <c r="R226" s="181">
        <v>1</v>
      </c>
      <c r="S226" s="178">
        <f t="shared" si="32"/>
        <v>2</v>
      </c>
      <c r="T226" s="186">
        <f t="shared" si="33"/>
        <v>3</v>
      </c>
      <c r="U226" s="179">
        <f t="shared" si="34"/>
        <v>1</v>
      </c>
      <c r="V226" s="1">
        <f t="shared" si="35"/>
        <v>25</v>
      </c>
      <c r="W226" s="8">
        <f t="shared" si="36"/>
        <v>6.25</v>
      </c>
      <c r="X226" s="15">
        <f t="shared" si="31"/>
        <v>1281.25</v>
      </c>
    </row>
    <row r="227" spans="1:24">
      <c r="A227" t="s">
        <v>930</v>
      </c>
      <c r="B227" s="163" t="s">
        <v>43</v>
      </c>
      <c r="C227" s="2" t="s">
        <v>80</v>
      </c>
      <c r="D227" s="2" t="s">
        <v>81</v>
      </c>
      <c r="E227" s="3">
        <v>45368.541666666664</v>
      </c>
      <c r="F227" s="2" t="s">
        <v>292</v>
      </c>
      <c r="G227" s="2" t="s">
        <v>320</v>
      </c>
      <c r="H227" s="2">
        <v>69</v>
      </c>
      <c r="I227" s="2">
        <v>75</v>
      </c>
      <c r="J227" s="2">
        <v>64</v>
      </c>
      <c r="K227" s="2">
        <v>1.55</v>
      </c>
      <c r="L227" s="2">
        <v>1.07</v>
      </c>
      <c r="M227" s="2"/>
      <c r="N227" s="1" t="s">
        <v>95</v>
      </c>
      <c r="O227" s="14">
        <v>1</v>
      </c>
      <c r="P227" s="14">
        <v>0</v>
      </c>
      <c r="Q227" s="183">
        <v>3</v>
      </c>
      <c r="R227" s="181">
        <v>0</v>
      </c>
      <c r="S227" s="178">
        <f t="shared" si="32"/>
        <v>1</v>
      </c>
      <c r="T227" s="186">
        <f t="shared" si="33"/>
        <v>3</v>
      </c>
      <c r="U227" s="179">
        <f t="shared" si="34"/>
        <v>2</v>
      </c>
      <c r="V227" s="1">
        <f t="shared" si="35"/>
        <v>25</v>
      </c>
      <c r="W227" s="8">
        <f t="shared" si="36"/>
        <v>6.25</v>
      </c>
      <c r="X227" s="15">
        <f t="shared" si="31"/>
        <v>1287.5</v>
      </c>
    </row>
    <row r="228" spans="1:24">
      <c r="A228" t="s">
        <v>930</v>
      </c>
      <c r="B228" s="163" t="s">
        <v>43</v>
      </c>
      <c r="C228" s="2" t="s">
        <v>434</v>
      </c>
      <c r="D228" s="2" t="s">
        <v>435</v>
      </c>
      <c r="E228" s="3">
        <v>45389.625</v>
      </c>
      <c r="F228" s="2" t="s">
        <v>533</v>
      </c>
      <c r="G228" s="2" t="s">
        <v>476</v>
      </c>
      <c r="H228" s="2">
        <v>69</v>
      </c>
      <c r="I228" s="2">
        <v>67</v>
      </c>
      <c r="J228" s="2">
        <v>62</v>
      </c>
      <c r="K228" s="2">
        <v>1.8</v>
      </c>
      <c r="L228" s="2">
        <v>1.1299999999999999</v>
      </c>
      <c r="M228" s="2"/>
      <c r="N228" s="1" t="s">
        <v>95</v>
      </c>
      <c r="O228" s="14">
        <v>2</v>
      </c>
      <c r="P228" s="14">
        <v>0</v>
      </c>
      <c r="Q228" s="183">
        <v>2</v>
      </c>
      <c r="R228" s="181">
        <v>1</v>
      </c>
      <c r="S228" s="178">
        <f t="shared" si="32"/>
        <v>2</v>
      </c>
      <c r="T228" s="186">
        <f t="shared" si="33"/>
        <v>3</v>
      </c>
      <c r="U228" s="179">
        <f t="shared" si="34"/>
        <v>1</v>
      </c>
      <c r="V228" s="1">
        <f t="shared" si="35"/>
        <v>25</v>
      </c>
      <c r="W228" s="8">
        <f t="shared" si="36"/>
        <v>6.25</v>
      </c>
      <c r="X228" s="15">
        <f t="shared" si="31"/>
        <v>1293.75</v>
      </c>
    </row>
    <row r="229" spans="1:24">
      <c r="A229" t="s">
        <v>930</v>
      </c>
      <c r="B229" s="163" t="s">
        <v>43</v>
      </c>
      <c r="C229" s="2" t="s">
        <v>20</v>
      </c>
      <c r="D229" s="2" t="s">
        <v>21</v>
      </c>
      <c r="E229" s="3">
        <v>45389.708333333336</v>
      </c>
      <c r="F229" s="2" t="s">
        <v>598</v>
      </c>
      <c r="G229" s="2" t="s">
        <v>24</v>
      </c>
      <c r="H229" s="2">
        <v>69</v>
      </c>
      <c r="I229" s="2">
        <v>67</v>
      </c>
      <c r="J229" s="2">
        <v>64</v>
      </c>
      <c r="K229" s="2">
        <v>1.5</v>
      </c>
      <c r="L229" s="2">
        <v>1.06</v>
      </c>
      <c r="M229" s="2"/>
      <c r="N229" s="1" t="s">
        <v>95</v>
      </c>
      <c r="O229" s="14">
        <v>1</v>
      </c>
      <c r="P229" s="14">
        <v>1</v>
      </c>
      <c r="Q229" s="183">
        <v>1</v>
      </c>
      <c r="R229" s="181">
        <v>2</v>
      </c>
      <c r="S229" s="178">
        <f t="shared" si="32"/>
        <v>2</v>
      </c>
      <c r="T229" s="186">
        <f t="shared" si="33"/>
        <v>3</v>
      </c>
      <c r="U229" s="179">
        <f t="shared" si="34"/>
        <v>1</v>
      </c>
      <c r="V229" s="1">
        <f t="shared" si="35"/>
        <v>25</v>
      </c>
      <c r="W229" s="8">
        <f t="shared" si="36"/>
        <v>6.25</v>
      </c>
      <c r="X229" s="15">
        <f t="shared" si="31"/>
        <v>1300</v>
      </c>
    </row>
    <row r="230" spans="1:24">
      <c r="A230" t="s">
        <v>930</v>
      </c>
      <c r="B230" s="163" t="s">
        <v>43</v>
      </c>
      <c r="C230" s="2" t="s">
        <v>516</v>
      </c>
      <c r="D230" s="2" t="s">
        <v>78</v>
      </c>
      <c r="E230" s="3">
        <v>45391.458333333336</v>
      </c>
      <c r="F230" s="2" t="s">
        <v>674</v>
      </c>
      <c r="G230" s="2" t="s">
        <v>538</v>
      </c>
      <c r="H230" s="2">
        <v>83</v>
      </c>
      <c r="I230" s="2">
        <v>74</v>
      </c>
      <c r="J230" s="2">
        <v>64</v>
      </c>
      <c r="K230" s="2">
        <v>1.65</v>
      </c>
      <c r="L230" s="2">
        <v>0.92</v>
      </c>
      <c r="M230" s="2"/>
      <c r="N230" s="1" t="s">
        <v>95</v>
      </c>
      <c r="O230" s="14">
        <v>0</v>
      </c>
      <c r="P230" s="14">
        <v>2</v>
      </c>
      <c r="Q230" s="183">
        <v>0</v>
      </c>
      <c r="R230" s="181">
        <v>3</v>
      </c>
      <c r="S230" s="178">
        <f t="shared" si="32"/>
        <v>2</v>
      </c>
      <c r="T230" s="186">
        <f t="shared" si="33"/>
        <v>3</v>
      </c>
      <c r="U230" s="179">
        <f t="shared" si="34"/>
        <v>1</v>
      </c>
      <c r="V230" s="1">
        <f t="shared" si="35"/>
        <v>25</v>
      </c>
      <c r="W230" s="8">
        <f t="shared" si="36"/>
        <v>6.25</v>
      </c>
      <c r="X230" s="15">
        <f t="shared" si="31"/>
        <v>1306.25</v>
      </c>
    </row>
    <row r="231" spans="1:24">
      <c r="A231" t="s">
        <v>930</v>
      </c>
      <c r="B231" s="163" t="s">
        <v>43</v>
      </c>
      <c r="C231" s="2" t="s">
        <v>6</v>
      </c>
      <c r="D231" s="2" t="s">
        <v>14</v>
      </c>
      <c r="E231" s="3">
        <v>45391.822916666664</v>
      </c>
      <c r="F231" s="2" t="s">
        <v>56</v>
      </c>
      <c r="G231" s="2" t="s">
        <v>376</v>
      </c>
      <c r="H231" s="2">
        <v>69</v>
      </c>
      <c r="I231" s="2">
        <v>68</v>
      </c>
      <c r="J231" s="2">
        <v>63</v>
      </c>
      <c r="K231" s="2">
        <v>2.25</v>
      </c>
      <c r="L231" s="2">
        <v>1.63</v>
      </c>
      <c r="M231" s="2"/>
      <c r="N231" s="1" t="s">
        <v>95</v>
      </c>
      <c r="O231" s="13">
        <v>2</v>
      </c>
      <c r="P231" s="14">
        <v>0</v>
      </c>
      <c r="Q231" s="183">
        <v>2</v>
      </c>
      <c r="R231" s="181">
        <v>1</v>
      </c>
      <c r="S231" s="178">
        <f t="shared" si="32"/>
        <v>2</v>
      </c>
      <c r="T231" s="186">
        <f t="shared" si="33"/>
        <v>3</v>
      </c>
      <c r="U231" s="179">
        <f t="shared" si="34"/>
        <v>1</v>
      </c>
      <c r="V231" s="1">
        <f t="shared" si="35"/>
        <v>25</v>
      </c>
      <c r="W231" s="8">
        <f t="shared" si="36"/>
        <v>6.25</v>
      </c>
      <c r="X231" s="15">
        <f t="shared" si="31"/>
        <v>1312.5</v>
      </c>
    </row>
    <row r="232" spans="1:24">
      <c r="A232" t="s">
        <v>930</v>
      </c>
      <c r="B232" s="163" t="s">
        <v>43</v>
      </c>
      <c r="C232" s="2" t="s">
        <v>6</v>
      </c>
      <c r="D232" s="2" t="s">
        <v>14</v>
      </c>
      <c r="E232" s="3">
        <v>45395.625</v>
      </c>
      <c r="F232" s="2" t="s">
        <v>680</v>
      </c>
      <c r="G232" s="2" t="s">
        <v>376</v>
      </c>
      <c r="H232" s="2">
        <v>70</v>
      </c>
      <c r="I232" s="2">
        <v>68</v>
      </c>
      <c r="J232" s="2">
        <v>63</v>
      </c>
      <c r="K232" s="2">
        <v>1.6</v>
      </c>
      <c r="L232" s="2">
        <v>1.34</v>
      </c>
      <c r="M232" s="2"/>
      <c r="N232" s="1" t="s">
        <v>95</v>
      </c>
      <c r="O232" s="14">
        <v>2</v>
      </c>
      <c r="P232" s="14">
        <v>0</v>
      </c>
      <c r="Q232" s="183">
        <v>3</v>
      </c>
      <c r="R232" s="181">
        <v>0</v>
      </c>
      <c r="S232" s="178">
        <f t="shared" si="32"/>
        <v>2</v>
      </c>
      <c r="T232" s="186">
        <f t="shared" si="33"/>
        <v>3</v>
      </c>
      <c r="U232" s="179">
        <f t="shared" si="34"/>
        <v>1</v>
      </c>
      <c r="V232" s="1">
        <f t="shared" si="35"/>
        <v>25</v>
      </c>
      <c r="W232" s="8">
        <f t="shared" si="36"/>
        <v>6.25</v>
      </c>
      <c r="X232" s="15">
        <f t="shared" si="31"/>
        <v>1318.75</v>
      </c>
    </row>
    <row r="233" spans="1:24">
      <c r="A233" t="s">
        <v>930</v>
      </c>
      <c r="B233" s="163" t="s">
        <v>43</v>
      </c>
      <c r="C233" s="2" t="s">
        <v>6</v>
      </c>
      <c r="D233" s="2" t="s">
        <v>11</v>
      </c>
      <c r="E233" s="3">
        <v>45395.625</v>
      </c>
      <c r="F233" s="2" t="s">
        <v>736</v>
      </c>
      <c r="G233" s="2" t="s">
        <v>737</v>
      </c>
      <c r="H233" s="2">
        <v>68</v>
      </c>
      <c r="I233" s="2">
        <v>69</v>
      </c>
      <c r="J233" s="2">
        <v>60</v>
      </c>
      <c r="K233" s="2">
        <v>1.7</v>
      </c>
      <c r="L233" s="2">
        <v>1.26</v>
      </c>
      <c r="M233" s="2"/>
      <c r="N233" s="1" t="s">
        <v>95</v>
      </c>
      <c r="O233" s="14">
        <v>1</v>
      </c>
      <c r="P233" s="14">
        <v>1</v>
      </c>
      <c r="Q233" s="183">
        <v>1</v>
      </c>
      <c r="R233" s="181">
        <v>2</v>
      </c>
      <c r="S233" s="178">
        <f t="shared" si="32"/>
        <v>2</v>
      </c>
      <c r="T233" s="186">
        <f t="shared" si="33"/>
        <v>3</v>
      </c>
      <c r="U233" s="179">
        <f t="shared" si="34"/>
        <v>1</v>
      </c>
      <c r="V233" s="1">
        <f t="shared" si="35"/>
        <v>25</v>
      </c>
      <c r="W233" s="8">
        <f t="shared" si="36"/>
        <v>6.25</v>
      </c>
      <c r="X233" s="15">
        <f t="shared" si="31"/>
        <v>1325</v>
      </c>
    </row>
    <row r="234" spans="1:24">
      <c r="A234" t="s">
        <v>930</v>
      </c>
      <c r="B234" s="163" t="s">
        <v>43</v>
      </c>
      <c r="C234" s="2" t="s">
        <v>119</v>
      </c>
      <c r="D234" s="2" t="s">
        <v>166</v>
      </c>
      <c r="E234" s="154">
        <v>45396.833333333336</v>
      </c>
      <c r="F234" s="155" t="s">
        <v>723</v>
      </c>
      <c r="G234" s="2" t="s">
        <v>606</v>
      </c>
      <c r="H234" s="2">
        <v>75</v>
      </c>
      <c r="I234" s="2">
        <v>75</v>
      </c>
      <c r="J234" s="2">
        <v>62</v>
      </c>
      <c r="K234" s="2">
        <v>1.55</v>
      </c>
      <c r="L234" s="2">
        <v>1.1599999999999999</v>
      </c>
      <c r="M234" s="2"/>
      <c r="N234" s="1" t="s">
        <v>95</v>
      </c>
      <c r="O234" s="14">
        <v>0</v>
      </c>
      <c r="P234" s="14">
        <v>1</v>
      </c>
      <c r="Q234" s="183">
        <v>2</v>
      </c>
      <c r="R234" s="181">
        <v>1</v>
      </c>
      <c r="S234" s="178">
        <f t="shared" si="32"/>
        <v>1</v>
      </c>
      <c r="T234" s="186">
        <f t="shared" si="33"/>
        <v>3</v>
      </c>
      <c r="U234" s="179">
        <f t="shared" si="34"/>
        <v>2</v>
      </c>
      <c r="V234" s="1">
        <f t="shared" si="35"/>
        <v>25</v>
      </c>
      <c r="W234" s="8">
        <f t="shared" si="36"/>
        <v>6.25</v>
      </c>
      <c r="X234" s="15">
        <f t="shared" si="31"/>
        <v>1331.25</v>
      </c>
    </row>
    <row r="235" spans="1:24">
      <c r="A235" t="s">
        <v>930</v>
      </c>
      <c r="B235" s="163" t="s">
        <v>43</v>
      </c>
      <c r="C235" s="2" t="s">
        <v>44</v>
      </c>
      <c r="D235" s="2" t="s">
        <v>45</v>
      </c>
      <c r="E235" s="3">
        <v>45402.270833333336</v>
      </c>
      <c r="F235" s="2" t="s">
        <v>321</v>
      </c>
      <c r="G235" s="2" t="s">
        <v>126</v>
      </c>
      <c r="H235" s="2">
        <v>69</v>
      </c>
      <c r="I235" s="2">
        <v>69</v>
      </c>
      <c r="J235" s="2">
        <v>59</v>
      </c>
      <c r="K235" s="2">
        <v>2.1</v>
      </c>
      <c r="L235" s="2">
        <v>1.52</v>
      </c>
      <c r="M235" s="2"/>
      <c r="N235" s="1" t="s">
        <v>95</v>
      </c>
      <c r="O235" s="14">
        <v>0</v>
      </c>
      <c r="P235" s="14">
        <v>2</v>
      </c>
      <c r="Q235" s="183">
        <v>1</v>
      </c>
      <c r="R235" s="181">
        <v>2</v>
      </c>
      <c r="S235" s="178">
        <f t="shared" si="32"/>
        <v>2</v>
      </c>
      <c r="T235" s="186">
        <f t="shared" si="33"/>
        <v>3</v>
      </c>
      <c r="U235" s="179">
        <f t="shared" si="34"/>
        <v>1</v>
      </c>
      <c r="V235" s="1">
        <f t="shared" si="35"/>
        <v>25</v>
      </c>
      <c r="W235" s="8">
        <f t="shared" si="36"/>
        <v>6.25</v>
      </c>
      <c r="X235" s="15">
        <f t="shared" si="31"/>
        <v>1337.5</v>
      </c>
    </row>
    <row r="236" spans="1:24">
      <c r="A236" t="s">
        <v>930</v>
      </c>
      <c r="B236" s="163" t="s">
        <v>43</v>
      </c>
      <c r="C236" s="2" t="s">
        <v>6</v>
      </c>
      <c r="D236" s="2" t="s">
        <v>14</v>
      </c>
      <c r="E236" s="3">
        <v>45402.520833333336</v>
      </c>
      <c r="F236" s="2" t="s">
        <v>290</v>
      </c>
      <c r="G236" s="2" t="s">
        <v>414</v>
      </c>
      <c r="H236" s="2">
        <v>70</v>
      </c>
      <c r="I236" s="2">
        <v>67</v>
      </c>
      <c r="J236" s="2">
        <v>64</v>
      </c>
      <c r="K236" s="2">
        <v>1.9</v>
      </c>
      <c r="L236" s="2">
        <v>1.71</v>
      </c>
      <c r="M236" s="2"/>
      <c r="N236" s="1" t="s">
        <v>95</v>
      </c>
      <c r="O236" s="14">
        <v>1</v>
      </c>
      <c r="P236" s="14">
        <v>0</v>
      </c>
      <c r="Q236" s="183">
        <v>2</v>
      </c>
      <c r="R236" s="181">
        <v>1</v>
      </c>
      <c r="S236" s="178">
        <f t="shared" si="32"/>
        <v>1</v>
      </c>
      <c r="T236" s="186">
        <f t="shared" si="33"/>
        <v>3</v>
      </c>
      <c r="U236" s="179">
        <f t="shared" si="34"/>
        <v>2</v>
      </c>
      <c r="V236" s="1">
        <f t="shared" si="35"/>
        <v>25</v>
      </c>
      <c r="W236" s="8">
        <f t="shared" si="36"/>
        <v>6.25</v>
      </c>
      <c r="X236" s="15">
        <f t="shared" si="31"/>
        <v>1343.75</v>
      </c>
    </row>
    <row r="237" spans="1:24">
      <c r="A237" t="s">
        <v>930</v>
      </c>
      <c r="B237" s="163" t="s">
        <v>43</v>
      </c>
      <c r="C237" s="2" t="s">
        <v>119</v>
      </c>
      <c r="D237" s="2" t="s">
        <v>120</v>
      </c>
      <c r="E237" s="3">
        <v>45403.635416666664</v>
      </c>
      <c r="F237" s="2" t="s">
        <v>480</v>
      </c>
      <c r="G237" s="2" t="s">
        <v>362</v>
      </c>
      <c r="H237" s="2">
        <v>67</v>
      </c>
      <c r="I237" s="2">
        <v>71</v>
      </c>
      <c r="J237" s="2">
        <v>61</v>
      </c>
      <c r="K237" s="2">
        <v>1.95</v>
      </c>
      <c r="L237" s="2">
        <v>1.53</v>
      </c>
      <c r="M237" s="2"/>
      <c r="N237" s="1" t="s">
        <v>95</v>
      </c>
      <c r="O237" s="14">
        <v>1</v>
      </c>
      <c r="P237" s="14">
        <v>1</v>
      </c>
      <c r="Q237" s="183">
        <v>1</v>
      </c>
      <c r="R237" s="181">
        <v>2</v>
      </c>
      <c r="S237" s="178">
        <f t="shared" si="32"/>
        <v>2</v>
      </c>
      <c r="T237" s="186">
        <f t="shared" si="33"/>
        <v>3</v>
      </c>
      <c r="U237" s="179">
        <f t="shared" si="34"/>
        <v>1</v>
      </c>
      <c r="V237" s="1">
        <f t="shared" si="35"/>
        <v>25</v>
      </c>
      <c r="W237" s="8">
        <f t="shared" si="36"/>
        <v>6.25</v>
      </c>
      <c r="X237" s="15">
        <f t="shared" si="31"/>
        <v>1350</v>
      </c>
    </row>
    <row r="238" spans="1:24">
      <c r="A238" t="s">
        <v>930</v>
      </c>
      <c r="B238" s="163" t="s">
        <v>43</v>
      </c>
      <c r="C238" s="2" t="s">
        <v>6</v>
      </c>
      <c r="D238" s="2" t="s">
        <v>14</v>
      </c>
      <c r="E238" s="3">
        <v>45409.625</v>
      </c>
      <c r="F238" s="2" t="s">
        <v>202</v>
      </c>
      <c r="G238" s="2" t="s">
        <v>414</v>
      </c>
      <c r="H238" s="2">
        <v>69</v>
      </c>
      <c r="I238" s="2">
        <v>69</v>
      </c>
      <c r="J238" s="2">
        <v>62</v>
      </c>
      <c r="K238" s="2">
        <v>1.65</v>
      </c>
      <c r="L238" s="2">
        <v>1.52</v>
      </c>
      <c r="M238" s="2"/>
      <c r="N238" s="1" t="s">
        <v>95</v>
      </c>
      <c r="O238" s="14">
        <v>1</v>
      </c>
      <c r="P238" s="14">
        <v>0</v>
      </c>
      <c r="Q238" s="183">
        <v>3</v>
      </c>
      <c r="R238" s="181">
        <v>0</v>
      </c>
      <c r="S238" s="178">
        <f t="shared" si="32"/>
        <v>1</v>
      </c>
      <c r="T238" s="186">
        <f t="shared" si="33"/>
        <v>3</v>
      </c>
      <c r="U238" s="179">
        <f t="shared" si="34"/>
        <v>2</v>
      </c>
      <c r="V238" s="1">
        <f t="shared" si="35"/>
        <v>25</v>
      </c>
      <c r="W238" s="8">
        <f t="shared" si="36"/>
        <v>6.25</v>
      </c>
      <c r="X238" s="15">
        <f t="shared" si="31"/>
        <v>1356.25</v>
      </c>
    </row>
    <row r="239" spans="1:24">
      <c r="A239" t="s">
        <v>930</v>
      </c>
      <c r="B239" s="163" t="s">
        <v>43</v>
      </c>
      <c r="C239" s="2" t="s">
        <v>145</v>
      </c>
      <c r="D239" s="2" t="s">
        <v>190</v>
      </c>
      <c r="E239" s="3">
        <v>45431.833333333336</v>
      </c>
      <c r="F239" s="2" t="s">
        <v>570</v>
      </c>
      <c r="G239" s="2" t="s">
        <v>783</v>
      </c>
      <c r="H239" s="2">
        <v>75</v>
      </c>
      <c r="I239" s="2">
        <v>81</v>
      </c>
      <c r="J239" s="2">
        <v>61</v>
      </c>
      <c r="K239" s="2">
        <v>1.95</v>
      </c>
      <c r="L239" s="2">
        <v>1.33</v>
      </c>
      <c r="M239" s="2"/>
      <c r="N239" s="1" t="s">
        <v>95</v>
      </c>
      <c r="O239" s="14">
        <v>0</v>
      </c>
      <c r="P239" s="14">
        <v>0</v>
      </c>
      <c r="Q239" s="183">
        <v>0</v>
      </c>
      <c r="R239" s="181">
        <v>3</v>
      </c>
      <c r="S239" s="178">
        <f t="shared" si="32"/>
        <v>0</v>
      </c>
      <c r="T239" s="186">
        <f t="shared" si="33"/>
        <v>3</v>
      </c>
      <c r="U239" s="179">
        <f t="shared" si="34"/>
        <v>3</v>
      </c>
      <c r="V239" s="1">
        <f t="shared" si="35"/>
        <v>25</v>
      </c>
      <c r="W239" s="8">
        <f t="shared" si="36"/>
        <v>6.25</v>
      </c>
      <c r="X239" s="15">
        <f t="shared" si="31"/>
        <v>1362.5</v>
      </c>
    </row>
    <row r="240" spans="1:24">
      <c r="A240" t="s">
        <v>930</v>
      </c>
      <c r="B240" s="163" t="s">
        <v>726</v>
      </c>
      <c r="C240" s="2" t="s">
        <v>44</v>
      </c>
      <c r="D240" s="2" t="s">
        <v>45</v>
      </c>
      <c r="E240" s="3">
        <v>45394.447916666664</v>
      </c>
      <c r="F240" s="2" t="s">
        <v>124</v>
      </c>
      <c r="G240" s="2" t="s">
        <v>143</v>
      </c>
      <c r="H240" s="2">
        <v>80</v>
      </c>
      <c r="I240" s="2">
        <v>20</v>
      </c>
      <c r="J240" s="2">
        <v>2.15</v>
      </c>
      <c r="K240" s="2">
        <v>64</v>
      </c>
      <c r="L240" s="2"/>
      <c r="M240" s="2"/>
      <c r="N240" s="1" t="s">
        <v>95</v>
      </c>
      <c r="O240" s="13">
        <v>1</v>
      </c>
      <c r="P240" s="14">
        <v>0</v>
      </c>
      <c r="Q240" s="183">
        <v>1</v>
      </c>
      <c r="R240" s="181">
        <v>2</v>
      </c>
      <c r="S240" s="178">
        <f t="shared" si="32"/>
        <v>1</v>
      </c>
      <c r="T240" s="186">
        <f t="shared" si="33"/>
        <v>3</v>
      </c>
      <c r="U240" s="179">
        <f t="shared" si="34"/>
        <v>2</v>
      </c>
      <c r="V240" s="1">
        <f t="shared" si="35"/>
        <v>25</v>
      </c>
      <c r="W240" s="8">
        <f t="shared" si="36"/>
        <v>6.25</v>
      </c>
      <c r="X240" s="15">
        <f t="shared" si="31"/>
        <v>1368.75</v>
      </c>
    </row>
    <row r="241" spans="1:24">
      <c r="A241" t="s">
        <v>930</v>
      </c>
      <c r="B241" s="163" t="s">
        <v>726</v>
      </c>
      <c r="C241" s="2" t="s">
        <v>31</v>
      </c>
      <c r="D241" s="2" t="s">
        <v>32</v>
      </c>
      <c r="E241" s="3">
        <v>45398.822916666664</v>
      </c>
      <c r="F241" s="2" t="s">
        <v>33</v>
      </c>
      <c r="G241" s="2" t="s">
        <v>419</v>
      </c>
      <c r="H241" s="2">
        <v>95</v>
      </c>
      <c r="I241" s="2">
        <v>20</v>
      </c>
      <c r="J241" s="2">
        <v>2.1</v>
      </c>
      <c r="K241" s="2">
        <v>63</v>
      </c>
      <c r="L241" s="2"/>
      <c r="M241" s="2"/>
      <c r="N241" s="1" t="s">
        <v>95</v>
      </c>
      <c r="O241" s="14">
        <v>1</v>
      </c>
      <c r="P241" s="14">
        <v>1</v>
      </c>
      <c r="Q241" s="183">
        <v>2</v>
      </c>
      <c r="R241" s="181">
        <v>1</v>
      </c>
      <c r="S241" s="178">
        <f t="shared" si="32"/>
        <v>2</v>
      </c>
      <c r="T241" s="186">
        <f t="shared" si="33"/>
        <v>3</v>
      </c>
      <c r="U241" s="179">
        <f t="shared" si="34"/>
        <v>1</v>
      </c>
      <c r="V241" s="1">
        <f t="shared" si="35"/>
        <v>25</v>
      </c>
      <c r="W241" s="8">
        <f t="shared" si="36"/>
        <v>6.25</v>
      </c>
      <c r="X241" s="15">
        <f t="shared" ref="X241:X301" si="37">SUM(X240,W241)</f>
        <v>1375</v>
      </c>
    </row>
    <row r="242" spans="1:24">
      <c r="A242" t="s">
        <v>930</v>
      </c>
      <c r="B242" s="163" t="s">
        <v>726</v>
      </c>
      <c r="C242" s="2" t="s">
        <v>44</v>
      </c>
      <c r="D242" s="2" t="s">
        <v>45</v>
      </c>
      <c r="E242" s="3">
        <v>45402.270833333336</v>
      </c>
      <c r="F242" s="2" t="s">
        <v>321</v>
      </c>
      <c r="G242" s="2" t="s">
        <v>126</v>
      </c>
      <c r="H242" s="2">
        <v>90</v>
      </c>
      <c r="I242" s="2">
        <v>20</v>
      </c>
      <c r="J242" s="2">
        <v>2.1</v>
      </c>
      <c r="K242" s="2">
        <v>59</v>
      </c>
      <c r="L242" s="2"/>
      <c r="M242" s="2"/>
      <c r="N242" s="1" t="s">
        <v>95</v>
      </c>
      <c r="O242" s="14">
        <v>0</v>
      </c>
      <c r="P242" s="14">
        <v>2</v>
      </c>
      <c r="Q242" s="183">
        <v>1</v>
      </c>
      <c r="R242" s="181">
        <v>2</v>
      </c>
      <c r="S242" s="178">
        <f t="shared" si="32"/>
        <v>2</v>
      </c>
      <c r="T242" s="186">
        <f t="shared" si="33"/>
        <v>3</v>
      </c>
      <c r="U242" s="179">
        <f t="shared" si="34"/>
        <v>1</v>
      </c>
      <c r="V242" s="1">
        <f t="shared" si="35"/>
        <v>25</v>
      </c>
      <c r="W242" s="8">
        <f t="shared" si="36"/>
        <v>6.25</v>
      </c>
      <c r="X242" s="15">
        <f t="shared" si="37"/>
        <v>1381.25</v>
      </c>
    </row>
    <row r="243" spans="1:24">
      <c r="A243" t="s">
        <v>930</v>
      </c>
      <c r="B243" s="163" t="s">
        <v>726</v>
      </c>
      <c r="C243" s="2" t="s">
        <v>6</v>
      </c>
      <c r="D243" s="2" t="s">
        <v>14</v>
      </c>
      <c r="E243" s="3">
        <v>45402.520833333336</v>
      </c>
      <c r="F243" s="2" t="s">
        <v>290</v>
      </c>
      <c r="G243" s="2" t="s">
        <v>414</v>
      </c>
      <c r="H243" s="2">
        <v>85</v>
      </c>
      <c r="I243" s="2">
        <v>20</v>
      </c>
      <c r="J243" s="2">
        <v>1.9</v>
      </c>
      <c r="K243" s="2">
        <v>64</v>
      </c>
      <c r="L243" s="2"/>
      <c r="M243" s="2"/>
      <c r="N243" s="1" t="s">
        <v>95</v>
      </c>
      <c r="O243" s="14">
        <v>1</v>
      </c>
      <c r="P243" s="14">
        <v>0</v>
      </c>
      <c r="Q243" s="183">
        <v>2</v>
      </c>
      <c r="R243" s="181">
        <v>1</v>
      </c>
      <c r="S243" s="178">
        <f t="shared" si="32"/>
        <v>1</v>
      </c>
      <c r="T243" s="186">
        <f t="shared" si="33"/>
        <v>3</v>
      </c>
      <c r="U243" s="179">
        <f t="shared" si="34"/>
        <v>2</v>
      </c>
      <c r="V243" s="1">
        <f t="shared" si="35"/>
        <v>25</v>
      </c>
      <c r="W243" s="8">
        <f t="shared" si="36"/>
        <v>6.25</v>
      </c>
      <c r="X243" s="15">
        <f t="shared" si="37"/>
        <v>1387.5</v>
      </c>
    </row>
    <row r="244" spans="1:24">
      <c r="A244" t="s">
        <v>930</v>
      </c>
      <c r="B244" s="163" t="s">
        <v>726</v>
      </c>
      <c r="C244" s="2" t="s">
        <v>58</v>
      </c>
      <c r="D244" s="2" t="s">
        <v>59</v>
      </c>
      <c r="E244" s="3">
        <v>45402.854166666664</v>
      </c>
      <c r="F244" s="2" t="s">
        <v>112</v>
      </c>
      <c r="G244" s="2" t="s">
        <v>121</v>
      </c>
      <c r="H244" s="2">
        <v>80</v>
      </c>
      <c r="I244" s="2">
        <v>20</v>
      </c>
      <c r="J244" s="2">
        <v>1.9</v>
      </c>
      <c r="K244" s="2">
        <v>56</v>
      </c>
      <c r="L244" s="2"/>
      <c r="M244" s="2"/>
      <c r="N244" s="2" t="s">
        <v>95</v>
      </c>
      <c r="O244" s="14">
        <v>0</v>
      </c>
      <c r="P244" s="14">
        <v>0</v>
      </c>
      <c r="Q244" s="183">
        <v>2</v>
      </c>
      <c r="R244" s="181">
        <v>1</v>
      </c>
      <c r="S244" s="178">
        <f t="shared" si="32"/>
        <v>0</v>
      </c>
      <c r="T244" s="186">
        <f t="shared" si="33"/>
        <v>3</v>
      </c>
      <c r="U244" s="179">
        <f t="shared" si="34"/>
        <v>3</v>
      </c>
      <c r="V244" s="1">
        <f t="shared" si="35"/>
        <v>25</v>
      </c>
      <c r="W244" s="8">
        <f t="shared" si="36"/>
        <v>6.25</v>
      </c>
      <c r="X244" s="15">
        <f t="shared" si="37"/>
        <v>1393.75</v>
      </c>
    </row>
    <row r="245" spans="1:24">
      <c r="A245" t="s">
        <v>930</v>
      </c>
      <c r="B245" s="163" t="s">
        <v>726</v>
      </c>
      <c r="C245" s="2" t="s">
        <v>133</v>
      </c>
      <c r="D245" s="2" t="s">
        <v>78</v>
      </c>
      <c r="E245" s="3">
        <v>45403.729166666664</v>
      </c>
      <c r="F245" s="2" t="s">
        <v>136</v>
      </c>
      <c r="G245" s="2" t="s">
        <v>447</v>
      </c>
      <c r="H245" s="2">
        <v>80</v>
      </c>
      <c r="I245" s="2">
        <v>20</v>
      </c>
      <c r="J245" s="2">
        <v>1.85</v>
      </c>
      <c r="K245" s="2">
        <v>63</v>
      </c>
      <c r="L245" s="2"/>
      <c r="M245" s="2"/>
      <c r="N245" s="2" t="s">
        <v>95</v>
      </c>
      <c r="O245" s="14">
        <v>1</v>
      </c>
      <c r="P245" s="14">
        <v>0</v>
      </c>
      <c r="Q245" s="183">
        <v>1</v>
      </c>
      <c r="R245" s="181">
        <v>2</v>
      </c>
      <c r="S245" s="178">
        <f t="shared" si="32"/>
        <v>1</v>
      </c>
      <c r="T245" s="186">
        <f t="shared" si="33"/>
        <v>3</v>
      </c>
      <c r="U245" s="179">
        <f t="shared" si="34"/>
        <v>2</v>
      </c>
      <c r="V245" s="1">
        <f t="shared" si="35"/>
        <v>25</v>
      </c>
      <c r="W245" s="8">
        <f t="shared" si="36"/>
        <v>6.25</v>
      </c>
      <c r="X245" s="15">
        <f t="shared" si="37"/>
        <v>1400</v>
      </c>
    </row>
    <row r="246" spans="1:24">
      <c r="A246" t="s">
        <v>930</v>
      </c>
      <c r="B246" s="163" t="s">
        <v>726</v>
      </c>
      <c r="C246" s="2" t="s">
        <v>149</v>
      </c>
      <c r="D246" s="2" t="s">
        <v>150</v>
      </c>
      <c r="E246" s="3">
        <v>45408.791666666664</v>
      </c>
      <c r="F246" s="2" t="s">
        <v>179</v>
      </c>
      <c r="G246" s="2" t="s">
        <v>152</v>
      </c>
      <c r="H246" s="2">
        <v>100</v>
      </c>
      <c r="I246" s="2">
        <v>20</v>
      </c>
      <c r="J246" s="2">
        <v>2.0499999999999998</v>
      </c>
      <c r="K246" s="2">
        <v>64</v>
      </c>
      <c r="L246" s="2"/>
      <c r="M246" s="2"/>
      <c r="N246" s="2" t="s">
        <v>95</v>
      </c>
      <c r="O246" s="14">
        <v>1</v>
      </c>
      <c r="P246" s="14">
        <v>0</v>
      </c>
      <c r="Q246" s="183">
        <v>3</v>
      </c>
      <c r="R246" s="181">
        <v>0</v>
      </c>
      <c r="S246" s="178">
        <f t="shared" si="32"/>
        <v>1</v>
      </c>
      <c r="T246" s="186">
        <f t="shared" si="33"/>
        <v>3</v>
      </c>
      <c r="U246" s="179">
        <f t="shared" si="34"/>
        <v>2</v>
      </c>
      <c r="V246" s="1">
        <f t="shared" si="35"/>
        <v>25</v>
      </c>
      <c r="W246" s="8">
        <f t="shared" si="36"/>
        <v>6.25</v>
      </c>
      <c r="X246" s="15">
        <f t="shared" si="37"/>
        <v>1406.25</v>
      </c>
    </row>
    <row r="247" spans="1:24">
      <c r="A247" t="s">
        <v>930</v>
      </c>
      <c r="B247" s="163" t="s">
        <v>726</v>
      </c>
      <c r="C247" s="2" t="s">
        <v>31</v>
      </c>
      <c r="D247" s="2" t="s">
        <v>32</v>
      </c>
      <c r="E247" s="3">
        <v>45409.729166666664</v>
      </c>
      <c r="F247" s="2" t="s">
        <v>584</v>
      </c>
      <c r="G247" s="2" t="s">
        <v>620</v>
      </c>
      <c r="H247" s="2">
        <v>85</v>
      </c>
      <c r="I247" s="2">
        <v>20</v>
      </c>
      <c r="J247" s="2">
        <v>1.9</v>
      </c>
      <c r="K247" s="2">
        <v>60</v>
      </c>
      <c r="L247" s="2"/>
      <c r="M247" s="2"/>
      <c r="N247" s="2" t="s">
        <v>95</v>
      </c>
      <c r="O247" s="14">
        <v>1</v>
      </c>
      <c r="P247" s="14">
        <v>0</v>
      </c>
      <c r="Q247" s="183">
        <v>3</v>
      </c>
      <c r="R247" s="181">
        <v>0</v>
      </c>
      <c r="S247" s="178">
        <f t="shared" si="32"/>
        <v>1</v>
      </c>
      <c r="T247" s="186">
        <f t="shared" si="33"/>
        <v>3</v>
      </c>
      <c r="U247" s="179">
        <f t="shared" si="34"/>
        <v>2</v>
      </c>
      <c r="V247" s="1">
        <f t="shared" ref="V247:V307" si="38">SUM($X$1*0.05)</f>
        <v>25</v>
      </c>
      <c r="W247" s="8">
        <f t="shared" si="36"/>
        <v>6.25</v>
      </c>
      <c r="X247" s="15">
        <f t="shared" si="37"/>
        <v>1412.5</v>
      </c>
    </row>
    <row r="248" spans="1:24">
      <c r="A248" t="s">
        <v>930</v>
      </c>
      <c r="B248" s="163" t="s">
        <v>726</v>
      </c>
      <c r="C248" s="2" t="s">
        <v>149</v>
      </c>
      <c r="D248" s="2" t="s">
        <v>153</v>
      </c>
      <c r="E248" s="3">
        <v>45410.46875</v>
      </c>
      <c r="F248" s="2" t="s">
        <v>241</v>
      </c>
      <c r="G248" s="2" t="s">
        <v>245</v>
      </c>
      <c r="H248" s="2">
        <v>85</v>
      </c>
      <c r="I248" s="2">
        <v>20</v>
      </c>
      <c r="J248" s="2">
        <v>1.9</v>
      </c>
      <c r="K248" s="2">
        <v>58</v>
      </c>
      <c r="L248" s="2"/>
      <c r="M248" s="2"/>
      <c r="N248" s="2" t="s">
        <v>95</v>
      </c>
      <c r="O248" s="14">
        <v>0</v>
      </c>
      <c r="P248" s="14">
        <v>1</v>
      </c>
      <c r="Q248" s="183">
        <v>0</v>
      </c>
      <c r="R248" s="181">
        <v>3</v>
      </c>
      <c r="S248" s="178">
        <f t="shared" si="32"/>
        <v>1</v>
      </c>
      <c r="T248" s="186">
        <f t="shared" si="33"/>
        <v>3</v>
      </c>
      <c r="U248" s="179">
        <f t="shared" si="34"/>
        <v>2</v>
      </c>
      <c r="V248" s="1">
        <f t="shared" si="38"/>
        <v>25</v>
      </c>
      <c r="W248" s="8">
        <f t="shared" si="36"/>
        <v>6.25</v>
      </c>
      <c r="X248" s="15">
        <f t="shared" si="37"/>
        <v>1418.75</v>
      </c>
    </row>
    <row r="249" spans="1:24">
      <c r="A249" t="s">
        <v>930</v>
      </c>
      <c r="B249" s="163" t="s">
        <v>726</v>
      </c>
      <c r="C249" s="2" t="s">
        <v>296</v>
      </c>
      <c r="D249" s="2" t="s">
        <v>525</v>
      </c>
      <c r="E249" s="3">
        <v>45415.802083333336</v>
      </c>
      <c r="F249" s="2" t="s">
        <v>596</v>
      </c>
      <c r="G249" s="2" t="s">
        <v>527</v>
      </c>
      <c r="H249" s="2">
        <v>80</v>
      </c>
      <c r="I249" s="2">
        <v>20</v>
      </c>
      <c r="J249" s="2">
        <v>2.2999999999999998</v>
      </c>
      <c r="K249" s="2">
        <v>61</v>
      </c>
      <c r="L249" s="2"/>
      <c r="M249" s="2"/>
      <c r="N249" s="2" t="s">
        <v>95</v>
      </c>
      <c r="O249" s="14">
        <v>0</v>
      </c>
      <c r="P249" s="14">
        <v>0</v>
      </c>
      <c r="Q249" s="183">
        <v>2</v>
      </c>
      <c r="R249" s="181">
        <v>1</v>
      </c>
      <c r="S249" s="178">
        <f t="shared" si="32"/>
        <v>0</v>
      </c>
      <c r="T249" s="186">
        <f t="shared" si="33"/>
        <v>3</v>
      </c>
      <c r="U249" s="179">
        <f t="shared" si="34"/>
        <v>3</v>
      </c>
      <c r="V249" s="1">
        <f t="shared" si="38"/>
        <v>25</v>
      </c>
      <c r="W249" s="8">
        <f t="shared" si="36"/>
        <v>6.25</v>
      </c>
      <c r="X249" s="15">
        <f t="shared" si="37"/>
        <v>1425</v>
      </c>
    </row>
    <row r="250" spans="1:24">
      <c r="A250" t="s">
        <v>930</v>
      </c>
      <c r="B250" s="163" t="s">
        <v>726</v>
      </c>
      <c r="C250" s="2" t="s">
        <v>6</v>
      </c>
      <c r="D250" s="2" t="s">
        <v>62</v>
      </c>
      <c r="E250" s="3">
        <v>45416.520833333336</v>
      </c>
      <c r="F250" s="2" t="s">
        <v>73</v>
      </c>
      <c r="G250" s="2" t="s">
        <v>117</v>
      </c>
      <c r="H250" s="2">
        <v>90</v>
      </c>
      <c r="I250" s="2">
        <v>20</v>
      </c>
      <c r="J250" s="2">
        <v>2.1</v>
      </c>
      <c r="K250" s="2">
        <v>64</v>
      </c>
      <c r="L250" s="2"/>
      <c r="M250" s="2"/>
      <c r="N250" s="2" t="s">
        <v>95</v>
      </c>
      <c r="O250" s="14">
        <v>1</v>
      </c>
      <c r="P250" s="14">
        <v>0</v>
      </c>
      <c r="Q250" s="183">
        <v>3</v>
      </c>
      <c r="R250" s="181">
        <v>0</v>
      </c>
      <c r="S250" s="178">
        <f t="shared" si="32"/>
        <v>1</v>
      </c>
      <c r="T250" s="186">
        <f t="shared" si="33"/>
        <v>3</v>
      </c>
      <c r="U250" s="179">
        <f t="shared" si="34"/>
        <v>2</v>
      </c>
      <c r="V250" s="1">
        <f t="shared" si="38"/>
        <v>25</v>
      </c>
      <c r="W250" s="8">
        <f t="shared" si="36"/>
        <v>6.25</v>
      </c>
      <c r="X250" s="15">
        <f t="shared" si="37"/>
        <v>1431.25</v>
      </c>
    </row>
    <row r="251" spans="1:24">
      <c r="A251" t="s">
        <v>930</v>
      </c>
      <c r="B251" s="163" t="s">
        <v>726</v>
      </c>
      <c r="C251" s="2" t="s">
        <v>58</v>
      </c>
      <c r="D251" s="2" t="s">
        <v>59</v>
      </c>
      <c r="E251" s="3">
        <v>45416.75</v>
      </c>
      <c r="F251" s="2" t="s">
        <v>125</v>
      </c>
      <c r="G251" s="2" t="s">
        <v>128</v>
      </c>
      <c r="H251" s="2">
        <v>95</v>
      </c>
      <c r="I251" s="2">
        <v>20</v>
      </c>
      <c r="J251" s="2">
        <v>2.65</v>
      </c>
      <c r="K251" s="2">
        <v>59</v>
      </c>
      <c r="L251" s="2"/>
      <c r="M251" s="2"/>
      <c r="N251" s="2" t="s">
        <v>95</v>
      </c>
      <c r="O251" s="14">
        <v>1</v>
      </c>
      <c r="P251" s="14">
        <v>0</v>
      </c>
      <c r="Q251" s="183">
        <v>3</v>
      </c>
      <c r="R251" s="181">
        <v>0</v>
      </c>
      <c r="S251" s="178">
        <f t="shared" si="32"/>
        <v>1</v>
      </c>
      <c r="T251" s="186">
        <f t="shared" si="33"/>
        <v>3</v>
      </c>
      <c r="U251" s="179">
        <f t="shared" si="34"/>
        <v>2</v>
      </c>
      <c r="V251" s="1">
        <f t="shared" si="38"/>
        <v>25</v>
      </c>
      <c r="W251" s="8">
        <f t="shared" si="36"/>
        <v>6.25</v>
      </c>
      <c r="X251" s="15">
        <f t="shared" si="37"/>
        <v>1437.5</v>
      </c>
    </row>
    <row r="252" spans="1:24">
      <c r="A252" t="s">
        <v>930</v>
      </c>
      <c r="B252" s="163" t="s">
        <v>726</v>
      </c>
      <c r="C252" s="2" t="s">
        <v>67</v>
      </c>
      <c r="D252" s="2" t="s">
        <v>68</v>
      </c>
      <c r="E252" s="3">
        <v>45417.520833333336</v>
      </c>
      <c r="F252" s="2" t="s">
        <v>371</v>
      </c>
      <c r="G252" s="2" t="s">
        <v>265</v>
      </c>
      <c r="H252" s="2">
        <v>85</v>
      </c>
      <c r="I252" s="2">
        <v>20</v>
      </c>
      <c r="J252" s="2">
        <v>2</v>
      </c>
      <c r="K252" s="2">
        <v>64</v>
      </c>
      <c r="L252" s="2"/>
      <c r="M252" s="2"/>
      <c r="N252" s="2" t="s">
        <v>95</v>
      </c>
      <c r="O252" s="14">
        <v>0</v>
      </c>
      <c r="P252" s="14">
        <v>0</v>
      </c>
      <c r="Q252" s="183">
        <v>1</v>
      </c>
      <c r="R252" s="181">
        <v>2</v>
      </c>
      <c r="S252" s="178">
        <f t="shared" si="32"/>
        <v>0</v>
      </c>
      <c r="T252" s="186">
        <f t="shared" si="33"/>
        <v>3</v>
      </c>
      <c r="U252" s="179">
        <f t="shared" si="34"/>
        <v>3</v>
      </c>
      <c r="V252" s="1">
        <f t="shared" si="38"/>
        <v>25</v>
      </c>
      <c r="W252" s="8">
        <f t="shared" si="36"/>
        <v>6.25</v>
      </c>
      <c r="X252" s="15">
        <f t="shared" si="37"/>
        <v>1443.75</v>
      </c>
    </row>
    <row r="253" spans="1:24">
      <c r="A253" t="s">
        <v>930</v>
      </c>
      <c r="B253" s="163" t="s">
        <v>726</v>
      </c>
      <c r="C253" s="2" t="s">
        <v>149</v>
      </c>
      <c r="D253" s="2" t="s">
        <v>153</v>
      </c>
      <c r="E253" s="3">
        <v>45418.791666666664</v>
      </c>
      <c r="F253" s="2" t="s">
        <v>647</v>
      </c>
      <c r="G253" s="2" t="s">
        <v>241</v>
      </c>
      <c r="H253" s="2">
        <v>90</v>
      </c>
      <c r="I253" s="2">
        <v>20</v>
      </c>
      <c r="J253" s="2">
        <v>2</v>
      </c>
      <c r="K253" s="2">
        <v>60</v>
      </c>
      <c r="L253" s="2"/>
      <c r="M253" s="2"/>
      <c r="N253" s="2" t="s">
        <v>95</v>
      </c>
      <c r="O253" s="14">
        <v>0</v>
      </c>
      <c r="P253" s="14">
        <v>0</v>
      </c>
      <c r="Q253" s="183">
        <v>0</v>
      </c>
      <c r="R253" s="181">
        <v>3</v>
      </c>
      <c r="S253" s="178">
        <f t="shared" si="32"/>
        <v>0</v>
      </c>
      <c r="T253" s="186">
        <f t="shared" si="33"/>
        <v>3</v>
      </c>
      <c r="U253" s="179">
        <f t="shared" si="34"/>
        <v>3</v>
      </c>
      <c r="V253" s="1">
        <f t="shared" si="38"/>
        <v>25</v>
      </c>
      <c r="W253" s="8">
        <f t="shared" si="36"/>
        <v>6.25</v>
      </c>
      <c r="X253" s="15">
        <f t="shared" si="37"/>
        <v>1450</v>
      </c>
    </row>
    <row r="254" spans="1:24">
      <c r="A254" t="s">
        <v>930</v>
      </c>
      <c r="B254" s="163" t="s">
        <v>726</v>
      </c>
      <c r="C254" s="2" t="s">
        <v>77</v>
      </c>
      <c r="D254" s="2" t="s">
        <v>234</v>
      </c>
      <c r="E254" s="3">
        <v>45423.5</v>
      </c>
      <c r="F254" s="2" t="s">
        <v>328</v>
      </c>
      <c r="G254" s="2" t="s">
        <v>499</v>
      </c>
      <c r="H254" s="2">
        <v>90</v>
      </c>
      <c r="I254" s="2">
        <v>20</v>
      </c>
      <c r="J254" s="2">
        <v>1.9</v>
      </c>
      <c r="K254" s="2">
        <v>61</v>
      </c>
      <c r="L254" s="2"/>
      <c r="M254" s="2"/>
      <c r="N254" s="2" t="s">
        <v>95</v>
      </c>
      <c r="O254" s="14">
        <v>1</v>
      </c>
      <c r="P254" s="14">
        <v>0</v>
      </c>
      <c r="Q254" s="183">
        <v>3</v>
      </c>
      <c r="R254" s="181">
        <v>0</v>
      </c>
      <c r="S254" s="178">
        <f t="shared" si="32"/>
        <v>1</v>
      </c>
      <c r="T254" s="186">
        <f t="shared" si="33"/>
        <v>3</v>
      </c>
      <c r="U254" s="179">
        <f t="shared" si="34"/>
        <v>2</v>
      </c>
      <c r="V254" s="1">
        <f t="shared" si="38"/>
        <v>25</v>
      </c>
      <c r="W254" s="8">
        <f t="shared" si="36"/>
        <v>6.25</v>
      </c>
      <c r="X254" s="15">
        <f t="shared" si="37"/>
        <v>1456.25</v>
      </c>
    </row>
    <row r="255" spans="1:24">
      <c r="A255" t="s">
        <v>930</v>
      </c>
      <c r="B255" s="163" t="s">
        <v>726</v>
      </c>
      <c r="C255" s="2" t="s">
        <v>6</v>
      </c>
      <c r="D255" s="2" t="s">
        <v>62</v>
      </c>
      <c r="E255" s="3">
        <v>45423.625</v>
      </c>
      <c r="F255" s="2" t="s">
        <v>117</v>
      </c>
      <c r="G255" s="2" t="s">
        <v>63</v>
      </c>
      <c r="H255" s="2">
        <v>90</v>
      </c>
      <c r="I255" s="2">
        <v>20</v>
      </c>
      <c r="J255" s="2">
        <v>2.15</v>
      </c>
      <c r="K255" s="2">
        <v>62</v>
      </c>
      <c r="L255" s="2"/>
      <c r="M255" s="2"/>
      <c r="N255" s="2" t="s">
        <v>95</v>
      </c>
      <c r="O255" s="14">
        <v>0</v>
      </c>
      <c r="P255" s="14">
        <v>0</v>
      </c>
      <c r="Q255" s="183">
        <v>1</v>
      </c>
      <c r="R255" s="181">
        <v>2</v>
      </c>
      <c r="S255" s="178">
        <f t="shared" si="32"/>
        <v>0</v>
      </c>
      <c r="T255" s="186">
        <f t="shared" si="33"/>
        <v>3</v>
      </c>
      <c r="U255" s="179">
        <f t="shared" si="34"/>
        <v>3</v>
      </c>
      <c r="V255" s="1">
        <f t="shared" si="38"/>
        <v>25</v>
      </c>
      <c r="W255" s="8">
        <f t="shared" si="36"/>
        <v>6.25</v>
      </c>
      <c r="X255" s="15">
        <f t="shared" si="37"/>
        <v>1462.5</v>
      </c>
    </row>
    <row r="256" spans="1:24">
      <c r="A256" t="s">
        <v>930</v>
      </c>
      <c r="B256" s="163" t="s">
        <v>726</v>
      </c>
      <c r="C256" s="2" t="s">
        <v>6</v>
      </c>
      <c r="D256" s="2" t="s">
        <v>62</v>
      </c>
      <c r="E256" s="3">
        <v>45423.625</v>
      </c>
      <c r="F256" s="2" t="s">
        <v>116</v>
      </c>
      <c r="G256" s="2" t="s">
        <v>103</v>
      </c>
      <c r="H256" s="2">
        <v>95</v>
      </c>
      <c r="I256" s="2">
        <v>20</v>
      </c>
      <c r="J256" s="2">
        <v>2.2999999999999998</v>
      </c>
      <c r="K256" s="2">
        <v>58</v>
      </c>
      <c r="L256" s="2"/>
      <c r="M256" s="2"/>
      <c r="N256" s="2" t="s">
        <v>95</v>
      </c>
      <c r="O256" s="14">
        <v>1</v>
      </c>
      <c r="P256" s="14">
        <v>1</v>
      </c>
      <c r="Q256" s="183">
        <v>2</v>
      </c>
      <c r="R256" s="181">
        <v>1</v>
      </c>
      <c r="S256" s="178">
        <f t="shared" si="32"/>
        <v>2</v>
      </c>
      <c r="T256" s="186">
        <f t="shared" si="33"/>
        <v>3</v>
      </c>
      <c r="U256" s="179">
        <f t="shared" si="34"/>
        <v>1</v>
      </c>
      <c r="V256" s="1">
        <f t="shared" si="38"/>
        <v>25</v>
      </c>
      <c r="W256" s="8">
        <f t="shared" si="36"/>
        <v>6.25</v>
      </c>
      <c r="X256" s="15">
        <f t="shared" si="37"/>
        <v>1468.75</v>
      </c>
    </row>
    <row r="257" spans="1:24">
      <c r="A257" t="s">
        <v>930</v>
      </c>
      <c r="B257" s="163" t="s">
        <v>726</v>
      </c>
      <c r="C257" s="2" t="s">
        <v>20</v>
      </c>
      <c r="D257" s="2" t="s">
        <v>21</v>
      </c>
      <c r="E257" s="3">
        <v>45424.822916666664</v>
      </c>
      <c r="F257" s="2" t="s">
        <v>97</v>
      </c>
      <c r="G257" s="2" t="s">
        <v>380</v>
      </c>
      <c r="H257" s="2">
        <v>90</v>
      </c>
      <c r="I257" s="2">
        <v>20</v>
      </c>
      <c r="J257" s="2">
        <v>2.0499999999999998</v>
      </c>
      <c r="K257" s="2">
        <v>60</v>
      </c>
      <c r="L257" s="2"/>
      <c r="M257" s="2"/>
      <c r="N257" s="2" t="s">
        <v>95</v>
      </c>
      <c r="O257" s="14">
        <v>2</v>
      </c>
      <c r="P257" s="14">
        <v>0</v>
      </c>
      <c r="Q257" s="183">
        <v>2</v>
      </c>
      <c r="R257" s="181">
        <v>1</v>
      </c>
      <c r="S257" s="178">
        <f t="shared" ref="S257:S320" si="39">SUM(O257:P257)</f>
        <v>2</v>
      </c>
      <c r="T257" s="186">
        <f t="shared" ref="T257:T320" si="40">SUM(Q257:R257)</f>
        <v>3</v>
      </c>
      <c r="U257" s="179">
        <f t="shared" ref="U257:U320" si="41">SUM(T257-S257)</f>
        <v>1</v>
      </c>
      <c r="V257" s="1">
        <f t="shared" si="38"/>
        <v>25</v>
      </c>
      <c r="W257" s="8">
        <f t="shared" si="36"/>
        <v>6.25</v>
      </c>
      <c r="X257" s="15">
        <f t="shared" si="37"/>
        <v>1475</v>
      </c>
    </row>
    <row r="258" spans="1:24">
      <c r="A258" t="s">
        <v>930</v>
      </c>
      <c r="B258" s="163" t="s">
        <v>726</v>
      </c>
      <c r="C258" s="2" t="s">
        <v>149</v>
      </c>
      <c r="D258" s="2" t="s">
        <v>153</v>
      </c>
      <c r="E258" s="3">
        <v>45431.5625</v>
      </c>
      <c r="F258" s="2" t="s">
        <v>395</v>
      </c>
      <c r="G258" s="2" t="s">
        <v>206</v>
      </c>
      <c r="H258" s="2">
        <v>100</v>
      </c>
      <c r="I258" s="2">
        <v>20</v>
      </c>
      <c r="J258" s="2">
        <v>1.95</v>
      </c>
      <c r="K258" s="2">
        <v>63</v>
      </c>
      <c r="L258" s="2"/>
      <c r="M258" s="2"/>
      <c r="N258" s="2" t="s">
        <v>95</v>
      </c>
      <c r="O258" s="14">
        <v>0</v>
      </c>
      <c r="P258" s="14">
        <v>0</v>
      </c>
      <c r="Q258" s="183">
        <v>2</v>
      </c>
      <c r="R258" s="181">
        <v>1</v>
      </c>
      <c r="S258" s="178">
        <f t="shared" si="39"/>
        <v>0</v>
      </c>
      <c r="T258" s="186">
        <f t="shared" si="40"/>
        <v>3</v>
      </c>
      <c r="U258" s="179">
        <f t="shared" si="41"/>
        <v>3</v>
      </c>
      <c r="V258" s="1">
        <f t="shared" si="38"/>
        <v>25</v>
      </c>
      <c r="W258" s="8">
        <f t="shared" ref="W258:W321" si="42">IF(N258="won",V258*0.25,-V258)</f>
        <v>6.25</v>
      </c>
      <c r="X258" s="15">
        <f t="shared" si="37"/>
        <v>1481.25</v>
      </c>
    </row>
    <row r="259" spans="1:24">
      <c r="A259" t="s">
        <v>930</v>
      </c>
      <c r="B259" s="163" t="s">
        <v>726</v>
      </c>
      <c r="C259" s="2" t="s">
        <v>149</v>
      </c>
      <c r="D259" s="2" t="s">
        <v>153</v>
      </c>
      <c r="E259" s="3">
        <v>45431.5625</v>
      </c>
      <c r="F259" s="2" t="s">
        <v>244</v>
      </c>
      <c r="G259" s="2" t="s">
        <v>369</v>
      </c>
      <c r="H259" s="2">
        <v>85</v>
      </c>
      <c r="I259" s="2">
        <v>20</v>
      </c>
      <c r="J259" s="2">
        <v>1.95</v>
      </c>
      <c r="K259" s="2">
        <v>59</v>
      </c>
      <c r="L259" s="2"/>
      <c r="M259" s="2"/>
      <c r="N259" s="2" t="s">
        <v>95</v>
      </c>
      <c r="O259" s="14">
        <v>1</v>
      </c>
      <c r="P259" s="14">
        <v>1</v>
      </c>
      <c r="Q259" s="183">
        <v>1</v>
      </c>
      <c r="R259" s="181">
        <v>2</v>
      </c>
      <c r="S259" s="178">
        <f t="shared" si="39"/>
        <v>2</v>
      </c>
      <c r="T259" s="186">
        <f t="shared" si="40"/>
        <v>3</v>
      </c>
      <c r="U259" s="179">
        <f t="shared" si="41"/>
        <v>1</v>
      </c>
      <c r="V259" s="1">
        <f t="shared" si="38"/>
        <v>25</v>
      </c>
      <c r="W259" s="8">
        <f t="shared" si="42"/>
        <v>6.25</v>
      </c>
      <c r="X259" s="15">
        <f t="shared" si="37"/>
        <v>1487.5</v>
      </c>
    </row>
    <row r="260" spans="1:24">
      <c r="A260" t="s">
        <v>930</v>
      </c>
      <c r="B260" s="163" t="s">
        <v>726</v>
      </c>
      <c r="C260" s="2" t="s">
        <v>6</v>
      </c>
      <c r="D260" s="2" t="s">
        <v>62</v>
      </c>
      <c r="E260" s="3">
        <v>45431.666666666664</v>
      </c>
      <c r="F260" s="2" t="s">
        <v>65</v>
      </c>
      <c r="G260" s="2" t="s">
        <v>117</v>
      </c>
      <c r="H260" s="2">
        <v>90</v>
      </c>
      <c r="I260" s="2">
        <v>20</v>
      </c>
      <c r="J260" s="2">
        <v>2.15</v>
      </c>
      <c r="K260" s="2">
        <v>62</v>
      </c>
      <c r="L260" s="2"/>
      <c r="M260" s="2"/>
      <c r="N260" s="2" t="s">
        <v>95</v>
      </c>
      <c r="O260" s="14">
        <v>1</v>
      </c>
      <c r="P260" s="14">
        <v>0</v>
      </c>
      <c r="Q260" s="183">
        <v>2</v>
      </c>
      <c r="R260" s="181">
        <v>1</v>
      </c>
      <c r="S260" s="178">
        <f t="shared" si="39"/>
        <v>1</v>
      </c>
      <c r="T260" s="186">
        <f t="shared" si="40"/>
        <v>3</v>
      </c>
      <c r="U260" s="179">
        <f t="shared" si="41"/>
        <v>2</v>
      </c>
      <c r="V260" s="1">
        <f t="shared" si="38"/>
        <v>25</v>
      </c>
      <c r="W260" s="8">
        <f t="shared" si="42"/>
        <v>6.25</v>
      </c>
      <c r="X260" s="15">
        <f t="shared" si="37"/>
        <v>1493.75</v>
      </c>
    </row>
    <row r="261" spans="1:24">
      <c r="A261" t="s">
        <v>930</v>
      </c>
      <c r="B261" s="163" t="s">
        <v>726</v>
      </c>
      <c r="C261" s="2" t="s">
        <v>6</v>
      </c>
      <c r="D261" s="2" t="s">
        <v>62</v>
      </c>
      <c r="E261" s="3">
        <v>45431.666666666664</v>
      </c>
      <c r="F261" s="2" t="s">
        <v>85</v>
      </c>
      <c r="G261" s="2" t="s">
        <v>116</v>
      </c>
      <c r="H261" s="2">
        <v>90</v>
      </c>
      <c r="I261" s="2">
        <v>20</v>
      </c>
      <c r="J261" s="2">
        <v>2.2000000000000002</v>
      </c>
      <c r="K261" s="2">
        <v>60</v>
      </c>
      <c r="L261" s="2"/>
      <c r="M261" s="2"/>
      <c r="N261" s="2" t="s">
        <v>95</v>
      </c>
      <c r="O261" s="14">
        <v>0</v>
      </c>
      <c r="P261" s="14">
        <v>1</v>
      </c>
      <c r="Q261" s="183">
        <v>0</v>
      </c>
      <c r="R261" s="181">
        <v>3</v>
      </c>
      <c r="S261" s="178">
        <f t="shared" si="39"/>
        <v>1</v>
      </c>
      <c r="T261" s="186">
        <f t="shared" si="40"/>
        <v>3</v>
      </c>
      <c r="U261" s="179">
        <f t="shared" si="41"/>
        <v>2</v>
      </c>
      <c r="V261" s="1">
        <f t="shared" si="38"/>
        <v>25</v>
      </c>
      <c r="W261" s="8">
        <f t="shared" si="42"/>
        <v>6.25</v>
      </c>
      <c r="X261" s="15">
        <f t="shared" si="37"/>
        <v>1500</v>
      </c>
    </row>
    <row r="262" spans="1:24">
      <c r="A262" t="s">
        <v>930</v>
      </c>
      <c r="B262" s="163" t="s">
        <v>726</v>
      </c>
      <c r="C262" s="2" t="s">
        <v>133</v>
      </c>
      <c r="D262" s="2" t="s">
        <v>78</v>
      </c>
      <c r="E262" s="3">
        <v>45431.75</v>
      </c>
      <c r="F262" s="2" t="s">
        <v>447</v>
      </c>
      <c r="G262" s="2" t="s">
        <v>394</v>
      </c>
      <c r="H262" s="2">
        <v>90</v>
      </c>
      <c r="I262" s="2">
        <v>20</v>
      </c>
      <c r="J262" s="2">
        <v>2</v>
      </c>
      <c r="K262" s="2">
        <v>63</v>
      </c>
      <c r="L262" s="2"/>
      <c r="M262" s="2"/>
      <c r="N262" s="2" t="s">
        <v>95</v>
      </c>
      <c r="O262" s="14">
        <v>2</v>
      </c>
      <c r="P262" s="14">
        <v>0</v>
      </c>
      <c r="Q262" s="183">
        <v>3</v>
      </c>
      <c r="R262" s="181">
        <v>0</v>
      </c>
      <c r="S262" s="178">
        <f t="shared" si="39"/>
        <v>2</v>
      </c>
      <c r="T262" s="186">
        <f t="shared" si="40"/>
        <v>3</v>
      </c>
      <c r="U262" s="179">
        <f t="shared" si="41"/>
        <v>1</v>
      </c>
      <c r="V262" s="1">
        <f t="shared" si="38"/>
        <v>25</v>
      </c>
      <c r="W262" s="8">
        <f t="shared" si="42"/>
        <v>6.25</v>
      </c>
      <c r="X262" s="15">
        <f t="shared" si="37"/>
        <v>1506.25</v>
      </c>
    </row>
    <row r="263" spans="1:24">
      <c r="A263" t="s">
        <v>930</v>
      </c>
      <c r="B263" s="163" t="s">
        <v>726</v>
      </c>
      <c r="C263" s="2" t="s">
        <v>145</v>
      </c>
      <c r="D263" s="2" t="s">
        <v>190</v>
      </c>
      <c r="E263" s="3">
        <v>45431.833333333336</v>
      </c>
      <c r="F263" s="2" t="s">
        <v>570</v>
      </c>
      <c r="G263" s="2" t="s">
        <v>783</v>
      </c>
      <c r="H263" s="2">
        <v>80</v>
      </c>
      <c r="I263" s="2">
        <v>20</v>
      </c>
      <c r="J263" s="2">
        <v>1.95</v>
      </c>
      <c r="K263" s="2">
        <v>61</v>
      </c>
      <c r="L263" s="2"/>
      <c r="M263" s="2"/>
      <c r="N263" s="2" t="s">
        <v>95</v>
      </c>
      <c r="O263" s="14">
        <v>0</v>
      </c>
      <c r="P263" s="14">
        <v>0</v>
      </c>
      <c r="Q263" s="183">
        <v>0</v>
      </c>
      <c r="R263" s="181">
        <v>3</v>
      </c>
      <c r="S263" s="178">
        <f t="shared" si="39"/>
        <v>0</v>
      </c>
      <c r="T263" s="186">
        <f t="shared" si="40"/>
        <v>3</v>
      </c>
      <c r="U263" s="179">
        <f t="shared" si="41"/>
        <v>3</v>
      </c>
      <c r="V263" s="1">
        <f t="shared" si="38"/>
        <v>25</v>
      </c>
      <c r="W263" s="8">
        <f t="shared" si="42"/>
        <v>6.25</v>
      </c>
      <c r="X263" s="15">
        <f t="shared" si="37"/>
        <v>1512.5</v>
      </c>
    </row>
    <row r="264" spans="1:24">
      <c r="A264" t="s">
        <v>930</v>
      </c>
      <c r="B264" s="163" t="s">
        <v>726</v>
      </c>
      <c r="C264" s="2" t="s">
        <v>296</v>
      </c>
      <c r="D264" s="2" t="s">
        <v>525</v>
      </c>
      <c r="E264" s="3">
        <v>45432.552083333336</v>
      </c>
      <c r="F264" s="2" t="s">
        <v>529</v>
      </c>
      <c r="G264" s="2" t="s">
        <v>526</v>
      </c>
      <c r="H264" s="2">
        <v>95</v>
      </c>
      <c r="I264" s="2">
        <v>20</v>
      </c>
      <c r="J264" s="2">
        <v>1.9</v>
      </c>
      <c r="K264" s="2">
        <v>61</v>
      </c>
      <c r="L264" s="2"/>
      <c r="M264" s="2"/>
      <c r="N264" s="2" t="s">
        <v>95</v>
      </c>
      <c r="O264" s="14">
        <v>1</v>
      </c>
      <c r="P264" s="14">
        <v>0</v>
      </c>
      <c r="Q264" s="183">
        <v>3</v>
      </c>
      <c r="R264" s="181">
        <v>0</v>
      </c>
      <c r="S264" s="178">
        <f t="shared" si="39"/>
        <v>1</v>
      </c>
      <c r="T264" s="186">
        <f t="shared" si="40"/>
        <v>3</v>
      </c>
      <c r="U264" s="179">
        <f t="shared" si="41"/>
        <v>2</v>
      </c>
      <c r="V264" s="1">
        <f t="shared" si="38"/>
        <v>25</v>
      </c>
      <c r="W264" s="8">
        <f t="shared" si="42"/>
        <v>6.25</v>
      </c>
      <c r="X264" s="15">
        <f t="shared" si="37"/>
        <v>1518.75</v>
      </c>
    </row>
    <row r="265" spans="1:24">
      <c r="A265" t="s">
        <v>930</v>
      </c>
      <c r="B265" s="163" t="s">
        <v>519</v>
      </c>
      <c r="C265" s="2" t="s">
        <v>534</v>
      </c>
      <c r="D265" s="2" t="s">
        <v>535</v>
      </c>
      <c r="E265" s="3">
        <v>45423.354166666664</v>
      </c>
      <c r="F265" s="2" t="s">
        <v>813</v>
      </c>
      <c r="G265" s="2" t="s">
        <v>795</v>
      </c>
      <c r="H265" s="2">
        <v>20</v>
      </c>
      <c r="I265" s="2">
        <v>90</v>
      </c>
      <c r="J265" s="2">
        <v>90</v>
      </c>
      <c r="K265" s="2"/>
      <c r="L265" s="2"/>
      <c r="M265" s="2"/>
      <c r="N265" s="2" t="s">
        <v>95</v>
      </c>
      <c r="O265" s="14">
        <v>1</v>
      </c>
      <c r="P265" s="14">
        <v>0</v>
      </c>
      <c r="Q265" s="183">
        <v>1</v>
      </c>
      <c r="R265" s="187">
        <v>2</v>
      </c>
      <c r="S265" s="178">
        <f t="shared" si="39"/>
        <v>1</v>
      </c>
      <c r="T265" s="186">
        <f t="shared" si="40"/>
        <v>3</v>
      </c>
      <c r="U265" s="179">
        <f t="shared" si="41"/>
        <v>2</v>
      </c>
      <c r="V265" s="1">
        <f t="shared" si="38"/>
        <v>25</v>
      </c>
      <c r="W265" s="8">
        <f t="shared" si="42"/>
        <v>6.25</v>
      </c>
      <c r="X265" s="15">
        <f t="shared" si="37"/>
        <v>1525</v>
      </c>
    </row>
    <row r="266" spans="1:24">
      <c r="A266" t="s">
        <v>930</v>
      </c>
      <c r="B266" s="163" t="s">
        <v>522</v>
      </c>
      <c r="C266" s="2" t="s">
        <v>13</v>
      </c>
      <c r="D266" s="2" t="s">
        <v>11</v>
      </c>
      <c r="E266" s="3">
        <v>45360.625</v>
      </c>
      <c r="F266" s="2" t="s">
        <v>542</v>
      </c>
      <c r="G266" s="2" t="s">
        <v>139</v>
      </c>
      <c r="H266" s="2">
        <v>70</v>
      </c>
      <c r="I266" s="2">
        <v>20</v>
      </c>
      <c r="J266" s="2">
        <v>95</v>
      </c>
      <c r="K266" s="2">
        <v>85</v>
      </c>
      <c r="L266" s="2">
        <v>2.4</v>
      </c>
      <c r="M266" s="2"/>
      <c r="N266" s="2" t="s">
        <v>95</v>
      </c>
      <c r="O266" s="14">
        <v>1</v>
      </c>
      <c r="P266" s="14">
        <v>0</v>
      </c>
      <c r="Q266" s="183">
        <v>3</v>
      </c>
      <c r="R266" s="187">
        <v>0</v>
      </c>
      <c r="S266" s="178">
        <f t="shared" si="39"/>
        <v>1</v>
      </c>
      <c r="T266" s="186">
        <f t="shared" si="40"/>
        <v>3</v>
      </c>
      <c r="U266" s="179">
        <f t="shared" si="41"/>
        <v>2</v>
      </c>
      <c r="V266" s="1">
        <f t="shared" si="38"/>
        <v>25</v>
      </c>
      <c r="W266" s="8">
        <f t="shared" si="42"/>
        <v>6.25</v>
      </c>
      <c r="X266" s="15">
        <f t="shared" si="37"/>
        <v>1531.25</v>
      </c>
    </row>
    <row r="267" spans="1:24">
      <c r="A267" t="s">
        <v>930</v>
      </c>
      <c r="B267" s="163" t="s">
        <v>522</v>
      </c>
      <c r="C267" s="2" t="s">
        <v>13</v>
      </c>
      <c r="D267" s="2" t="s">
        <v>37</v>
      </c>
      <c r="E267" s="3">
        <v>45410.625</v>
      </c>
      <c r="F267" s="2" t="s">
        <v>306</v>
      </c>
      <c r="G267" s="2" t="s">
        <v>99</v>
      </c>
      <c r="H267" s="2">
        <v>71</v>
      </c>
      <c r="I267" s="2">
        <v>20</v>
      </c>
      <c r="J267" s="2">
        <v>95</v>
      </c>
      <c r="K267" s="2">
        <v>75</v>
      </c>
      <c r="L267" s="2">
        <v>2.25</v>
      </c>
      <c r="M267" s="2"/>
      <c r="N267" s="2" t="s">
        <v>95</v>
      </c>
      <c r="O267" s="14">
        <v>0</v>
      </c>
      <c r="P267" s="14">
        <v>1</v>
      </c>
      <c r="Q267" s="183">
        <v>1</v>
      </c>
      <c r="R267" s="187">
        <v>2</v>
      </c>
      <c r="S267" s="178">
        <f t="shared" si="39"/>
        <v>1</v>
      </c>
      <c r="T267" s="186">
        <f t="shared" si="40"/>
        <v>3</v>
      </c>
      <c r="U267" s="179">
        <f t="shared" si="41"/>
        <v>2</v>
      </c>
      <c r="V267" s="1">
        <f t="shared" si="38"/>
        <v>25</v>
      </c>
      <c r="W267" s="8">
        <f t="shared" si="42"/>
        <v>6.25</v>
      </c>
      <c r="X267" s="15">
        <f t="shared" si="37"/>
        <v>1537.5</v>
      </c>
    </row>
    <row r="268" spans="1:24">
      <c r="A268" t="s">
        <v>930</v>
      </c>
      <c r="B268" s="163" t="s">
        <v>522</v>
      </c>
      <c r="C268" s="2" t="s">
        <v>133</v>
      </c>
      <c r="D268" s="2" t="s">
        <v>78</v>
      </c>
      <c r="E268" s="3">
        <v>45431.75</v>
      </c>
      <c r="F268" s="2" t="s">
        <v>136</v>
      </c>
      <c r="G268" s="2" t="s">
        <v>137</v>
      </c>
      <c r="H268" s="2">
        <v>73</v>
      </c>
      <c r="I268" s="2">
        <v>20</v>
      </c>
      <c r="J268" s="2">
        <v>95</v>
      </c>
      <c r="K268" s="2">
        <v>75</v>
      </c>
      <c r="L268" s="2">
        <v>2.2999999999999998</v>
      </c>
      <c r="M268" s="2"/>
      <c r="N268" s="2" t="s">
        <v>95</v>
      </c>
      <c r="O268" s="14">
        <v>0</v>
      </c>
      <c r="P268" s="14">
        <v>1</v>
      </c>
      <c r="Q268" s="183">
        <v>1</v>
      </c>
      <c r="R268" s="187">
        <v>2</v>
      </c>
      <c r="S268" s="178">
        <f t="shared" si="39"/>
        <v>1</v>
      </c>
      <c r="T268" s="186">
        <f t="shared" si="40"/>
        <v>3</v>
      </c>
      <c r="U268" s="179">
        <f t="shared" si="41"/>
        <v>2</v>
      </c>
      <c r="V268" s="1">
        <f t="shared" si="38"/>
        <v>25</v>
      </c>
      <c r="W268" s="8">
        <f t="shared" si="42"/>
        <v>6.25</v>
      </c>
      <c r="X268" s="15">
        <f t="shared" si="37"/>
        <v>1543.75</v>
      </c>
    </row>
    <row r="269" spans="1:24">
      <c r="A269" t="s">
        <v>930</v>
      </c>
      <c r="B269" s="163" t="s">
        <v>515</v>
      </c>
      <c r="C269" s="2" t="s">
        <v>13</v>
      </c>
      <c r="D269" s="2" t="s">
        <v>11</v>
      </c>
      <c r="E269" s="3">
        <v>45360.625</v>
      </c>
      <c r="F269" s="2" t="s">
        <v>542</v>
      </c>
      <c r="G269" s="2" t="s">
        <v>139</v>
      </c>
      <c r="H269" s="2">
        <v>20</v>
      </c>
      <c r="I269" s="2">
        <v>70</v>
      </c>
      <c r="J269" s="2">
        <v>2.4</v>
      </c>
      <c r="K269" s="2"/>
      <c r="L269" s="2"/>
      <c r="M269" s="2"/>
      <c r="N269" s="2" t="s">
        <v>95</v>
      </c>
      <c r="O269" s="14">
        <v>1</v>
      </c>
      <c r="P269" s="14">
        <v>0</v>
      </c>
      <c r="Q269" s="183">
        <v>3</v>
      </c>
      <c r="R269" s="187">
        <v>0</v>
      </c>
      <c r="S269" s="178">
        <f t="shared" si="39"/>
        <v>1</v>
      </c>
      <c r="T269" s="186">
        <f t="shared" si="40"/>
        <v>3</v>
      </c>
      <c r="U269" s="179">
        <f t="shared" si="41"/>
        <v>2</v>
      </c>
      <c r="V269" s="1">
        <f t="shared" si="38"/>
        <v>25</v>
      </c>
      <c r="W269" s="8">
        <f t="shared" si="42"/>
        <v>6.25</v>
      </c>
      <c r="X269" s="15">
        <f t="shared" si="37"/>
        <v>1550</v>
      </c>
    </row>
    <row r="270" spans="1:24">
      <c r="A270" t="s">
        <v>930</v>
      </c>
      <c r="B270" s="163" t="s">
        <v>515</v>
      </c>
      <c r="C270" s="2" t="s">
        <v>352</v>
      </c>
      <c r="D270" s="2" t="s">
        <v>353</v>
      </c>
      <c r="E270" s="3">
        <v>45361.583333333336</v>
      </c>
      <c r="F270" s="2" t="s">
        <v>557</v>
      </c>
      <c r="G270" s="2" t="s">
        <v>354</v>
      </c>
      <c r="H270" s="2">
        <v>20</v>
      </c>
      <c r="I270" s="2">
        <v>71</v>
      </c>
      <c r="J270" s="2">
        <v>2.2000000000000002</v>
      </c>
      <c r="K270" s="2"/>
      <c r="L270" s="2"/>
      <c r="M270" s="2"/>
      <c r="N270" s="2" t="s">
        <v>95</v>
      </c>
      <c r="O270" s="14">
        <v>2</v>
      </c>
      <c r="P270" s="14">
        <v>0</v>
      </c>
      <c r="Q270" s="183">
        <v>3</v>
      </c>
      <c r="R270" s="187">
        <v>0</v>
      </c>
      <c r="S270" s="178">
        <f t="shared" si="39"/>
        <v>2</v>
      </c>
      <c r="T270" s="186">
        <f t="shared" si="40"/>
        <v>3</v>
      </c>
      <c r="U270" s="179">
        <f t="shared" si="41"/>
        <v>1</v>
      </c>
      <c r="V270" s="1">
        <f t="shared" si="38"/>
        <v>25</v>
      </c>
      <c r="W270" s="8">
        <f t="shared" si="42"/>
        <v>6.25</v>
      </c>
      <c r="X270" s="15">
        <f t="shared" si="37"/>
        <v>1556.25</v>
      </c>
    </row>
    <row r="271" spans="1:24">
      <c r="A271" t="s">
        <v>930</v>
      </c>
      <c r="B271" s="163" t="s">
        <v>515</v>
      </c>
      <c r="C271" s="2" t="s">
        <v>80</v>
      </c>
      <c r="D271" s="2" t="s">
        <v>573</v>
      </c>
      <c r="E271" s="3">
        <v>45367.458333333336</v>
      </c>
      <c r="F271" s="2" t="s">
        <v>574</v>
      </c>
      <c r="G271" s="2" t="s">
        <v>575</v>
      </c>
      <c r="H271" s="2">
        <v>20</v>
      </c>
      <c r="I271" s="2">
        <v>71</v>
      </c>
      <c r="J271" s="2">
        <v>1.45</v>
      </c>
      <c r="K271" s="2"/>
      <c r="L271" s="2"/>
      <c r="M271" s="2"/>
      <c r="N271" s="2" t="s">
        <v>95</v>
      </c>
      <c r="O271" s="14">
        <v>0</v>
      </c>
      <c r="P271" s="14">
        <v>0</v>
      </c>
      <c r="Q271" s="183">
        <v>0</v>
      </c>
      <c r="R271" s="187">
        <v>3</v>
      </c>
      <c r="S271" s="178">
        <f t="shared" si="39"/>
        <v>0</v>
      </c>
      <c r="T271" s="186">
        <f t="shared" si="40"/>
        <v>3</v>
      </c>
      <c r="U271" s="179">
        <f t="shared" si="41"/>
        <v>3</v>
      </c>
      <c r="V271" s="1">
        <f t="shared" si="38"/>
        <v>25</v>
      </c>
      <c r="W271" s="8">
        <f t="shared" si="42"/>
        <v>6.25</v>
      </c>
      <c r="X271" s="15">
        <f t="shared" si="37"/>
        <v>1562.5</v>
      </c>
    </row>
    <row r="272" spans="1:24">
      <c r="A272" t="s">
        <v>930</v>
      </c>
      <c r="B272" s="163" t="s">
        <v>515</v>
      </c>
      <c r="C272" s="2" t="s">
        <v>626</v>
      </c>
      <c r="D272" s="2" t="s">
        <v>627</v>
      </c>
      <c r="E272" s="3">
        <v>45381.541666666664</v>
      </c>
      <c r="F272" s="2" t="s">
        <v>635</v>
      </c>
      <c r="G272" s="2" t="s">
        <v>636</v>
      </c>
      <c r="H272" s="2">
        <v>20</v>
      </c>
      <c r="I272" s="2">
        <v>73</v>
      </c>
      <c r="J272" s="2">
        <v>1.6</v>
      </c>
      <c r="K272" s="2"/>
      <c r="L272" s="2"/>
      <c r="M272" s="2"/>
      <c r="N272" s="2" t="s">
        <v>95</v>
      </c>
      <c r="O272" s="14">
        <v>1</v>
      </c>
      <c r="P272" s="14">
        <v>0</v>
      </c>
      <c r="Q272" s="183">
        <v>3</v>
      </c>
      <c r="R272" s="187">
        <v>0</v>
      </c>
      <c r="S272" s="178">
        <f t="shared" si="39"/>
        <v>1</v>
      </c>
      <c r="T272" s="186">
        <f t="shared" si="40"/>
        <v>3</v>
      </c>
      <c r="U272" s="179">
        <f t="shared" si="41"/>
        <v>2</v>
      </c>
      <c r="V272" s="1">
        <f t="shared" si="38"/>
        <v>25</v>
      </c>
      <c r="W272" s="8">
        <f t="shared" si="42"/>
        <v>6.25</v>
      </c>
      <c r="X272" s="15">
        <f t="shared" si="37"/>
        <v>1568.75</v>
      </c>
    </row>
    <row r="273" spans="1:24">
      <c r="A273" t="s">
        <v>930</v>
      </c>
      <c r="B273" s="163" t="s">
        <v>515</v>
      </c>
      <c r="C273" s="2" t="s">
        <v>119</v>
      </c>
      <c r="D273" s="2" t="s">
        <v>120</v>
      </c>
      <c r="E273" s="3">
        <v>45381.635416666664</v>
      </c>
      <c r="F273" s="2" t="s">
        <v>480</v>
      </c>
      <c r="G273" s="2" t="s">
        <v>348</v>
      </c>
      <c r="H273" s="2">
        <v>20</v>
      </c>
      <c r="I273" s="2">
        <v>70</v>
      </c>
      <c r="J273" s="2">
        <v>1.75</v>
      </c>
      <c r="K273" s="2"/>
      <c r="L273" s="2"/>
      <c r="M273" s="2"/>
      <c r="N273" s="2" t="s">
        <v>95</v>
      </c>
      <c r="O273" s="14">
        <v>0</v>
      </c>
      <c r="P273" s="14">
        <v>2</v>
      </c>
      <c r="Q273" s="183">
        <v>0</v>
      </c>
      <c r="R273" s="187">
        <v>3</v>
      </c>
      <c r="S273" s="178">
        <f t="shared" si="39"/>
        <v>2</v>
      </c>
      <c r="T273" s="186">
        <f t="shared" si="40"/>
        <v>3</v>
      </c>
      <c r="U273" s="179">
        <f t="shared" si="41"/>
        <v>1</v>
      </c>
      <c r="V273" s="1">
        <f t="shared" si="38"/>
        <v>25</v>
      </c>
      <c r="W273" s="8">
        <f t="shared" si="42"/>
        <v>6.25</v>
      </c>
      <c r="X273" s="15">
        <f t="shared" si="37"/>
        <v>1575</v>
      </c>
    </row>
    <row r="274" spans="1:24">
      <c r="A274" t="s">
        <v>930</v>
      </c>
      <c r="B274" s="163" t="s">
        <v>515</v>
      </c>
      <c r="C274" s="2" t="s">
        <v>564</v>
      </c>
      <c r="D274" s="2" t="s">
        <v>565</v>
      </c>
      <c r="E274" s="3">
        <v>45394.822916666664</v>
      </c>
      <c r="F274" s="2" t="s">
        <v>567</v>
      </c>
      <c r="G274" s="2" t="s">
        <v>708</v>
      </c>
      <c r="H274" s="2">
        <v>20</v>
      </c>
      <c r="I274" s="2">
        <v>70</v>
      </c>
      <c r="J274" s="2">
        <v>1.5</v>
      </c>
      <c r="K274" s="2"/>
      <c r="L274" s="2"/>
      <c r="M274" s="2"/>
      <c r="N274" s="2" t="s">
        <v>95</v>
      </c>
      <c r="O274" s="14">
        <v>0</v>
      </c>
      <c r="P274" s="14">
        <v>2</v>
      </c>
      <c r="Q274" s="183">
        <v>1</v>
      </c>
      <c r="R274" s="187">
        <v>2</v>
      </c>
      <c r="S274" s="178">
        <f t="shared" si="39"/>
        <v>2</v>
      </c>
      <c r="T274" s="186">
        <f t="shared" si="40"/>
        <v>3</v>
      </c>
      <c r="U274" s="179">
        <f t="shared" si="41"/>
        <v>1</v>
      </c>
      <c r="V274" s="1">
        <f t="shared" si="38"/>
        <v>25</v>
      </c>
      <c r="W274" s="8">
        <f t="shared" si="42"/>
        <v>6.25</v>
      </c>
      <c r="X274" s="15">
        <f t="shared" si="37"/>
        <v>1581.25</v>
      </c>
    </row>
    <row r="275" spans="1:24">
      <c r="A275" t="s">
        <v>930</v>
      </c>
      <c r="B275" s="163" t="s">
        <v>515</v>
      </c>
      <c r="C275" s="2" t="s">
        <v>89</v>
      </c>
      <c r="D275" s="2" t="s">
        <v>90</v>
      </c>
      <c r="E275" s="3">
        <v>45395.604166666664</v>
      </c>
      <c r="F275" s="2" t="s">
        <v>714</v>
      </c>
      <c r="G275" s="2" t="s">
        <v>706</v>
      </c>
      <c r="H275" s="2">
        <v>20</v>
      </c>
      <c r="I275" s="2">
        <v>73</v>
      </c>
      <c r="J275" s="2">
        <v>1.75</v>
      </c>
      <c r="K275" s="2"/>
      <c r="L275" s="2"/>
      <c r="M275" s="2"/>
      <c r="N275" s="2" t="s">
        <v>95</v>
      </c>
      <c r="O275" s="14">
        <v>1</v>
      </c>
      <c r="P275" s="14">
        <v>0</v>
      </c>
      <c r="Q275" s="183">
        <v>2</v>
      </c>
      <c r="R275" s="187">
        <v>1</v>
      </c>
      <c r="S275" s="178">
        <f t="shared" si="39"/>
        <v>1</v>
      </c>
      <c r="T275" s="186">
        <f t="shared" si="40"/>
        <v>3</v>
      </c>
      <c r="U275" s="179">
        <f t="shared" si="41"/>
        <v>2</v>
      </c>
      <c r="V275" s="1">
        <f t="shared" si="38"/>
        <v>25</v>
      </c>
      <c r="W275" s="8">
        <f t="shared" si="42"/>
        <v>6.25</v>
      </c>
      <c r="X275" s="15">
        <f t="shared" si="37"/>
        <v>1587.5</v>
      </c>
    </row>
    <row r="276" spans="1:24">
      <c r="A276" t="s">
        <v>930</v>
      </c>
      <c r="B276" s="163" t="s">
        <v>515</v>
      </c>
      <c r="C276" s="2" t="s">
        <v>119</v>
      </c>
      <c r="D276" s="2" t="s">
        <v>166</v>
      </c>
      <c r="E276" s="154">
        <v>45396.833333333336</v>
      </c>
      <c r="F276" s="155" t="s">
        <v>723</v>
      </c>
      <c r="G276" s="2" t="s">
        <v>606</v>
      </c>
      <c r="H276" s="2">
        <v>20</v>
      </c>
      <c r="I276" s="2">
        <v>76</v>
      </c>
      <c r="J276" s="2">
        <v>1.55</v>
      </c>
      <c r="K276" s="2"/>
      <c r="L276" s="2"/>
      <c r="M276" s="2"/>
      <c r="N276" s="2" t="s">
        <v>95</v>
      </c>
      <c r="O276" s="14">
        <v>0</v>
      </c>
      <c r="P276" s="14">
        <v>1</v>
      </c>
      <c r="Q276" s="183">
        <v>2</v>
      </c>
      <c r="R276" s="187">
        <v>1</v>
      </c>
      <c r="S276" s="178">
        <f t="shared" si="39"/>
        <v>1</v>
      </c>
      <c r="T276" s="186">
        <f t="shared" si="40"/>
        <v>3</v>
      </c>
      <c r="U276" s="179">
        <f t="shared" si="41"/>
        <v>2</v>
      </c>
      <c r="V276" s="1">
        <f t="shared" si="38"/>
        <v>25</v>
      </c>
      <c r="W276" s="8">
        <f t="shared" si="42"/>
        <v>6.25</v>
      </c>
      <c r="X276" s="15">
        <f t="shared" si="37"/>
        <v>1593.75</v>
      </c>
    </row>
    <row r="277" spans="1:24">
      <c r="A277" t="s">
        <v>930</v>
      </c>
      <c r="B277" s="163" t="s">
        <v>515</v>
      </c>
      <c r="C277" s="2" t="s">
        <v>13</v>
      </c>
      <c r="D277" s="2" t="s">
        <v>37</v>
      </c>
      <c r="E277" s="3">
        <v>45410.625</v>
      </c>
      <c r="F277" s="2" t="s">
        <v>306</v>
      </c>
      <c r="G277" s="2" t="s">
        <v>99</v>
      </c>
      <c r="H277" s="2">
        <v>20</v>
      </c>
      <c r="I277" s="2">
        <v>71</v>
      </c>
      <c r="J277" s="2">
        <v>2.25</v>
      </c>
      <c r="K277" s="2"/>
      <c r="L277" s="2"/>
      <c r="M277" s="2"/>
      <c r="N277" s="2" t="s">
        <v>95</v>
      </c>
      <c r="O277" s="14">
        <v>0</v>
      </c>
      <c r="P277" s="14">
        <v>1</v>
      </c>
      <c r="Q277" s="183">
        <v>1</v>
      </c>
      <c r="R277" s="187">
        <v>2</v>
      </c>
      <c r="S277" s="178">
        <f t="shared" si="39"/>
        <v>1</v>
      </c>
      <c r="T277" s="186">
        <f t="shared" si="40"/>
        <v>3</v>
      </c>
      <c r="U277" s="179">
        <f t="shared" si="41"/>
        <v>2</v>
      </c>
      <c r="V277" s="1">
        <f t="shared" si="38"/>
        <v>25</v>
      </c>
      <c r="W277" s="8">
        <f t="shared" si="42"/>
        <v>6.25</v>
      </c>
      <c r="X277" s="15">
        <f t="shared" si="37"/>
        <v>1600</v>
      </c>
    </row>
    <row r="278" spans="1:24">
      <c r="A278" t="s">
        <v>930</v>
      </c>
      <c r="B278" s="163" t="s">
        <v>515</v>
      </c>
      <c r="C278" s="2" t="s">
        <v>119</v>
      </c>
      <c r="D278" s="2" t="s">
        <v>166</v>
      </c>
      <c r="E278" s="3">
        <v>45410.833333333336</v>
      </c>
      <c r="F278" s="2" t="s">
        <v>238</v>
      </c>
      <c r="G278" s="2" t="s">
        <v>719</v>
      </c>
      <c r="H278" s="2">
        <v>20</v>
      </c>
      <c r="I278" s="2">
        <v>73</v>
      </c>
      <c r="J278" s="2">
        <v>1.5</v>
      </c>
      <c r="K278" s="2"/>
      <c r="L278" s="2"/>
      <c r="M278" s="2"/>
      <c r="N278" s="2" t="s">
        <v>95</v>
      </c>
      <c r="O278" s="14">
        <v>1</v>
      </c>
      <c r="P278" s="14">
        <v>1</v>
      </c>
      <c r="Q278" s="183">
        <v>2</v>
      </c>
      <c r="R278" s="187">
        <v>1</v>
      </c>
      <c r="S278" s="178">
        <f t="shared" si="39"/>
        <v>2</v>
      </c>
      <c r="T278" s="186">
        <f t="shared" si="40"/>
        <v>3</v>
      </c>
      <c r="U278" s="179">
        <f t="shared" si="41"/>
        <v>1</v>
      </c>
      <c r="V278" s="1">
        <f t="shared" si="38"/>
        <v>25</v>
      </c>
      <c r="W278" s="8">
        <f t="shared" si="42"/>
        <v>6.25</v>
      </c>
      <c r="X278" s="15">
        <f t="shared" si="37"/>
        <v>1606.25</v>
      </c>
    </row>
    <row r="279" spans="1:24">
      <c r="A279" t="s">
        <v>930</v>
      </c>
      <c r="B279" s="163" t="s">
        <v>515</v>
      </c>
      <c r="C279" s="2" t="s">
        <v>534</v>
      </c>
      <c r="D279" s="2" t="s">
        <v>535</v>
      </c>
      <c r="E279" s="3">
        <v>45417.25</v>
      </c>
      <c r="F279" s="2" t="s">
        <v>536</v>
      </c>
      <c r="G279" s="2" t="s">
        <v>799</v>
      </c>
      <c r="H279" s="2">
        <v>20</v>
      </c>
      <c r="I279" s="2">
        <v>74</v>
      </c>
      <c r="J279" s="2">
        <v>2.1</v>
      </c>
      <c r="K279" s="2"/>
      <c r="L279" s="2"/>
      <c r="M279" s="2"/>
      <c r="N279" s="2" t="s">
        <v>95</v>
      </c>
      <c r="O279" s="14">
        <v>0</v>
      </c>
      <c r="P279" s="14">
        <v>0</v>
      </c>
      <c r="Q279" s="183">
        <v>1</v>
      </c>
      <c r="R279" s="187">
        <v>2</v>
      </c>
      <c r="S279" s="178">
        <f t="shared" si="39"/>
        <v>0</v>
      </c>
      <c r="T279" s="186">
        <f t="shared" si="40"/>
        <v>3</v>
      </c>
      <c r="U279" s="179">
        <f t="shared" si="41"/>
        <v>3</v>
      </c>
      <c r="V279" s="1">
        <f t="shared" si="38"/>
        <v>25</v>
      </c>
      <c r="W279" s="8">
        <f t="shared" si="42"/>
        <v>6.25</v>
      </c>
      <c r="X279" s="15">
        <f t="shared" si="37"/>
        <v>1612.5</v>
      </c>
    </row>
    <row r="280" spans="1:24">
      <c r="A280" t="s">
        <v>930</v>
      </c>
      <c r="B280" s="163" t="s">
        <v>515</v>
      </c>
      <c r="C280" s="2" t="s">
        <v>67</v>
      </c>
      <c r="D280" s="2" t="s">
        <v>68</v>
      </c>
      <c r="E280" s="3">
        <v>45417.520833333336</v>
      </c>
      <c r="F280" s="2" t="s">
        <v>371</v>
      </c>
      <c r="G280" s="2" t="s">
        <v>265</v>
      </c>
      <c r="H280" s="2">
        <v>20</v>
      </c>
      <c r="I280" s="2">
        <v>71</v>
      </c>
      <c r="J280" s="2">
        <v>2</v>
      </c>
      <c r="K280" s="2"/>
      <c r="L280" s="2"/>
      <c r="M280" s="2"/>
      <c r="N280" s="2" t="s">
        <v>95</v>
      </c>
      <c r="O280" s="14">
        <v>0</v>
      </c>
      <c r="P280" s="14">
        <v>0</v>
      </c>
      <c r="Q280" s="183">
        <v>1</v>
      </c>
      <c r="R280" s="187">
        <v>2</v>
      </c>
      <c r="S280" s="178">
        <f t="shared" si="39"/>
        <v>0</v>
      </c>
      <c r="T280" s="186">
        <f t="shared" si="40"/>
        <v>3</v>
      </c>
      <c r="U280" s="179">
        <f t="shared" si="41"/>
        <v>3</v>
      </c>
      <c r="V280" s="1">
        <f t="shared" si="38"/>
        <v>25</v>
      </c>
      <c r="W280" s="8">
        <f t="shared" si="42"/>
        <v>6.25</v>
      </c>
      <c r="X280" s="15">
        <f t="shared" si="37"/>
        <v>1618.75</v>
      </c>
    </row>
    <row r="281" spans="1:24">
      <c r="A281" t="s">
        <v>930</v>
      </c>
      <c r="B281" s="163" t="s">
        <v>515</v>
      </c>
      <c r="C281" s="2" t="s">
        <v>534</v>
      </c>
      <c r="D281" s="2" t="s">
        <v>535</v>
      </c>
      <c r="E281" s="3">
        <v>45423.354166666664</v>
      </c>
      <c r="F281" s="2" t="s">
        <v>813</v>
      </c>
      <c r="G281" s="2" t="s">
        <v>795</v>
      </c>
      <c r="H281" s="2">
        <v>20</v>
      </c>
      <c r="I281" s="2">
        <v>76</v>
      </c>
      <c r="J281" s="2">
        <v>1.85</v>
      </c>
      <c r="K281" s="2"/>
      <c r="L281" s="2"/>
      <c r="M281" s="2"/>
      <c r="N281" s="2" t="s">
        <v>95</v>
      </c>
      <c r="O281" s="14">
        <v>1</v>
      </c>
      <c r="P281" s="14">
        <v>0</v>
      </c>
      <c r="Q281" s="183">
        <v>1</v>
      </c>
      <c r="R281" s="187">
        <v>2</v>
      </c>
      <c r="S281" s="178">
        <f t="shared" si="39"/>
        <v>1</v>
      </c>
      <c r="T281" s="186">
        <f t="shared" si="40"/>
        <v>3</v>
      </c>
      <c r="U281" s="179">
        <f t="shared" si="41"/>
        <v>2</v>
      </c>
      <c r="V281" s="1">
        <f t="shared" si="38"/>
        <v>25</v>
      </c>
      <c r="W281" s="8">
        <f t="shared" si="42"/>
        <v>6.25</v>
      </c>
      <c r="X281" s="15">
        <f t="shared" si="37"/>
        <v>1625</v>
      </c>
    </row>
    <row r="282" spans="1:24">
      <c r="A282" t="s">
        <v>930</v>
      </c>
      <c r="B282" s="163" t="s">
        <v>515</v>
      </c>
      <c r="C282" s="2" t="s">
        <v>133</v>
      </c>
      <c r="D282" s="2" t="s">
        <v>78</v>
      </c>
      <c r="E282" s="3">
        <v>45431.75</v>
      </c>
      <c r="F282" s="2" t="s">
        <v>136</v>
      </c>
      <c r="G282" s="2" t="s">
        <v>137</v>
      </c>
      <c r="H282" s="2">
        <v>20</v>
      </c>
      <c r="I282" s="2">
        <v>73</v>
      </c>
      <c r="J282" s="2">
        <v>2.2999999999999998</v>
      </c>
      <c r="K282" s="2"/>
      <c r="L282" s="2"/>
      <c r="M282" s="2"/>
      <c r="N282" s="2" t="s">
        <v>95</v>
      </c>
      <c r="O282" s="14">
        <v>0</v>
      </c>
      <c r="P282" s="14">
        <v>1</v>
      </c>
      <c r="Q282" s="183">
        <v>1</v>
      </c>
      <c r="R282" s="187">
        <v>2</v>
      </c>
      <c r="S282" s="178">
        <f t="shared" si="39"/>
        <v>1</v>
      </c>
      <c r="T282" s="186">
        <f t="shared" si="40"/>
        <v>3</v>
      </c>
      <c r="U282" s="179">
        <f t="shared" si="41"/>
        <v>2</v>
      </c>
      <c r="V282" s="1">
        <f t="shared" si="38"/>
        <v>25</v>
      </c>
      <c r="W282" s="8">
        <f t="shared" si="42"/>
        <v>6.25</v>
      </c>
      <c r="X282" s="15">
        <f t="shared" si="37"/>
        <v>1631.25</v>
      </c>
    </row>
    <row r="283" spans="1:24">
      <c r="A283" t="s">
        <v>930</v>
      </c>
      <c r="B283" s="163" t="s">
        <v>515</v>
      </c>
      <c r="C283" s="2" t="s">
        <v>572</v>
      </c>
      <c r="D283" s="2" t="s">
        <v>670</v>
      </c>
      <c r="E283" s="3">
        <v>45437.333333333336</v>
      </c>
      <c r="F283" s="2" t="s">
        <v>695</v>
      </c>
      <c r="G283" s="2" t="s">
        <v>727</v>
      </c>
      <c r="H283" s="2">
        <v>20</v>
      </c>
      <c r="I283" s="2">
        <v>73</v>
      </c>
      <c r="J283" s="2">
        <v>1.85</v>
      </c>
      <c r="K283" s="2"/>
      <c r="L283" s="2"/>
      <c r="M283" s="2"/>
      <c r="N283" s="2" t="s">
        <v>95</v>
      </c>
      <c r="O283" s="14">
        <v>0</v>
      </c>
      <c r="P283" s="14">
        <v>1</v>
      </c>
      <c r="Q283" s="183">
        <v>1</v>
      </c>
      <c r="R283" s="187">
        <v>2</v>
      </c>
      <c r="S283" s="178">
        <f t="shared" si="39"/>
        <v>1</v>
      </c>
      <c r="T283" s="186">
        <f t="shared" si="40"/>
        <v>3</v>
      </c>
      <c r="U283" s="179">
        <f t="shared" si="41"/>
        <v>2</v>
      </c>
      <c r="V283" s="1">
        <f t="shared" si="38"/>
        <v>25</v>
      </c>
      <c r="W283" s="8">
        <f t="shared" si="42"/>
        <v>6.25</v>
      </c>
      <c r="X283" s="15">
        <f t="shared" si="37"/>
        <v>1637.5</v>
      </c>
    </row>
    <row r="284" spans="1:24">
      <c r="A284" t="s">
        <v>930</v>
      </c>
      <c r="B284" s="163" t="s">
        <v>515</v>
      </c>
      <c r="C284" s="2" t="s">
        <v>572</v>
      </c>
      <c r="D284" s="2" t="s">
        <v>670</v>
      </c>
      <c r="E284" s="3">
        <v>45438.333333333336</v>
      </c>
      <c r="F284" s="2" t="s">
        <v>869</v>
      </c>
      <c r="G284" s="2" t="s">
        <v>821</v>
      </c>
      <c r="H284" s="2">
        <v>20</v>
      </c>
      <c r="I284" s="2">
        <v>70</v>
      </c>
      <c r="J284" s="2">
        <v>1.75</v>
      </c>
      <c r="K284" s="2"/>
      <c r="L284" s="2"/>
      <c r="M284" s="2"/>
      <c r="N284" s="2" t="s">
        <v>95</v>
      </c>
      <c r="O284" s="14">
        <v>0</v>
      </c>
      <c r="P284" s="14">
        <v>0</v>
      </c>
      <c r="Q284" s="183">
        <v>1</v>
      </c>
      <c r="R284" s="187">
        <v>2</v>
      </c>
      <c r="S284" s="178">
        <f t="shared" si="39"/>
        <v>0</v>
      </c>
      <c r="T284" s="186">
        <f t="shared" si="40"/>
        <v>3</v>
      </c>
      <c r="U284" s="179">
        <f t="shared" si="41"/>
        <v>3</v>
      </c>
      <c r="V284" s="1">
        <f t="shared" si="38"/>
        <v>25</v>
      </c>
      <c r="W284" s="8">
        <f t="shared" si="42"/>
        <v>6.25</v>
      </c>
      <c r="X284" s="15">
        <f t="shared" si="37"/>
        <v>1643.75</v>
      </c>
    </row>
    <row r="285" spans="1:24">
      <c r="A285" t="s">
        <v>930</v>
      </c>
      <c r="B285" s="163" t="s">
        <v>877</v>
      </c>
      <c r="C285" s="2" t="s">
        <v>516</v>
      </c>
      <c r="D285" s="2" t="s">
        <v>78</v>
      </c>
      <c r="E285" s="3">
        <v>45437.524305555555</v>
      </c>
      <c r="F285" s="2" t="s">
        <v>868</v>
      </c>
      <c r="G285" s="2" t="s">
        <v>857</v>
      </c>
      <c r="H285" s="2">
        <v>2.2000000000000002</v>
      </c>
      <c r="I285" s="2">
        <v>95</v>
      </c>
      <c r="J285" s="2">
        <v>70</v>
      </c>
      <c r="K285" s="2">
        <v>65</v>
      </c>
      <c r="L285" s="2">
        <v>20</v>
      </c>
      <c r="M285" s="2"/>
      <c r="N285" s="2" t="s">
        <v>95</v>
      </c>
      <c r="O285" s="14">
        <v>3</v>
      </c>
      <c r="P285" s="14">
        <v>0</v>
      </c>
      <c r="Q285" s="183">
        <v>3</v>
      </c>
      <c r="R285" s="187">
        <v>0</v>
      </c>
      <c r="S285" s="178">
        <f t="shared" si="39"/>
        <v>3</v>
      </c>
      <c r="T285" s="186">
        <f t="shared" si="40"/>
        <v>3</v>
      </c>
      <c r="U285" s="179">
        <f t="shared" si="41"/>
        <v>0</v>
      </c>
      <c r="V285" s="1">
        <f t="shared" si="38"/>
        <v>25</v>
      </c>
      <c r="W285" s="8">
        <f t="shared" si="42"/>
        <v>6.25</v>
      </c>
      <c r="X285" s="15">
        <f t="shared" si="37"/>
        <v>1650</v>
      </c>
    </row>
    <row r="286" spans="1:24">
      <c r="A286" t="s">
        <v>930</v>
      </c>
      <c r="B286" s="163" t="s">
        <v>876</v>
      </c>
      <c r="C286" s="2" t="s">
        <v>572</v>
      </c>
      <c r="D286" s="2" t="s">
        <v>670</v>
      </c>
      <c r="E286" s="3">
        <v>45437.333333333336</v>
      </c>
      <c r="F286" s="2" t="s">
        <v>695</v>
      </c>
      <c r="G286" s="2" t="s">
        <v>727</v>
      </c>
      <c r="H286" s="2">
        <v>20</v>
      </c>
      <c r="I286" s="2">
        <v>73</v>
      </c>
      <c r="J286" s="2">
        <v>1.85</v>
      </c>
      <c r="K286" s="2"/>
      <c r="L286" s="2"/>
      <c r="M286" s="2"/>
      <c r="N286" s="2" t="s">
        <v>95</v>
      </c>
      <c r="O286" s="14">
        <v>0</v>
      </c>
      <c r="P286" s="14">
        <v>1</v>
      </c>
      <c r="Q286" s="183">
        <v>1</v>
      </c>
      <c r="R286" s="187">
        <v>2</v>
      </c>
      <c r="S286" s="178">
        <f t="shared" si="39"/>
        <v>1</v>
      </c>
      <c r="T286" s="186">
        <f t="shared" si="40"/>
        <v>3</v>
      </c>
      <c r="U286" s="179">
        <f t="shared" si="41"/>
        <v>2</v>
      </c>
      <c r="V286" s="1">
        <f t="shared" si="38"/>
        <v>25</v>
      </c>
      <c r="W286" s="8">
        <f t="shared" si="42"/>
        <v>6.25</v>
      </c>
      <c r="X286" s="15">
        <f t="shared" si="37"/>
        <v>1656.25</v>
      </c>
    </row>
    <row r="287" spans="1:24">
      <c r="A287" t="s">
        <v>930</v>
      </c>
      <c r="B287" s="163" t="s">
        <v>876</v>
      </c>
      <c r="C287" s="2" t="s">
        <v>572</v>
      </c>
      <c r="D287" s="2" t="s">
        <v>670</v>
      </c>
      <c r="E287" s="3">
        <v>45438.333333333336</v>
      </c>
      <c r="F287" s="2" t="s">
        <v>869</v>
      </c>
      <c r="G287" s="2" t="s">
        <v>821</v>
      </c>
      <c r="H287" s="2">
        <v>20</v>
      </c>
      <c r="I287" s="2">
        <v>70</v>
      </c>
      <c r="J287" s="2">
        <v>1.75</v>
      </c>
      <c r="K287" s="2"/>
      <c r="L287" s="2"/>
      <c r="M287" s="2"/>
      <c r="N287" s="2" t="s">
        <v>95</v>
      </c>
      <c r="O287" s="14">
        <v>0</v>
      </c>
      <c r="P287" s="14">
        <v>0</v>
      </c>
      <c r="Q287" s="183">
        <v>1</v>
      </c>
      <c r="R287" s="187">
        <v>2</v>
      </c>
      <c r="S287" s="178">
        <f t="shared" si="39"/>
        <v>0</v>
      </c>
      <c r="T287" s="186">
        <f t="shared" si="40"/>
        <v>3</v>
      </c>
      <c r="U287" s="179">
        <f t="shared" si="41"/>
        <v>3</v>
      </c>
      <c r="V287" s="1">
        <f t="shared" si="38"/>
        <v>25</v>
      </c>
      <c r="W287" s="8">
        <f t="shared" si="42"/>
        <v>6.25</v>
      </c>
      <c r="X287" s="15">
        <f t="shared" si="37"/>
        <v>1662.5</v>
      </c>
    </row>
    <row r="288" spans="1:24">
      <c r="A288" t="s">
        <v>930</v>
      </c>
      <c r="B288" s="163" t="s">
        <v>10</v>
      </c>
      <c r="C288" s="2" t="s">
        <v>6</v>
      </c>
      <c r="D288" s="2" t="s">
        <v>62</v>
      </c>
      <c r="E288" s="3">
        <v>45291.583333333336</v>
      </c>
      <c r="F288" s="2" t="s">
        <v>116</v>
      </c>
      <c r="G288" s="2" t="s">
        <v>117</v>
      </c>
      <c r="H288" s="2">
        <v>2.06</v>
      </c>
      <c r="I288" s="2">
        <v>100</v>
      </c>
      <c r="J288" s="2">
        <v>61</v>
      </c>
      <c r="K288" s="2">
        <v>28</v>
      </c>
      <c r="L288" s="2">
        <v>65</v>
      </c>
      <c r="M288" s="2">
        <v>18</v>
      </c>
      <c r="N288" s="2" t="s">
        <v>95</v>
      </c>
      <c r="O288" s="13">
        <v>1</v>
      </c>
      <c r="P288" s="13">
        <v>0</v>
      </c>
      <c r="Q288" s="183">
        <v>3</v>
      </c>
      <c r="R288" s="181">
        <v>1</v>
      </c>
      <c r="S288" s="178">
        <f t="shared" si="39"/>
        <v>1</v>
      </c>
      <c r="T288" s="186">
        <f t="shared" si="40"/>
        <v>4</v>
      </c>
      <c r="U288" s="179">
        <f t="shared" si="41"/>
        <v>3</v>
      </c>
      <c r="V288" s="1">
        <f t="shared" si="38"/>
        <v>25</v>
      </c>
      <c r="W288" s="8">
        <f t="shared" si="42"/>
        <v>6.25</v>
      </c>
      <c r="X288" s="15">
        <f t="shared" si="37"/>
        <v>1668.75</v>
      </c>
    </row>
    <row r="289" spans="1:24">
      <c r="A289" t="s">
        <v>930</v>
      </c>
      <c r="B289" s="163" t="s">
        <v>10</v>
      </c>
      <c r="C289" s="2" t="s">
        <v>13</v>
      </c>
      <c r="D289" s="2" t="s">
        <v>11</v>
      </c>
      <c r="E289" s="3">
        <v>45297.625</v>
      </c>
      <c r="F289" s="2" t="s">
        <v>138</v>
      </c>
      <c r="G289" s="2" t="s">
        <v>139</v>
      </c>
      <c r="H289" s="2">
        <v>2.06</v>
      </c>
      <c r="I289" s="2">
        <v>94</v>
      </c>
      <c r="J289" s="2">
        <v>67</v>
      </c>
      <c r="K289" s="2">
        <v>22</v>
      </c>
      <c r="L289" s="2">
        <v>63</v>
      </c>
      <c r="M289" s="2">
        <v>18</v>
      </c>
      <c r="N289" s="2" t="s">
        <v>95</v>
      </c>
      <c r="O289" s="14">
        <v>2</v>
      </c>
      <c r="P289" s="13">
        <v>0</v>
      </c>
      <c r="Q289" s="183">
        <v>2</v>
      </c>
      <c r="R289" s="181">
        <v>2</v>
      </c>
      <c r="S289" s="178">
        <f t="shared" si="39"/>
        <v>2</v>
      </c>
      <c r="T289" s="186">
        <f t="shared" si="40"/>
        <v>4</v>
      </c>
      <c r="U289" s="179">
        <f t="shared" si="41"/>
        <v>2</v>
      </c>
      <c r="V289" s="1">
        <f t="shared" si="38"/>
        <v>25</v>
      </c>
      <c r="W289" s="8">
        <f t="shared" si="42"/>
        <v>6.25</v>
      </c>
      <c r="X289" s="15">
        <f t="shared" si="37"/>
        <v>1675</v>
      </c>
    </row>
    <row r="290" spans="1:24">
      <c r="A290" t="s">
        <v>930</v>
      </c>
      <c r="B290" s="163" t="s">
        <v>10</v>
      </c>
      <c r="C290" s="2" t="s">
        <v>6</v>
      </c>
      <c r="D290" s="2" t="s">
        <v>62</v>
      </c>
      <c r="E290" s="3">
        <v>45312.583333333336</v>
      </c>
      <c r="F290" s="2" t="s">
        <v>85</v>
      </c>
      <c r="G290" s="2" t="s">
        <v>74</v>
      </c>
      <c r="H290" s="2">
        <v>2.2000000000000002</v>
      </c>
      <c r="I290" s="2">
        <v>95</v>
      </c>
      <c r="J290" s="2">
        <v>70</v>
      </c>
      <c r="K290" s="2">
        <v>35</v>
      </c>
      <c r="L290" s="2">
        <v>61</v>
      </c>
      <c r="M290" s="2">
        <v>20</v>
      </c>
      <c r="N290" s="2" t="s">
        <v>95</v>
      </c>
      <c r="O290" s="14">
        <v>1</v>
      </c>
      <c r="P290" s="13">
        <v>1</v>
      </c>
      <c r="Q290" s="183">
        <v>2</v>
      </c>
      <c r="R290" s="181">
        <v>2</v>
      </c>
      <c r="S290" s="178">
        <f t="shared" si="39"/>
        <v>2</v>
      </c>
      <c r="T290" s="186">
        <f t="shared" si="40"/>
        <v>4</v>
      </c>
      <c r="U290" s="179">
        <f t="shared" si="41"/>
        <v>2</v>
      </c>
      <c r="V290" s="1">
        <f t="shared" si="38"/>
        <v>25</v>
      </c>
      <c r="W290" s="8">
        <f t="shared" si="42"/>
        <v>6.25</v>
      </c>
      <c r="X290" s="15">
        <f t="shared" si="37"/>
        <v>1681.25</v>
      </c>
    </row>
    <row r="291" spans="1:24">
      <c r="A291" t="s">
        <v>930</v>
      </c>
      <c r="B291" s="163" t="s">
        <v>10</v>
      </c>
      <c r="C291" s="2" t="s">
        <v>77</v>
      </c>
      <c r="D291" s="2" t="s">
        <v>251</v>
      </c>
      <c r="E291" s="3">
        <v>45314.75</v>
      </c>
      <c r="F291" s="2" t="s">
        <v>294</v>
      </c>
      <c r="G291" s="2" t="s">
        <v>295</v>
      </c>
      <c r="H291" s="2">
        <v>1.9</v>
      </c>
      <c r="I291" s="2">
        <v>85</v>
      </c>
      <c r="J291" s="2">
        <v>65</v>
      </c>
      <c r="K291" s="2">
        <v>25</v>
      </c>
      <c r="L291" s="2">
        <v>63</v>
      </c>
      <c r="M291" s="2">
        <v>20</v>
      </c>
      <c r="N291" s="2" t="s">
        <v>95</v>
      </c>
      <c r="O291" s="14">
        <v>0</v>
      </c>
      <c r="P291" s="13">
        <v>0</v>
      </c>
      <c r="Q291" s="183">
        <v>3</v>
      </c>
      <c r="R291" s="181">
        <v>1</v>
      </c>
      <c r="S291" s="178">
        <f t="shared" si="39"/>
        <v>0</v>
      </c>
      <c r="T291" s="186">
        <f t="shared" si="40"/>
        <v>4</v>
      </c>
      <c r="U291" s="179">
        <f t="shared" si="41"/>
        <v>4</v>
      </c>
      <c r="V291" s="1">
        <f t="shared" si="38"/>
        <v>25</v>
      </c>
      <c r="W291" s="8">
        <f t="shared" si="42"/>
        <v>6.25</v>
      </c>
      <c r="X291" s="15">
        <f t="shared" si="37"/>
        <v>1687.5</v>
      </c>
    </row>
    <row r="292" spans="1:24">
      <c r="A292" t="s">
        <v>930</v>
      </c>
      <c r="B292" s="163" t="s">
        <v>10</v>
      </c>
      <c r="C292" s="7" t="s">
        <v>67</v>
      </c>
      <c r="D292" s="7" t="s">
        <v>68</v>
      </c>
      <c r="E292" s="24">
        <v>45318.822916666664</v>
      </c>
      <c r="F292" s="7" t="s">
        <v>257</v>
      </c>
      <c r="G292" s="7" t="s">
        <v>266</v>
      </c>
      <c r="H292" s="7">
        <v>1.85</v>
      </c>
      <c r="I292" s="7">
        <v>90</v>
      </c>
      <c r="J292" s="7">
        <v>70</v>
      </c>
      <c r="K292" s="7">
        <v>20</v>
      </c>
      <c r="L292" s="7">
        <v>62</v>
      </c>
      <c r="M292" s="7">
        <v>20</v>
      </c>
      <c r="N292" s="2" t="s">
        <v>95</v>
      </c>
      <c r="O292" s="14">
        <v>1</v>
      </c>
      <c r="P292" s="13">
        <v>1</v>
      </c>
      <c r="Q292" s="183">
        <v>2</v>
      </c>
      <c r="R292" s="181">
        <v>2</v>
      </c>
      <c r="S292" s="178">
        <f t="shared" si="39"/>
        <v>2</v>
      </c>
      <c r="T292" s="186">
        <f t="shared" si="40"/>
        <v>4</v>
      </c>
      <c r="U292" s="179">
        <f t="shared" si="41"/>
        <v>2</v>
      </c>
      <c r="V292" s="1">
        <f t="shared" si="38"/>
        <v>25</v>
      </c>
      <c r="W292" s="8">
        <f t="shared" si="42"/>
        <v>6.25</v>
      </c>
      <c r="X292" s="15">
        <f t="shared" si="37"/>
        <v>1693.75</v>
      </c>
    </row>
    <row r="293" spans="1:24">
      <c r="A293" t="s">
        <v>930</v>
      </c>
      <c r="B293" s="163" t="s">
        <v>10</v>
      </c>
      <c r="C293" s="2" t="s">
        <v>6</v>
      </c>
      <c r="D293" s="2" t="s">
        <v>62</v>
      </c>
      <c r="E293" s="3">
        <v>45321.822916666664</v>
      </c>
      <c r="F293" s="2" t="s">
        <v>86</v>
      </c>
      <c r="G293" s="2" t="s">
        <v>267</v>
      </c>
      <c r="H293" s="2">
        <v>2.0499999999999998</v>
      </c>
      <c r="I293" s="2">
        <v>90</v>
      </c>
      <c r="J293" s="2">
        <v>70</v>
      </c>
      <c r="K293" s="2">
        <v>30</v>
      </c>
      <c r="L293" s="2">
        <v>65</v>
      </c>
      <c r="M293" s="2">
        <v>20</v>
      </c>
      <c r="N293" s="2" t="s">
        <v>95</v>
      </c>
      <c r="O293" s="14">
        <v>3</v>
      </c>
      <c r="P293" s="13">
        <v>0</v>
      </c>
      <c r="Q293" s="183">
        <v>4</v>
      </c>
      <c r="R293" s="181">
        <v>0</v>
      </c>
      <c r="S293" s="178">
        <f t="shared" si="39"/>
        <v>3</v>
      </c>
      <c r="T293" s="186">
        <f t="shared" si="40"/>
        <v>4</v>
      </c>
      <c r="U293" s="179">
        <f t="shared" si="41"/>
        <v>1</v>
      </c>
      <c r="V293" s="1">
        <f t="shared" si="38"/>
        <v>25</v>
      </c>
      <c r="W293" s="8">
        <f t="shared" si="42"/>
        <v>6.25</v>
      </c>
      <c r="X293" s="15">
        <f t="shared" si="37"/>
        <v>1700</v>
      </c>
    </row>
    <row r="294" spans="1:24">
      <c r="A294" t="s">
        <v>930</v>
      </c>
      <c r="B294" s="163" t="s">
        <v>10</v>
      </c>
      <c r="C294" s="2" t="s">
        <v>6</v>
      </c>
      <c r="D294" s="2" t="s">
        <v>62</v>
      </c>
      <c r="E294" s="3">
        <v>45321.84375</v>
      </c>
      <c r="F294" s="2" t="s">
        <v>102</v>
      </c>
      <c r="G294" s="2" t="s">
        <v>164</v>
      </c>
      <c r="H294" s="2">
        <v>2.5</v>
      </c>
      <c r="I294" s="2">
        <v>85</v>
      </c>
      <c r="J294" s="2">
        <v>75</v>
      </c>
      <c r="K294" s="2">
        <v>50</v>
      </c>
      <c r="L294" s="2">
        <v>61</v>
      </c>
      <c r="M294" s="2">
        <v>20</v>
      </c>
      <c r="N294" s="2" t="s">
        <v>95</v>
      </c>
      <c r="O294" s="14">
        <v>0</v>
      </c>
      <c r="P294" s="13">
        <v>2</v>
      </c>
      <c r="Q294" s="183">
        <v>1</v>
      </c>
      <c r="R294" s="181">
        <v>3</v>
      </c>
      <c r="S294" s="178">
        <f t="shared" si="39"/>
        <v>2</v>
      </c>
      <c r="T294" s="186">
        <f t="shared" si="40"/>
        <v>4</v>
      </c>
      <c r="U294" s="179">
        <f t="shared" si="41"/>
        <v>2</v>
      </c>
      <c r="V294" s="1">
        <f t="shared" si="38"/>
        <v>25</v>
      </c>
      <c r="W294" s="8">
        <f t="shared" si="42"/>
        <v>6.25</v>
      </c>
      <c r="X294" s="15">
        <f t="shared" si="37"/>
        <v>1706.25</v>
      </c>
    </row>
    <row r="295" spans="1:24">
      <c r="A295" t="s">
        <v>930</v>
      </c>
      <c r="B295" s="163" t="s">
        <v>10</v>
      </c>
      <c r="C295" s="2" t="s">
        <v>6</v>
      </c>
      <c r="D295" s="2" t="s">
        <v>62</v>
      </c>
      <c r="E295" s="3">
        <v>45327.833333333336</v>
      </c>
      <c r="F295" s="2" t="s">
        <v>63</v>
      </c>
      <c r="G295" s="2" t="s">
        <v>72</v>
      </c>
      <c r="H295" s="2">
        <v>2.15</v>
      </c>
      <c r="I295" s="2">
        <v>100</v>
      </c>
      <c r="J295" s="2">
        <v>75</v>
      </c>
      <c r="K295" s="2">
        <v>30</v>
      </c>
      <c r="L295" s="2">
        <v>65</v>
      </c>
      <c r="M295" s="2">
        <v>20</v>
      </c>
      <c r="N295" s="2" t="s">
        <v>95</v>
      </c>
      <c r="O295" s="14">
        <v>1</v>
      </c>
      <c r="P295" s="13">
        <v>1</v>
      </c>
      <c r="Q295" s="183">
        <v>1</v>
      </c>
      <c r="R295" s="181">
        <v>3</v>
      </c>
      <c r="S295" s="178">
        <f t="shared" si="39"/>
        <v>2</v>
      </c>
      <c r="T295" s="186">
        <f t="shared" si="40"/>
        <v>4</v>
      </c>
      <c r="U295" s="179">
        <f t="shared" si="41"/>
        <v>2</v>
      </c>
      <c r="V295" s="1">
        <f t="shared" si="38"/>
        <v>25</v>
      </c>
      <c r="W295" s="8">
        <f t="shared" si="42"/>
        <v>6.25</v>
      </c>
      <c r="X295" s="15">
        <f t="shared" si="37"/>
        <v>1712.5</v>
      </c>
    </row>
    <row r="296" spans="1:24">
      <c r="A296" t="s">
        <v>930</v>
      </c>
      <c r="B296" s="163" t="s">
        <v>10</v>
      </c>
      <c r="C296" s="2" t="s">
        <v>6</v>
      </c>
      <c r="D296" s="2" t="s">
        <v>7</v>
      </c>
      <c r="E296" s="3">
        <v>45332.625</v>
      </c>
      <c r="F296" s="2" t="s">
        <v>113</v>
      </c>
      <c r="G296" s="2" t="s">
        <v>18</v>
      </c>
      <c r="H296" s="2">
        <v>2.2000000000000002</v>
      </c>
      <c r="I296" s="2">
        <v>85</v>
      </c>
      <c r="J296" s="2">
        <v>70</v>
      </c>
      <c r="K296" s="2">
        <v>30</v>
      </c>
      <c r="L296" s="2">
        <v>60</v>
      </c>
      <c r="M296" s="2">
        <v>20</v>
      </c>
      <c r="N296" s="2" t="s">
        <v>95</v>
      </c>
      <c r="O296" s="14">
        <v>0</v>
      </c>
      <c r="P296" s="13">
        <v>3</v>
      </c>
      <c r="Q296" s="183">
        <v>1</v>
      </c>
      <c r="R296" s="181">
        <v>3</v>
      </c>
      <c r="S296" s="178">
        <f t="shared" si="39"/>
        <v>3</v>
      </c>
      <c r="T296" s="186">
        <f t="shared" si="40"/>
        <v>4</v>
      </c>
      <c r="U296" s="179">
        <f t="shared" si="41"/>
        <v>1</v>
      </c>
      <c r="V296" s="1">
        <f t="shared" si="38"/>
        <v>25</v>
      </c>
      <c r="W296" s="8">
        <f t="shared" si="42"/>
        <v>6.25</v>
      </c>
      <c r="X296" s="15">
        <f t="shared" si="37"/>
        <v>1718.75</v>
      </c>
    </row>
    <row r="297" spans="1:24">
      <c r="A297" t="s">
        <v>930</v>
      </c>
      <c r="B297" s="163" t="s">
        <v>10</v>
      </c>
      <c r="C297" s="2" t="s">
        <v>6</v>
      </c>
      <c r="D297" s="2" t="s">
        <v>62</v>
      </c>
      <c r="E297" s="3">
        <v>45332.625</v>
      </c>
      <c r="F297" s="2" t="s">
        <v>86</v>
      </c>
      <c r="G297" s="2" t="s">
        <v>85</v>
      </c>
      <c r="H297" s="2">
        <v>2.0499999999999998</v>
      </c>
      <c r="I297" s="2">
        <v>90</v>
      </c>
      <c r="J297" s="2">
        <v>65</v>
      </c>
      <c r="K297" s="2">
        <v>35</v>
      </c>
      <c r="L297" s="2">
        <v>65</v>
      </c>
      <c r="M297" s="2">
        <v>20</v>
      </c>
      <c r="N297" s="2" t="s">
        <v>95</v>
      </c>
      <c r="O297" s="14">
        <v>0</v>
      </c>
      <c r="P297" s="13">
        <v>2</v>
      </c>
      <c r="Q297" s="183">
        <v>1</v>
      </c>
      <c r="R297" s="181">
        <v>3</v>
      </c>
      <c r="S297" s="178">
        <f t="shared" si="39"/>
        <v>2</v>
      </c>
      <c r="T297" s="186">
        <f t="shared" si="40"/>
        <v>4</v>
      </c>
      <c r="U297" s="179">
        <f t="shared" si="41"/>
        <v>2</v>
      </c>
      <c r="V297" s="1">
        <f t="shared" si="38"/>
        <v>25</v>
      </c>
      <c r="W297" s="8">
        <f t="shared" si="42"/>
        <v>6.25</v>
      </c>
      <c r="X297" s="15">
        <f t="shared" si="37"/>
        <v>1725</v>
      </c>
    </row>
    <row r="298" spans="1:24">
      <c r="A298" t="s">
        <v>930</v>
      </c>
      <c r="B298" s="163" t="s">
        <v>10</v>
      </c>
      <c r="C298" s="2" t="s">
        <v>67</v>
      </c>
      <c r="D298" s="2" t="s">
        <v>68</v>
      </c>
      <c r="E298" s="3">
        <v>45333.729166666664</v>
      </c>
      <c r="F298" s="2" t="s">
        <v>69</v>
      </c>
      <c r="G298" s="2" t="s">
        <v>375</v>
      </c>
      <c r="H298" s="2">
        <v>2.15</v>
      </c>
      <c r="I298" s="2">
        <v>90</v>
      </c>
      <c r="J298" s="2">
        <v>70</v>
      </c>
      <c r="K298" s="2">
        <v>40</v>
      </c>
      <c r="L298" s="2">
        <v>64</v>
      </c>
      <c r="M298" s="2">
        <v>20</v>
      </c>
      <c r="N298" s="2" t="s">
        <v>95</v>
      </c>
      <c r="O298" s="14">
        <v>1</v>
      </c>
      <c r="P298" s="13">
        <v>2</v>
      </c>
      <c r="Q298" s="183">
        <v>1</v>
      </c>
      <c r="R298" s="181">
        <v>3</v>
      </c>
      <c r="S298" s="178">
        <f t="shared" si="39"/>
        <v>3</v>
      </c>
      <c r="T298" s="186">
        <f t="shared" si="40"/>
        <v>4</v>
      </c>
      <c r="U298" s="179">
        <f t="shared" si="41"/>
        <v>1</v>
      </c>
      <c r="V298" s="1">
        <f t="shared" si="38"/>
        <v>25</v>
      </c>
      <c r="W298" s="8">
        <f t="shared" si="42"/>
        <v>6.25</v>
      </c>
      <c r="X298" s="15">
        <f t="shared" si="37"/>
        <v>1731.25</v>
      </c>
    </row>
    <row r="299" spans="1:24">
      <c r="A299" t="s">
        <v>930</v>
      </c>
      <c r="B299" s="163" t="s">
        <v>10</v>
      </c>
      <c r="C299" s="2" t="s">
        <v>58</v>
      </c>
      <c r="D299" s="2" t="s">
        <v>59</v>
      </c>
      <c r="E299" s="3">
        <v>45333.854166666664</v>
      </c>
      <c r="F299" s="2" t="s">
        <v>142</v>
      </c>
      <c r="G299" s="2" t="s">
        <v>60</v>
      </c>
      <c r="H299" s="2">
        <v>1.9</v>
      </c>
      <c r="I299" s="2">
        <v>90</v>
      </c>
      <c r="J299" s="2">
        <v>65</v>
      </c>
      <c r="K299" s="2">
        <v>25</v>
      </c>
      <c r="L299" s="2">
        <v>63</v>
      </c>
      <c r="M299" s="2">
        <v>20</v>
      </c>
      <c r="N299" s="2" t="s">
        <v>95</v>
      </c>
      <c r="O299" s="14">
        <v>1</v>
      </c>
      <c r="P299" s="13">
        <v>1</v>
      </c>
      <c r="Q299" s="183">
        <v>2</v>
      </c>
      <c r="R299" s="181">
        <v>2</v>
      </c>
      <c r="S299" s="178">
        <f t="shared" si="39"/>
        <v>2</v>
      </c>
      <c r="T299" s="186">
        <f t="shared" si="40"/>
        <v>4</v>
      </c>
      <c r="U299" s="179">
        <f t="shared" si="41"/>
        <v>2</v>
      </c>
      <c r="V299" s="1">
        <f t="shared" si="38"/>
        <v>25</v>
      </c>
      <c r="W299" s="8">
        <f t="shared" si="42"/>
        <v>6.25</v>
      </c>
      <c r="X299" s="15">
        <f t="shared" si="37"/>
        <v>1737.5</v>
      </c>
    </row>
    <row r="300" spans="1:24">
      <c r="A300" t="s">
        <v>930</v>
      </c>
      <c r="B300" s="163" t="s">
        <v>10</v>
      </c>
      <c r="C300" s="2" t="s">
        <v>6</v>
      </c>
      <c r="D300" s="2" t="s">
        <v>7</v>
      </c>
      <c r="E300" s="3">
        <v>45335.822916666664</v>
      </c>
      <c r="F300" s="2" t="s">
        <v>429</v>
      </c>
      <c r="G300" s="2" t="s">
        <v>163</v>
      </c>
      <c r="H300" s="2">
        <v>2</v>
      </c>
      <c r="I300" s="2">
        <v>95</v>
      </c>
      <c r="J300" s="2">
        <v>65</v>
      </c>
      <c r="K300" s="2">
        <v>25</v>
      </c>
      <c r="L300" s="2">
        <v>63</v>
      </c>
      <c r="M300" s="2">
        <v>20</v>
      </c>
      <c r="N300" s="2" t="s">
        <v>95</v>
      </c>
      <c r="O300" s="14">
        <v>0</v>
      </c>
      <c r="P300" s="14">
        <v>1</v>
      </c>
      <c r="Q300" s="183">
        <v>2</v>
      </c>
      <c r="R300" s="181">
        <v>2</v>
      </c>
      <c r="S300" s="178">
        <f t="shared" si="39"/>
        <v>1</v>
      </c>
      <c r="T300" s="186">
        <f t="shared" si="40"/>
        <v>4</v>
      </c>
      <c r="U300" s="179">
        <f t="shared" si="41"/>
        <v>3</v>
      </c>
      <c r="V300" s="1">
        <f t="shared" si="38"/>
        <v>25</v>
      </c>
      <c r="W300" s="8">
        <f t="shared" si="42"/>
        <v>6.25</v>
      </c>
      <c r="X300" s="15">
        <f t="shared" si="37"/>
        <v>1743.75</v>
      </c>
    </row>
    <row r="301" spans="1:24">
      <c r="A301" t="s">
        <v>930</v>
      </c>
      <c r="B301" s="163" t="s">
        <v>10</v>
      </c>
      <c r="C301" s="2" t="s">
        <v>6</v>
      </c>
      <c r="D301" s="2" t="s">
        <v>7</v>
      </c>
      <c r="E301" s="3">
        <v>45335.822916666664</v>
      </c>
      <c r="F301" s="2" t="s">
        <v>397</v>
      </c>
      <c r="G301" s="2" t="s">
        <v>8</v>
      </c>
      <c r="H301" s="2">
        <v>2.2000000000000002</v>
      </c>
      <c r="I301" s="2">
        <v>85</v>
      </c>
      <c r="J301" s="2">
        <v>70</v>
      </c>
      <c r="K301" s="2">
        <v>30</v>
      </c>
      <c r="L301" s="2">
        <v>62</v>
      </c>
      <c r="M301" s="2">
        <v>20</v>
      </c>
      <c r="N301" s="2" t="s">
        <v>95</v>
      </c>
      <c r="O301" s="14">
        <v>0</v>
      </c>
      <c r="P301" s="14">
        <v>2</v>
      </c>
      <c r="Q301" s="183">
        <v>1</v>
      </c>
      <c r="R301" s="181">
        <v>3</v>
      </c>
      <c r="S301" s="178">
        <f t="shared" si="39"/>
        <v>2</v>
      </c>
      <c r="T301" s="186">
        <f t="shared" si="40"/>
        <v>4</v>
      </c>
      <c r="U301" s="179">
        <f t="shared" si="41"/>
        <v>2</v>
      </c>
      <c r="V301" s="1">
        <f t="shared" si="38"/>
        <v>25</v>
      </c>
      <c r="W301" s="8">
        <f t="shared" si="42"/>
        <v>6.25</v>
      </c>
      <c r="X301" s="15">
        <f t="shared" si="37"/>
        <v>1750</v>
      </c>
    </row>
    <row r="302" spans="1:24">
      <c r="A302" t="s">
        <v>930</v>
      </c>
      <c r="B302" s="163" t="s">
        <v>10</v>
      </c>
      <c r="C302" s="2" t="s">
        <v>67</v>
      </c>
      <c r="D302" s="2" t="s">
        <v>68</v>
      </c>
      <c r="E302" s="3">
        <v>45339.625</v>
      </c>
      <c r="F302" s="2" t="s">
        <v>343</v>
      </c>
      <c r="G302" s="2" t="s">
        <v>439</v>
      </c>
      <c r="H302" s="2">
        <v>2.15</v>
      </c>
      <c r="I302" s="2">
        <v>90</v>
      </c>
      <c r="J302" s="2">
        <v>80</v>
      </c>
      <c r="K302" s="2">
        <v>40</v>
      </c>
      <c r="L302" s="2">
        <v>68</v>
      </c>
      <c r="M302" s="2">
        <v>20</v>
      </c>
      <c r="N302" s="2" t="s">
        <v>95</v>
      </c>
      <c r="O302" s="14">
        <v>2</v>
      </c>
      <c r="P302" s="14">
        <v>1</v>
      </c>
      <c r="Q302" s="183">
        <v>3</v>
      </c>
      <c r="R302" s="181">
        <v>1</v>
      </c>
      <c r="S302" s="178">
        <f t="shared" si="39"/>
        <v>3</v>
      </c>
      <c r="T302" s="186">
        <f t="shared" si="40"/>
        <v>4</v>
      </c>
      <c r="U302" s="179">
        <f t="shared" si="41"/>
        <v>1</v>
      </c>
      <c r="V302" s="1">
        <f t="shared" si="38"/>
        <v>25</v>
      </c>
      <c r="W302" s="8">
        <f t="shared" si="42"/>
        <v>6.25</v>
      </c>
      <c r="X302" s="15">
        <f t="shared" ref="X302:X364" si="43">SUM(X301,W302)</f>
        <v>1756.25</v>
      </c>
    </row>
    <row r="303" spans="1:24">
      <c r="A303" t="s">
        <v>930</v>
      </c>
      <c r="B303" s="163" t="s">
        <v>10</v>
      </c>
      <c r="C303" s="2" t="s">
        <v>6</v>
      </c>
      <c r="D303" s="2" t="s">
        <v>7</v>
      </c>
      <c r="E303" s="3">
        <v>45339.625</v>
      </c>
      <c r="F303" s="2" t="s">
        <v>240</v>
      </c>
      <c r="G303" s="2" t="s">
        <v>18</v>
      </c>
      <c r="H303" s="2">
        <v>1.9</v>
      </c>
      <c r="I303" s="2">
        <v>90</v>
      </c>
      <c r="J303" s="2">
        <v>70</v>
      </c>
      <c r="K303" s="2">
        <v>20</v>
      </c>
      <c r="L303" s="2">
        <v>60</v>
      </c>
      <c r="M303" s="2">
        <v>20</v>
      </c>
      <c r="N303" s="2" t="s">
        <v>95</v>
      </c>
      <c r="O303" s="14">
        <v>1</v>
      </c>
      <c r="P303" s="14">
        <v>0</v>
      </c>
      <c r="Q303" s="183">
        <v>4</v>
      </c>
      <c r="R303" s="181">
        <v>0</v>
      </c>
      <c r="S303" s="178">
        <f t="shared" si="39"/>
        <v>1</v>
      </c>
      <c r="T303" s="186">
        <f t="shared" si="40"/>
        <v>4</v>
      </c>
      <c r="U303" s="179">
        <f t="shared" si="41"/>
        <v>3</v>
      </c>
      <c r="V303" s="1">
        <f t="shared" si="38"/>
        <v>25</v>
      </c>
      <c r="W303" s="8">
        <f t="shared" si="42"/>
        <v>6.25</v>
      </c>
      <c r="X303" s="15">
        <f t="shared" si="43"/>
        <v>1762.5</v>
      </c>
    </row>
    <row r="304" spans="1:24">
      <c r="A304" t="s">
        <v>930</v>
      </c>
      <c r="B304" s="163" t="s">
        <v>10</v>
      </c>
      <c r="C304" s="2" t="s">
        <v>133</v>
      </c>
      <c r="D304" s="2" t="s">
        <v>78</v>
      </c>
      <c r="E304" s="3">
        <v>45350.625</v>
      </c>
      <c r="F304" s="2" t="s">
        <v>135</v>
      </c>
      <c r="G304" s="2" t="s">
        <v>394</v>
      </c>
      <c r="H304" s="2">
        <v>1.8</v>
      </c>
      <c r="I304" s="2">
        <v>90</v>
      </c>
      <c r="J304" s="2">
        <v>65</v>
      </c>
      <c r="K304" s="2">
        <v>15</v>
      </c>
      <c r="L304" s="2">
        <v>69</v>
      </c>
      <c r="M304" s="2">
        <v>20</v>
      </c>
      <c r="N304" s="2" t="s">
        <v>95</v>
      </c>
      <c r="O304" s="14">
        <v>1</v>
      </c>
      <c r="P304" s="14">
        <v>1</v>
      </c>
      <c r="Q304" s="183">
        <v>3</v>
      </c>
      <c r="R304" s="181">
        <v>1</v>
      </c>
      <c r="S304" s="178">
        <f t="shared" si="39"/>
        <v>2</v>
      </c>
      <c r="T304" s="186">
        <f t="shared" si="40"/>
        <v>4</v>
      </c>
      <c r="U304" s="179">
        <f t="shared" si="41"/>
        <v>2</v>
      </c>
      <c r="V304" s="1">
        <f t="shared" si="38"/>
        <v>25</v>
      </c>
      <c r="W304" s="8">
        <f t="shared" si="42"/>
        <v>6.25</v>
      </c>
      <c r="X304" s="15">
        <f t="shared" si="43"/>
        <v>1768.75</v>
      </c>
    </row>
    <row r="305" spans="1:24">
      <c r="A305" t="s">
        <v>930</v>
      </c>
      <c r="B305" s="163" t="s">
        <v>10</v>
      </c>
      <c r="C305" s="2" t="s">
        <v>6</v>
      </c>
      <c r="D305" s="2" t="s">
        <v>62</v>
      </c>
      <c r="E305" s="3">
        <v>45353.625</v>
      </c>
      <c r="F305" s="2" t="s">
        <v>63</v>
      </c>
      <c r="G305" s="2" t="s">
        <v>65</v>
      </c>
      <c r="H305" s="2">
        <v>2.4</v>
      </c>
      <c r="I305" s="2">
        <v>100</v>
      </c>
      <c r="J305" s="2">
        <v>80</v>
      </c>
      <c r="K305" s="2">
        <v>50</v>
      </c>
      <c r="L305" s="2">
        <v>63</v>
      </c>
      <c r="M305" s="2">
        <v>20</v>
      </c>
      <c r="N305" s="2" t="s">
        <v>95</v>
      </c>
      <c r="O305" s="14">
        <v>0</v>
      </c>
      <c r="P305" s="14">
        <v>1</v>
      </c>
      <c r="Q305" s="183">
        <v>2</v>
      </c>
      <c r="R305" s="181">
        <v>2</v>
      </c>
      <c r="S305" s="178">
        <f t="shared" si="39"/>
        <v>1</v>
      </c>
      <c r="T305" s="186">
        <f t="shared" si="40"/>
        <v>4</v>
      </c>
      <c r="U305" s="179">
        <f t="shared" si="41"/>
        <v>3</v>
      </c>
      <c r="V305" s="1">
        <f t="shared" si="38"/>
        <v>25</v>
      </c>
      <c r="W305" s="8">
        <f t="shared" si="42"/>
        <v>6.25</v>
      </c>
      <c r="X305" s="15">
        <f t="shared" si="43"/>
        <v>1775</v>
      </c>
    </row>
    <row r="306" spans="1:24">
      <c r="A306" t="s">
        <v>930</v>
      </c>
      <c r="B306" s="163" t="s">
        <v>10</v>
      </c>
      <c r="C306" s="2" t="s">
        <v>6</v>
      </c>
      <c r="D306" s="2" t="s">
        <v>62</v>
      </c>
      <c r="E306" s="3">
        <v>45353.625</v>
      </c>
      <c r="F306" s="2" t="s">
        <v>71</v>
      </c>
      <c r="G306" s="2" t="s">
        <v>74</v>
      </c>
      <c r="H306" s="2">
        <v>1.8</v>
      </c>
      <c r="I306" s="2">
        <v>90</v>
      </c>
      <c r="J306" s="2">
        <v>65</v>
      </c>
      <c r="K306" s="2">
        <v>20</v>
      </c>
      <c r="L306" s="2">
        <v>64</v>
      </c>
      <c r="M306" s="2">
        <v>20</v>
      </c>
      <c r="N306" s="2" t="s">
        <v>95</v>
      </c>
      <c r="O306" s="14">
        <v>0</v>
      </c>
      <c r="P306" s="14">
        <v>0</v>
      </c>
      <c r="Q306" s="183">
        <v>1</v>
      </c>
      <c r="R306" s="181">
        <v>3</v>
      </c>
      <c r="S306" s="178">
        <f t="shared" si="39"/>
        <v>0</v>
      </c>
      <c r="T306" s="186">
        <f t="shared" si="40"/>
        <v>4</v>
      </c>
      <c r="U306" s="179">
        <f t="shared" si="41"/>
        <v>4</v>
      </c>
      <c r="V306" s="1">
        <f t="shared" si="38"/>
        <v>25</v>
      </c>
      <c r="W306" s="8">
        <f t="shared" si="42"/>
        <v>6.25</v>
      </c>
      <c r="X306" s="15">
        <f t="shared" si="43"/>
        <v>1781.25</v>
      </c>
    </row>
    <row r="307" spans="1:24">
      <c r="A307" t="s">
        <v>930</v>
      </c>
      <c r="B307" s="163" t="s">
        <v>10</v>
      </c>
      <c r="C307" s="2" t="s">
        <v>77</v>
      </c>
      <c r="D307" s="2" t="s">
        <v>251</v>
      </c>
      <c r="E307" s="3">
        <v>45360.541666666664</v>
      </c>
      <c r="F307" s="2" t="s">
        <v>295</v>
      </c>
      <c r="G307" s="2" t="s">
        <v>259</v>
      </c>
      <c r="H307" s="2">
        <v>2.15</v>
      </c>
      <c r="I307" s="2">
        <v>90</v>
      </c>
      <c r="J307" s="2">
        <v>65</v>
      </c>
      <c r="K307" s="2">
        <v>35</v>
      </c>
      <c r="L307" s="2">
        <v>61</v>
      </c>
      <c r="M307" s="2"/>
      <c r="N307" s="2" t="s">
        <v>95</v>
      </c>
      <c r="O307" s="14">
        <v>1</v>
      </c>
      <c r="P307" s="14">
        <v>0</v>
      </c>
      <c r="Q307" s="183">
        <v>2</v>
      </c>
      <c r="R307" s="181">
        <v>2</v>
      </c>
      <c r="S307" s="178">
        <f t="shared" si="39"/>
        <v>1</v>
      </c>
      <c r="T307" s="186">
        <f t="shared" si="40"/>
        <v>4</v>
      </c>
      <c r="U307" s="179">
        <f t="shared" si="41"/>
        <v>3</v>
      </c>
      <c r="V307" s="1">
        <f t="shared" si="38"/>
        <v>25</v>
      </c>
      <c r="W307" s="8">
        <f t="shared" si="42"/>
        <v>6.25</v>
      </c>
      <c r="X307" s="15">
        <f t="shared" si="43"/>
        <v>1787.5</v>
      </c>
    </row>
    <row r="308" spans="1:24">
      <c r="A308" t="s">
        <v>930</v>
      </c>
      <c r="B308" s="163" t="s">
        <v>10</v>
      </c>
      <c r="C308" s="2" t="s">
        <v>145</v>
      </c>
      <c r="D308" s="2" t="s">
        <v>190</v>
      </c>
      <c r="E308" s="3">
        <v>45361.5</v>
      </c>
      <c r="F308" s="2" t="s">
        <v>553</v>
      </c>
      <c r="G308" s="2" t="s">
        <v>554</v>
      </c>
      <c r="H308" s="2">
        <v>2.1</v>
      </c>
      <c r="I308" s="2">
        <v>100</v>
      </c>
      <c r="J308" s="2">
        <v>70</v>
      </c>
      <c r="K308" s="2">
        <v>30</v>
      </c>
      <c r="L308" s="2">
        <v>62</v>
      </c>
      <c r="M308" s="2">
        <v>20</v>
      </c>
      <c r="N308" s="2" t="s">
        <v>95</v>
      </c>
      <c r="O308" s="14">
        <v>2</v>
      </c>
      <c r="P308" s="14">
        <v>2</v>
      </c>
      <c r="Q308" s="183">
        <v>2</v>
      </c>
      <c r="R308" s="181">
        <v>2</v>
      </c>
      <c r="S308" s="178">
        <f t="shared" si="39"/>
        <v>4</v>
      </c>
      <c r="T308" s="186">
        <f t="shared" si="40"/>
        <v>4</v>
      </c>
      <c r="U308" s="179">
        <f t="shared" si="41"/>
        <v>0</v>
      </c>
      <c r="V308" s="1">
        <f t="shared" ref="V308:V339" si="44">SUM($X$1*0.05)</f>
        <v>25</v>
      </c>
      <c r="W308" s="8">
        <f t="shared" si="42"/>
        <v>6.25</v>
      </c>
      <c r="X308" s="15">
        <f t="shared" si="43"/>
        <v>1793.75</v>
      </c>
    </row>
    <row r="309" spans="1:24">
      <c r="A309" t="s">
        <v>930</v>
      </c>
      <c r="B309" s="163" t="s">
        <v>10</v>
      </c>
      <c r="C309" s="2" t="s">
        <v>6</v>
      </c>
      <c r="D309" s="2" t="s">
        <v>62</v>
      </c>
      <c r="E309" s="3">
        <v>45361.541666666664</v>
      </c>
      <c r="F309" s="2" t="s">
        <v>102</v>
      </c>
      <c r="G309" s="2" t="s">
        <v>116</v>
      </c>
      <c r="H309" s="2">
        <v>2.1</v>
      </c>
      <c r="I309" s="2">
        <v>95</v>
      </c>
      <c r="J309" s="2">
        <v>70</v>
      </c>
      <c r="K309" s="2">
        <v>30</v>
      </c>
      <c r="L309" s="2">
        <v>63</v>
      </c>
      <c r="M309" s="2">
        <v>20</v>
      </c>
      <c r="N309" s="2" t="s">
        <v>95</v>
      </c>
      <c r="O309" s="14">
        <v>0</v>
      </c>
      <c r="P309" s="14">
        <v>0</v>
      </c>
      <c r="Q309" s="183">
        <v>0</v>
      </c>
      <c r="R309" s="181">
        <v>4</v>
      </c>
      <c r="S309" s="178">
        <f t="shared" si="39"/>
        <v>0</v>
      </c>
      <c r="T309" s="186">
        <f t="shared" si="40"/>
        <v>4</v>
      </c>
      <c r="U309" s="179">
        <f t="shared" si="41"/>
        <v>4</v>
      </c>
      <c r="V309" s="1">
        <f t="shared" si="44"/>
        <v>25</v>
      </c>
      <c r="W309" s="8">
        <f t="shared" si="42"/>
        <v>6.25</v>
      </c>
      <c r="X309" s="15">
        <f t="shared" si="43"/>
        <v>1800</v>
      </c>
    </row>
    <row r="310" spans="1:24">
      <c r="A310" t="s">
        <v>930</v>
      </c>
      <c r="B310" s="163" t="s">
        <v>10</v>
      </c>
      <c r="C310" s="2" t="s">
        <v>58</v>
      </c>
      <c r="D310" s="2" t="s">
        <v>59</v>
      </c>
      <c r="E310" s="3">
        <v>45361.854166666664</v>
      </c>
      <c r="F310" s="2" t="s">
        <v>60</v>
      </c>
      <c r="G310" s="2" t="s">
        <v>105</v>
      </c>
      <c r="H310" s="2">
        <v>2.1</v>
      </c>
      <c r="I310" s="2">
        <v>90</v>
      </c>
      <c r="J310" s="2">
        <v>65</v>
      </c>
      <c r="K310" s="2">
        <v>30</v>
      </c>
      <c r="L310" s="2">
        <v>63</v>
      </c>
      <c r="M310" s="2">
        <v>20</v>
      </c>
      <c r="N310" s="2" t="s">
        <v>95</v>
      </c>
      <c r="O310" s="14">
        <v>2</v>
      </c>
      <c r="P310" s="14">
        <v>1</v>
      </c>
      <c r="Q310" s="183">
        <v>3</v>
      </c>
      <c r="R310" s="181">
        <v>1</v>
      </c>
      <c r="S310" s="178">
        <f t="shared" si="39"/>
        <v>3</v>
      </c>
      <c r="T310" s="186">
        <f t="shared" si="40"/>
        <v>4</v>
      </c>
      <c r="U310" s="179">
        <f t="shared" si="41"/>
        <v>1</v>
      </c>
      <c r="V310" s="1">
        <f t="shared" si="44"/>
        <v>25</v>
      </c>
      <c r="W310" s="8">
        <f t="shared" si="42"/>
        <v>6.25</v>
      </c>
      <c r="X310" s="15">
        <f t="shared" si="43"/>
        <v>1806.25</v>
      </c>
    </row>
    <row r="311" spans="1:24">
      <c r="A311" t="s">
        <v>930</v>
      </c>
      <c r="B311" s="163" t="s">
        <v>10</v>
      </c>
      <c r="C311" s="2" t="s">
        <v>6</v>
      </c>
      <c r="D311" s="2" t="s">
        <v>7</v>
      </c>
      <c r="E311" s="3">
        <v>45368.583333333336</v>
      </c>
      <c r="F311" s="2" t="s">
        <v>302</v>
      </c>
      <c r="G311" s="2" t="s">
        <v>9</v>
      </c>
      <c r="H311" s="2">
        <v>2.2000000000000002</v>
      </c>
      <c r="I311" s="2">
        <v>95</v>
      </c>
      <c r="J311" s="2">
        <v>65</v>
      </c>
      <c r="K311" s="2">
        <v>25</v>
      </c>
      <c r="L311" s="2">
        <v>60</v>
      </c>
      <c r="M311" s="2">
        <v>20</v>
      </c>
      <c r="N311" s="2" t="s">
        <v>95</v>
      </c>
      <c r="O311" s="14">
        <v>1</v>
      </c>
      <c r="P311" s="14">
        <v>0</v>
      </c>
      <c r="Q311" s="183">
        <v>3</v>
      </c>
      <c r="R311" s="181">
        <v>1</v>
      </c>
      <c r="S311" s="178">
        <f t="shared" si="39"/>
        <v>1</v>
      </c>
      <c r="T311" s="186">
        <f t="shared" si="40"/>
        <v>4</v>
      </c>
      <c r="U311" s="179">
        <f t="shared" si="41"/>
        <v>3</v>
      </c>
      <c r="V311" s="1">
        <f t="shared" si="44"/>
        <v>25</v>
      </c>
      <c r="W311" s="8">
        <f t="shared" si="42"/>
        <v>6.25</v>
      </c>
      <c r="X311" s="15">
        <f t="shared" si="43"/>
        <v>1812.5</v>
      </c>
    </row>
    <row r="312" spans="1:24">
      <c r="A312" t="s">
        <v>930</v>
      </c>
      <c r="B312" s="163" t="s">
        <v>10</v>
      </c>
      <c r="C312" s="2" t="s">
        <v>20</v>
      </c>
      <c r="D312" s="2" t="s">
        <v>21</v>
      </c>
      <c r="E312" s="3">
        <v>45368.583333333336</v>
      </c>
      <c r="F312" s="2" t="s">
        <v>598</v>
      </c>
      <c r="G312" s="2" t="s">
        <v>109</v>
      </c>
      <c r="H312" s="2">
        <v>1.95</v>
      </c>
      <c r="I312" s="2">
        <v>100</v>
      </c>
      <c r="J312" s="2">
        <v>65</v>
      </c>
      <c r="K312" s="2">
        <v>25</v>
      </c>
      <c r="L312" s="2">
        <v>65</v>
      </c>
      <c r="M312" s="2">
        <v>20</v>
      </c>
      <c r="N312" s="2" t="s">
        <v>95</v>
      </c>
      <c r="O312" s="14">
        <v>0</v>
      </c>
      <c r="P312" s="14">
        <v>1</v>
      </c>
      <c r="Q312" s="183">
        <v>1</v>
      </c>
      <c r="R312" s="181">
        <v>3</v>
      </c>
      <c r="S312" s="178">
        <f t="shared" si="39"/>
        <v>1</v>
      </c>
      <c r="T312" s="186">
        <f t="shared" si="40"/>
        <v>4</v>
      </c>
      <c r="U312" s="179">
        <f t="shared" si="41"/>
        <v>3</v>
      </c>
      <c r="V312" s="1">
        <f t="shared" si="44"/>
        <v>25</v>
      </c>
      <c r="W312" s="8">
        <f t="shared" si="42"/>
        <v>6.25</v>
      </c>
      <c r="X312" s="15">
        <f t="shared" si="43"/>
        <v>1818.75</v>
      </c>
    </row>
    <row r="313" spans="1:24">
      <c r="A313" t="s">
        <v>930</v>
      </c>
      <c r="B313" s="163" t="s">
        <v>10</v>
      </c>
      <c r="C313" s="2" t="s">
        <v>67</v>
      </c>
      <c r="D313" s="2" t="s">
        <v>68</v>
      </c>
      <c r="E313" s="3">
        <v>45368.729166666664</v>
      </c>
      <c r="F313" s="2" t="s">
        <v>337</v>
      </c>
      <c r="G313" s="2" t="s">
        <v>439</v>
      </c>
      <c r="H313" s="2">
        <v>2.2000000000000002</v>
      </c>
      <c r="I313" s="2">
        <v>100</v>
      </c>
      <c r="J313" s="2">
        <v>80</v>
      </c>
      <c r="K313" s="2">
        <v>35</v>
      </c>
      <c r="L313" s="2">
        <v>68</v>
      </c>
      <c r="M313" s="2">
        <v>20</v>
      </c>
      <c r="N313" s="2" t="s">
        <v>95</v>
      </c>
      <c r="O313" s="14">
        <v>2</v>
      </c>
      <c r="P313" s="14">
        <v>0</v>
      </c>
      <c r="Q313" s="183">
        <v>4</v>
      </c>
      <c r="R313" s="181">
        <v>0</v>
      </c>
      <c r="S313" s="178">
        <f t="shared" si="39"/>
        <v>2</v>
      </c>
      <c r="T313" s="186">
        <f t="shared" si="40"/>
        <v>4</v>
      </c>
      <c r="U313" s="179">
        <f t="shared" si="41"/>
        <v>2</v>
      </c>
      <c r="V313" s="1">
        <f t="shared" si="44"/>
        <v>25</v>
      </c>
      <c r="W313" s="8">
        <f t="shared" si="42"/>
        <v>6.25</v>
      </c>
      <c r="X313" s="15">
        <f t="shared" si="43"/>
        <v>1825</v>
      </c>
    </row>
    <row r="314" spans="1:24">
      <c r="A314" t="s">
        <v>930</v>
      </c>
      <c r="B314" s="163" t="s">
        <v>792</v>
      </c>
      <c r="C314" s="2" t="s">
        <v>20</v>
      </c>
      <c r="D314" s="2" t="s">
        <v>21</v>
      </c>
      <c r="E314" s="3">
        <v>45410.708333333336</v>
      </c>
      <c r="F314" s="2" t="s">
        <v>22</v>
      </c>
      <c r="G314" s="2" t="s">
        <v>380</v>
      </c>
      <c r="H314" s="2">
        <v>1.9</v>
      </c>
      <c r="I314" s="2">
        <v>90</v>
      </c>
      <c r="J314" s="2">
        <v>65</v>
      </c>
      <c r="K314" s="2">
        <v>64</v>
      </c>
      <c r="L314" s="2">
        <v>20</v>
      </c>
      <c r="M314" s="2"/>
      <c r="N314" s="2" t="s">
        <v>95</v>
      </c>
      <c r="O314" s="14">
        <v>0</v>
      </c>
      <c r="P314" s="14">
        <v>0</v>
      </c>
      <c r="Q314" s="183">
        <v>2</v>
      </c>
      <c r="R314" s="181">
        <v>2</v>
      </c>
      <c r="S314" s="178">
        <f t="shared" si="39"/>
        <v>0</v>
      </c>
      <c r="T314" s="186">
        <f t="shared" si="40"/>
        <v>4</v>
      </c>
      <c r="U314" s="179">
        <f t="shared" si="41"/>
        <v>4</v>
      </c>
      <c r="V314" s="1">
        <f t="shared" si="44"/>
        <v>25</v>
      </c>
      <c r="W314" s="8">
        <f t="shared" si="42"/>
        <v>6.25</v>
      </c>
      <c r="X314" s="15">
        <f t="shared" si="43"/>
        <v>1831.25</v>
      </c>
    </row>
    <row r="315" spans="1:24">
      <c r="A315" t="s">
        <v>930</v>
      </c>
      <c r="B315" s="163" t="s">
        <v>792</v>
      </c>
      <c r="C315" s="2" t="s">
        <v>149</v>
      </c>
      <c r="D315" s="2" t="s">
        <v>150</v>
      </c>
      <c r="E315" s="3">
        <v>45415.791666666664</v>
      </c>
      <c r="F315" s="2" t="s">
        <v>179</v>
      </c>
      <c r="G315" s="2" t="s">
        <v>256</v>
      </c>
      <c r="H315" s="2">
        <v>1.95</v>
      </c>
      <c r="I315" s="2">
        <v>95</v>
      </c>
      <c r="J315" s="2">
        <v>70</v>
      </c>
      <c r="K315" s="2">
        <v>63</v>
      </c>
      <c r="L315" s="2">
        <v>20</v>
      </c>
      <c r="M315" s="2"/>
      <c r="N315" s="2" t="s">
        <v>95</v>
      </c>
      <c r="O315" s="14">
        <v>1</v>
      </c>
      <c r="P315" s="14">
        <v>1</v>
      </c>
      <c r="Q315" s="183">
        <v>2</v>
      </c>
      <c r="R315" s="181">
        <v>2</v>
      </c>
      <c r="S315" s="178">
        <f t="shared" si="39"/>
        <v>2</v>
      </c>
      <c r="T315" s="186">
        <f t="shared" si="40"/>
        <v>4</v>
      </c>
      <c r="U315" s="179">
        <f t="shared" si="41"/>
        <v>2</v>
      </c>
      <c r="V315" s="1">
        <f t="shared" si="44"/>
        <v>25</v>
      </c>
      <c r="W315" s="8">
        <f t="shared" si="42"/>
        <v>6.25</v>
      </c>
      <c r="X315" s="15">
        <f t="shared" si="43"/>
        <v>1837.5</v>
      </c>
    </row>
    <row r="316" spans="1:24">
      <c r="A316" t="s">
        <v>930</v>
      </c>
      <c r="B316" s="163" t="s">
        <v>792</v>
      </c>
      <c r="C316" s="2" t="s">
        <v>44</v>
      </c>
      <c r="D316" s="2" t="s">
        <v>45</v>
      </c>
      <c r="E316" s="3">
        <v>45416.447916666664</v>
      </c>
      <c r="F316" s="2" t="s">
        <v>46</v>
      </c>
      <c r="G316" s="2" t="s">
        <v>143</v>
      </c>
      <c r="H316" s="2">
        <v>2.15</v>
      </c>
      <c r="I316" s="2">
        <v>85</v>
      </c>
      <c r="J316" s="2">
        <v>65</v>
      </c>
      <c r="K316" s="2">
        <v>69</v>
      </c>
      <c r="L316" s="2">
        <v>20</v>
      </c>
      <c r="M316" s="2"/>
      <c r="N316" s="2" t="s">
        <v>95</v>
      </c>
      <c r="O316" s="14">
        <v>1</v>
      </c>
      <c r="P316" s="14">
        <v>0</v>
      </c>
      <c r="Q316" s="183">
        <v>4</v>
      </c>
      <c r="R316" s="181">
        <v>0</v>
      </c>
      <c r="S316" s="178">
        <f t="shared" si="39"/>
        <v>1</v>
      </c>
      <c r="T316" s="186">
        <f t="shared" si="40"/>
        <v>4</v>
      </c>
      <c r="U316" s="179">
        <f t="shared" si="41"/>
        <v>3</v>
      </c>
      <c r="V316" s="1">
        <f t="shared" si="44"/>
        <v>25</v>
      </c>
      <c r="W316" s="8">
        <f t="shared" si="42"/>
        <v>6.25</v>
      </c>
      <c r="X316" s="15">
        <f t="shared" si="43"/>
        <v>1843.75</v>
      </c>
    </row>
    <row r="317" spans="1:24">
      <c r="A317" t="s">
        <v>930</v>
      </c>
      <c r="B317" s="163" t="s">
        <v>792</v>
      </c>
      <c r="C317" s="2" t="s">
        <v>6</v>
      </c>
      <c r="D317" s="2" t="s">
        <v>62</v>
      </c>
      <c r="E317" s="3">
        <v>45418.833333333336</v>
      </c>
      <c r="F317" s="2" t="s">
        <v>66</v>
      </c>
      <c r="G317" s="2" t="s">
        <v>383</v>
      </c>
      <c r="H317" s="2">
        <v>2.1</v>
      </c>
      <c r="I317" s="2">
        <v>90</v>
      </c>
      <c r="J317" s="2">
        <v>65</v>
      </c>
      <c r="K317" s="2">
        <v>61</v>
      </c>
      <c r="L317" s="2">
        <v>20</v>
      </c>
      <c r="M317" s="2"/>
      <c r="N317" s="2" t="s">
        <v>95</v>
      </c>
      <c r="O317" s="14">
        <v>2</v>
      </c>
      <c r="P317" s="14">
        <v>0</v>
      </c>
      <c r="Q317" s="183">
        <v>4</v>
      </c>
      <c r="R317" s="181">
        <v>0</v>
      </c>
      <c r="S317" s="178">
        <f t="shared" si="39"/>
        <v>2</v>
      </c>
      <c r="T317" s="186">
        <f t="shared" si="40"/>
        <v>4</v>
      </c>
      <c r="U317" s="179">
        <f t="shared" si="41"/>
        <v>2</v>
      </c>
      <c r="V317" s="1">
        <f t="shared" si="44"/>
        <v>25</v>
      </c>
      <c r="W317" s="8">
        <f t="shared" si="42"/>
        <v>6.25</v>
      </c>
      <c r="X317" s="15">
        <f t="shared" si="43"/>
        <v>1850</v>
      </c>
    </row>
    <row r="318" spans="1:24">
      <c r="A318" t="s">
        <v>930</v>
      </c>
      <c r="B318" s="163" t="s">
        <v>792</v>
      </c>
      <c r="C318" s="2" t="s">
        <v>802</v>
      </c>
      <c r="D318" s="2" t="s">
        <v>803</v>
      </c>
      <c r="E318" s="3">
        <v>45423.583333333336</v>
      </c>
      <c r="F318" s="2" t="s">
        <v>817</v>
      </c>
      <c r="G318" s="2" t="s">
        <v>818</v>
      </c>
      <c r="H318" s="2">
        <v>2</v>
      </c>
      <c r="I318" s="2">
        <v>90</v>
      </c>
      <c r="J318" s="2">
        <v>65</v>
      </c>
      <c r="K318" s="2">
        <v>60</v>
      </c>
      <c r="L318" s="2">
        <v>20</v>
      </c>
      <c r="M318" s="2"/>
      <c r="N318" s="2" t="s">
        <v>95</v>
      </c>
      <c r="O318" s="14">
        <v>1</v>
      </c>
      <c r="P318" s="14">
        <v>2</v>
      </c>
      <c r="Q318" s="183">
        <v>1</v>
      </c>
      <c r="R318" s="181">
        <v>3</v>
      </c>
      <c r="S318" s="178">
        <f t="shared" si="39"/>
        <v>3</v>
      </c>
      <c r="T318" s="186">
        <f t="shared" si="40"/>
        <v>4</v>
      </c>
      <c r="U318" s="179">
        <f t="shared" si="41"/>
        <v>1</v>
      </c>
      <c r="V318" s="1">
        <f t="shared" si="44"/>
        <v>25</v>
      </c>
      <c r="W318" s="8">
        <f t="shared" si="42"/>
        <v>6.25</v>
      </c>
      <c r="X318" s="15">
        <f t="shared" si="43"/>
        <v>1856.25</v>
      </c>
    </row>
    <row r="319" spans="1:24">
      <c r="A319" t="s">
        <v>930</v>
      </c>
      <c r="B319" s="163" t="s">
        <v>792</v>
      </c>
      <c r="C319" s="2" t="s">
        <v>149</v>
      </c>
      <c r="D319" s="2" t="s">
        <v>153</v>
      </c>
      <c r="E319" s="3">
        <v>45424.5625</v>
      </c>
      <c r="F319" s="2" t="s">
        <v>206</v>
      </c>
      <c r="G319" s="2" t="s">
        <v>281</v>
      </c>
      <c r="H319" s="2">
        <v>2.2000000000000002</v>
      </c>
      <c r="I319" s="2">
        <v>95</v>
      </c>
      <c r="J319" s="2">
        <v>75</v>
      </c>
      <c r="K319" s="2">
        <v>55</v>
      </c>
      <c r="L319" s="2">
        <v>20</v>
      </c>
      <c r="M319" s="2"/>
      <c r="N319" s="2" t="s">
        <v>95</v>
      </c>
      <c r="O319" s="14">
        <v>1</v>
      </c>
      <c r="P319" s="14">
        <v>1</v>
      </c>
      <c r="Q319" s="183">
        <v>1</v>
      </c>
      <c r="R319" s="181">
        <v>3</v>
      </c>
      <c r="S319" s="178">
        <f t="shared" si="39"/>
        <v>2</v>
      </c>
      <c r="T319" s="186">
        <f t="shared" si="40"/>
        <v>4</v>
      </c>
      <c r="U319" s="179">
        <f t="shared" si="41"/>
        <v>2</v>
      </c>
      <c r="V319" s="1">
        <f t="shared" si="44"/>
        <v>25</v>
      </c>
      <c r="W319" s="8">
        <f t="shared" si="42"/>
        <v>6.25</v>
      </c>
      <c r="X319" s="15">
        <f t="shared" si="43"/>
        <v>1862.5</v>
      </c>
    </row>
    <row r="320" spans="1:24">
      <c r="A320" t="s">
        <v>930</v>
      </c>
      <c r="B320" s="163" t="s">
        <v>792</v>
      </c>
      <c r="C320" s="2" t="s">
        <v>77</v>
      </c>
      <c r="D320" s="2" t="s">
        <v>156</v>
      </c>
      <c r="E320" s="3">
        <v>45430.604166666664</v>
      </c>
      <c r="F320" s="2" t="s">
        <v>182</v>
      </c>
      <c r="G320" s="2" t="s">
        <v>181</v>
      </c>
      <c r="H320" s="2">
        <v>2.1</v>
      </c>
      <c r="I320" s="2">
        <v>90</v>
      </c>
      <c r="J320" s="2">
        <v>75</v>
      </c>
      <c r="K320" s="2">
        <v>63</v>
      </c>
      <c r="L320" s="2">
        <v>20</v>
      </c>
      <c r="M320" s="2"/>
      <c r="N320" s="2" t="s">
        <v>95</v>
      </c>
      <c r="O320" s="14">
        <v>0</v>
      </c>
      <c r="P320" s="14">
        <v>1</v>
      </c>
      <c r="Q320" s="183">
        <v>2</v>
      </c>
      <c r="R320" s="181">
        <v>2</v>
      </c>
      <c r="S320" s="178">
        <f t="shared" si="39"/>
        <v>1</v>
      </c>
      <c r="T320" s="186">
        <f t="shared" si="40"/>
        <v>4</v>
      </c>
      <c r="U320" s="179">
        <f t="shared" si="41"/>
        <v>3</v>
      </c>
      <c r="V320" s="1">
        <f t="shared" si="44"/>
        <v>25</v>
      </c>
      <c r="W320" s="8">
        <f t="shared" si="42"/>
        <v>6.25</v>
      </c>
      <c r="X320" s="15">
        <f t="shared" si="43"/>
        <v>1868.75</v>
      </c>
    </row>
    <row r="321" spans="1:24">
      <c r="A321" t="s">
        <v>930</v>
      </c>
      <c r="B321" s="163" t="s">
        <v>792</v>
      </c>
      <c r="C321" s="2" t="s">
        <v>149</v>
      </c>
      <c r="D321" s="2" t="s">
        <v>153</v>
      </c>
      <c r="E321" s="3">
        <v>45431.5625</v>
      </c>
      <c r="F321" s="2" t="s">
        <v>282</v>
      </c>
      <c r="G321" s="2" t="s">
        <v>647</v>
      </c>
      <c r="H321" s="2">
        <v>2</v>
      </c>
      <c r="I321" s="2">
        <v>95</v>
      </c>
      <c r="J321" s="2">
        <v>70</v>
      </c>
      <c r="K321" s="2">
        <v>67</v>
      </c>
      <c r="L321" s="2">
        <v>20</v>
      </c>
      <c r="M321" s="2"/>
      <c r="N321" s="2" t="s">
        <v>95</v>
      </c>
      <c r="O321" s="14">
        <v>0</v>
      </c>
      <c r="P321" s="14">
        <v>0</v>
      </c>
      <c r="Q321" s="183">
        <v>4</v>
      </c>
      <c r="R321" s="181">
        <v>0</v>
      </c>
      <c r="S321" s="178">
        <f t="shared" ref="S321:S384" si="45">SUM(O321:P321)</f>
        <v>0</v>
      </c>
      <c r="T321" s="186">
        <f t="shared" ref="T321:T384" si="46">SUM(Q321:R321)</f>
        <v>4</v>
      </c>
      <c r="U321" s="179">
        <f t="shared" ref="U321:U384" si="47">SUM(T321-S321)</f>
        <v>4</v>
      </c>
      <c r="V321" s="1">
        <f t="shared" si="44"/>
        <v>25</v>
      </c>
      <c r="W321" s="8">
        <f t="shared" si="42"/>
        <v>6.25</v>
      </c>
      <c r="X321" s="15">
        <f t="shared" si="43"/>
        <v>1875</v>
      </c>
    </row>
    <row r="322" spans="1:24">
      <c r="A322" t="s">
        <v>930</v>
      </c>
      <c r="B322" s="163" t="s">
        <v>792</v>
      </c>
      <c r="C322" s="2" t="s">
        <v>6</v>
      </c>
      <c r="D322" s="2" t="s">
        <v>62</v>
      </c>
      <c r="E322" s="3">
        <v>45431.666666666664</v>
      </c>
      <c r="F322" s="2" t="s">
        <v>72</v>
      </c>
      <c r="G322" s="2" t="s">
        <v>74</v>
      </c>
      <c r="H322" s="2">
        <v>2.1</v>
      </c>
      <c r="I322" s="2">
        <v>95</v>
      </c>
      <c r="J322" s="2">
        <v>70</v>
      </c>
      <c r="K322" s="2">
        <v>63</v>
      </c>
      <c r="L322" s="2">
        <v>20</v>
      </c>
      <c r="M322" s="2"/>
      <c r="N322" s="2" t="s">
        <v>95</v>
      </c>
      <c r="O322" s="14">
        <v>2</v>
      </c>
      <c r="P322" s="14">
        <v>1</v>
      </c>
      <c r="Q322" s="183">
        <v>3</v>
      </c>
      <c r="R322" s="181">
        <v>1</v>
      </c>
      <c r="S322" s="178">
        <f t="shared" si="45"/>
        <v>3</v>
      </c>
      <c r="T322" s="186">
        <f t="shared" si="46"/>
        <v>4</v>
      </c>
      <c r="U322" s="179">
        <f t="shared" si="47"/>
        <v>1</v>
      </c>
      <c r="V322" s="1">
        <f t="shared" si="44"/>
        <v>25</v>
      </c>
      <c r="W322" s="8">
        <f t="shared" ref="W322:W385" si="48">IF(N322="won",V322*0.25,-V322)</f>
        <v>6.25</v>
      </c>
      <c r="X322" s="15">
        <f t="shared" si="43"/>
        <v>1881.25</v>
      </c>
    </row>
    <row r="323" spans="1:24">
      <c r="A323" t="s">
        <v>930</v>
      </c>
      <c r="B323" s="163" t="s">
        <v>792</v>
      </c>
      <c r="C323" s="2" t="s">
        <v>516</v>
      </c>
      <c r="D323" s="2" t="s">
        <v>78</v>
      </c>
      <c r="E323" s="3">
        <v>45433.524305555555</v>
      </c>
      <c r="F323" s="2" t="s">
        <v>857</v>
      </c>
      <c r="G323" s="2" t="s">
        <v>837</v>
      </c>
      <c r="H323" s="2">
        <v>1.95</v>
      </c>
      <c r="I323" s="2">
        <v>85</v>
      </c>
      <c r="J323" s="2">
        <v>75</v>
      </c>
      <c r="K323" s="2">
        <v>62</v>
      </c>
      <c r="L323" s="2">
        <v>20</v>
      </c>
      <c r="M323" s="2"/>
      <c r="N323" s="2" t="s">
        <v>95</v>
      </c>
      <c r="O323" s="14">
        <v>2</v>
      </c>
      <c r="P323" s="14">
        <v>1</v>
      </c>
      <c r="Q323" s="183">
        <v>3</v>
      </c>
      <c r="R323" s="181">
        <v>1</v>
      </c>
      <c r="S323" s="178">
        <f t="shared" si="45"/>
        <v>3</v>
      </c>
      <c r="T323" s="186">
        <f t="shared" si="46"/>
        <v>4</v>
      </c>
      <c r="U323" s="179">
        <f t="shared" si="47"/>
        <v>1</v>
      </c>
      <c r="V323" s="1">
        <f t="shared" si="44"/>
        <v>25</v>
      </c>
      <c r="W323" s="8">
        <f t="shared" si="48"/>
        <v>6.25</v>
      </c>
      <c r="X323" s="15">
        <f t="shared" si="43"/>
        <v>1887.5</v>
      </c>
    </row>
    <row r="324" spans="1:24">
      <c r="A324" t="s">
        <v>930</v>
      </c>
      <c r="B324" s="163" t="s">
        <v>35</v>
      </c>
      <c r="C324" s="2" t="s">
        <v>67</v>
      </c>
      <c r="D324" s="2" t="s">
        <v>68</v>
      </c>
      <c r="E324" s="3">
        <v>45287.822916666664</v>
      </c>
      <c r="F324" s="2" t="s">
        <v>69</v>
      </c>
      <c r="G324" s="2" t="s">
        <v>70</v>
      </c>
      <c r="H324" s="2">
        <v>69</v>
      </c>
      <c r="I324" s="7">
        <v>94</v>
      </c>
      <c r="J324" s="2">
        <v>50</v>
      </c>
      <c r="K324" s="2">
        <v>39</v>
      </c>
      <c r="L324" s="2">
        <v>18</v>
      </c>
      <c r="M324" s="2"/>
      <c r="N324" s="2" t="s">
        <v>95</v>
      </c>
      <c r="O324" s="14">
        <v>2</v>
      </c>
      <c r="P324" s="13">
        <v>0</v>
      </c>
      <c r="Q324" s="183">
        <v>3</v>
      </c>
      <c r="R324" s="181">
        <v>1</v>
      </c>
      <c r="S324" s="178">
        <f t="shared" si="45"/>
        <v>2</v>
      </c>
      <c r="T324" s="186">
        <f t="shared" si="46"/>
        <v>4</v>
      </c>
      <c r="U324" s="179">
        <f t="shared" si="47"/>
        <v>2</v>
      </c>
      <c r="V324" s="1">
        <f t="shared" si="44"/>
        <v>25</v>
      </c>
      <c r="W324" s="8">
        <f t="shared" si="48"/>
        <v>6.25</v>
      </c>
      <c r="X324" s="15">
        <f t="shared" si="43"/>
        <v>1893.75</v>
      </c>
    </row>
    <row r="325" spans="1:24">
      <c r="A325" t="s">
        <v>930</v>
      </c>
      <c r="B325" s="163" t="s">
        <v>35</v>
      </c>
      <c r="C325" s="2" t="s">
        <v>6</v>
      </c>
      <c r="D325" s="2" t="s">
        <v>62</v>
      </c>
      <c r="E325" s="3">
        <v>45384.8125</v>
      </c>
      <c r="F325" s="2" t="s">
        <v>264</v>
      </c>
      <c r="G325" s="2" t="s">
        <v>115</v>
      </c>
      <c r="H325" s="2">
        <v>68</v>
      </c>
      <c r="I325" s="2">
        <v>95</v>
      </c>
      <c r="J325" s="2">
        <v>60</v>
      </c>
      <c r="K325" s="2">
        <v>40</v>
      </c>
      <c r="L325" s="2">
        <v>20</v>
      </c>
      <c r="M325" s="2">
        <v>1.68</v>
      </c>
      <c r="N325" s="2" t="s">
        <v>95</v>
      </c>
      <c r="O325" s="14">
        <v>3</v>
      </c>
      <c r="P325" s="14">
        <v>0</v>
      </c>
      <c r="Q325" s="183">
        <v>3</v>
      </c>
      <c r="R325" s="181">
        <v>1</v>
      </c>
      <c r="S325" s="178">
        <f t="shared" si="45"/>
        <v>3</v>
      </c>
      <c r="T325" s="186">
        <f t="shared" si="46"/>
        <v>4</v>
      </c>
      <c r="U325" s="179">
        <f t="shared" si="47"/>
        <v>1</v>
      </c>
      <c r="V325" s="1">
        <f t="shared" si="44"/>
        <v>25</v>
      </c>
      <c r="W325" s="8">
        <f t="shared" si="48"/>
        <v>6.25</v>
      </c>
      <c r="X325" s="15">
        <f t="shared" si="43"/>
        <v>1900</v>
      </c>
    </row>
    <row r="326" spans="1:24">
      <c r="A326" t="s">
        <v>930</v>
      </c>
      <c r="B326" s="163" t="s">
        <v>35</v>
      </c>
      <c r="C326" s="2" t="s">
        <v>296</v>
      </c>
      <c r="D326" s="2" t="s">
        <v>78</v>
      </c>
      <c r="E326" s="3">
        <v>45388.708333333336</v>
      </c>
      <c r="F326" s="2" t="s">
        <v>297</v>
      </c>
      <c r="G326" s="2" t="s">
        <v>368</v>
      </c>
      <c r="H326" s="2">
        <v>73</v>
      </c>
      <c r="I326" s="2">
        <v>95</v>
      </c>
      <c r="J326" s="2">
        <v>75</v>
      </c>
      <c r="K326" s="2">
        <v>40</v>
      </c>
      <c r="L326" s="2">
        <v>20</v>
      </c>
      <c r="M326" s="2">
        <v>1.38</v>
      </c>
      <c r="N326" s="2" t="s">
        <v>95</v>
      </c>
      <c r="O326" s="14">
        <v>0</v>
      </c>
      <c r="P326" s="14">
        <v>0</v>
      </c>
      <c r="Q326" s="183">
        <v>2</v>
      </c>
      <c r="R326" s="181">
        <v>2</v>
      </c>
      <c r="S326" s="178">
        <f t="shared" si="45"/>
        <v>0</v>
      </c>
      <c r="T326" s="186">
        <f t="shared" si="46"/>
        <v>4</v>
      </c>
      <c r="U326" s="179">
        <f t="shared" si="47"/>
        <v>4</v>
      </c>
      <c r="V326" s="1">
        <f t="shared" si="44"/>
        <v>25</v>
      </c>
      <c r="W326" s="8">
        <f t="shared" si="48"/>
        <v>6.25</v>
      </c>
      <c r="X326" s="15">
        <f t="shared" si="43"/>
        <v>1906.25</v>
      </c>
    </row>
    <row r="327" spans="1:24">
      <c r="A327" t="s">
        <v>930</v>
      </c>
      <c r="B327" s="163" t="s">
        <v>35</v>
      </c>
      <c r="C327" s="2" t="s">
        <v>434</v>
      </c>
      <c r="D327" s="2" t="s">
        <v>435</v>
      </c>
      <c r="E327" s="154">
        <v>45396.708333333336</v>
      </c>
      <c r="F327" s="155" t="s">
        <v>437</v>
      </c>
      <c r="G327" s="2" t="s">
        <v>476</v>
      </c>
      <c r="H327" s="2">
        <v>68</v>
      </c>
      <c r="I327" s="2">
        <v>100</v>
      </c>
      <c r="J327" s="2">
        <v>60</v>
      </c>
      <c r="K327" s="2">
        <v>40</v>
      </c>
      <c r="L327" s="2">
        <v>20</v>
      </c>
      <c r="M327" s="2">
        <v>1.41</v>
      </c>
      <c r="N327" s="2" t="s">
        <v>95</v>
      </c>
      <c r="O327" s="14">
        <v>2</v>
      </c>
      <c r="P327" s="14">
        <v>1</v>
      </c>
      <c r="Q327" s="183">
        <v>2</v>
      </c>
      <c r="R327" s="181">
        <v>2</v>
      </c>
      <c r="S327" s="178">
        <f t="shared" si="45"/>
        <v>3</v>
      </c>
      <c r="T327" s="186">
        <f t="shared" si="46"/>
        <v>4</v>
      </c>
      <c r="U327" s="179">
        <f t="shared" si="47"/>
        <v>1</v>
      </c>
      <c r="V327" s="1">
        <f t="shared" si="44"/>
        <v>25</v>
      </c>
      <c r="W327" s="8">
        <f t="shared" si="48"/>
        <v>6.25</v>
      </c>
      <c r="X327" s="15">
        <f t="shared" si="43"/>
        <v>1912.5</v>
      </c>
    </row>
    <row r="328" spans="1:24">
      <c r="A328" t="s">
        <v>930</v>
      </c>
      <c r="B328" s="163" t="s">
        <v>35</v>
      </c>
      <c r="C328" s="2" t="s">
        <v>149</v>
      </c>
      <c r="D328" s="2" t="s">
        <v>153</v>
      </c>
      <c r="E328" s="154">
        <v>45396.791666666664</v>
      </c>
      <c r="F328" s="155" t="s">
        <v>241</v>
      </c>
      <c r="G328" s="2" t="s">
        <v>205</v>
      </c>
      <c r="H328" s="2">
        <v>74</v>
      </c>
      <c r="I328" s="2">
        <v>95</v>
      </c>
      <c r="J328" s="2">
        <v>70</v>
      </c>
      <c r="K328" s="2">
        <v>45</v>
      </c>
      <c r="L328" s="2">
        <v>20</v>
      </c>
      <c r="M328" s="2">
        <v>1.73</v>
      </c>
      <c r="N328" s="2" t="s">
        <v>95</v>
      </c>
      <c r="O328" s="14">
        <v>0</v>
      </c>
      <c r="P328" s="14">
        <v>1</v>
      </c>
      <c r="Q328" s="183">
        <v>2</v>
      </c>
      <c r="R328" s="181">
        <v>2</v>
      </c>
      <c r="S328" s="178">
        <f t="shared" si="45"/>
        <v>1</v>
      </c>
      <c r="T328" s="186">
        <f t="shared" si="46"/>
        <v>4</v>
      </c>
      <c r="U328" s="179">
        <f t="shared" si="47"/>
        <v>3</v>
      </c>
      <c r="V328" s="1">
        <f t="shared" si="44"/>
        <v>25</v>
      </c>
      <c r="W328" s="8">
        <f t="shared" si="48"/>
        <v>6.25</v>
      </c>
      <c r="X328" s="15">
        <f t="shared" si="43"/>
        <v>1918.75</v>
      </c>
    </row>
    <row r="329" spans="1:24">
      <c r="A329" t="s">
        <v>930</v>
      </c>
      <c r="B329" s="163" t="s">
        <v>43</v>
      </c>
      <c r="C329" s="2" t="s">
        <v>44</v>
      </c>
      <c r="D329" s="2" t="s">
        <v>45</v>
      </c>
      <c r="E329" s="3">
        <v>45295.364583333336</v>
      </c>
      <c r="F329" s="2" t="s">
        <v>124</v>
      </c>
      <c r="G329" s="2" t="s">
        <v>47</v>
      </c>
      <c r="H329" s="2">
        <v>67</v>
      </c>
      <c r="I329" s="2">
        <v>67</v>
      </c>
      <c r="J329" s="2">
        <v>62</v>
      </c>
      <c r="K329" s="2">
        <v>1.8</v>
      </c>
      <c r="L329" s="2"/>
      <c r="M329" s="2"/>
      <c r="N329" s="2" t="s">
        <v>95</v>
      </c>
      <c r="O329" s="14">
        <v>1</v>
      </c>
      <c r="P329" s="13">
        <v>1</v>
      </c>
      <c r="Q329" s="183">
        <v>2</v>
      </c>
      <c r="R329" s="181">
        <v>2</v>
      </c>
      <c r="S329" s="178">
        <f t="shared" si="45"/>
        <v>2</v>
      </c>
      <c r="T329" s="186">
        <f t="shared" si="46"/>
        <v>4</v>
      </c>
      <c r="U329" s="179">
        <f t="shared" si="47"/>
        <v>2</v>
      </c>
      <c r="V329" s="1">
        <f t="shared" si="44"/>
        <v>25</v>
      </c>
      <c r="W329" s="8">
        <f t="shared" si="48"/>
        <v>6.25</v>
      </c>
      <c r="X329" s="15">
        <f t="shared" si="43"/>
        <v>1925</v>
      </c>
    </row>
    <row r="330" spans="1:24">
      <c r="A330" t="s">
        <v>930</v>
      </c>
      <c r="B330" s="163" t="s">
        <v>43</v>
      </c>
      <c r="C330" s="2" t="s">
        <v>13</v>
      </c>
      <c r="D330" s="2" t="s">
        <v>37</v>
      </c>
      <c r="E330" s="3">
        <v>45321.822916666664</v>
      </c>
      <c r="F330" s="2" t="s">
        <v>39</v>
      </c>
      <c r="G330" s="2" t="s">
        <v>323</v>
      </c>
      <c r="H330" s="2">
        <v>100</v>
      </c>
      <c r="I330" s="2">
        <v>100</v>
      </c>
      <c r="J330" s="2">
        <v>61</v>
      </c>
      <c r="K330" s="2">
        <v>1.9</v>
      </c>
      <c r="L330" s="2">
        <v>1.5</v>
      </c>
      <c r="M330" s="2">
        <v>1.27</v>
      </c>
      <c r="N330" s="2" t="s">
        <v>95</v>
      </c>
      <c r="O330" s="14">
        <v>1</v>
      </c>
      <c r="P330" s="13">
        <v>1</v>
      </c>
      <c r="Q330" s="183">
        <v>2</v>
      </c>
      <c r="R330" s="181">
        <v>2</v>
      </c>
      <c r="S330" s="178">
        <f t="shared" si="45"/>
        <v>2</v>
      </c>
      <c r="T330" s="186">
        <f t="shared" si="46"/>
        <v>4</v>
      </c>
      <c r="U330" s="179">
        <f t="shared" si="47"/>
        <v>2</v>
      </c>
      <c r="V330" s="1">
        <f t="shared" si="44"/>
        <v>25</v>
      </c>
      <c r="W330" s="8">
        <f t="shared" si="48"/>
        <v>6.25</v>
      </c>
      <c r="X330" s="15">
        <f t="shared" si="43"/>
        <v>1931.25</v>
      </c>
    </row>
    <row r="331" spans="1:24">
      <c r="A331" t="s">
        <v>930</v>
      </c>
      <c r="B331" s="163" t="s">
        <v>43</v>
      </c>
      <c r="C331" s="2" t="s">
        <v>20</v>
      </c>
      <c r="D331" s="2" t="s">
        <v>21</v>
      </c>
      <c r="E331" s="3">
        <v>45331.822916666664</v>
      </c>
      <c r="F331" s="2" t="s">
        <v>110</v>
      </c>
      <c r="G331" s="2" t="s">
        <v>359</v>
      </c>
      <c r="H331" s="2">
        <v>73</v>
      </c>
      <c r="I331" s="2">
        <v>86</v>
      </c>
      <c r="J331" s="2">
        <v>65</v>
      </c>
      <c r="K331" s="2">
        <v>1.85</v>
      </c>
      <c r="L331" s="2">
        <v>1.36</v>
      </c>
      <c r="M331" s="2"/>
      <c r="N331" s="2" t="s">
        <v>95</v>
      </c>
      <c r="O331" s="14">
        <v>0</v>
      </c>
      <c r="P331" s="13">
        <v>1</v>
      </c>
      <c r="Q331" s="183">
        <v>1</v>
      </c>
      <c r="R331" s="181">
        <v>3</v>
      </c>
      <c r="S331" s="178">
        <f t="shared" si="45"/>
        <v>1</v>
      </c>
      <c r="T331" s="186">
        <f t="shared" si="46"/>
        <v>4</v>
      </c>
      <c r="U331" s="179">
        <f t="shared" si="47"/>
        <v>3</v>
      </c>
      <c r="V331" s="1">
        <f t="shared" si="44"/>
        <v>25</v>
      </c>
      <c r="W331" s="8">
        <f t="shared" si="48"/>
        <v>6.25</v>
      </c>
      <c r="X331" s="15">
        <f t="shared" si="43"/>
        <v>1937.5</v>
      </c>
    </row>
    <row r="332" spans="1:24">
      <c r="A332" t="s">
        <v>930</v>
      </c>
      <c r="B332" s="163" t="s">
        <v>43</v>
      </c>
      <c r="C332" s="2" t="s">
        <v>67</v>
      </c>
      <c r="D332" s="2" t="s">
        <v>169</v>
      </c>
      <c r="E332" s="3">
        <v>45338.791666666664</v>
      </c>
      <c r="F332" s="2" t="s">
        <v>203</v>
      </c>
      <c r="G332" s="2" t="s">
        <v>373</v>
      </c>
      <c r="H332" s="2">
        <v>77</v>
      </c>
      <c r="I332" s="2">
        <v>69</v>
      </c>
      <c r="J332" s="2">
        <v>59</v>
      </c>
      <c r="K332" s="2">
        <v>2</v>
      </c>
      <c r="L332" s="2">
        <v>0.69</v>
      </c>
      <c r="M332" s="2"/>
      <c r="N332" s="2" t="s">
        <v>95</v>
      </c>
      <c r="O332" s="14">
        <v>0</v>
      </c>
      <c r="P332" s="14">
        <v>0</v>
      </c>
      <c r="Q332" s="183">
        <v>1</v>
      </c>
      <c r="R332" s="181">
        <v>3</v>
      </c>
      <c r="S332" s="178">
        <f t="shared" si="45"/>
        <v>0</v>
      </c>
      <c r="T332" s="186">
        <f t="shared" si="46"/>
        <v>4</v>
      </c>
      <c r="U332" s="179">
        <f t="shared" si="47"/>
        <v>4</v>
      </c>
      <c r="V332" s="1">
        <f t="shared" si="44"/>
        <v>25</v>
      </c>
      <c r="W332" s="8">
        <f t="shared" si="48"/>
        <v>6.25</v>
      </c>
      <c r="X332" s="15">
        <f t="shared" si="43"/>
        <v>1943.75</v>
      </c>
    </row>
    <row r="333" spans="1:24">
      <c r="A333" t="s">
        <v>930</v>
      </c>
      <c r="B333" s="163" t="s">
        <v>43</v>
      </c>
      <c r="C333" s="2" t="s">
        <v>20</v>
      </c>
      <c r="D333" s="2" t="s">
        <v>21</v>
      </c>
      <c r="E333" s="3">
        <v>45347.708333333336</v>
      </c>
      <c r="F333" s="2" t="s">
        <v>98</v>
      </c>
      <c r="G333" s="2" t="s">
        <v>25</v>
      </c>
      <c r="H333" s="2">
        <v>73</v>
      </c>
      <c r="I333" s="2">
        <v>65</v>
      </c>
      <c r="J333" s="2">
        <v>62</v>
      </c>
      <c r="K333" s="2">
        <v>1.85</v>
      </c>
      <c r="L333" s="2">
        <v>1.4</v>
      </c>
      <c r="M333" s="2"/>
      <c r="N333" s="2" t="s">
        <v>95</v>
      </c>
      <c r="O333" s="14">
        <v>0</v>
      </c>
      <c r="P333" s="14">
        <v>1</v>
      </c>
      <c r="Q333" s="183">
        <v>0</v>
      </c>
      <c r="R333" s="181">
        <v>4</v>
      </c>
      <c r="S333" s="178">
        <f t="shared" si="45"/>
        <v>1</v>
      </c>
      <c r="T333" s="186">
        <f t="shared" si="46"/>
        <v>4</v>
      </c>
      <c r="U333" s="179">
        <f t="shared" si="47"/>
        <v>3</v>
      </c>
      <c r="V333" s="1">
        <f t="shared" si="44"/>
        <v>25</v>
      </c>
      <c r="W333" s="8">
        <f t="shared" si="48"/>
        <v>6.25</v>
      </c>
      <c r="X333" s="15">
        <f t="shared" si="43"/>
        <v>1950</v>
      </c>
    </row>
    <row r="334" spans="1:24">
      <c r="A334" t="s">
        <v>930</v>
      </c>
      <c r="B334" s="163" t="s">
        <v>43</v>
      </c>
      <c r="C334" s="2" t="s">
        <v>434</v>
      </c>
      <c r="D334" s="2" t="s">
        <v>435</v>
      </c>
      <c r="E334" s="154">
        <v>45396.708333333336</v>
      </c>
      <c r="F334" s="155" t="s">
        <v>437</v>
      </c>
      <c r="G334" s="2" t="s">
        <v>476</v>
      </c>
      <c r="H334" s="2">
        <v>76</v>
      </c>
      <c r="I334" s="2">
        <v>74</v>
      </c>
      <c r="J334" s="2">
        <v>64</v>
      </c>
      <c r="K334" s="2">
        <v>2.15</v>
      </c>
      <c r="L334" s="2">
        <v>1.41</v>
      </c>
      <c r="M334" s="2"/>
      <c r="N334" s="2" t="s">
        <v>95</v>
      </c>
      <c r="O334" s="14">
        <v>2</v>
      </c>
      <c r="P334" s="14">
        <v>1</v>
      </c>
      <c r="Q334" s="183">
        <v>2</v>
      </c>
      <c r="R334" s="181">
        <v>2</v>
      </c>
      <c r="S334" s="178">
        <f t="shared" si="45"/>
        <v>3</v>
      </c>
      <c r="T334" s="186">
        <f t="shared" si="46"/>
        <v>4</v>
      </c>
      <c r="U334" s="179">
        <f t="shared" si="47"/>
        <v>1</v>
      </c>
      <c r="V334" s="1">
        <f t="shared" si="44"/>
        <v>25</v>
      </c>
      <c r="W334" s="8">
        <f t="shared" si="48"/>
        <v>6.25</v>
      </c>
      <c r="X334" s="15">
        <f t="shared" si="43"/>
        <v>1956.25</v>
      </c>
    </row>
    <row r="335" spans="1:24">
      <c r="A335" t="s">
        <v>930</v>
      </c>
      <c r="B335" s="163" t="s">
        <v>43</v>
      </c>
      <c r="C335" s="2" t="s">
        <v>20</v>
      </c>
      <c r="D335" s="2" t="s">
        <v>21</v>
      </c>
      <c r="E335" s="3">
        <v>45401.822916666664</v>
      </c>
      <c r="F335" s="2" t="s">
        <v>335</v>
      </c>
      <c r="G335" s="2" t="s">
        <v>358</v>
      </c>
      <c r="H335" s="2">
        <v>67</v>
      </c>
      <c r="I335" s="2">
        <v>69</v>
      </c>
      <c r="J335" s="2">
        <v>63</v>
      </c>
      <c r="K335" s="2">
        <v>1.55</v>
      </c>
      <c r="L335" s="2">
        <v>1.37</v>
      </c>
      <c r="M335" s="2"/>
      <c r="N335" s="2" t="s">
        <v>95</v>
      </c>
      <c r="O335" s="14">
        <v>2</v>
      </c>
      <c r="P335" s="14">
        <v>0</v>
      </c>
      <c r="Q335" s="183">
        <v>2</v>
      </c>
      <c r="R335" s="181">
        <v>2</v>
      </c>
      <c r="S335" s="178">
        <f t="shared" si="45"/>
        <v>2</v>
      </c>
      <c r="T335" s="186">
        <f t="shared" si="46"/>
        <v>4</v>
      </c>
      <c r="U335" s="179">
        <f t="shared" si="47"/>
        <v>2</v>
      </c>
      <c r="V335" s="1">
        <f t="shared" si="44"/>
        <v>25</v>
      </c>
      <c r="W335" s="8">
        <f t="shared" si="48"/>
        <v>6.25</v>
      </c>
      <c r="X335" s="15">
        <f t="shared" si="43"/>
        <v>1962.5</v>
      </c>
    </row>
    <row r="336" spans="1:24">
      <c r="A336" t="s">
        <v>930</v>
      </c>
      <c r="B336" s="163" t="s">
        <v>43</v>
      </c>
      <c r="C336" s="2" t="s">
        <v>20</v>
      </c>
      <c r="D336" s="2" t="s">
        <v>21</v>
      </c>
      <c r="E336" s="3">
        <v>45410.708333333336</v>
      </c>
      <c r="F336" s="2" t="s">
        <v>22</v>
      </c>
      <c r="G336" s="2" t="s">
        <v>380</v>
      </c>
      <c r="H336" s="2">
        <v>75</v>
      </c>
      <c r="I336" s="2">
        <v>80</v>
      </c>
      <c r="J336" s="2">
        <v>64</v>
      </c>
      <c r="K336" s="2">
        <v>1.9</v>
      </c>
      <c r="L336" s="2">
        <v>1.79</v>
      </c>
      <c r="M336" s="2"/>
      <c r="N336" s="2" t="s">
        <v>95</v>
      </c>
      <c r="O336" s="14">
        <v>0</v>
      </c>
      <c r="P336" s="14">
        <v>0</v>
      </c>
      <c r="Q336" s="183">
        <v>2</v>
      </c>
      <c r="R336" s="181">
        <v>2</v>
      </c>
      <c r="S336" s="178">
        <f t="shared" si="45"/>
        <v>0</v>
      </c>
      <c r="T336" s="186">
        <f t="shared" si="46"/>
        <v>4</v>
      </c>
      <c r="U336" s="179">
        <f t="shared" si="47"/>
        <v>4</v>
      </c>
      <c r="V336" s="1">
        <f t="shared" si="44"/>
        <v>25</v>
      </c>
      <c r="W336" s="8">
        <f t="shared" si="48"/>
        <v>6.25</v>
      </c>
      <c r="X336" s="15">
        <f t="shared" si="43"/>
        <v>1968.75</v>
      </c>
    </row>
    <row r="337" spans="1:24">
      <c r="A337" t="s">
        <v>930</v>
      </c>
      <c r="B337" s="163" t="s">
        <v>43</v>
      </c>
      <c r="C337" s="2" t="s">
        <v>20</v>
      </c>
      <c r="D337" s="2" t="s">
        <v>322</v>
      </c>
      <c r="E337" s="3">
        <v>45417.583333333336</v>
      </c>
      <c r="F337" s="2" t="s">
        <v>796</v>
      </c>
      <c r="G337" s="2" t="s">
        <v>730</v>
      </c>
      <c r="H337" s="2">
        <v>70</v>
      </c>
      <c r="I337" s="2">
        <v>67</v>
      </c>
      <c r="J337" s="2">
        <v>63</v>
      </c>
      <c r="K337" s="2">
        <v>1.9</v>
      </c>
      <c r="L337" s="2">
        <v>1.02</v>
      </c>
      <c r="M337" s="2"/>
      <c r="N337" s="2" t="s">
        <v>95</v>
      </c>
      <c r="O337" s="14">
        <v>1</v>
      </c>
      <c r="P337" s="14">
        <v>0</v>
      </c>
      <c r="Q337" s="183">
        <v>2</v>
      </c>
      <c r="R337" s="181">
        <v>2</v>
      </c>
      <c r="S337" s="178">
        <f t="shared" si="45"/>
        <v>1</v>
      </c>
      <c r="T337" s="186">
        <f t="shared" si="46"/>
        <v>4</v>
      </c>
      <c r="U337" s="179">
        <f t="shared" si="47"/>
        <v>3</v>
      </c>
      <c r="V337" s="1">
        <f t="shared" si="44"/>
        <v>25</v>
      </c>
      <c r="W337" s="8">
        <f t="shared" si="48"/>
        <v>6.25</v>
      </c>
      <c r="X337" s="15">
        <f t="shared" si="43"/>
        <v>1975</v>
      </c>
    </row>
    <row r="338" spans="1:24">
      <c r="A338" t="s">
        <v>930</v>
      </c>
      <c r="B338" s="163" t="s">
        <v>43</v>
      </c>
      <c r="C338" s="2" t="s">
        <v>20</v>
      </c>
      <c r="D338" s="2" t="s">
        <v>21</v>
      </c>
      <c r="E338" s="3">
        <v>45429.822916666664</v>
      </c>
      <c r="F338" s="2" t="s">
        <v>784</v>
      </c>
      <c r="G338" s="2" t="s">
        <v>22</v>
      </c>
      <c r="H338" s="2">
        <v>71</v>
      </c>
      <c r="I338" s="2">
        <v>77</v>
      </c>
      <c r="J338" s="2">
        <v>61</v>
      </c>
      <c r="K338" s="2">
        <v>1.95</v>
      </c>
      <c r="L338" s="2">
        <v>1.38</v>
      </c>
      <c r="M338" s="2"/>
      <c r="N338" s="2" t="s">
        <v>95</v>
      </c>
      <c r="O338" s="14">
        <v>2</v>
      </c>
      <c r="P338" s="14">
        <v>1</v>
      </c>
      <c r="Q338" s="183">
        <v>2</v>
      </c>
      <c r="R338" s="181">
        <v>2</v>
      </c>
      <c r="S338" s="178">
        <f t="shared" si="45"/>
        <v>3</v>
      </c>
      <c r="T338" s="186">
        <f t="shared" si="46"/>
        <v>4</v>
      </c>
      <c r="U338" s="179">
        <f t="shared" si="47"/>
        <v>1</v>
      </c>
      <c r="V338" s="1">
        <f t="shared" si="44"/>
        <v>25</v>
      </c>
      <c r="W338" s="8">
        <f t="shared" si="48"/>
        <v>6.25</v>
      </c>
      <c r="X338" s="15">
        <f t="shared" si="43"/>
        <v>1981.25</v>
      </c>
    </row>
    <row r="339" spans="1:24">
      <c r="A339" t="s">
        <v>930</v>
      </c>
      <c r="B339" s="163" t="s">
        <v>43</v>
      </c>
      <c r="C339" s="2" t="s">
        <v>20</v>
      </c>
      <c r="D339" s="2" t="s">
        <v>21</v>
      </c>
      <c r="E339" s="3">
        <v>45430.822916666664</v>
      </c>
      <c r="F339" s="2" t="s">
        <v>336</v>
      </c>
      <c r="G339" s="2" t="s">
        <v>109</v>
      </c>
      <c r="H339" s="2">
        <v>86</v>
      </c>
      <c r="I339" s="2">
        <v>68</v>
      </c>
      <c r="J339" s="2">
        <v>63</v>
      </c>
      <c r="K339" s="2">
        <v>1.6</v>
      </c>
      <c r="L339" s="2">
        <v>1.4</v>
      </c>
      <c r="M339" s="2"/>
      <c r="N339" s="2" t="s">
        <v>95</v>
      </c>
      <c r="O339" s="14">
        <v>2</v>
      </c>
      <c r="P339" s="14">
        <v>0</v>
      </c>
      <c r="Q339" s="183">
        <v>3</v>
      </c>
      <c r="R339" s="181">
        <v>1</v>
      </c>
      <c r="S339" s="178">
        <f t="shared" si="45"/>
        <v>2</v>
      </c>
      <c r="T339" s="186">
        <f t="shared" si="46"/>
        <v>4</v>
      </c>
      <c r="U339" s="179">
        <f t="shared" si="47"/>
        <v>2</v>
      </c>
      <c r="V339" s="1">
        <f t="shared" si="44"/>
        <v>25</v>
      </c>
      <c r="W339" s="8">
        <f t="shared" si="48"/>
        <v>6.25</v>
      </c>
      <c r="X339" s="15">
        <f t="shared" si="43"/>
        <v>1987.5</v>
      </c>
    </row>
    <row r="340" spans="1:24">
      <c r="A340" t="s">
        <v>930</v>
      </c>
      <c r="B340" s="163" t="s">
        <v>43</v>
      </c>
      <c r="C340" s="2" t="s">
        <v>434</v>
      </c>
      <c r="D340" s="2" t="s">
        <v>435</v>
      </c>
      <c r="E340" s="3">
        <v>45432.541666666664</v>
      </c>
      <c r="F340" s="2" t="s">
        <v>556</v>
      </c>
      <c r="G340" s="2" t="s">
        <v>599</v>
      </c>
      <c r="H340" s="2">
        <v>67</v>
      </c>
      <c r="I340" s="2">
        <v>78</v>
      </c>
      <c r="J340" s="2">
        <v>62</v>
      </c>
      <c r="K340" s="2">
        <v>1.85</v>
      </c>
      <c r="L340" s="2">
        <v>1.27</v>
      </c>
      <c r="M340" s="2"/>
      <c r="N340" s="2" t="s">
        <v>95</v>
      </c>
      <c r="O340" s="14">
        <v>0</v>
      </c>
      <c r="P340" s="14">
        <v>1</v>
      </c>
      <c r="Q340" s="183">
        <v>3</v>
      </c>
      <c r="R340" s="181">
        <v>1</v>
      </c>
      <c r="S340" s="178">
        <f t="shared" si="45"/>
        <v>1</v>
      </c>
      <c r="T340" s="186">
        <f t="shared" si="46"/>
        <v>4</v>
      </c>
      <c r="U340" s="179">
        <f t="shared" si="47"/>
        <v>3</v>
      </c>
      <c r="V340" s="1">
        <f t="shared" ref="V340:V371" si="49">SUM($X$1*0.05)</f>
        <v>25</v>
      </c>
      <c r="W340" s="8">
        <f t="shared" si="48"/>
        <v>6.25</v>
      </c>
      <c r="X340" s="15">
        <f t="shared" si="43"/>
        <v>1993.75</v>
      </c>
    </row>
    <row r="341" spans="1:24">
      <c r="A341" t="s">
        <v>930</v>
      </c>
      <c r="B341" s="163" t="s">
        <v>43</v>
      </c>
      <c r="C341" s="2" t="s">
        <v>516</v>
      </c>
      <c r="D341" s="2" t="s">
        <v>78</v>
      </c>
      <c r="E341" s="3">
        <v>45434.524305555555</v>
      </c>
      <c r="F341" s="2" t="s">
        <v>785</v>
      </c>
      <c r="G341" s="2" t="s">
        <v>518</v>
      </c>
      <c r="H341" s="2">
        <v>67</v>
      </c>
      <c r="I341" s="2">
        <v>80</v>
      </c>
      <c r="J341" s="2">
        <v>58</v>
      </c>
      <c r="K341" s="2">
        <v>1.63</v>
      </c>
      <c r="L341" s="2">
        <v>1.31</v>
      </c>
      <c r="M341" s="2"/>
      <c r="N341" s="2" t="s">
        <v>95</v>
      </c>
      <c r="O341" s="14">
        <v>0</v>
      </c>
      <c r="P341" s="14">
        <v>2</v>
      </c>
      <c r="Q341" s="183">
        <v>2</v>
      </c>
      <c r="R341" s="181">
        <v>2</v>
      </c>
      <c r="S341" s="178">
        <f t="shared" si="45"/>
        <v>2</v>
      </c>
      <c r="T341" s="186">
        <f t="shared" si="46"/>
        <v>4</v>
      </c>
      <c r="U341" s="179">
        <f t="shared" si="47"/>
        <v>2</v>
      </c>
      <c r="V341" s="1">
        <f t="shared" si="49"/>
        <v>25</v>
      </c>
      <c r="W341" s="8">
        <f t="shared" si="48"/>
        <v>6.25</v>
      </c>
      <c r="X341" s="15">
        <f t="shared" si="43"/>
        <v>2000</v>
      </c>
    </row>
    <row r="342" spans="1:24">
      <c r="A342" t="s">
        <v>930</v>
      </c>
      <c r="B342" s="163" t="s">
        <v>726</v>
      </c>
      <c r="C342" s="2" t="s">
        <v>149</v>
      </c>
      <c r="D342" s="2" t="s">
        <v>153</v>
      </c>
      <c r="E342" s="3">
        <v>45394.791666666664</v>
      </c>
      <c r="F342" s="2" t="s">
        <v>647</v>
      </c>
      <c r="G342" s="2" t="s">
        <v>244</v>
      </c>
      <c r="H342" s="2">
        <v>90</v>
      </c>
      <c r="I342" s="2">
        <v>20</v>
      </c>
      <c r="J342" s="2">
        <v>2.1</v>
      </c>
      <c r="K342" s="2">
        <v>62</v>
      </c>
      <c r="L342" s="2"/>
      <c r="M342" s="2"/>
      <c r="N342" s="2" t="s">
        <v>95</v>
      </c>
      <c r="O342" s="13">
        <v>2</v>
      </c>
      <c r="P342" s="14">
        <v>0</v>
      </c>
      <c r="Q342" s="183">
        <v>4</v>
      </c>
      <c r="R342" s="181">
        <v>0</v>
      </c>
      <c r="S342" s="178">
        <f t="shared" si="45"/>
        <v>2</v>
      </c>
      <c r="T342" s="186">
        <f t="shared" si="46"/>
        <v>4</v>
      </c>
      <c r="U342" s="179">
        <f t="shared" si="47"/>
        <v>2</v>
      </c>
      <c r="V342" s="1">
        <f t="shared" si="49"/>
        <v>25</v>
      </c>
      <c r="W342" s="8">
        <f t="shared" si="48"/>
        <v>6.25</v>
      </c>
      <c r="X342" s="15">
        <f t="shared" si="43"/>
        <v>2006.25</v>
      </c>
    </row>
    <row r="343" spans="1:24">
      <c r="A343" t="s">
        <v>930</v>
      </c>
      <c r="B343" s="163" t="s">
        <v>726</v>
      </c>
      <c r="C343" s="2" t="s">
        <v>77</v>
      </c>
      <c r="D343" s="2" t="s">
        <v>234</v>
      </c>
      <c r="E343" s="3">
        <v>45395.5</v>
      </c>
      <c r="F343" s="2" t="s">
        <v>235</v>
      </c>
      <c r="G343" s="2" t="s">
        <v>650</v>
      </c>
      <c r="H343" s="2">
        <v>85</v>
      </c>
      <c r="I343" s="2">
        <v>20</v>
      </c>
      <c r="J343" s="2">
        <v>1.9</v>
      </c>
      <c r="K343" s="2">
        <v>58</v>
      </c>
      <c r="L343" s="2"/>
      <c r="M343" s="2"/>
      <c r="N343" s="2" t="s">
        <v>95</v>
      </c>
      <c r="O343" s="14">
        <v>2</v>
      </c>
      <c r="P343" s="14">
        <v>0</v>
      </c>
      <c r="Q343" s="183">
        <v>4</v>
      </c>
      <c r="R343" s="181">
        <v>0</v>
      </c>
      <c r="S343" s="178">
        <f t="shared" si="45"/>
        <v>2</v>
      </c>
      <c r="T343" s="186">
        <f t="shared" si="46"/>
        <v>4</v>
      </c>
      <c r="U343" s="179">
        <f t="shared" si="47"/>
        <v>2</v>
      </c>
      <c r="V343" s="1">
        <f t="shared" si="49"/>
        <v>25</v>
      </c>
      <c r="W343" s="8">
        <f t="shared" si="48"/>
        <v>6.25</v>
      </c>
      <c r="X343" s="15">
        <f t="shared" si="43"/>
        <v>2012.5</v>
      </c>
    </row>
    <row r="344" spans="1:24">
      <c r="A344" t="s">
        <v>930</v>
      </c>
      <c r="B344" s="163" t="s">
        <v>726</v>
      </c>
      <c r="C344" s="2" t="s">
        <v>6</v>
      </c>
      <c r="D344" s="2" t="s">
        <v>62</v>
      </c>
      <c r="E344" s="3">
        <v>45395.520833333336</v>
      </c>
      <c r="F344" s="2" t="s">
        <v>164</v>
      </c>
      <c r="G344" s="2" t="s">
        <v>116</v>
      </c>
      <c r="H344" s="2">
        <v>95</v>
      </c>
      <c r="I344" s="2">
        <v>20</v>
      </c>
      <c r="J344" s="2">
        <v>2.2999999999999998</v>
      </c>
      <c r="K344" s="2">
        <v>64</v>
      </c>
      <c r="L344" s="2"/>
      <c r="M344" s="2"/>
      <c r="N344" s="2" t="s">
        <v>95</v>
      </c>
      <c r="O344" s="14">
        <v>2</v>
      </c>
      <c r="P344" s="14">
        <v>0</v>
      </c>
      <c r="Q344" s="183">
        <v>4</v>
      </c>
      <c r="R344" s="181">
        <v>0</v>
      </c>
      <c r="S344" s="178">
        <f t="shared" si="45"/>
        <v>2</v>
      </c>
      <c r="T344" s="186">
        <f t="shared" si="46"/>
        <v>4</v>
      </c>
      <c r="U344" s="179">
        <f t="shared" si="47"/>
        <v>2</v>
      </c>
      <c r="V344" s="1">
        <f t="shared" si="49"/>
        <v>25</v>
      </c>
      <c r="W344" s="8">
        <f t="shared" si="48"/>
        <v>6.25</v>
      </c>
      <c r="X344" s="15">
        <f t="shared" si="43"/>
        <v>2018.75</v>
      </c>
    </row>
    <row r="345" spans="1:24">
      <c r="A345" t="s">
        <v>930</v>
      </c>
      <c r="B345" s="163" t="s">
        <v>726</v>
      </c>
      <c r="C345" s="2" t="s">
        <v>89</v>
      </c>
      <c r="D345" s="2" t="s">
        <v>90</v>
      </c>
      <c r="E345" s="3">
        <v>45395.53125</v>
      </c>
      <c r="F345" s="2" t="s">
        <v>712</v>
      </c>
      <c r="G345" s="2" t="s">
        <v>713</v>
      </c>
      <c r="H345" s="2">
        <v>85</v>
      </c>
      <c r="I345" s="2">
        <v>20</v>
      </c>
      <c r="J345" s="2">
        <v>1.95</v>
      </c>
      <c r="K345" s="2">
        <v>63</v>
      </c>
      <c r="L345" s="2"/>
      <c r="M345" s="2"/>
      <c r="N345" s="2" t="s">
        <v>95</v>
      </c>
      <c r="O345" s="14">
        <v>2</v>
      </c>
      <c r="P345" s="14">
        <v>0</v>
      </c>
      <c r="Q345" s="183">
        <v>3</v>
      </c>
      <c r="R345" s="181">
        <v>1</v>
      </c>
      <c r="S345" s="178">
        <f t="shared" si="45"/>
        <v>2</v>
      </c>
      <c r="T345" s="186">
        <f t="shared" si="46"/>
        <v>4</v>
      </c>
      <c r="U345" s="179">
        <f t="shared" si="47"/>
        <v>2</v>
      </c>
      <c r="V345" s="1">
        <f t="shared" si="49"/>
        <v>25</v>
      </c>
      <c r="W345" s="8">
        <f t="shared" si="48"/>
        <v>6.25</v>
      </c>
      <c r="X345" s="15">
        <f t="shared" si="43"/>
        <v>2025</v>
      </c>
    </row>
    <row r="346" spans="1:24">
      <c r="A346" t="s">
        <v>930</v>
      </c>
      <c r="B346" s="163" t="s">
        <v>726</v>
      </c>
      <c r="C346" s="2" t="s">
        <v>6</v>
      </c>
      <c r="D346" s="2" t="s">
        <v>62</v>
      </c>
      <c r="E346" s="3">
        <v>45395.729166666664</v>
      </c>
      <c r="F346" s="2" t="s">
        <v>117</v>
      </c>
      <c r="G346" s="2" t="s">
        <v>383</v>
      </c>
      <c r="H346" s="2">
        <v>80</v>
      </c>
      <c r="I346" s="2">
        <v>20</v>
      </c>
      <c r="J346" s="2">
        <v>2.0499999999999998</v>
      </c>
      <c r="K346" s="2">
        <v>58</v>
      </c>
      <c r="L346" s="2"/>
      <c r="M346" s="2"/>
      <c r="N346" s="2" t="s">
        <v>95</v>
      </c>
      <c r="O346" s="10">
        <v>2</v>
      </c>
      <c r="P346" s="10">
        <v>1</v>
      </c>
      <c r="Q346" s="184">
        <v>2</v>
      </c>
      <c r="R346" s="181">
        <v>2</v>
      </c>
      <c r="S346" s="178">
        <f t="shared" si="45"/>
        <v>3</v>
      </c>
      <c r="T346" s="186">
        <f t="shared" si="46"/>
        <v>4</v>
      </c>
      <c r="U346" s="179">
        <f t="shared" si="47"/>
        <v>1</v>
      </c>
      <c r="V346" s="1">
        <f t="shared" si="49"/>
        <v>25</v>
      </c>
      <c r="W346" s="8">
        <f t="shared" si="48"/>
        <v>6.25</v>
      </c>
      <c r="X346" s="15">
        <f t="shared" si="43"/>
        <v>2031.25</v>
      </c>
    </row>
    <row r="347" spans="1:24">
      <c r="A347" t="s">
        <v>930</v>
      </c>
      <c r="B347" s="163" t="s">
        <v>726</v>
      </c>
      <c r="C347" s="2" t="s">
        <v>149</v>
      </c>
      <c r="D347" s="2" t="s">
        <v>153</v>
      </c>
      <c r="E347" s="154">
        <v>45396.791666666664</v>
      </c>
      <c r="F347" s="155" t="s">
        <v>241</v>
      </c>
      <c r="G347" s="2" t="s">
        <v>205</v>
      </c>
      <c r="H347" s="2">
        <v>95</v>
      </c>
      <c r="I347" s="2">
        <v>20</v>
      </c>
      <c r="J347" s="155">
        <v>2.4500000000000002</v>
      </c>
      <c r="K347" s="155">
        <v>59</v>
      </c>
      <c r="L347" s="2"/>
      <c r="M347" s="2"/>
      <c r="N347" s="2" t="s">
        <v>95</v>
      </c>
      <c r="O347" s="10">
        <v>0</v>
      </c>
      <c r="P347" s="10">
        <v>1</v>
      </c>
      <c r="Q347" s="184">
        <v>2</v>
      </c>
      <c r="R347" s="181">
        <v>2</v>
      </c>
      <c r="S347" s="178">
        <f t="shared" si="45"/>
        <v>1</v>
      </c>
      <c r="T347" s="186">
        <f t="shared" si="46"/>
        <v>4</v>
      </c>
      <c r="U347" s="179">
        <f t="shared" si="47"/>
        <v>3</v>
      </c>
      <c r="V347" s="1">
        <f t="shared" si="49"/>
        <v>25</v>
      </c>
      <c r="W347" s="8">
        <f t="shared" si="48"/>
        <v>6.25</v>
      </c>
      <c r="X347" s="15">
        <f t="shared" si="43"/>
        <v>2037.5</v>
      </c>
    </row>
    <row r="348" spans="1:24">
      <c r="A348" t="s">
        <v>930</v>
      </c>
      <c r="B348" s="163" t="s">
        <v>726</v>
      </c>
      <c r="C348" s="2" t="s">
        <v>31</v>
      </c>
      <c r="D348" s="2" t="s">
        <v>32</v>
      </c>
      <c r="E348" s="3">
        <v>45398.822916666664</v>
      </c>
      <c r="F348" s="2" t="s">
        <v>690</v>
      </c>
      <c r="G348" s="2" t="s">
        <v>261</v>
      </c>
      <c r="H348" s="2">
        <v>90</v>
      </c>
      <c r="I348" s="2">
        <v>20</v>
      </c>
      <c r="J348" s="2">
        <v>2.2000000000000002</v>
      </c>
      <c r="K348" s="2">
        <v>60</v>
      </c>
      <c r="L348" s="2"/>
      <c r="M348" s="2"/>
      <c r="N348" s="2" t="s">
        <v>95</v>
      </c>
      <c r="O348" s="10">
        <v>0</v>
      </c>
      <c r="P348" s="10">
        <v>1</v>
      </c>
      <c r="Q348" s="184">
        <v>2</v>
      </c>
      <c r="R348" s="181">
        <v>2</v>
      </c>
      <c r="S348" s="178">
        <f t="shared" si="45"/>
        <v>1</v>
      </c>
      <c r="T348" s="186">
        <f t="shared" si="46"/>
        <v>4</v>
      </c>
      <c r="U348" s="179">
        <f t="shared" si="47"/>
        <v>3</v>
      </c>
      <c r="V348" s="1">
        <f t="shared" si="49"/>
        <v>25</v>
      </c>
      <c r="W348" s="8">
        <f t="shared" si="48"/>
        <v>6.25</v>
      </c>
      <c r="X348" s="15">
        <f t="shared" si="43"/>
        <v>2043.75</v>
      </c>
    </row>
    <row r="349" spans="1:24">
      <c r="A349" t="s">
        <v>930</v>
      </c>
      <c r="B349" s="163" t="s">
        <v>726</v>
      </c>
      <c r="C349" s="2" t="s">
        <v>149</v>
      </c>
      <c r="D349" s="2" t="s">
        <v>150</v>
      </c>
      <c r="E349" s="3">
        <v>45401.791666666664</v>
      </c>
      <c r="F349" s="2" t="s">
        <v>332</v>
      </c>
      <c r="G349" s="2" t="s">
        <v>746</v>
      </c>
      <c r="H349" s="2">
        <v>80</v>
      </c>
      <c r="I349" s="2">
        <v>20</v>
      </c>
      <c r="J349" s="2">
        <v>1.95</v>
      </c>
      <c r="K349" s="2">
        <v>59</v>
      </c>
      <c r="L349" s="2"/>
      <c r="M349" s="2"/>
      <c r="N349" s="2" t="s">
        <v>95</v>
      </c>
      <c r="O349" s="10">
        <v>1</v>
      </c>
      <c r="P349" s="14">
        <v>2</v>
      </c>
      <c r="Q349" s="183">
        <v>2</v>
      </c>
      <c r="R349" s="181">
        <v>2</v>
      </c>
      <c r="S349" s="178">
        <f t="shared" si="45"/>
        <v>3</v>
      </c>
      <c r="T349" s="186">
        <f t="shared" si="46"/>
        <v>4</v>
      </c>
      <c r="U349" s="179">
        <f t="shared" si="47"/>
        <v>1</v>
      </c>
      <c r="V349" s="1">
        <f t="shared" si="49"/>
        <v>25</v>
      </c>
      <c r="W349" s="8">
        <f t="shared" si="48"/>
        <v>6.25</v>
      </c>
      <c r="X349" s="15">
        <f t="shared" si="43"/>
        <v>2050</v>
      </c>
    </row>
    <row r="350" spans="1:24">
      <c r="A350" t="s">
        <v>930</v>
      </c>
      <c r="B350" s="163" t="s">
        <v>726</v>
      </c>
      <c r="C350" s="2" t="s">
        <v>296</v>
      </c>
      <c r="D350" s="2" t="s">
        <v>525</v>
      </c>
      <c r="E350" s="3">
        <v>45402.708333333336</v>
      </c>
      <c r="F350" s="2" t="s">
        <v>596</v>
      </c>
      <c r="G350" s="2" t="s">
        <v>684</v>
      </c>
      <c r="H350" s="2">
        <v>90</v>
      </c>
      <c r="I350" s="2">
        <v>20</v>
      </c>
      <c r="J350" s="2">
        <v>2.25</v>
      </c>
      <c r="K350" s="2">
        <v>61</v>
      </c>
      <c r="L350" s="2"/>
      <c r="M350" s="2"/>
      <c r="N350" s="2" t="s">
        <v>95</v>
      </c>
      <c r="O350" s="10">
        <v>1</v>
      </c>
      <c r="P350" s="14">
        <v>1</v>
      </c>
      <c r="Q350" s="183">
        <v>3</v>
      </c>
      <c r="R350" s="181">
        <v>1</v>
      </c>
      <c r="S350" s="178">
        <f t="shared" si="45"/>
        <v>2</v>
      </c>
      <c r="T350" s="186">
        <f t="shared" si="46"/>
        <v>4</v>
      </c>
      <c r="U350" s="179">
        <f t="shared" si="47"/>
        <v>2</v>
      </c>
      <c r="V350" s="1">
        <f t="shared" si="49"/>
        <v>25</v>
      </c>
      <c r="W350" s="8">
        <f t="shared" si="48"/>
        <v>6.25</v>
      </c>
      <c r="X350" s="15">
        <f t="shared" si="43"/>
        <v>2056.25</v>
      </c>
    </row>
    <row r="351" spans="1:24">
      <c r="A351" t="s">
        <v>930</v>
      </c>
      <c r="B351" s="163" t="s">
        <v>726</v>
      </c>
      <c r="C351" s="2" t="s">
        <v>89</v>
      </c>
      <c r="D351" s="2" t="s">
        <v>90</v>
      </c>
      <c r="E351" s="3">
        <v>45403.59375</v>
      </c>
      <c r="F351" s="2" t="s">
        <v>92</v>
      </c>
      <c r="G351" s="2" t="s">
        <v>711</v>
      </c>
      <c r="H351" s="2">
        <v>80</v>
      </c>
      <c r="I351" s="2">
        <v>20</v>
      </c>
      <c r="J351" s="2">
        <v>1.95</v>
      </c>
      <c r="K351" s="2">
        <v>62</v>
      </c>
      <c r="L351" s="2"/>
      <c r="M351" s="2"/>
      <c r="N351" s="2" t="s">
        <v>95</v>
      </c>
      <c r="O351" s="10">
        <v>1</v>
      </c>
      <c r="P351" s="10">
        <v>1</v>
      </c>
      <c r="Q351" s="184">
        <v>2</v>
      </c>
      <c r="R351" s="181">
        <v>2</v>
      </c>
      <c r="S351" s="178">
        <f t="shared" si="45"/>
        <v>2</v>
      </c>
      <c r="T351" s="186">
        <f t="shared" si="46"/>
        <v>4</v>
      </c>
      <c r="U351" s="179">
        <f t="shared" si="47"/>
        <v>2</v>
      </c>
      <c r="V351" s="1">
        <f t="shared" si="49"/>
        <v>25</v>
      </c>
      <c r="W351" s="8">
        <f t="shared" si="48"/>
        <v>6.25</v>
      </c>
      <c r="X351" s="15">
        <f t="shared" si="43"/>
        <v>2062.5</v>
      </c>
    </row>
    <row r="352" spans="1:24">
      <c r="A352" t="s">
        <v>930</v>
      </c>
      <c r="B352" s="163" t="s">
        <v>726</v>
      </c>
      <c r="C352" s="2" t="s">
        <v>89</v>
      </c>
      <c r="D352" s="2" t="s">
        <v>90</v>
      </c>
      <c r="E352" s="3">
        <v>45403.59375</v>
      </c>
      <c r="F352" s="2" t="s">
        <v>483</v>
      </c>
      <c r="G352" s="2" t="s">
        <v>478</v>
      </c>
      <c r="H352" s="2">
        <v>85</v>
      </c>
      <c r="I352" s="2">
        <v>20</v>
      </c>
      <c r="J352" s="2">
        <v>2</v>
      </c>
      <c r="K352" s="2">
        <v>59</v>
      </c>
      <c r="L352" s="2"/>
      <c r="M352" s="2"/>
      <c r="N352" s="2" t="s">
        <v>95</v>
      </c>
      <c r="O352" s="10">
        <v>0</v>
      </c>
      <c r="P352" s="10">
        <v>2</v>
      </c>
      <c r="Q352" s="184">
        <v>1</v>
      </c>
      <c r="R352" s="181">
        <v>3</v>
      </c>
      <c r="S352" s="178">
        <f t="shared" si="45"/>
        <v>2</v>
      </c>
      <c r="T352" s="186">
        <f t="shared" si="46"/>
        <v>4</v>
      </c>
      <c r="U352" s="179">
        <f t="shared" si="47"/>
        <v>2</v>
      </c>
      <c r="V352" s="1">
        <f t="shared" si="49"/>
        <v>25</v>
      </c>
      <c r="W352" s="8">
        <f t="shared" si="48"/>
        <v>6.25</v>
      </c>
      <c r="X352" s="15">
        <f t="shared" si="43"/>
        <v>2068.75</v>
      </c>
    </row>
    <row r="353" spans="1:24">
      <c r="A353" t="s">
        <v>930</v>
      </c>
      <c r="B353" s="163" t="s">
        <v>726</v>
      </c>
      <c r="C353" s="2" t="s">
        <v>6</v>
      </c>
      <c r="D353" s="2" t="s">
        <v>62</v>
      </c>
      <c r="E353" s="3">
        <v>45403.625</v>
      </c>
      <c r="F353" s="2" t="s">
        <v>102</v>
      </c>
      <c r="G353" s="2" t="s">
        <v>117</v>
      </c>
      <c r="H353" s="2">
        <v>95</v>
      </c>
      <c r="I353" s="2">
        <v>20</v>
      </c>
      <c r="J353" s="2">
        <v>2.25</v>
      </c>
      <c r="K353" s="2">
        <v>63</v>
      </c>
      <c r="L353" s="2"/>
      <c r="M353" s="2"/>
      <c r="N353" s="2" t="s">
        <v>95</v>
      </c>
      <c r="O353" s="10">
        <v>1</v>
      </c>
      <c r="P353" s="10">
        <v>1</v>
      </c>
      <c r="Q353" s="184">
        <v>3</v>
      </c>
      <c r="R353" s="181">
        <v>1</v>
      </c>
      <c r="S353" s="178">
        <f t="shared" si="45"/>
        <v>2</v>
      </c>
      <c r="T353" s="186">
        <f t="shared" si="46"/>
        <v>4</v>
      </c>
      <c r="U353" s="179">
        <f t="shared" si="47"/>
        <v>2</v>
      </c>
      <c r="V353" s="1">
        <f t="shared" si="49"/>
        <v>25</v>
      </c>
      <c r="W353" s="8">
        <f t="shared" si="48"/>
        <v>6.25</v>
      </c>
      <c r="X353" s="15">
        <f t="shared" si="43"/>
        <v>2075</v>
      </c>
    </row>
    <row r="354" spans="1:24">
      <c r="A354" t="s">
        <v>930</v>
      </c>
      <c r="B354" s="163" t="s">
        <v>726</v>
      </c>
      <c r="C354" s="2" t="s">
        <v>149</v>
      </c>
      <c r="D354" s="2" t="s">
        <v>153</v>
      </c>
      <c r="E354" s="3">
        <v>45406.833333333336</v>
      </c>
      <c r="F354" s="2" t="s">
        <v>363</v>
      </c>
      <c r="G354" s="2" t="s">
        <v>647</v>
      </c>
      <c r="H354" s="2">
        <v>95</v>
      </c>
      <c r="I354" s="2">
        <v>20</v>
      </c>
      <c r="J354" s="2">
        <v>2.1</v>
      </c>
      <c r="K354" s="2">
        <v>64</v>
      </c>
      <c r="L354" s="2"/>
      <c r="M354" s="2"/>
      <c r="N354" s="2" t="s">
        <v>95</v>
      </c>
      <c r="O354" s="10">
        <v>1</v>
      </c>
      <c r="P354" s="14">
        <v>1</v>
      </c>
      <c r="Q354" s="183">
        <v>2</v>
      </c>
      <c r="R354" s="181">
        <v>2</v>
      </c>
      <c r="S354" s="178">
        <f t="shared" si="45"/>
        <v>2</v>
      </c>
      <c r="T354" s="186">
        <f t="shared" si="46"/>
        <v>4</v>
      </c>
      <c r="U354" s="179">
        <f t="shared" si="47"/>
        <v>2</v>
      </c>
      <c r="V354" s="1">
        <f t="shared" si="49"/>
        <v>25</v>
      </c>
      <c r="W354" s="8">
        <f t="shared" si="48"/>
        <v>6.25</v>
      </c>
      <c r="X354" s="15">
        <f t="shared" si="43"/>
        <v>2081.25</v>
      </c>
    </row>
    <row r="355" spans="1:24">
      <c r="A355" t="s">
        <v>930</v>
      </c>
      <c r="B355" s="163" t="s">
        <v>726</v>
      </c>
      <c r="C355" s="2" t="s">
        <v>489</v>
      </c>
      <c r="D355" s="2" t="s">
        <v>490</v>
      </c>
      <c r="E355" s="3">
        <v>45408.583333333336</v>
      </c>
      <c r="F355" s="2" t="s">
        <v>772</v>
      </c>
      <c r="G355" s="2" t="s">
        <v>491</v>
      </c>
      <c r="H355" s="2">
        <v>95</v>
      </c>
      <c r="I355" s="2">
        <v>20</v>
      </c>
      <c r="J355" s="2">
        <v>2.0499999999999998</v>
      </c>
      <c r="K355" s="2">
        <v>62</v>
      </c>
      <c r="L355" s="2"/>
      <c r="M355" s="2"/>
      <c r="N355" s="2" t="s">
        <v>95</v>
      </c>
      <c r="O355" s="10">
        <v>0</v>
      </c>
      <c r="P355" s="14">
        <v>1</v>
      </c>
      <c r="Q355" s="183">
        <v>2</v>
      </c>
      <c r="R355" s="181">
        <v>2</v>
      </c>
      <c r="S355" s="178">
        <f t="shared" si="45"/>
        <v>1</v>
      </c>
      <c r="T355" s="186">
        <f t="shared" si="46"/>
        <v>4</v>
      </c>
      <c r="U355" s="179">
        <f t="shared" si="47"/>
        <v>3</v>
      </c>
      <c r="V355" s="1">
        <f t="shared" si="49"/>
        <v>25</v>
      </c>
      <c r="W355" s="8">
        <f t="shared" si="48"/>
        <v>6.25</v>
      </c>
      <c r="X355" s="15">
        <f t="shared" si="43"/>
        <v>2087.5</v>
      </c>
    </row>
    <row r="356" spans="1:24">
      <c r="A356" t="s">
        <v>930</v>
      </c>
      <c r="B356" s="163" t="s">
        <v>726</v>
      </c>
      <c r="C356" s="2" t="s">
        <v>77</v>
      </c>
      <c r="D356" s="2" t="s">
        <v>234</v>
      </c>
      <c r="E356" s="3">
        <v>45409.5</v>
      </c>
      <c r="F356" s="2" t="s">
        <v>424</v>
      </c>
      <c r="G356" s="2" t="s">
        <v>499</v>
      </c>
      <c r="H356" s="2">
        <v>80</v>
      </c>
      <c r="I356" s="2">
        <v>20</v>
      </c>
      <c r="J356" s="2">
        <v>1.95</v>
      </c>
      <c r="K356" s="2">
        <v>63</v>
      </c>
      <c r="L356" s="2"/>
      <c r="M356" s="2"/>
      <c r="N356" s="2" t="s">
        <v>95</v>
      </c>
      <c r="O356" s="10">
        <v>0</v>
      </c>
      <c r="P356" s="14">
        <v>0</v>
      </c>
      <c r="Q356" s="183">
        <v>3</v>
      </c>
      <c r="R356" s="181">
        <v>1</v>
      </c>
      <c r="S356" s="178">
        <f t="shared" si="45"/>
        <v>0</v>
      </c>
      <c r="T356" s="186">
        <f t="shared" si="46"/>
        <v>4</v>
      </c>
      <c r="U356" s="179">
        <f t="shared" si="47"/>
        <v>4</v>
      </c>
      <c r="V356" s="1">
        <f t="shared" si="49"/>
        <v>25</v>
      </c>
      <c r="W356" s="8">
        <f t="shared" si="48"/>
        <v>6.25</v>
      </c>
      <c r="X356" s="15">
        <f t="shared" si="43"/>
        <v>2093.75</v>
      </c>
    </row>
    <row r="357" spans="1:24">
      <c r="A357" t="s">
        <v>930</v>
      </c>
      <c r="B357" s="163" t="s">
        <v>726</v>
      </c>
      <c r="C357" s="2" t="s">
        <v>58</v>
      </c>
      <c r="D357" s="2" t="s">
        <v>59</v>
      </c>
      <c r="E357" s="3">
        <v>45409.75</v>
      </c>
      <c r="F357" s="2" t="s">
        <v>60</v>
      </c>
      <c r="G357" s="2" t="s">
        <v>112</v>
      </c>
      <c r="H357" s="2">
        <v>90</v>
      </c>
      <c r="I357" s="2">
        <v>20</v>
      </c>
      <c r="J357" s="2">
        <v>2.0499999999999998</v>
      </c>
      <c r="K357" s="2">
        <v>59</v>
      </c>
      <c r="L357" s="2"/>
      <c r="M357" s="2"/>
      <c r="N357" s="2" t="s">
        <v>95</v>
      </c>
      <c r="O357" s="10">
        <v>0</v>
      </c>
      <c r="P357" s="14">
        <v>1</v>
      </c>
      <c r="Q357" s="183">
        <v>3</v>
      </c>
      <c r="R357" s="181">
        <v>1</v>
      </c>
      <c r="S357" s="178">
        <f t="shared" si="45"/>
        <v>1</v>
      </c>
      <c r="T357" s="186">
        <f t="shared" si="46"/>
        <v>4</v>
      </c>
      <c r="U357" s="179">
        <f t="shared" si="47"/>
        <v>3</v>
      </c>
      <c r="V357" s="1">
        <f t="shared" si="49"/>
        <v>25</v>
      </c>
      <c r="W357" s="8">
        <f t="shared" si="48"/>
        <v>6.25</v>
      </c>
      <c r="X357" s="15">
        <f t="shared" si="43"/>
        <v>2100</v>
      </c>
    </row>
    <row r="358" spans="1:24">
      <c r="A358" t="s">
        <v>930</v>
      </c>
      <c r="B358" s="163" t="s">
        <v>726</v>
      </c>
      <c r="C358" s="2" t="s">
        <v>6</v>
      </c>
      <c r="D358" s="2" t="s">
        <v>62</v>
      </c>
      <c r="E358" s="3">
        <v>45409.833333333336</v>
      </c>
      <c r="F358" s="2" t="s">
        <v>102</v>
      </c>
      <c r="G358" s="2" t="s">
        <v>65</v>
      </c>
      <c r="H358" s="2">
        <v>95</v>
      </c>
      <c r="I358" s="2">
        <v>20</v>
      </c>
      <c r="J358" s="2">
        <v>2.35</v>
      </c>
      <c r="K358" s="2">
        <v>61</v>
      </c>
      <c r="L358" s="2"/>
      <c r="M358" s="2"/>
      <c r="N358" s="2" t="s">
        <v>95</v>
      </c>
      <c r="O358" s="10">
        <v>2</v>
      </c>
      <c r="P358" s="14">
        <v>0</v>
      </c>
      <c r="Q358" s="183">
        <v>2</v>
      </c>
      <c r="R358" s="181">
        <v>2</v>
      </c>
      <c r="S358" s="178">
        <f t="shared" si="45"/>
        <v>2</v>
      </c>
      <c r="T358" s="186">
        <f t="shared" si="46"/>
        <v>4</v>
      </c>
      <c r="U358" s="179">
        <f t="shared" si="47"/>
        <v>2</v>
      </c>
      <c r="V358" s="1">
        <f t="shared" si="49"/>
        <v>25</v>
      </c>
      <c r="W358" s="8">
        <f t="shared" si="48"/>
        <v>6.25</v>
      </c>
      <c r="X358" s="15">
        <f t="shared" si="43"/>
        <v>2106.25</v>
      </c>
    </row>
    <row r="359" spans="1:24">
      <c r="A359" t="s">
        <v>930</v>
      </c>
      <c r="B359" s="163" t="s">
        <v>726</v>
      </c>
      <c r="C359" s="2" t="s">
        <v>149</v>
      </c>
      <c r="D359" s="2" t="s">
        <v>153</v>
      </c>
      <c r="E359" s="3">
        <v>45410.46875</v>
      </c>
      <c r="F359" s="2" t="s">
        <v>205</v>
      </c>
      <c r="G359" s="2" t="s">
        <v>155</v>
      </c>
      <c r="H359" s="2">
        <v>95</v>
      </c>
      <c r="I359" s="2">
        <v>20</v>
      </c>
      <c r="J359" s="2">
        <v>1.85</v>
      </c>
      <c r="K359" s="2">
        <v>63</v>
      </c>
      <c r="L359" s="2"/>
      <c r="M359" s="2"/>
      <c r="N359" s="2" t="s">
        <v>95</v>
      </c>
      <c r="O359" s="10">
        <v>1</v>
      </c>
      <c r="P359" s="14">
        <v>1</v>
      </c>
      <c r="Q359" s="183">
        <v>3</v>
      </c>
      <c r="R359" s="181">
        <v>1</v>
      </c>
      <c r="S359" s="178">
        <f t="shared" si="45"/>
        <v>2</v>
      </c>
      <c r="T359" s="186">
        <f t="shared" si="46"/>
        <v>4</v>
      </c>
      <c r="U359" s="179">
        <f t="shared" si="47"/>
        <v>2</v>
      </c>
      <c r="V359" s="1">
        <f t="shared" si="49"/>
        <v>25</v>
      </c>
      <c r="W359" s="8">
        <f t="shared" si="48"/>
        <v>6.25</v>
      </c>
      <c r="X359" s="15">
        <f t="shared" si="43"/>
        <v>2112.5</v>
      </c>
    </row>
    <row r="360" spans="1:24">
      <c r="A360" t="s">
        <v>930</v>
      </c>
      <c r="B360" s="163" t="s">
        <v>726</v>
      </c>
      <c r="C360" s="2" t="s">
        <v>77</v>
      </c>
      <c r="D360" s="2" t="s">
        <v>251</v>
      </c>
      <c r="E360" s="3">
        <v>45410.520833333336</v>
      </c>
      <c r="F360" s="2" t="s">
        <v>294</v>
      </c>
      <c r="G360" s="2" t="s">
        <v>788</v>
      </c>
      <c r="H360" s="2">
        <v>85</v>
      </c>
      <c r="I360" s="2">
        <v>20</v>
      </c>
      <c r="J360" s="2">
        <v>2</v>
      </c>
      <c r="K360" s="2">
        <v>61</v>
      </c>
      <c r="L360" s="2"/>
      <c r="M360" s="2"/>
      <c r="N360" s="2" t="s">
        <v>95</v>
      </c>
      <c r="O360" s="10">
        <v>3</v>
      </c>
      <c r="P360" s="14">
        <v>0</v>
      </c>
      <c r="Q360" s="183">
        <v>4</v>
      </c>
      <c r="R360" s="181">
        <v>0</v>
      </c>
      <c r="S360" s="178">
        <f t="shared" si="45"/>
        <v>3</v>
      </c>
      <c r="T360" s="186">
        <f t="shared" si="46"/>
        <v>4</v>
      </c>
      <c r="U360" s="179">
        <f t="shared" si="47"/>
        <v>1</v>
      </c>
      <c r="V360" s="1">
        <f t="shared" si="49"/>
        <v>25</v>
      </c>
      <c r="W360" s="8">
        <f t="shared" si="48"/>
        <v>6.25</v>
      </c>
      <c r="X360" s="15">
        <f t="shared" si="43"/>
        <v>2118.75</v>
      </c>
    </row>
    <row r="361" spans="1:24">
      <c r="A361" t="s">
        <v>930</v>
      </c>
      <c r="B361" s="163" t="s">
        <v>726</v>
      </c>
      <c r="C361" s="2" t="s">
        <v>20</v>
      </c>
      <c r="D361" s="2" t="s">
        <v>21</v>
      </c>
      <c r="E361" s="3">
        <v>45410.708333333336</v>
      </c>
      <c r="F361" s="2" t="s">
        <v>22</v>
      </c>
      <c r="G361" s="2" t="s">
        <v>380</v>
      </c>
      <c r="H361" s="2">
        <v>90</v>
      </c>
      <c r="I361" s="2">
        <v>20</v>
      </c>
      <c r="J361" s="2">
        <v>1.9</v>
      </c>
      <c r="K361" s="2">
        <v>64</v>
      </c>
      <c r="L361" s="2"/>
      <c r="M361" s="2"/>
      <c r="N361" s="2" t="s">
        <v>95</v>
      </c>
      <c r="O361" s="10">
        <v>0</v>
      </c>
      <c r="P361" s="14">
        <v>0</v>
      </c>
      <c r="Q361" s="183">
        <v>2</v>
      </c>
      <c r="R361" s="181">
        <v>2</v>
      </c>
      <c r="S361" s="178">
        <f t="shared" si="45"/>
        <v>0</v>
      </c>
      <c r="T361" s="186">
        <f t="shared" si="46"/>
        <v>4</v>
      </c>
      <c r="U361" s="179">
        <f t="shared" si="47"/>
        <v>4</v>
      </c>
      <c r="V361" s="1">
        <f t="shared" si="49"/>
        <v>25</v>
      </c>
      <c r="W361" s="8">
        <f t="shared" si="48"/>
        <v>6.25</v>
      </c>
      <c r="X361" s="15">
        <f t="shared" si="43"/>
        <v>2125</v>
      </c>
    </row>
    <row r="362" spans="1:24">
      <c r="A362" t="s">
        <v>930</v>
      </c>
      <c r="B362" s="163" t="s">
        <v>726</v>
      </c>
      <c r="C362" s="2" t="s">
        <v>149</v>
      </c>
      <c r="D362" s="2" t="s">
        <v>150</v>
      </c>
      <c r="E362" s="3">
        <v>45415.791666666664</v>
      </c>
      <c r="F362" s="2" t="s">
        <v>179</v>
      </c>
      <c r="G362" s="2" t="s">
        <v>256</v>
      </c>
      <c r="H362" s="2">
        <v>95</v>
      </c>
      <c r="I362" s="2">
        <v>20</v>
      </c>
      <c r="J362" s="2">
        <v>1.95</v>
      </c>
      <c r="K362" s="2">
        <v>63</v>
      </c>
      <c r="L362" s="2"/>
      <c r="M362" s="2"/>
      <c r="N362" s="2" t="s">
        <v>95</v>
      </c>
      <c r="O362" s="10">
        <v>1</v>
      </c>
      <c r="P362" s="14">
        <v>1</v>
      </c>
      <c r="Q362" s="183">
        <v>2</v>
      </c>
      <c r="R362" s="181">
        <v>2</v>
      </c>
      <c r="S362" s="178">
        <f t="shared" si="45"/>
        <v>2</v>
      </c>
      <c r="T362" s="186">
        <f t="shared" si="46"/>
        <v>4</v>
      </c>
      <c r="U362" s="179">
        <f t="shared" si="47"/>
        <v>2</v>
      </c>
      <c r="V362" s="1">
        <f t="shared" si="49"/>
        <v>25</v>
      </c>
      <c r="W362" s="8">
        <f t="shared" si="48"/>
        <v>6.25</v>
      </c>
      <c r="X362" s="15">
        <f t="shared" si="43"/>
        <v>2131.25</v>
      </c>
    </row>
    <row r="363" spans="1:24">
      <c r="A363" t="s">
        <v>930</v>
      </c>
      <c r="B363" s="163" t="s">
        <v>726</v>
      </c>
      <c r="C363" s="2" t="s">
        <v>6</v>
      </c>
      <c r="D363" s="2" t="s">
        <v>62</v>
      </c>
      <c r="E363" s="3">
        <v>45416.625</v>
      </c>
      <c r="F363" s="2" t="s">
        <v>85</v>
      </c>
      <c r="G363" s="2" t="s">
        <v>264</v>
      </c>
      <c r="H363" s="2">
        <v>80</v>
      </c>
      <c r="I363" s="2">
        <v>20</v>
      </c>
      <c r="J363" s="2">
        <v>1.85</v>
      </c>
      <c r="K363" s="2">
        <v>64</v>
      </c>
      <c r="L363" s="2"/>
      <c r="M363" s="2"/>
      <c r="N363" s="2" t="s">
        <v>95</v>
      </c>
      <c r="O363" s="10">
        <v>1</v>
      </c>
      <c r="P363" s="14">
        <v>1</v>
      </c>
      <c r="Q363" s="183">
        <v>1</v>
      </c>
      <c r="R363" s="181">
        <v>3</v>
      </c>
      <c r="S363" s="178">
        <f t="shared" si="45"/>
        <v>2</v>
      </c>
      <c r="T363" s="186">
        <f t="shared" si="46"/>
        <v>4</v>
      </c>
      <c r="U363" s="179">
        <f t="shared" si="47"/>
        <v>2</v>
      </c>
      <c r="V363" s="1">
        <f t="shared" si="49"/>
        <v>25</v>
      </c>
      <c r="W363" s="8">
        <f t="shared" si="48"/>
        <v>6.25</v>
      </c>
      <c r="X363" s="15">
        <f t="shared" si="43"/>
        <v>2137.5</v>
      </c>
    </row>
    <row r="364" spans="1:24">
      <c r="A364" t="s">
        <v>930</v>
      </c>
      <c r="B364" s="163" t="s">
        <v>726</v>
      </c>
      <c r="C364" s="2" t="s">
        <v>20</v>
      </c>
      <c r="D364" s="2" t="s">
        <v>322</v>
      </c>
      <c r="E364" s="3">
        <v>45417.583333333336</v>
      </c>
      <c r="F364" s="2" t="s">
        <v>796</v>
      </c>
      <c r="G364" s="2" t="s">
        <v>730</v>
      </c>
      <c r="H364" s="2">
        <v>95</v>
      </c>
      <c r="I364" s="2">
        <v>20</v>
      </c>
      <c r="J364" s="2">
        <v>1.9</v>
      </c>
      <c r="K364" s="2">
        <v>63</v>
      </c>
      <c r="L364" s="2"/>
      <c r="M364" s="2"/>
      <c r="N364" s="2" t="s">
        <v>95</v>
      </c>
      <c r="O364" s="10">
        <v>1</v>
      </c>
      <c r="P364" s="14">
        <v>0</v>
      </c>
      <c r="Q364" s="183">
        <v>2</v>
      </c>
      <c r="R364" s="181">
        <v>2</v>
      </c>
      <c r="S364" s="178">
        <f t="shared" si="45"/>
        <v>1</v>
      </c>
      <c r="T364" s="186">
        <f t="shared" si="46"/>
        <v>4</v>
      </c>
      <c r="U364" s="179">
        <f t="shared" si="47"/>
        <v>3</v>
      </c>
      <c r="V364" s="1">
        <f t="shared" si="49"/>
        <v>25</v>
      </c>
      <c r="W364" s="8">
        <f t="shared" si="48"/>
        <v>6.25</v>
      </c>
      <c r="X364" s="15">
        <f t="shared" si="43"/>
        <v>2143.75</v>
      </c>
    </row>
    <row r="365" spans="1:24">
      <c r="A365" t="s">
        <v>930</v>
      </c>
      <c r="B365" s="163" t="s">
        <v>726</v>
      </c>
      <c r="C365" s="2" t="s">
        <v>6</v>
      </c>
      <c r="D365" s="2" t="s">
        <v>62</v>
      </c>
      <c r="E365" s="3">
        <v>45418.833333333336</v>
      </c>
      <c r="F365" s="2" t="s">
        <v>66</v>
      </c>
      <c r="G365" s="2" t="s">
        <v>383</v>
      </c>
      <c r="H365" s="2">
        <v>90</v>
      </c>
      <c r="I365" s="2">
        <v>20</v>
      </c>
      <c r="J365" s="2">
        <v>2.1</v>
      </c>
      <c r="K365" s="2">
        <v>61</v>
      </c>
      <c r="L365" s="2"/>
      <c r="M365" s="2"/>
      <c r="N365" s="2" t="s">
        <v>95</v>
      </c>
      <c r="O365" s="10">
        <v>2</v>
      </c>
      <c r="P365" s="14">
        <v>0</v>
      </c>
      <c r="Q365" s="183">
        <v>4</v>
      </c>
      <c r="R365" s="181">
        <v>0</v>
      </c>
      <c r="S365" s="178">
        <f t="shared" si="45"/>
        <v>2</v>
      </c>
      <c r="T365" s="186">
        <f t="shared" si="46"/>
        <v>4</v>
      </c>
      <c r="U365" s="179">
        <f t="shared" si="47"/>
        <v>2</v>
      </c>
      <c r="V365" s="1">
        <f t="shared" si="49"/>
        <v>25</v>
      </c>
      <c r="W365" s="8">
        <f t="shared" si="48"/>
        <v>6.25</v>
      </c>
      <c r="X365" s="15">
        <f t="shared" ref="X365:X383" si="50">SUM(X364,W365)</f>
        <v>2150</v>
      </c>
    </row>
    <row r="366" spans="1:24">
      <c r="A366" t="s">
        <v>930</v>
      </c>
      <c r="B366" s="163" t="s">
        <v>726</v>
      </c>
      <c r="C366" s="2" t="s">
        <v>20</v>
      </c>
      <c r="D366" s="2" t="s">
        <v>322</v>
      </c>
      <c r="E366" s="3">
        <v>45422.8125</v>
      </c>
      <c r="F366" s="2" t="s">
        <v>333</v>
      </c>
      <c r="G366" s="2" t="s">
        <v>487</v>
      </c>
      <c r="H366" s="2">
        <v>85</v>
      </c>
      <c r="I366" s="2">
        <v>20</v>
      </c>
      <c r="J366" s="2">
        <v>1.85</v>
      </c>
      <c r="K366" s="2">
        <v>61</v>
      </c>
      <c r="L366" s="2"/>
      <c r="M366" s="2"/>
      <c r="N366" s="2" t="s">
        <v>95</v>
      </c>
      <c r="O366" s="10">
        <v>1</v>
      </c>
      <c r="P366" s="14">
        <v>1</v>
      </c>
      <c r="Q366" s="183">
        <v>1</v>
      </c>
      <c r="R366" s="181">
        <v>3</v>
      </c>
      <c r="S366" s="178">
        <f t="shared" si="45"/>
        <v>2</v>
      </c>
      <c r="T366" s="186">
        <f t="shared" si="46"/>
        <v>4</v>
      </c>
      <c r="U366" s="179">
        <f t="shared" si="47"/>
        <v>2</v>
      </c>
      <c r="V366" s="1">
        <f t="shared" si="49"/>
        <v>25</v>
      </c>
      <c r="W366" s="8">
        <f t="shared" si="48"/>
        <v>6.25</v>
      </c>
      <c r="X366" s="15">
        <f t="shared" si="50"/>
        <v>2156.25</v>
      </c>
    </row>
    <row r="367" spans="1:24">
      <c r="A367" t="s">
        <v>930</v>
      </c>
      <c r="B367" s="163" t="s">
        <v>726</v>
      </c>
      <c r="C367" s="2" t="s">
        <v>6</v>
      </c>
      <c r="D367" s="2" t="s">
        <v>62</v>
      </c>
      <c r="E367" s="3">
        <v>45423.625</v>
      </c>
      <c r="F367" s="2" t="s">
        <v>74</v>
      </c>
      <c r="G367" s="2" t="s">
        <v>86</v>
      </c>
      <c r="H367" s="2">
        <v>85</v>
      </c>
      <c r="I367" s="2">
        <v>20</v>
      </c>
      <c r="J367" s="2">
        <v>2.1</v>
      </c>
      <c r="K367" s="2">
        <v>63</v>
      </c>
      <c r="L367" s="2"/>
      <c r="M367" s="2"/>
      <c r="N367" s="2" t="s">
        <v>95</v>
      </c>
      <c r="O367" s="10">
        <v>0</v>
      </c>
      <c r="P367" s="14">
        <v>1</v>
      </c>
      <c r="Q367" s="183">
        <v>3</v>
      </c>
      <c r="R367" s="181">
        <v>1</v>
      </c>
      <c r="S367" s="178">
        <f t="shared" si="45"/>
        <v>1</v>
      </c>
      <c r="T367" s="186">
        <f t="shared" si="46"/>
        <v>4</v>
      </c>
      <c r="U367" s="179">
        <f t="shared" si="47"/>
        <v>3</v>
      </c>
      <c r="V367" s="1">
        <f t="shared" si="49"/>
        <v>25</v>
      </c>
      <c r="W367" s="8">
        <f t="shared" si="48"/>
        <v>6.25</v>
      </c>
      <c r="X367" s="15">
        <f t="shared" si="50"/>
        <v>2162.5</v>
      </c>
    </row>
    <row r="368" spans="1:24">
      <c r="A368" t="s">
        <v>930</v>
      </c>
      <c r="B368" s="163" t="s">
        <v>726</v>
      </c>
      <c r="C368" s="2" t="s">
        <v>149</v>
      </c>
      <c r="D368" s="2" t="s">
        <v>153</v>
      </c>
      <c r="E368" s="3">
        <v>45424.5625</v>
      </c>
      <c r="F368" s="2" t="s">
        <v>647</v>
      </c>
      <c r="G368" s="2" t="s">
        <v>155</v>
      </c>
      <c r="H368" s="2">
        <v>95</v>
      </c>
      <c r="I368" s="2">
        <v>20</v>
      </c>
      <c r="J368" s="2">
        <v>1.9</v>
      </c>
      <c r="K368" s="2">
        <v>61</v>
      </c>
      <c r="L368" s="2"/>
      <c r="M368" s="2"/>
      <c r="N368" s="2" t="s">
        <v>95</v>
      </c>
      <c r="O368" s="10">
        <v>1</v>
      </c>
      <c r="P368" s="14">
        <v>0</v>
      </c>
      <c r="Q368" s="183">
        <v>4</v>
      </c>
      <c r="R368" s="181">
        <v>0</v>
      </c>
      <c r="S368" s="178">
        <f t="shared" si="45"/>
        <v>1</v>
      </c>
      <c r="T368" s="186">
        <f t="shared" si="46"/>
        <v>4</v>
      </c>
      <c r="U368" s="179">
        <f t="shared" si="47"/>
        <v>3</v>
      </c>
      <c r="V368" s="1">
        <f t="shared" si="49"/>
        <v>25</v>
      </c>
      <c r="W368" s="8">
        <f t="shared" si="48"/>
        <v>6.25</v>
      </c>
      <c r="X368" s="15">
        <f t="shared" si="50"/>
        <v>2168.75</v>
      </c>
    </row>
    <row r="369" spans="1:24">
      <c r="A369" t="s">
        <v>930</v>
      </c>
      <c r="B369" s="163" t="s">
        <v>726</v>
      </c>
      <c r="C369" s="2" t="s">
        <v>149</v>
      </c>
      <c r="D369" s="2" t="s">
        <v>153</v>
      </c>
      <c r="E369" s="3">
        <v>45424.5625</v>
      </c>
      <c r="F369" s="2" t="s">
        <v>206</v>
      </c>
      <c r="G369" s="2" t="s">
        <v>281</v>
      </c>
      <c r="H369" s="2">
        <v>95</v>
      </c>
      <c r="I369" s="2">
        <v>20</v>
      </c>
      <c r="J369" s="2">
        <v>2.2000000000000002</v>
      </c>
      <c r="K369" s="2">
        <v>55</v>
      </c>
      <c r="L369" s="2"/>
      <c r="M369" s="2"/>
      <c r="N369" s="2" t="s">
        <v>95</v>
      </c>
      <c r="O369" s="10">
        <v>1</v>
      </c>
      <c r="P369" s="14">
        <v>1</v>
      </c>
      <c r="Q369" s="183">
        <v>1</v>
      </c>
      <c r="R369" s="181">
        <v>3</v>
      </c>
      <c r="S369" s="178">
        <f t="shared" si="45"/>
        <v>2</v>
      </c>
      <c r="T369" s="186">
        <f t="shared" si="46"/>
        <v>4</v>
      </c>
      <c r="U369" s="179">
        <f t="shared" si="47"/>
        <v>2</v>
      </c>
      <c r="V369" s="1">
        <f t="shared" si="49"/>
        <v>25</v>
      </c>
      <c r="W369" s="8">
        <f t="shared" si="48"/>
        <v>6.25</v>
      </c>
      <c r="X369" s="15">
        <f t="shared" si="50"/>
        <v>2175</v>
      </c>
    </row>
    <row r="370" spans="1:24">
      <c r="A370" t="s">
        <v>930</v>
      </c>
      <c r="B370" s="163" t="s">
        <v>726</v>
      </c>
      <c r="C370" s="2" t="s">
        <v>296</v>
      </c>
      <c r="D370" s="2" t="s">
        <v>525</v>
      </c>
      <c r="E370" s="3">
        <v>45429.802083333336</v>
      </c>
      <c r="F370" s="2" t="s">
        <v>528</v>
      </c>
      <c r="G370" s="2" t="s">
        <v>597</v>
      </c>
      <c r="H370" s="2">
        <v>80</v>
      </c>
      <c r="I370" s="2">
        <v>20</v>
      </c>
      <c r="J370" s="2">
        <v>2</v>
      </c>
      <c r="K370" s="2">
        <v>63</v>
      </c>
      <c r="L370" s="2"/>
      <c r="M370" s="2"/>
      <c r="N370" s="2" t="s">
        <v>95</v>
      </c>
      <c r="O370" s="10">
        <v>1</v>
      </c>
      <c r="P370" s="14">
        <v>0</v>
      </c>
      <c r="Q370" s="183">
        <v>4</v>
      </c>
      <c r="R370" s="181">
        <v>0</v>
      </c>
      <c r="S370" s="178">
        <f t="shared" si="45"/>
        <v>1</v>
      </c>
      <c r="T370" s="186">
        <f t="shared" si="46"/>
        <v>4</v>
      </c>
      <c r="U370" s="179">
        <f t="shared" si="47"/>
        <v>3</v>
      </c>
      <c r="V370" s="1">
        <f t="shared" si="49"/>
        <v>25</v>
      </c>
      <c r="W370" s="8">
        <f t="shared" si="48"/>
        <v>6.25</v>
      </c>
      <c r="X370" s="15">
        <f t="shared" si="50"/>
        <v>2181.25</v>
      </c>
    </row>
    <row r="371" spans="1:24">
      <c r="A371" t="s">
        <v>930</v>
      </c>
      <c r="B371" s="163" t="s">
        <v>726</v>
      </c>
      <c r="C371" s="2" t="s">
        <v>20</v>
      </c>
      <c r="D371" s="2" t="s">
        <v>21</v>
      </c>
      <c r="E371" s="3">
        <v>45429.822916666664</v>
      </c>
      <c r="F371" s="2" t="s">
        <v>784</v>
      </c>
      <c r="G371" s="2" t="s">
        <v>22</v>
      </c>
      <c r="H371" s="2">
        <v>80</v>
      </c>
      <c r="I371" s="2">
        <v>20</v>
      </c>
      <c r="J371" s="2">
        <v>1.95</v>
      </c>
      <c r="K371" s="2">
        <v>61</v>
      </c>
      <c r="L371" s="2"/>
      <c r="M371" s="2"/>
      <c r="N371" s="2" t="s">
        <v>95</v>
      </c>
      <c r="O371" s="10">
        <v>2</v>
      </c>
      <c r="P371" s="14">
        <v>1</v>
      </c>
      <c r="Q371" s="183">
        <v>2</v>
      </c>
      <c r="R371" s="181">
        <v>2</v>
      </c>
      <c r="S371" s="178">
        <f t="shared" si="45"/>
        <v>3</v>
      </c>
      <c r="T371" s="186">
        <f t="shared" si="46"/>
        <v>4</v>
      </c>
      <c r="U371" s="179">
        <f t="shared" si="47"/>
        <v>1</v>
      </c>
      <c r="V371" s="1">
        <f t="shared" si="49"/>
        <v>25</v>
      </c>
      <c r="W371" s="8">
        <f t="shared" si="48"/>
        <v>6.25</v>
      </c>
      <c r="X371" s="15">
        <f t="shared" si="50"/>
        <v>2187.5</v>
      </c>
    </row>
    <row r="372" spans="1:24">
      <c r="A372" t="s">
        <v>930</v>
      </c>
      <c r="B372" s="163" t="s">
        <v>726</v>
      </c>
      <c r="C372" s="2" t="s">
        <v>77</v>
      </c>
      <c r="D372" s="2" t="s">
        <v>251</v>
      </c>
      <c r="E372" s="3">
        <v>45430.520833333336</v>
      </c>
      <c r="F372" s="2" t="s">
        <v>815</v>
      </c>
      <c r="G372" s="2" t="s">
        <v>707</v>
      </c>
      <c r="H372" s="2">
        <v>80</v>
      </c>
      <c r="I372" s="2">
        <v>20</v>
      </c>
      <c r="J372" s="2">
        <v>1.9</v>
      </c>
      <c r="K372" s="2">
        <v>61</v>
      </c>
      <c r="L372" s="2"/>
      <c r="M372" s="2"/>
      <c r="N372" s="2" t="s">
        <v>95</v>
      </c>
      <c r="O372" s="10">
        <v>3</v>
      </c>
      <c r="P372" s="14">
        <v>0</v>
      </c>
      <c r="Q372" s="183">
        <v>4</v>
      </c>
      <c r="R372" s="181">
        <v>0</v>
      </c>
      <c r="S372" s="178">
        <f t="shared" si="45"/>
        <v>3</v>
      </c>
      <c r="T372" s="186">
        <f t="shared" si="46"/>
        <v>4</v>
      </c>
      <c r="U372" s="179">
        <f t="shared" si="47"/>
        <v>1</v>
      </c>
      <c r="V372" s="1">
        <f t="shared" ref="V372:V403" si="51">SUM($X$1*0.05)</f>
        <v>25</v>
      </c>
      <c r="W372" s="8">
        <f t="shared" si="48"/>
        <v>6.25</v>
      </c>
      <c r="X372" s="15">
        <f t="shared" si="50"/>
        <v>2193.75</v>
      </c>
    </row>
    <row r="373" spans="1:24">
      <c r="A373" t="s">
        <v>930</v>
      </c>
      <c r="B373" s="163" t="s">
        <v>726</v>
      </c>
      <c r="C373" s="2" t="s">
        <v>149</v>
      </c>
      <c r="D373" s="2" t="s">
        <v>153</v>
      </c>
      <c r="E373" s="3">
        <v>45431.5625</v>
      </c>
      <c r="F373" s="2" t="s">
        <v>281</v>
      </c>
      <c r="G373" s="2" t="s">
        <v>363</v>
      </c>
      <c r="H373" s="2">
        <v>90</v>
      </c>
      <c r="I373" s="2">
        <v>20</v>
      </c>
      <c r="J373" s="2">
        <v>2</v>
      </c>
      <c r="K373" s="2">
        <v>64</v>
      </c>
      <c r="L373" s="2"/>
      <c r="M373" s="2"/>
      <c r="N373" s="2" t="s">
        <v>95</v>
      </c>
      <c r="O373" s="10">
        <v>1</v>
      </c>
      <c r="P373" s="14">
        <v>1</v>
      </c>
      <c r="Q373" s="183">
        <v>2</v>
      </c>
      <c r="R373" s="181">
        <v>2</v>
      </c>
      <c r="S373" s="178">
        <f t="shared" si="45"/>
        <v>2</v>
      </c>
      <c r="T373" s="186">
        <f t="shared" si="46"/>
        <v>4</v>
      </c>
      <c r="U373" s="179">
        <f t="shared" si="47"/>
        <v>2</v>
      </c>
      <c r="V373" s="1">
        <f t="shared" si="51"/>
        <v>25</v>
      </c>
      <c r="W373" s="8">
        <f t="shared" si="48"/>
        <v>6.25</v>
      </c>
      <c r="X373" s="15">
        <f t="shared" si="50"/>
        <v>2200</v>
      </c>
    </row>
    <row r="374" spans="1:24">
      <c r="A374" t="s">
        <v>930</v>
      </c>
      <c r="B374" s="163" t="s">
        <v>726</v>
      </c>
      <c r="C374" s="2" t="s">
        <v>6</v>
      </c>
      <c r="D374" s="2" t="s">
        <v>62</v>
      </c>
      <c r="E374" s="3">
        <v>45431.666666666664</v>
      </c>
      <c r="F374" s="2" t="s">
        <v>72</v>
      </c>
      <c r="G374" s="2" t="s">
        <v>74</v>
      </c>
      <c r="H374" s="2">
        <v>95</v>
      </c>
      <c r="I374" s="2">
        <v>20</v>
      </c>
      <c r="J374" s="2">
        <v>2.1</v>
      </c>
      <c r="K374" s="2">
        <v>63</v>
      </c>
      <c r="L374" s="2"/>
      <c r="M374" s="2"/>
      <c r="N374" s="2" t="s">
        <v>95</v>
      </c>
      <c r="O374" s="10">
        <v>2</v>
      </c>
      <c r="P374" s="14">
        <v>1</v>
      </c>
      <c r="Q374" s="183">
        <v>3</v>
      </c>
      <c r="R374" s="181">
        <v>1</v>
      </c>
      <c r="S374" s="178">
        <f t="shared" si="45"/>
        <v>3</v>
      </c>
      <c r="T374" s="186">
        <f t="shared" si="46"/>
        <v>4</v>
      </c>
      <c r="U374" s="179">
        <f t="shared" si="47"/>
        <v>1</v>
      </c>
      <c r="V374" s="1">
        <f t="shared" si="51"/>
        <v>25</v>
      </c>
      <c r="W374" s="8">
        <f t="shared" si="48"/>
        <v>6.25</v>
      </c>
      <c r="X374" s="15">
        <f t="shared" si="50"/>
        <v>2206.25</v>
      </c>
    </row>
    <row r="375" spans="1:24">
      <c r="A375" t="s">
        <v>930</v>
      </c>
      <c r="B375" s="163" t="s">
        <v>726</v>
      </c>
      <c r="C375" s="2" t="s">
        <v>296</v>
      </c>
      <c r="D375" s="2" t="s">
        <v>525</v>
      </c>
      <c r="E375" s="3">
        <v>45432.552083333336</v>
      </c>
      <c r="F375" s="2" t="s">
        <v>596</v>
      </c>
      <c r="G375" s="2" t="s">
        <v>685</v>
      </c>
      <c r="H375" s="2">
        <v>90</v>
      </c>
      <c r="I375" s="2">
        <v>20</v>
      </c>
      <c r="J375" s="2">
        <v>2.5499999999999998</v>
      </c>
      <c r="K375" s="2">
        <v>62</v>
      </c>
      <c r="L375" s="2"/>
      <c r="M375" s="2"/>
      <c r="N375" s="2" t="s">
        <v>95</v>
      </c>
      <c r="O375" s="10">
        <v>0</v>
      </c>
      <c r="P375" s="14">
        <v>1</v>
      </c>
      <c r="Q375" s="183">
        <v>2</v>
      </c>
      <c r="R375" s="181">
        <v>2</v>
      </c>
      <c r="S375" s="178">
        <f t="shared" si="45"/>
        <v>1</v>
      </c>
      <c r="T375" s="186">
        <f t="shared" si="46"/>
        <v>4</v>
      </c>
      <c r="U375" s="179">
        <f t="shared" si="47"/>
        <v>3</v>
      </c>
      <c r="V375" s="1">
        <f t="shared" si="51"/>
        <v>25</v>
      </c>
      <c r="W375" s="8">
        <f t="shared" si="48"/>
        <v>6.25</v>
      </c>
      <c r="X375" s="15">
        <f t="shared" si="50"/>
        <v>2212.5</v>
      </c>
    </row>
    <row r="376" spans="1:24">
      <c r="A376" t="s">
        <v>930</v>
      </c>
      <c r="B376" s="163" t="s">
        <v>726</v>
      </c>
      <c r="C376" s="2" t="s">
        <v>489</v>
      </c>
      <c r="D376" s="2" t="s">
        <v>490</v>
      </c>
      <c r="E376" s="3">
        <v>45436.583333333336</v>
      </c>
      <c r="F376" s="2" t="s">
        <v>858</v>
      </c>
      <c r="G376" s="2" t="s">
        <v>820</v>
      </c>
      <c r="H376" s="2">
        <v>80</v>
      </c>
      <c r="I376" s="2">
        <v>20</v>
      </c>
      <c r="J376" s="2">
        <v>1.9</v>
      </c>
      <c r="K376" s="2">
        <v>64</v>
      </c>
      <c r="L376" s="2"/>
      <c r="M376" s="2"/>
      <c r="N376" s="2" t="s">
        <v>95</v>
      </c>
      <c r="O376" s="10">
        <v>2</v>
      </c>
      <c r="P376" s="14">
        <v>1</v>
      </c>
      <c r="Q376" s="183">
        <v>2</v>
      </c>
      <c r="R376" s="181">
        <v>2</v>
      </c>
      <c r="S376" s="178">
        <f t="shared" si="45"/>
        <v>3</v>
      </c>
      <c r="T376" s="186">
        <f t="shared" si="46"/>
        <v>4</v>
      </c>
      <c r="U376" s="179">
        <f t="shared" si="47"/>
        <v>1</v>
      </c>
      <c r="V376" s="1">
        <f t="shared" si="51"/>
        <v>25</v>
      </c>
      <c r="W376" s="8">
        <f t="shared" si="48"/>
        <v>6.25</v>
      </c>
      <c r="X376" s="15">
        <f t="shared" si="50"/>
        <v>2218.75</v>
      </c>
    </row>
    <row r="377" spans="1:24">
      <c r="A377" t="s">
        <v>930</v>
      </c>
      <c r="B377" s="163" t="s">
        <v>519</v>
      </c>
      <c r="C377" s="2" t="s">
        <v>489</v>
      </c>
      <c r="D377" s="2" t="s">
        <v>490</v>
      </c>
      <c r="E377" s="3">
        <v>45359.541666666664</v>
      </c>
      <c r="F377" s="2" t="s">
        <v>520</v>
      </c>
      <c r="G377" s="2" t="s">
        <v>491</v>
      </c>
      <c r="H377" s="2">
        <v>20</v>
      </c>
      <c r="I377" s="2">
        <v>95</v>
      </c>
      <c r="J377" s="2">
        <v>90</v>
      </c>
      <c r="K377" s="2"/>
      <c r="L377" s="2"/>
      <c r="M377" s="2"/>
      <c r="N377" s="2" t="s">
        <v>95</v>
      </c>
      <c r="O377" s="10">
        <v>2</v>
      </c>
      <c r="P377" s="14">
        <v>0</v>
      </c>
      <c r="Q377" s="183">
        <v>3</v>
      </c>
      <c r="R377" s="187">
        <v>1</v>
      </c>
      <c r="S377" s="178">
        <f t="shared" si="45"/>
        <v>2</v>
      </c>
      <c r="T377" s="186">
        <f t="shared" si="46"/>
        <v>4</v>
      </c>
      <c r="U377" s="179">
        <f t="shared" si="47"/>
        <v>2</v>
      </c>
      <c r="V377" s="1">
        <f t="shared" si="51"/>
        <v>25</v>
      </c>
      <c r="W377" s="8">
        <f t="shared" si="48"/>
        <v>6.25</v>
      </c>
      <c r="X377" s="15">
        <f t="shared" si="50"/>
        <v>2225</v>
      </c>
    </row>
    <row r="378" spans="1:24">
      <c r="A378" t="s">
        <v>930</v>
      </c>
      <c r="B378" s="163" t="s">
        <v>522</v>
      </c>
      <c r="C378" s="2" t="s">
        <v>489</v>
      </c>
      <c r="D378" s="2" t="s">
        <v>490</v>
      </c>
      <c r="E378" s="3">
        <v>45359.541666666664</v>
      </c>
      <c r="F378" s="2" t="s">
        <v>520</v>
      </c>
      <c r="G378" s="2" t="s">
        <v>491</v>
      </c>
      <c r="H378" s="2">
        <v>71</v>
      </c>
      <c r="I378" s="2">
        <v>20</v>
      </c>
      <c r="J378" s="2">
        <v>90</v>
      </c>
      <c r="K378" s="2">
        <v>55</v>
      </c>
      <c r="L378" s="2">
        <v>1.85</v>
      </c>
      <c r="M378" s="2"/>
      <c r="N378" s="2" t="s">
        <v>95</v>
      </c>
      <c r="O378" s="10">
        <v>2</v>
      </c>
      <c r="P378" s="14">
        <v>0</v>
      </c>
      <c r="Q378" s="183">
        <v>3</v>
      </c>
      <c r="R378" s="187">
        <v>1</v>
      </c>
      <c r="S378" s="178">
        <f t="shared" si="45"/>
        <v>2</v>
      </c>
      <c r="T378" s="186">
        <f t="shared" si="46"/>
        <v>4</v>
      </c>
      <c r="U378" s="179">
        <f t="shared" si="47"/>
        <v>2</v>
      </c>
      <c r="V378" s="1">
        <f t="shared" si="51"/>
        <v>25</v>
      </c>
      <c r="W378" s="8">
        <f t="shared" si="48"/>
        <v>6.25</v>
      </c>
      <c r="X378" s="15">
        <f t="shared" si="50"/>
        <v>2231.25</v>
      </c>
    </row>
    <row r="379" spans="1:24">
      <c r="A379" t="s">
        <v>930</v>
      </c>
      <c r="B379" s="163" t="s">
        <v>522</v>
      </c>
      <c r="C379" s="2" t="s">
        <v>296</v>
      </c>
      <c r="D379" s="2" t="s">
        <v>525</v>
      </c>
      <c r="E379" s="3">
        <v>45368.552083333336</v>
      </c>
      <c r="F379" s="2" t="s">
        <v>596</v>
      </c>
      <c r="G379" s="2" t="s">
        <v>597</v>
      </c>
      <c r="H379" s="2">
        <v>70</v>
      </c>
      <c r="I379" s="2">
        <v>20</v>
      </c>
      <c r="J379" s="2">
        <v>95</v>
      </c>
      <c r="K379" s="2">
        <v>65</v>
      </c>
      <c r="L379" s="2">
        <v>2.5499999999999998</v>
      </c>
      <c r="M379" s="2"/>
      <c r="N379" s="2" t="s">
        <v>95</v>
      </c>
      <c r="O379" s="10">
        <v>0</v>
      </c>
      <c r="P379" s="14">
        <v>0</v>
      </c>
      <c r="Q379" s="183">
        <v>1</v>
      </c>
      <c r="R379" s="187">
        <v>3</v>
      </c>
      <c r="S379" s="178">
        <f t="shared" si="45"/>
        <v>0</v>
      </c>
      <c r="T379" s="186">
        <f t="shared" si="46"/>
        <v>4</v>
      </c>
      <c r="U379" s="179">
        <f t="shared" si="47"/>
        <v>4</v>
      </c>
      <c r="V379" s="1">
        <f t="shared" si="51"/>
        <v>25</v>
      </c>
      <c r="W379" s="8">
        <f t="shared" si="48"/>
        <v>6.25</v>
      </c>
      <c r="X379" s="15">
        <f t="shared" si="50"/>
        <v>2237.5</v>
      </c>
    </row>
    <row r="380" spans="1:24">
      <c r="A380" t="s">
        <v>930</v>
      </c>
      <c r="B380" s="163" t="s">
        <v>522</v>
      </c>
      <c r="C380" s="2" t="s">
        <v>296</v>
      </c>
      <c r="D380" s="2" t="s">
        <v>78</v>
      </c>
      <c r="E380" s="3">
        <v>45388.708333333336</v>
      </c>
      <c r="F380" s="2" t="s">
        <v>297</v>
      </c>
      <c r="G380" s="2" t="s">
        <v>368</v>
      </c>
      <c r="H380" s="2">
        <v>73</v>
      </c>
      <c r="I380" s="2">
        <v>20</v>
      </c>
      <c r="J380" s="2">
        <v>95</v>
      </c>
      <c r="K380" s="2">
        <v>75</v>
      </c>
      <c r="L380" s="2">
        <v>2.4</v>
      </c>
      <c r="M380" s="2"/>
      <c r="N380" s="2" t="s">
        <v>95</v>
      </c>
      <c r="O380" s="10">
        <v>0</v>
      </c>
      <c r="P380" s="14">
        <v>0</v>
      </c>
      <c r="Q380" s="183">
        <v>2</v>
      </c>
      <c r="R380" s="187">
        <v>2</v>
      </c>
      <c r="S380" s="178">
        <f t="shared" si="45"/>
        <v>0</v>
      </c>
      <c r="T380" s="186">
        <f t="shared" si="46"/>
        <v>4</v>
      </c>
      <c r="U380" s="179">
        <f t="shared" si="47"/>
        <v>4</v>
      </c>
      <c r="V380" s="1">
        <f t="shared" si="51"/>
        <v>25</v>
      </c>
      <c r="W380" s="8">
        <f t="shared" si="48"/>
        <v>6.25</v>
      </c>
      <c r="X380" s="15">
        <f t="shared" si="50"/>
        <v>2243.75</v>
      </c>
    </row>
    <row r="381" spans="1:24">
      <c r="A381" t="s">
        <v>930</v>
      </c>
      <c r="B381" s="163" t="s">
        <v>522</v>
      </c>
      <c r="C381" s="2" t="s">
        <v>149</v>
      </c>
      <c r="D381" s="2" t="s">
        <v>153</v>
      </c>
      <c r="E381" s="154">
        <v>45396.791666666664</v>
      </c>
      <c r="F381" s="155" t="s">
        <v>241</v>
      </c>
      <c r="G381" s="2" t="s">
        <v>205</v>
      </c>
      <c r="H381" s="2">
        <v>74</v>
      </c>
      <c r="I381" s="2">
        <v>20</v>
      </c>
      <c r="J381" s="2">
        <v>95</v>
      </c>
      <c r="K381" s="2">
        <v>70</v>
      </c>
      <c r="L381" s="2">
        <v>2.4500000000000002</v>
      </c>
      <c r="M381" s="2"/>
      <c r="N381" s="2" t="s">
        <v>95</v>
      </c>
      <c r="O381" s="10">
        <v>0</v>
      </c>
      <c r="P381" s="14">
        <v>1</v>
      </c>
      <c r="Q381" s="183">
        <v>2</v>
      </c>
      <c r="R381" s="187">
        <v>2</v>
      </c>
      <c r="S381" s="178">
        <f t="shared" si="45"/>
        <v>1</v>
      </c>
      <c r="T381" s="186">
        <f t="shared" si="46"/>
        <v>4</v>
      </c>
      <c r="U381" s="179">
        <f t="shared" si="47"/>
        <v>3</v>
      </c>
      <c r="V381" s="1">
        <f t="shared" si="51"/>
        <v>25</v>
      </c>
      <c r="W381" s="8">
        <f t="shared" si="48"/>
        <v>6.25</v>
      </c>
      <c r="X381" s="15">
        <f t="shared" si="50"/>
        <v>2250</v>
      </c>
    </row>
    <row r="382" spans="1:24">
      <c r="A382" t="s">
        <v>930</v>
      </c>
      <c r="B382" s="163" t="s">
        <v>522</v>
      </c>
      <c r="C382" s="2" t="s">
        <v>20</v>
      </c>
      <c r="D382" s="2" t="s">
        <v>21</v>
      </c>
      <c r="E382" s="3">
        <v>45410.708333333336</v>
      </c>
      <c r="F382" s="2" t="s">
        <v>22</v>
      </c>
      <c r="G382" s="2" t="s">
        <v>380</v>
      </c>
      <c r="H382" s="2">
        <v>72</v>
      </c>
      <c r="I382" s="2">
        <v>20</v>
      </c>
      <c r="J382" s="2">
        <v>90</v>
      </c>
      <c r="K382" s="2">
        <v>65</v>
      </c>
      <c r="L382" s="2">
        <v>1.9</v>
      </c>
      <c r="M382" s="2"/>
      <c r="N382" s="2" t="s">
        <v>95</v>
      </c>
      <c r="O382" s="10">
        <v>0</v>
      </c>
      <c r="P382" s="14">
        <v>0</v>
      </c>
      <c r="Q382" s="183">
        <v>2</v>
      </c>
      <c r="R382" s="187">
        <v>2</v>
      </c>
      <c r="S382" s="178">
        <f t="shared" si="45"/>
        <v>0</v>
      </c>
      <c r="T382" s="186">
        <f t="shared" si="46"/>
        <v>4</v>
      </c>
      <c r="U382" s="179">
        <f t="shared" si="47"/>
        <v>4</v>
      </c>
      <c r="V382" s="1">
        <f t="shared" si="51"/>
        <v>25</v>
      </c>
      <c r="W382" s="8">
        <f t="shared" si="48"/>
        <v>6.25</v>
      </c>
      <c r="X382" s="15">
        <f t="shared" si="50"/>
        <v>2256.25</v>
      </c>
    </row>
    <row r="383" spans="1:24">
      <c r="A383" t="s">
        <v>930</v>
      </c>
      <c r="B383" s="163" t="s">
        <v>522</v>
      </c>
      <c r="C383" s="2" t="s">
        <v>296</v>
      </c>
      <c r="D383" s="2" t="s">
        <v>525</v>
      </c>
      <c r="E383" s="3">
        <v>45432.552083333336</v>
      </c>
      <c r="F383" s="2" t="s">
        <v>596</v>
      </c>
      <c r="G383" s="2" t="s">
        <v>685</v>
      </c>
      <c r="H383" s="2">
        <v>73</v>
      </c>
      <c r="I383" s="2">
        <v>20</v>
      </c>
      <c r="J383" s="2">
        <v>90</v>
      </c>
      <c r="K383" s="2">
        <v>75</v>
      </c>
      <c r="L383" s="2">
        <v>2.5499999999999998</v>
      </c>
      <c r="M383" s="2"/>
      <c r="N383" s="2" t="s">
        <v>95</v>
      </c>
      <c r="O383" s="10">
        <v>0</v>
      </c>
      <c r="P383" s="14">
        <v>1</v>
      </c>
      <c r="Q383" s="183">
        <v>2</v>
      </c>
      <c r="R383" s="187">
        <v>2</v>
      </c>
      <c r="S383" s="178">
        <f t="shared" si="45"/>
        <v>1</v>
      </c>
      <c r="T383" s="186">
        <f t="shared" si="46"/>
        <v>4</v>
      </c>
      <c r="U383" s="179">
        <f t="shared" si="47"/>
        <v>3</v>
      </c>
      <c r="V383" s="1">
        <f t="shared" si="51"/>
        <v>25</v>
      </c>
      <c r="W383" s="8">
        <f t="shared" si="48"/>
        <v>6.25</v>
      </c>
      <c r="X383" s="15">
        <f t="shared" si="50"/>
        <v>2262.5</v>
      </c>
    </row>
    <row r="384" spans="1:24">
      <c r="A384" t="s">
        <v>930</v>
      </c>
      <c r="B384" s="163" t="s">
        <v>515</v>
      </c>
      <c r="C384" s="2" t="s">
        <v>145</v>
      </c>
      <c r="D384" s="2" t="s">
        <v>146</v>
      </c>
      <c r="E384" s="3">
        <v>45359.770833333336</v>
      </c>
      <c r="F384" s="2" t="s">
        <v>523</v>
      </c>
      <c r="G384" s="2" t="s">
        <v>524</v>
      </c>
      <c r="H384" s="2">
        <v>20</v>
      </c>
      <c r="I384" s="2">
        <v>79</v>
      </c>
      <c r="J384" s="2">
        <v>1.7</v>
      </c>
      <c r="K384" s="2"/>
      <c r="L384" s="2"/>
      <c r="M384" s="2"/>
      <c r="N384" s="2" t="s">
        <v>95</v>
      </c>
      <c r="O384" s="10">
        <v>1</v>
      </c>
      <c r="P384" s="14">
        <v>1</v>
      </c>
      <c r="Q384" s="183">
        <v>3</v>
      </c>
      <c r="R384" s="181">
        <v>1</v>
      </c>
      <c r="S384" s="178">
        <f t="shared" si="45"/>
        <v>2</v>
      </c>
      <c r="T384" s="186">
        <f t="shared" si="46"/>
        <v>4</v>
      </c>
      <c r="U384" s="179">
        <f t="shared" si="47"/>
        <v>2</v>
      </c>
      <c r="V384" s="1">
        <f t="shared" si="51"/>
        <v>25</v>
      </c>
      <c r="W384" s="8">
        <f t="shared" si="48"/>
        <v>6.25</v>
      </c>
      <c r="X384" s="15">
        <f t="shared" ref="X384:X431" si="52">SUM(X383,W384)</f>
        <v>2268.75</v>
      </c>
    </row>
    <row r="385" spans="1:24">
      <c r="A385" t="s">
        <v>930</v>
      </c>
      <c r="B385" s="163" t="s">
        <v>515</v>
      </c>
      <c r="C385" s="2" t="s">
        <v>434</v>
      </c>
      <c r="D385" s="2" t="s">
        <v>576</v>
      </c>
      <c r="E385" s="3">
        <v>45367.5</v>
      </c>
      <c r="F385" s="2" t="s">
        <v>577</v>
      </c>
      <c r="G385" s="2" t="s">
        <v>578</v>
      </c>
      <c r="H385" s="2">
        <v>20</v>
      </c>
      <c r="I385" s="2">
        <v>70</v>
      </c>
      <c r="J385" s="2">
        <v>1.95</v>
      </c>
      <c r="K385" s="2"/>
      <c r="L385" s="2"/>
      <c r="M385" s="2"/>
      <c r="N385" s="2" t="s">
        <v>95</v>
      </c>
      <c r="O385" s="10">
        <v>1</v>
      </c>
      <c r="P385" s="14">
        <v>1</v>
      </c>
      <c r="Q385" s="183">
        <v>3</v>
      </c>
      <c r="R385" s="187">
        <v>1</v>
      </c>
      <c r="S385" s="178">
        <f t="shared" ref="S385:S448" si="53">SUM(O385:P385)</f>
        <v>2</v>
      </c>
      <c r="T385" s="186">
        <f t="shared" ref="T385:T448" si="54">SUM(Q385:R385)</f>
        <v>4</v>
      </c>
      <c r="U385" s="179">
        <f t="shared" ref="U385:U448" si="55">SUM(T385-S385)</f>
        <v>2</v>
      </c>
      <c r="V385" s="1">
        <f t="shared" si="51"/>
        <v>25</v>
      </c>
      <c r="W385" s="8">
        <f t="shared" si="48"/>
        <v>6.25</v>
      </c>
      <c r="X385" s="15">
        <f t="shared" si="52"/>
        <v>2275</v>
      </c>
    </row>
    <row r="386" spans="1:24">
      <c r="A386" t="s">
        <v>930</v>
      </c>
      <c r="B386" s="163" t="s">
        <v>515</v>
      </c>
      <c r="C386" s="2" t="s">
        <v>6</v>
      </c>
      <c r="D386" s="2" t="s">
        <v>11</v>
      </c>
      <c r="E386" s="3">
        <v>45380.625</v>
      </c>
      <c r="F386" s="2" t="s">
        <v>309</v>
      </c>
      <c r="G386" s="2" t="s">
        <v>634</v>
      </c>
      <c r="H386" s="2">
        <v>20</v>
      </c>
      <c r="I386" s="2">
        <v>76</v>
      </c>
      <c r="J386" s="2">
        <v>1.7</v>
      </c>
      <c r="K386" s="2"/>
      <c r="L386" s="2"/>
      <c r="M386" s="2"/>
      <c r="N386" s="2" t="s">
        <v>95</v>
      </c>
      <c r="O386" s="10">
        <v>1</v>
      </c>
      <c r="P386" s="14">
        <v>2</v>
      </c>
      <c r="Q386" s="183">
        <v>1</v>
      </c>
      <c r="R386" s="187">
        <v>3</v>
      </c>
      <c r="S386" s="178">
        <f t="shared" si="53"/>
        <v>3</v>
      </c>
      <c r="T386" s="186">
        <f t="shared" si="54"/>
        <v>4</v>
      </c>
      <c r="U386" s="179">
        <f t="shared" si="55"/>
        <v>1</v>
      </c>
      <c r="V386" s="1">
        <f t="shared" si="51"/>
        <v>25</v>
      </c>
      <c r="W386" s="8">
        <f t="shared" ref="W386:W449" si="56">IF(N386="won",V386*0.25,-V386)</f>
        <v>6.25</v>
      </c>
      <c r="X386" s="15">
        <f t="shared" si="52"/>
        <v>2281.25</v>
      </c>
    </row>
    <row r="387" spans="1:24">
      <c r="A387" t="s">
        <v>930</v>
      </c>
      <c r="B387" s="163" t="s">
        <v>515</v>
      </c>
      <c r="C387" s="2" t="s">
        <v>119</v>
      </c>
      <c r="D387" s="2" t="s">
        <v>166</v>
      </c>
      <c r="E387" s="3">
        <v>45382.635416666664</v>
      </c>
      <c r="F387" s="2" t="s">
        <v>637</v>
      </c>
      <c r="G387" s="2" t="s">
        <v>327</v>
      </c>
      <c r="H387" s="2">
        <v>20</v>
      </c>
      <c r="I387" s="2">
        <v>70</v>
      </c>
      <c r="J387" s="2">
        <v>1.6</v>
      </c>
      <c r="K387" s="2"/>
      <c r="L387" s="2"/>
      <c r="M387" s="2"/>
      <c r="N387" s="2" t="s">
        <v>95</v>
      </c>
      <c r="O387" s="10">
        <v>2</v>
      </c>
      <c r="P387" s="14">
        <v>1</v>
      </c>
      <c r="Q387" s="183">
        <v>3</v>
      </c>
      <c r="R387" s="187">
        <v>1</v>
      </c>
      <c r="S387" s="178">
        <f t="shared" si="53"/>
        <v>3</v>
      </c>
      <c r="T387" s="186">
        <f t="shared" si="54"/>
        <v>4</v>
      </c>
      <c r="U387" s="179">
        <f t="shared" si="55"/>
        <v>1</v>
      </c>
      <c r="V387" s="1">
        <f t="shared" si="51"/>
        <v>25</v>
      </c>
      <c r="W387" s="8">
        <f t="shared" si="56"/>
        <v>6.25</v>
      </c>
      <c r="X387" s="15">
        <f t="shared" si="52"/>
        <v>2287.5</v>
      </c>
    </row>
    <row r="388" spans="1:24">
      <c r="A388" t="s">
        <v>930</v>
      </c>
      <c r="B388" s="163" t="s">
        <v>515</v>
      </c>
      <c r="C388" s="2" t="s">
        <v>296</v>
      </c>
      <c r="D388" s="2" t="s">
        <v>78</v>
      </c>
      <c r="E388" s="3">
        <v>45388.708333333336</v>
      </c>
      <c r="F388" s="2" t="s">
        <v>297</v>
      </c>
      <c r="G388" s="2" t="s">
        <v>368</v>
      </c>
      <c r="H388" s="2">
        <v>20</v>
      </c>
      <c r="I388" s="2">
        <v>73</v>
      </c>
      <c r="J388" s="2">
        <v>2.4</v>
      </c>
      <c r="K388" s="2"/>
      <c r="L388" s="2"/>
      <c r="M388" s="2"/>
      <c r="N388" s="2" t="s">
        <v>95</v>
      </c>
      <c r="O388" s="10">
        <v>0</v>
      </c>
      <c r="P388" s="14">
        <v>0</v>
      </c>
      <c r="Q388" s="183">
        <v>2</v>
      </c>
      <c r="R388" s="187">
        <v>2</v>
      </c>
      <c r="S388" s="178">
        <f t="shared" si="53"/>
        <v>0</v>
      </c>
      <c r="T388" s="186">
        <f t="shared" si="54"/>
        <v>4</v>
      </c>
      <c r="U388" s="179">
        <f t="shared" si="55"/>
        <v>4</v>
      </c>
      <c r="V388" s="1">
        <f t="shared" si="51"/>
        <v>25</v>
      </c>
      <c r="W388" s="8">
        <f t="shared" si="56"/>
        <v>6.25</v>
      </c>
      <c r="X388" s="15">
        <f t="shared" si="52"/>
        <v>2293.75</v>
      </c>
    </row>
    <row r="389" spans="1:24">
      <c r="A389" t="s">
        <v>930</v>
      </c>
      <c r="B389" s="163" t="s">
        <v>515</v>
      </c>
      <c r="C389" s="2" t="s">
        <v>149</v>
      </c>
      <c r="D389" s="2" t="s">
        <v>153</v>
      </c>
      <c r="E389" s="154">
        <v>45396.791666666664</v>
      </c>
      <c r="F389" s="155" t="s">
        <v>241</v>
      </c>
      <c r="G389" s="2" t="s">
        <v>205</v>
      </c>
      <c r="H389" s="2">
        <v>20</v>
      </c>
      <c r="I389" s="2">
        <v>74</v>
      </c>
      <c r="J389" s="2">
        <v>2.4500000000000002</v>
      </c>
      <c r="K389" s="2"/>
      <c r="L389" s="2"/>
      <c r="M389" s="2"/>
      <c r="N389" s="2" t="s">
        <v>95</v>
      </c>
      <c r="O389" s="10">
        <v>0</v>
      </c>
      <c r="P389" s="14">
        <v>1</v>
      </c>
      <c r="Q389" s="183">
        <v>2</v>
      </c>
      <c r="R389" s="187">
        <v>2</v>
      </c>
      <c r="S389" s="178">
        <f t="shared" si="53"/>
        <v>1</v>
      </c>
      <c r="T389" s="186">
        <f t="shared" si="54"/>
        <v>4</v>
      </c>
      <c r="U389" s="179">
        <f t="shared" si="55"/>
        <v>3</v>
      </c>
      <c r="V389" s="1">
        <f t="shared" si="51"/>
        <v>25</v>
      </c>
      <c r="W389" s="8">
        <f t="shared" si="56"/>
        <v>6.25</v>
      </c>
      <c r="X389" s="15">
        <f t="shared" si="52"/>
        <v>2300</v>
      </c>
    </row>
    <row r="390" spans="1:24">
      <c r="A390" t="s">
        <v>930</v>
      </c>
      <c r="B390" s="163" t="s">
        <v>515</v>
      </c>
      <c r="C390" s="2" t="s">
        <v>564</v>
      </c>
      <c r="D390" s="2" t="s">
        <v>565</v>
      </c>
      <c r="E390" s="3">
        <v>45401.822916666664</v>
      </c>
      <c r="F390" s="2" t="s">
        <v>743</v>
      </c>
      <c r="G390" s="2" t="s">
        <v>744</v>
      </c>
      <c r="H390" s="2">
        <v>20</v>
      </c>
      <c r="I390" s="2">
        <v>76</v>
      </c>
      <c r="J390" s="2">
        <v>1.7</v>
      </c>
      <c r="K390" s="2"/>
      <c r="L390" s="2"/>
      <c r="M390" s="2"/>
      <c r="N390" s="2" t="s">
        <v>95</v>
      </c>
      <c r="O390" s="10">
        <v>0</v>
      </c>
      <c r="P390" s="14">
        <v>0</v>
      </c>
      <c r="Q390" s="183">
        <v>1</v>
      </c>
      <c r="R390" s="187">
        <v>3</v>
      </c>
      <c r="S390" s="178">
        <f t="shared" si="53"/>
        <v>0</v>
      </c>
      <c r="T390" s="186">
        <f t="shared" si="54"/>
        <v>4</v>
      </c>
      <c r="U390" s="179">
        <f t="shared" si="55"/>
        <v>4</v>
      </c>
      <c r="V390" s="1">
        <f t="shared" si="51"/>
        <v>25</v>
      </c>
      <c r="W390" s="8">
        <f t="shared" si="56"/>
        <v>6.25</v>
      </c>
      <c r="X390" s="15">
        <f t="shared" si="52"/>
        <v>2306.25</v>
      </c>
    </row>
    <row r="391" spans="1:24">
      <c r="A391" t="s">
        <v>930</v>
      </c>
      <c r="B391" s="163" t="s">
        <v>515</v>
      </c>
      <c r="C391" s="2" t="s">
        <v>564</v>
      </c>
      <c r="D391" s="2" t="s">
        <v>565</v>
      </c>
      <c r="E391" s="3">
        <v>45404.822916666664</v>
      </c>
      <c r="F391" s="2" t="s">
        <v>743</v>
      </c>
      <c r="G391" s="2" t="s">
        <v>566</v>
      </c>
      <c r="H391" s="2">
        <v>20</v>
      </c>
      <c r="I391" s="2">
        <v>71</v>
      </c>
      <c r="J391" s="2">
        <v>1.7</v>
      </c>
      <c r="K391" s="2"/>
      <c r="L391" s="2"/>
      <c r="M391" s="2"/>
      <c r="N391" s="2" t="s">
        <v>95</v>
      </c>
      <c r="O391" s="10">
        <v>1</v>
      </c>
      <c r="P391" s="14">
        <v>0</v>
      </c>
      <c r="Q391" s="183">
        <v>3</v>
      </c>
      <c r="R391" s="187">
        <v>1</v>
      </c>
      <c r="S391" s="178">
        <f t="shared" si="53"/>
        <v>1</v>
      </c>
      <c r="T391" s="186">
        <f t="shared" si="54"/>
        <v>4</v>
      </c>
      <c r="U391" s="179">
        <f t="shared" si="55"/>
        <v>3</v>
      </c>
      <c r="V391" s="1">
        <f t="shared" si="51"/>
        <v>25</v>
      </c>
      <c r="W391" s="8">
        <f t="shared" si="56"/>
        <v>6.25</v>
      </c>
      <c r="X391" s="15">
        <f t="shared" si="52"/>
        <v>2312.5</v>
      </c>
    </row>
    <row r="392" spans="1:24">
      <c r="A392" t="s">
        <v>930</v>
      </c>
      <c r="B392" s="163" t="s">
        <v>515</v>
      </c>
      <c r="C392" s="2" t="s">
        <v>20</v>
      </c>
      <c r="D392" s="2" t="s">
        <v>21</v>
      </c>
      <c r="E392" s="3">
        <v>45410.708333333336</v>
      </c>
      <c r="F392" s="2" t="s">
        <v>22</v>
      </c>
      <c r="G392" s="2" t="s">
        <v>380</v>
      </c>
      <c r="H392" s="2">
        <v>20</v>
      </c>
      <c r="I392" s="2">
        <v>72</v>
      </c>
      <c r="J392" s="2">
        <v>1.9</v>
      </c>
      <c r="K392" s="2"/>
      <c r="L392" s="2"/>
      <c r="M392" s="2"/>
      <c r="N392" s="2" t="s">
        <v>95</v>
      </c>
      <c r="O392" s="10">
        <v>0</v>
      </c>
      <c r="P392" s="14">
        <v>0</v>
      </c>
      <c r="Q392" s="183">
        <v>2</v>
      </c>
      <c r="R392" s="187">
        <v>2</v>
      </c>
      <c r="S392" s="178">
        <f t="shared" si="53"/>
        <v>0</v>
      </c>
      <c r="T392" s="186">
        <f t="shared" si="54"/>
        <v>4</v>
      </c>
      <c r="U392" s="179">
        <f t="shared" si="55"/>
        <v>4</v>
      </c>
      <c r="V392" s="1">
        <f t="shared" si="51"/>
        <v>25</v>
      </c>
      <c r="W392" s="8">
        <f t="shared" si="56"/>
        <v>6.25</v>
      </c>
      <c r="X392" s="15">
        <f t="shared" si="52"/>
        <v>2318.75</v>
      </c>
    </row>
    <row r="393" spans="1:24">
      <c r="A393" t="s">
        <v>930</v>
      </c>
      <c r="B393" s="163" t="s">
        <v>515</v>
      </c>
      <c r="C393" s="2" t="s">
        <v>516</v>
      </c>
      <c r="D393" s="2" t="s">
        <v>78</v>
      </c>
      <c r="E393" s="3">
        <v>45438.5</v>
      </c>
      <c r="F393" s="2" t="s">
        <v>517</v>
      </c>
      <c r="G393" s="2" t="s">
        <v>870</v>
      </c>
      <c r="H393" s="2">
        <v>20</v>
      </c>
      <c r="I393" s="2">
        <v>70</v>
      </c>
      <c r="J393" s="2">
        <v>2.25</v>
      </c>
      <c r="K393" s="2"/>
      <c r="L393" s="2"/>
      <c r="M393" s="2"/>
      <c r="N393" s="2" t="s">
        <v>95</v>
      </c>
      <c r="O393" s="10">
        <v>2</v>
      </c>
      <c r="P393" s="14">
        <v>0</v>
      </c>
      <c r="Q393" s="183">
        <v>3</v>
      </c>
      <c r="R393" s="187">
        <v>1</v>
      </c>
      <c r="S393" s="178">
        <f t="shared" si="53"/>
        <v>2</v>
      </c>
      <c r="T393" s="186">
        <f t="shared" si="54"/>
        <v>4</v>
      </c>
      <c r="U393" s="179">
        <f t="shared" si="55"/>
        <v>2</v>
      </c>
      <c r="V393" s="1">
        <f t="shared" si="51"/>
        <v>25</v>
      </c>
      <c r="W393" s="8">
        <f t="shared" si="56"/>
        <v>6.25</v>
      </c>
      <c r="X393" s="15">
        <f t="shared" si="52"/>
        <v>2325</v>
      </c>
    </row>
    <row r="394" spans="1:24">
      <c r="A394" t="s">
        <v>930</v>
      </c>
      <c r="B394" s="163" t="s">
        <v>876</v>
      </c>
      <c r="C394" s="2" t="s">
        <v>516</v>
      </c>
      <c r="D394" s="2" t="s">
        <v>78</v>
      </c>
      <c r="E394" s="3">
        <v>45438.5</v>
      </c>
      <c r="F394" s="2" t="s">
        <v>517</v>
      </c>
      <c r="G394" s="2" t="s">
        <v>870</v>
      </c>
      <c r="H394" s="2">
        <v>20</v>
      </c>
      <c r="I394" s="2">
        <v>70</v>
      </c>
      <c r="J394" s="2">
        <v>2.25</v>
      </c>
      <c r="K394" s="2"/>
      <c r="L394" s="2"/>
      <c r="M394" s="2"/>
      <c r="N394" s="2" t="s">
        <v>95</v>
      </c>
      <c r="O394" s="10">
        <v>2</v>
      </c>
      <c r="P394" s="14">
        <v>0</v>
      </c>
      <c r="Q394" s="183">
        <v>3</v>
      </c>
      <c r="R394" s="187">
        <v>1</v>
      </c>
      <c r="S394" s="178">
        <f t="shared" si="53"/>
        <v>2</v>
      </c>
      <c r="T394" s="186">
        <f t="shared" si="54"/>
        <v>4</v>
      </c>
      <c r="U394" s="179">
        <f t="shared" si="55"/>
        <v>2</v>
      </c>
      <c r="V394" s="1">
        <f t="shared" si="51"/>
        <v>25</v>
      </c>
      <c r="W394" s="8">
        <f t="shared" si="56"/>
        <v>6.25</v>
      </c>
      <c r="X394" s="15">
        <f t="shared" si="52"/>
        <v>2331.25</v>
      </c>
    </row>
    <row r="395" spans="1:24">
      <c r="A395" t="s">
        <v>930</v>
      </c>
      <c r="B395" s="163" t="s">
        <v>10</v>
      </c>
      <c r="C395" s="2" t="s">
        <v>6</v>
      </c>
      <c r="D395" s="2" t="s">
        <v>62</v>
      </c>
      <c r="E395" s="3">
        <v>45290.625</v>
      </c>
      <c r="F395" s="2" t="s">
        <v>102</v>
      </c>
      <c r="G395" s="2" t="s">
        <v>103</v>
      </c>
      <c r="H395" s="2">
        <v>1.94</v>
      </c>
      <c r="I395" s="2">
        <v>89</v>
      </c>
      <c r="J395" s="2">
        <v>61</v>
      </c>
      <c r="K395" s="2">
        <v>28</v>
      </c>
      <c r="L395" s="2">
        <v>63</v>
      </c>
      <c r="M395" s="2">
        <v>18</v>
      </c>
      <c r="N395" s="2" t="s">
        <v>95</v>
      </c>
      <c r="O395" s="10">
        <v>2</v>
      </c>
      <c r="P395" s="13">
        <v>1</v>
      </c>
      <c r="Q395" s="183">
        <v>3</v>
      </c>
      <c r="R395" s="181">
        <v>2</v>
      </c>
      <c r="S395" s="178">
        <f t="shared" si="53"/>
        <v>3</v>
      </c>
      <c r="T395" s="186">
        <f t="shared" si="54"/>
        <v>5</v>
      </c>
      <c r="U395" s="179">
        <f t="shared" si="55"/>
        <v>2</v>
      </c>
      <c r="V395" s="1">
        <f t="shared" si="51"/>
        <v>25</v>
      </c>
      <c r="W395" s="8">
        <f t="shared" si="56"/>
        <v>6.25</v>
      </c>
      <c r="X395" s="15">
        <f t="shared" si="52"/>
        <v>2337.5</v>
      </c>
    </row>
    <row r="396" spans="1:24">
      <c r="A396" t="s">
        <v>930</v>
      </c>
      <c r="B396" s="163" t="s">
        <v>10</v>
      </c>
      <c r="C396" s="2" t="s">
        <v>20</v>
      </c>
      <c r="D396" s="2" t="s">
        <v>21</v>
      </c>
      <c r="E396" s="3">
        <v>45325.708333333336</v>
      </c>
      <c r="F396" s="2" t="s">
        <v>402</v>
      </c>
      <c r="G396" s="2" t="s">
        <v>109</v>
      </c>
      <c r="H396" s="2">
        <v>2</v>
      </c>
      <c r="I396" s="2">
        <v>95</v>
      </c>
      <c r="J396" s="2">
        <v>65</v>
      </c>
      <c r="K396" s="2">
        <v>35</v>
      </c>
      <c r="L396" s="2">
        <v>64</v>
      </c>
      <c r="M396" s="2">
        <v>20</v>
      </c>
      <c r="N396" s="2" t="s">
        <v>95</v>
      </c>
      <c r="O396" s="10">
        <v>1</v>
      </c>
      <c r="P396" s="13">
        <v>1</v>
      </c>
      <c r="Q396" s="183">
        <v>2</v>
      </c>
      <c r="R396" s="181">
        <v>3</v>
      </c>
      <c r="S396" s="178">
        <f t="shared" si="53"/>
        <v>2</v>
      </c>
      <c r="T396" s="186">
        <f t="shared" si="54"/>
        <v>5</v>
      </c>
      <c r="U396" s="179">
        <f t="shared" si="55"/>
        <v>3</v>
      </c>
      <c r="V396" s="1">
        <f t="shared" si="51"/>
        <v>25</v>
      </c>
      <c r="W396" s="8">
        <f t="shared" si="56"/>
        <v>6.25</v>
      </c>
      <c r="X396" s="15">
        <f t="shared" si="52"/>
        <v>2343.75</v>
      </c>
    </row>
    <row r="397" spans="1:24">
      <c r="A397" t="s">
        <v>930</v>
      </c>
      <c r="B397" s="163" t="s">
        <v>10</v>
      </c>
      <c r="C397" s="2" t="s">
        <v>67</v>
      </c>
      <c r="D397" s="2" t="s">
        <v>68</v>
      </c>
      <c r="E397" s="3">
        <v>45326.760416666664</v>
      </c>
      <c r="F397" s="2" t="s">
        <v>337</v>
      </c>
      <c r="G397" s="2" t="s">
        <v>342</v>
      </c>
      <c r="H397" s="2">
        <v>1.75</v>
      </c>
      <c r="I397" s="2">
        <v>95</v>
      </c>
      <c r="J397" s="2">
        <v>65</v>
      </c>
      <c r="K397" s="2">
        <v>15</v>
      </c>
      <c r="L397" s="2">
        <v>65</v>
      </c>
      <c r="M397" s="2">
        <v>20</v>
      </c>
      <c r="N397" s="2" t="s">
        <v>95</v>
      </c>
      <c r="O397" s="10">
        <v>2</v>
      </c>
      <c r="P397" s="13">
        <v>0</v>
      </c>
      <c r="Q397" s="183">
        <v>4</v>
      </c>
      <c r="R397" s="181">
        <v>1</v>
      </c>
      <c r="S397" s="178">
        <f t="shared" si="53"/>
        <v>2</v>
      </c>
      <c r="T397" s="186">
        <f t="shared" si="54"/>
        <v>5</v>
      </c>
      <c r="U397" s="179">
        <f t="shared" si="55"/>
        <v>3</v>
      </c>
      <c r="V397" s="1">
        <f t="shared" si="51"/>
        <v>25</v>
      </c>
      <c r="W397" s="8">
        <f t="shared" si="56"/>
        <v>6.25</v>
      </c>
      <c r="X397" s="15">
        <f t="shared" si="52"/>
        <v>2350</v>
      </c>
    </row>
    <row r="398" spans="1:24">
      <c r="A398" t="s">
        <v>930</v>
      </c>
      <c r="B398" s="163" t="s">
        <v>10</v>
      </c>
      <c r="C398" s="2" t="s">
        <v>31</v>
      </c>
      <c r="D398" s="2" t="s">
        <v>32</v>
      </c>
      <c r="E398" s="3">
        <v>45332.625</v>
      </c>
      <c r="F398" s="2" t="s">
        <v>419</v>
      </c>
      <c r="G398" s="2" t="s">
        <v>261</v>
      </c>
      <c r="H398" s="2">
        <v>2.15</v>
      </c>
      <c r="I398" s="2">
        <v>90</v>
      </c>
      <c r="J398" s="2">
        <v>70</v>
      </c>
      <c r="K398" s="2">
        <v>35</v>
      </c>
      <c r="L398" s="2">
        <v>61</v>
      </c>
      <c r="M398" s="2">
        <v>20</v>
      </c>
      <c r="N398" s="2" t="s">
        <v>95</v>
      </c>
      <c r="O398" s="10">
        <v>2</v>
      </c>
      <c r="P398" s="13">
        <v>0</v>
      </c>
      <c r="Q398" s="183">
        <v>4</v>
      </c>
      <c r="R398" s="181">
        <v>1</v>
      </c>
      <c r="S398" s="178">
        <f t="shared" si="53"/>
        <v>2</v>
      </c>
      <c r="T398" s="186">
        <f t="shared" si="54"/>
        <v>5</v>
      </c>
      <c r="U398" s="179">
        <f t="shared" si="55"/>
        <v>3</v>
      </c>
      <c r="V398" s="1">
        <f t="shared" si="51"/>
        <v>25</v>
      </c>
      <c r="W398" s="8">
        <f t="shared" si="56"/>
        <v>6.25</v>
      </c>
      <c r="X398" s="15">
        <f t="shared" si="52"/>
        <v>2356.25</v>
      </c>
    </row>
    <row r="399" spans="1:24">
      <c r="A399" t="s">
        <v>930</v>
      </c>
      <c r="B399" s="163" t="s">
        <v>10</v>
      </c>
      <c r="C399" s="2" t="s">
        <v>6</v>
      </c>
      <c r="D399" s="2" t="s">
        <v>62</v>
      </c>
      <c r="E399" s="3">
        <v>45339.520833333336</v>
      </c>
      <c r="F399" s="2" t="s">
        <v>63</v>
      </c>
      <c r="G399" s="2" t="s">
        <v>285</v>
      </c>
      <c r="H399" s="2">
        <v>2</v>
      </c>
      <c r="I399" s="2">
        <v>100</v>
      </c>
      <c r="J399" s="2">
        <v>65</v>
      </c>
      <c r="K399" s="2">
        <v>25</v>
      </c>
      <c r="L399" s="2">
        <v>70</v>
      </c>
      <c r="M399" s="2">
        <v>20</v>
      </c>
      <c r="N399" s="2" t="s">
        <v>95</v>
      </c>
      <c r="O399" s="10">
        <v>0</v>
      </c>
      <c r="P399" s="14">
        <v>1</v>
      </c>
      <c r="Q399" s="183">
        <v>1</v>
      </c>
      <c r="R399" s="181">
        <v>4</v>
      </c>
      <c r="S399" s="178">
        <f t="shared" si="53"/>
        <v>1</v>
      </c>
      <c r="T399" s="186">
        <f t="shared" si="54"/>
        <v>5</v>
      </c>
      <c r="U399" s="179">
        <f t="shared" si="55"/>
        <v>4</v>
      </c>
      <c r="V399" s="1">
        <f t="shared" si="51"/>
        <v>25</v>
      </c>
      <c r="W399" s="8">
        <f t="shared" si="56"/>
        <v>6.25</v>
      </c>
      <c r="X399" s="15">
        <f t="shared" si="52"/>
        <v>2362.5</v>
      </c>
    </row>
    <row r="400" spans="1:24">
      <c r="A400" t="s">
        <v>930</v>
      </c>
      <c r="B400" s="163" t="s">
        <v>10</v>
      </c>
      <c r="C400" s="2" t="s">
        <v>67</v>
      </c>
      <c r="D400" s="2" t="s">
        <v>68</v>
      </c>
      <c r="E400" s="3">
        <v>45340.729166666664</v>
      </c>
      <c r="F400" s="2" t="s">
        <v>375</v>
      </c>
      <c r="G400" s="2" t="s">
        <v>342</v>
      </c>
      <c r="H400" s="2">
        <v>1.9</v>
      </c>
      <c r="I400" s="2">
        <v>90</v>
      </c>
      <c r="J400" s="2">
        <v>70</v>
      </c>
      <c r="K400" s="2">
        <v>30</v>
      </c>
      <c r="L400" s="2">
        <v>67</v>
      </c>
      <c r="M400" s="2">
        <v>20</v>
      </c>
      <c r="N400" s="2" t="s">
        <v>95</v>
      </c>
      <c r="O400" s="10">
        <v>0</v>
      </c>
      <c r="P400" s="14">
        <v>1</v>
      </c>
      <c r="Q400" s="183">
        <v>4</v>
      </c>
      <c r="R400" s="181">
        <v>1</v>
      </c>
      <c r="S400" s="178">
        <f t="shared" si="53"/>
        <v>1</v>
      </c>
      <c r="T400" s="186">
        <f t="shared" si="54"/>
        <v>5</v>
      </c>
      <c r="U400" s="179">
        <f t="shared" si="55"/>
        <v>4</v>
      </c>
      <c r="V400" s="1">
        <f t="shared" si="51"/>
        <v>25</v>
      </c>
      <c r="W400" s="8">
        <f t="shared" si="56"/>
        <v>6.25</v>
      </c>
      <c r="X400" s="15">
        <f t="shared" si="52"/>
        <v>2368.75</v>
      </c>
    </row>
    <row r="401" spans="1:24">
      <c r="A401" t="s">
        <v>930</v>
      </c>
      <c r="B401" s="163" t="s">
        <v>10</v>
      </c>
      <c r="C401" s="2" t="s">
        <v>119</v>
      </c>
      <c r="D401" s="2" t="s">
        <v>120</v>
      </c>
      <c r="E401" s="3">
        <v>45341.833333333336</v>
      </c>
      <c r="F401" s="2" t="s">
        <v>384</v>
      </c>
      <c r="G401" s="2" t="s">
        <v>453</v>
      </c>
      <c r="H401" s="2">
        <v>2.0499999999999998</v>
      </c>
      <c r="I401" s="2">
        <v>90</v>
      </c>
      <c r="J401" s="2">
        <v>65</v>
      </c>
      <c r="K401" s="2">
        <v>45</v>
      </c>
      <c r="L401" s="2">
        <v>64</v>
      </c>
      <c r="M401" s="2">
        <v>20</v>
      </c>
      <c r="N401" s="2" t="s">
        <v>95</v>
      </c>
      <c r="O401" s="10">
        <v>1</v>
      </c>
      <c r="P401" s="14">
        <v>0</v>
      </c>
      <c r="Q401" s="183">
        <v>3</v>
      </c>
      <c r="R401" s="181">
        <v>2</v>
      </c>
      <c r="S401" s="178">
        <f t="shared" si="53"/>
        <v>1</v>
      </c>
      <c r="T401" s="186">
        <f t="shared" si="54"/>
        <v>5</v>
      </c>
      <c r="U401" s="179">
        <f t="shared" si="55"/>
        <v>4</v>
      </c>
      <c r="V401" s="1">
        <f t="shared" si="51"/>
        <v>25</v>
      </c>
      <c r="W401" s="8">
        <f t="shared" si="56"/>
        <v>6.25</v>
      </c>
      <c r="X401" s="15">
        <f t="shared" si="52"/>
        <v>2375</v>
      </c>
    </row>
    <row r="402" spans="1:24">
      <c r="A402" t="s">
        <v>930</v>
      </c>
      <c r="B402" s="163" t="s">
        <v>10</v>
      </c>
      <c r="C402" s="2" t="s">
        <v>6</v>
      </c>
      <c r="D402" s="12" t="s">
        <v>62</v>
      </c>
      <c r="E402" s="32">
        <v>45346.833333333336</v>
      </c>
      <c r="F402" s="12" t="s">
        <v>73</v>
      </c>
      <c r="G402" s="12" t="s">
        <v>164</v>
      </c>
      <c r="H402" s="12">
        <v>2.35</v>
      </c>
      <c r="I402" s="2">
        <v>95</v>
      </c>
      <c r="J402" s="2">
        <v>70</v>
      </c>
      <c r="K402" s="2">
        <v>40</v>
      </c>
      <c r="L402" s="2">
        <v>63</v>
      </c>
      <c r="M402" s="2">
        <v>20</v>
      </c>
      <c r="N402" s="2" t="s">
        <v>95</v>
      </c>
      <c r="O402" s="10">
        <v>2</v>
      </c>
      <c r="P402" s="14">
        <v>0</v>
      </c>
      <c r="Q402" s="183">
        <v>4</v>
      </c>
      <c r="R402" s="181">
        <v>1</v>
      </c>
      <c r="S402" s="178">
        <f t="shared" si="53"/>
        <v>2</v>
      </c>
      <c r="T402" s="186">
        <f t="shared" si="54"/>
        <v>5</v>
      </c>
      <c r="U402" s="179">
        <f t="shared" si="55"/>
        <v>3</v>
      </c>
      <c r="V402" s="1">
        <f t="shared" si="51"/>
        <v>25</v>
      </c>
      <c r="W402" s="8">
        <f t="shared" si="56"/>
        <v>6.25</v>
      </c>
      <c r="X402" s="15">
        <f t="shared" si="52"/>
        <v>2381.25</v>
      </c>
    </row>
    <row r="403" spans="1:24">
      <c r="A403" t="s">
        <v>930</v>
      </c>
      <c r="B403" s="163" t="s">
        <v>10</v>
      </c>
      <c r="C403" s="2" t="s">
        <v>58</v>
      </c>
      <c r="D403" s="2" t="s">
        <v>59</v>
      </c>
      <c r="E403" s="3">
        <v>45354.75</v>
      </c>
      <c r="F403" s="2" t="s">
        <v>125</v>
      </c>
      <c r="G403" s="2" t="s">
        <v>106</v>
      </c>
      <c r="H403" s="2">
        <v>2.0499999999999998</v>
      </c>
      <c r="I403" s="2">
        <v>90</v>
      </c>
      <c r="J403" s="2">
        <v>65</v>
      </c>
      <c r="K403" s="2">
        <v>40</v>
      </c>
      <c r="L403" s="2">
        <v>60</v>
      </c>
      <c r="M403" s="2">
        <v>20</v>
      </c>
      <c r="N403" s="2" t="s">
        <v>95</v>
      </c>
      <c r="O403" s="10">
        <v>2</v>
      </c>
      <c r="P403" s="14">
        <v>1</v>
      </c>
      <c r="Q403" s="183">
        <v>3</v>
      </c>
      <c r="R403" s="181">
        <v>2</v>
      </c>
      <c r="S403" s="178">
        <f t="shared" si="53"/>
        <v>3</v>
      </c>
      <c r="T403" s="186">
        <f t="shared" si="54"/>
        <v>5</v>
      </c>
      <c r="U403" s="179">
        <f t="shared" si="55"/>
        <v>2</v>
      </c>
      <c r="V403" s="1">
        <f t="shared" si="51"/>
        <v>25</v>
      </c>
      <c r="W403" s="8">
        <f t="shared" si="56"/>
        <v>6.25</v>
      </c>
      <c r="X403" s="15">
        <f t="shared" si="52"/>
        <v>2387.5</v>
      </c>
    </row>
    <row r="404" spans="1:24">
      <c r="A404" t="s">
        <v>930</v>
      </c>
      <c r="B404" s="163" t="s">
        <v>10</v>
      </c>
      <c r="C404" s="2" t="s">
        <v>6</v>
      </c>
      <c r="D404" s="2" t="s">
        <v>62</v>
      </c>
      <c r="E404" s="3">
        <v>45362.833333333336</v>
      </c>
      <c r="F404" s="2" t="s">
        <v>65</v>
      </c>
      <c r="G404" s="2" t="s">
        <v>164</v>
      </c>
      <c r="H404" s="2">
        <v>2.15</v>
      </c>
      <c r="I404" s="2">
        <v>90</v>
      </c>
      <c r="J404" s="2">
        <v>65</v>
      </c>
      <c r="K404" s="2">
        <v>40</v>
      </c>
      <c r="L404" s="2">
        <v>61</v>
      </c>
      <c r="M404" s="2">
        <v>20</v>
      </c>
      <c r="N404" s="2" t="s">
        <v>95</v>
      </c>
      <c r="O404" s="10">
        <v>1</v>
      </c>
      <c r="P404" s="14">
        <v>1</v>
      </c>
      <c r="Q404" s="183">
        <v>3</v>
      </c>
      <c r="R404" s="181">
        <v>2</v>
      </c>
      <c r="S404" s="178">
        <f t="shared" si="53"/>
        <v>2</v>
      </c>
      <c r="T404" s="186">
        <f t="shared" si="54"/>
        <v>5</v>
      </c>
      <c r="U404" s="179">
        <f t="shared" si="55"/>
        <v>3</v>
      </c>
      <c r="V404" s="1">
        <f t="shared" ref="V404:V435" si="57">SUM($X$1*0.05)</f>
        <v>25</v>
      </c>
      <c r="W404" s="8">
        <f t="shared" si="56"/>
        <v>6.25</v>
      </c>
      <c r="X404" s="15">
        <f t="shared" si="52"/>
        <v>2393.75</v>
      </c>
    </row>
    <row r="405" spans="1:24">
      <c r="A405" t="s">
        <v>930</v>
      </c>
      <c r="B405" s="163" t="s">
        <v>10</v>
      </c>
      <c r="C405" s="2" t="s">
        <v>31</v>
      </c>
      <c r="D405" s="2" t="s">
        <v>32</v>
      </c>
      <c r="E405" s="3">
        <v>45367.625</v>
      </c>
      <c r="F405" s="2" t="s">
        <v>440</v>
      </c>
      <c r="G405" s="2" t="s">
        <v>419</v>
      </c>
      <c r="H405" s="2">
        <v>2.25</v>
      </c>
      <c r="I405" s="2">
        <v>95</v>
      </c>
      <c r="J405" s="2">
        <v>70</v>
      </c>
      <c r="K405" s="2">
        <v>50</v>
      </c>
      <c r="L405" s="2">
        <v>61</v>
      </c>
      <c r="M405" s="2">
        <v>20</v>
      </c>
      <c r="N405" s="2" t="s">
        <v>95</v>
      </c>
      <c r="O405" s="10">
        <v>1</v>
      </c>
      <c r="P405" s="14">
        <v>1</v>
      </c>
      <c r="Q405" s="183">
        <v>2</v>
      </c>
      <c r="R405" s="181">
        <v>3</v>
      </c>
      <c r="S405" s="178">
        <f t="shared" si="53"/>
        <v>2</v>
      </c>
      <c r="T405" s="186">
        <f t="shared" si="54"/>
        <v>5</v>
      </c>
      <c r="U405" s="179">
        <f t="shared" si="55"/>
        <v>3</v>
      </c>
      <c r="V405" s="1">
        <f t="shared" si="57"/>
        <v>25</v>
      </c>
      <c r="W405" s="8">
        <f t="shared" si="56"/>
        <v>6.25</v>
      </c>
      <c r="X405" s="15">
        <f t="shared" si="52"/>
        <v>2400</v>
      </c>
    </row>
    <row r="406" spans="1:24">
      <c r="A406" t="s">
        <v>930</v>
      </c>
      <c r="B406" s="163" t="s">
        <v>10</v>
      </c>
      <c r="C406" s="2" t="s">
        <v>20</v>
      </c>
      <c r="D406" s="2" t="s">
        <v>21</v>
      </c>
      <c r="E406" s="3">
        <v>45367.822916666664</v>
      </c>
      <c r="F406" s="2" t="s">
        <v>402</v>
      </c>
      <c r="G406" s="2" t="s">
        <v>590</v>
      </c>
      <c r="H406" s="2">
        <v>1.8</v>
      </c>
      <c r="I406" s="2">
        <v>90</v>
      </c>
      <c r="J406" s="2">
        <v>65</v>
      </c>
      <c r="K406" s="2">
        <v>25</v>
      </c>
      <c r="L406" s="2">
        <v>62</v>
      </c>
      <c r="M406" s="2">
        <v>20</v>
      </c>
      <c r="N406" s="2" t="s">
        <v>95</v>
      </c>
      <c r="O406" s="10">
        <v>1</v>
      </c>
      <c r="P406" s="14">
        <v>1</v>
      </c>
      <c r="Q406" s="183">
        <v>2</v>
      </c>
      <c r="R406" s="181">
        <v>3</v>
      </c>
      <c r="S406" s="178">
        <f t="shared" si="53"/>
        <v>2</v>
      </c>
      <c r="T406" s="186">
        <f t="shared" si="54"/>
        <v>5</v>
      </c>
      <c r="U406" s="179">
        <f t="shared" si="55"/>
        <v>3</v>
      </c>
      <c r="V406" s="1">
        <f t="shared" si="57"/>
        <v>25</v>
      </c>
      <c r="W406" s="8">
        <f t="shared" si="56"/>
        <v>6.25</v>
      </c>
      <c r="X406" s="15">
        <f t="shared" si="52"/>
        <v>2406.25</v>
      </c>
    </row>
    <row r="407" spans="1:24">
      <c r="A407" t="s">
        <v>930</v>
      </c>
      <c r="B407" s="163" t="s">
        <v>10</v>
      </c>
      <c r="C407" s="2" t="s">
        <v>13</v>
      </c>
      <c r="D407" s="2" t="s">
        <v>11</v>
      </c>
      <c r="E407" s="3">
        <v>45374.625</v>
      </c>
      <c r="F407" s="2" t="s">
        <v>615</v>
      </c>
      <c r="G407" s="2" t="s">
        <v>139</v>
      </c>
      <c r="H407" s="2">
        <v>1.85</v>
      </c>
      <c r="I407" s="2">
        <v>90</v>
      </c>
      <c r="J407" s="2">
        <v>75</v>
      </c>
      <c r="K407" s="2">
        <v>10</v>
      </c>
      <c r="L407" s="2">
        <v>62</v>
      </c>
      <c r="M407" s="2">
        <v>20</v>
      </c>
      <c r="N407" s="2" t="s">
        <v>95</v>
      </c>
      <c r="O407" s="10">
        <v>3</v>
      </c>
      <c r="P407" s="14">
        <v>1</v>
      </c>
      <c r="Q407" s="183">
        <v>3</v>
      </c>
      <c r="R407" s="181">
        <v>2</v>
      </c>
      <c r="S407" s="178">
        <f t="shared" si="53"/>
        <v>4</v>
      </c>
      <c r="T407" s="186">
        <f t="shared" si="54"/>
        <v>5</v>
      </c>
      <c r="U407" s="179">
        <f t="shared" si="55"/>
        <v>1</v>
      </c>
      <c r="V407" s="1">
        <f t="shared" si="57"/>
        <v>25</v>
      </c>
      <c r="W407" s="8">
        <f t="shared" si="56"/>
        <v>6.25</v>
      </c>
      <c r="X407" s="15">
        <f t="shared" si="52"/>
        <v>2412.5</v>
      </c>
    </row>
    <row r="408" spans="1:24">
      <c r="A408" t="s">
        <v>930</v>
      </c>
      <c r="B408" s="163" t="s">
        <v>792</v>
      </c>
      <c r="C408" s="2" t="s">
        <v>6</v>
      </c>
      <c r="D408" s="2" t="s">
        <v>62</v>
      </c>
      <c r="E408" s="3">
        <v>45410.583333333336</v>
      </c>
      <c r="F408" s="2" t="s">
        <v>116</v>
      </c>
      <c r="G408" s="2" t="s">
        <v>73</v>
      </c>
      <c r="H408" s="2">
        <v>1.9</v>
      </c>
      <c r="I408" s="2">
        <v>85</v>
      </c>
      <c r="J408" s="2">
        <v>65</v>
      </c>
      <c r="K408" s="2">
        <v>60</v>
      </c>
      <c r="L408" s="2">
        <v>20</v>
      </c>
      <c r="M408" s="2"/>
      <c r="N408" s="2" t="s">
        <v>95</v>
      </c>
      <c r="O408" s="10">
        <v>0</v>
      </c>
      <c r="P408" s="14">
        <v>3</v>
      </c>
      <c r="Q408" s="183">
        <v>2</v>
      </c>
      <c r="R408" s="181">
        <v>3</v>
      </c>
      <c r="S408" s="178">
        <f t="shared" si="53"/>
        <v>3</v>
      </c>
      <c r="T408" s="186">
        <f t="shared" si="54"/>
        <v>5</v>
      </c>
      <c r="U408" s="179">
        <f t="shared" si="55"/>
        <v>2</v>
      </c>
      <c r="V408" s="1">
        <f t="shared" si="57"/>
        <v>25</v>
      </c>
      <c r="W408" s="8">
        <f t="shared" si="56"/>
        <v>6.25</v>
      </c>
      <c r="X408" s="15">
        <f t="shared" si="52"/>
        <v>2418.75</v>
      </c>
    </row>
    <row r="409" spans="1:24">
      <c r="A409" t="s">
        <v>930</v>
      </c>
      <c r="B409" s="163" t="s">
        <v>792</v>
      </c>
      <c r="C409" s="2" t="s">
        <v>133</v>
      </c>
      <c r="D409" s="2" t="s">
        <v>78</v>
      </c>
      <c r="E409" s="3">
        <v>45410.625</v>
      </c>
      <c r="F409" s="2" t="s">
        <v>488</v>
      </c>
      <c r="G409" s="2" t="s">
        <v>394</v>
      </c>
      <c r="H409" s="2">
        <v>2</v>
      </c>
      <c r="I409" s="2">
        <v>90</v>
      </c>
      <c r="J409" s="2">
        <v>65</v>
      </c>
      <c r="K409" s="2">
        <v>62</v>
      </c>
      <c r="L409" s="2">
        <v>20</v>
      </c>
      <c r="M409" s="2"/>
      <c r="N409" s="2" t="s">
        <v>95</v>
      </c>
      <c r="O409" s="10">
        <v>2</v>
      </c>
      <c r="P409" s="14">
        <v>0</v>
      </c>
      <c r="Q409" s="183">
        <v>4</v>
      </c>
      <c r="R409" s="181">
        <v>1</v>
      </c>
      <c r="S409" s="178">
        <f t="shared" si="53"/>
        <v>2</v>
      </c>
      <c r="T409" s="186">
        <f t="shared" si="54"/>
        <v>5</v>
      </c>
      <c r="U409" s="179">
        <f t="shared" si="55"/>
        <v>3</v>
      </c>
      <c r="V409" s="1">
        <f t="shared" si="57"/>
        <v>25</v>
      </c>
      <c r="W409" s="8">
        <f t="shared" si="56"/>
        <v>6.25</v>
      </c>
      <c r="X409" s="15">
        <f t="shared" si="52"/>
        <v>2425</v>
      </c>
    </row>
    <row r="410" spans="1:24">
      <c r="A410" t="s">
        <v>930</v>
      </c>
      <c r="B410" s="163" t="s">
        <v>792</v>
      </c>
      <c r="C410" s="2" t="s">
        <v>149</v>
      </c>
      <c r="D410" s="2" t="s">
        <v>150</v>
      </c>
      <c r="E410" s="3">
        <v>45415.791666666664</v>
      </c>
      <c r="F410" s="2" t="s">
        <v>700</v>
      </c>
      <c r="G410" s="2" t="s">
        <v>152</v>
      </c>
      <c r="H410" s="2">
        <v>2.2000000000000002</v>
      </c>
      <c r="I410" s="2">
        <v>90</v>
      </c>
      <c r="J410" s="2">
        <v>70</v>
      </c>
      <c r="K410" s="2">
        <v>62</v>
      </c>
      <c r="L410" s="2">
        <v>20</v>
      </c>
      <c r="M410" s="2"/>
      <c r="N410" s="2" t="s">
        <v>95</v>
      </c>
      <c r="O410" s="10">
        <v>1</v>
      </c>
      <c r="P410" s="14">
        <v>2</v>
      </c>
      <c r="Q410" s="183">
        <v>2</v>
      </c>
      <c r="R410" s="181">
        <v>3</v>
      </c>
      <c r="S410" s="178">
        <f t="shared" si="53"/>
        <v>3</v>
      </c>
      <c r="T410" s="186">
        <f t="shared" si="54"/>
        <v>5</v>
      </c>
      <c r="U410" s="179">
        <f t="shared" si="55"/>
        <v>2</v>
      </c>
      <c r="V410" s="1">
        <f t="shared" si="57"/>
        <v>25</v>
      </c>
      <c r="W410" s="8">
        <f t="shared" si="56"/>
        <v>6.25</v>
      </c>
      <c r="X410" s="15">
        <f t="shared" si="52"/>
        <v>2431.25</v>
      </c>
    </row>
    <row r="411" spans="1:24">
      <c r="A411" t="s">
        <v>930</v>
      </c>
      <c r="B411" s="163" t="s">
        <v>792</v>
      </c>
      <c r="C411" s="2" t="s">
        <v>149</v>
      </c>
      <c r="D411" s="2" t="s">
        <v>150</v>
      </c>
      <c r="E411" s="3">
        <v>45415.791666666664</v>
      </c>
      <c r="F411" s="2" t="s">
        <v>493</v>
      </c>
      <c r="G411" s="2" t="s">
        <v>562</v>
      </c>
      <c r="H411" s="2">
        <v>2.1</v>
      </c>
      <c r="I411" s="2">
        <v>90</v>
      </c>
      <c r="J411" s="2">
        <v>65</v>
      </c>
      <c r="K411" s="2">
        <v>65</v>
      </c>
      <c r="L411" s="2">
        <v>20</v>
      </c>
      <c r="M411" s="2"/>
      <c r="N411" s="2" t="s">
        <v>95</v>
      </c>
      <c r="O411" s="10">
        <v>1</v>
      </c>
      <c r="P411" s="14">
        <v>0</v>
      </c>
      <c r="Q411" s="183">
        <v>4</v>
      </c>
      <c r="R411" s="181">
        <v>1</v>
      </c>
      <c r="S411" s="178">
        <f t="shared" si="53"/>
        <v>1</v>
      </c>
      <c r="T411" s="186">
        <f t="shared" si="54"/>
        <v>5</v>
      </c>
      <c r="U411" s="179">
        <f t="shared" si="55"/>
        <v>4</v>
      </c>
      <c r="V411" s="1">
        <f t="shared" si="57"/>
        <v>25</v>
      </c>
      <c r="W411" s="8">
        <f t="shared" si="56"/>
        <v>6.25</v>
      </c>
      <c r="X411" s="15">
        <f t="shared" si="52"/>
        <v>2437.5</v>
      </c>
    </row>
    <row r="412" spans="1:24">
      <c r="A412" t="s">
        <v>930</v>
      </c>
      <c r="B412" s="163" t="s">
        <v>792</v>
      </c>
      <c r="C412" s="2" t="s">
        <v>13</v>
      </c>
      <c r="D412" s="2" t="s">
        <v>14</v>
      </c>
      <c r="E412" s="3">
        <v>45415.822916666664</v>
      </c>
      <c r="F412" s="2" t="s">
        <v>29</v>
      </c>
      <c r="G412" s="2" t="s">
        <v>30</v>
      </c>
      <c r="H412" s="2">
        <v>2.0499999999999998</v>
      </c>
      <c r="I412" s="2">
        <v>90</v>
      </c>
      <c r="J412" s="2">
        <v>65</v>
      </c>
      <c r="K412" s="2">
        <v>61</v>
      </c>
      <c r="L412" s="2">
        <v>20</v>
      </c>
      <c r="M412" s="2"/>
      <c r="N412" s="2" t="s">
        <v>95</v>
      </c>
      <c r="O412" s="10">
        <v>2</v>
      </c>
      <c r="P412" s="14">
        <v>0</v>
      </c>
      <c r="Q412" s="183">
        <v>5</v>
      </c>
      <c r="R412" s="181">
        <v>0</v>
      </c>
      <c r="S412" s="178">
        <f t="shared" si="53"/>
        <v>2</v>
      </c>
      <c r="T412" s="186">
        <f t="shared" si="54"/>
        <v>5</v>
      </c>
      <c r="U412" s="179">
        <f t="shared" si="55"/>
        <v>3</v>
      </c>
      <c r="V412" s="1">
        <f t="shared" si="57"/>
        <v>25</v>
      </c>
      <c r="W412" s="8">
        <f t="shared" si="56"/>
        <v>6.25</v>
      </c>
      <c r="X412" s="15">
        <f t="shared" si="52"/>
        <v>2443.75</v>
      </c>
    </row>
    <row r="413" spans="1:24">
      <c r="A413" t="s">
        <v>930</v>
      </c>
      <c r="B413" s="163" t="s">
        <v>792</v>
      </c>
      <c r="C413" s="2" t="s">
        <v>149</v>
      </c>
      <c r="D413" s="2" t="s">
        <v>153</v>
      </c>
      <c r="E413" s="3">
        <v>45417.5625</v>
      </c>
      <c r="F413" s="2" t="s">
        <v>244</v>
      </c>
      <c r="G413" s="2" t="s">
        <v>363</v>
      </c>
      <c r="H413" s="2">
        <v>2.5499999999999998</v>
      </c>
      <c r="I413" s="2">
        <v>90</v>
      </c>
      <c r="J413" s="2">
        <v>80</v>
      </c>
      <c r="K413" s="2">
        <v>59</v>
      </c>
      <c r="L413" s="2">
        <v>20</v>
      </c>
      <c r="M413" s="2"/>
      <c r="N413" s="2" t="s">
        <v>95</v>
      </c>
      <c r="O413" s="10">
        <v>0</v>
      </c>
      <c r="P413" s="14">
        <v>1</v>
      </c>
      <c r="Q413" s="183">
        <v>1</v>
      </c>
      <c r="R413" s="181">
        <v>4</v>
      </c>
      <c r="S413" s="178">
        <f t="shared" si="53"/>
        <v>1</v>
      </c>
      <c r="T413" s="186">
        <f t="shared" si="54"/>
        <v>5</v>
      </c>
      <c r="U413" s="179">
        <f t="shared" si="55"/>
        <v>4</v>
      </c>
      <c r="V413" s="1">
        <f t="shared" si="57"/>
        <v>25</v>
      </c>
      <c r="W413" s="8">
        <f t="shared" si="56"/>
        <v>6.25</v>
      </c>
      <c r="X413" s="15">
        <f t="shared" si="52"/>
        <v>2450</v>
      </c>
    </row>
    <row r="414" spans="1:24">
      <c r="A414" t="s">
        <v>930</v>
      </c>
      <c r="B414" s="163" t="s">
        <v>792</v>
      </c>
      <c r="C414" s="2" t="s">
        <v>6</v>
      </c>
      <c r="D414" s="2" t="s">
        <v>62</v>
      </c>
      <c r="E414" s="3">
        <v>45417.583333333336</v>
      </c>
      <c r="F414" s="2" t="s">
        <v>65</v>
      </c>
      <c r="G414" s="2" t="s">
        <v>74</v>
      </c>
      <c r="H414" s="2">
        <v>2.1</v>
      </c>
      <c r="I414" s="2">
        <v>95</v>
      </c>
      <c r="J414" s="2">
        <v>75</v>
      </c>
      <c r="K414" s="2">
        <v>63</v>
      </c>
      <c r="L414" s="2">
        <v>20</v>
      </c>
      <c r="M414" s="2"/>
      <c r="N414" s="2" t="s">
        <v>95</v>
      </c>
      <c r="O414" s="10">
        <v>3</v>
      </c>
      <c r="P414" s="14">
        <v>0</v>
      </c>
      <c r="Q414" s="183">
        <v>5</v>
      </c>
      <c r="R414" s="181">
        <v>0</v>
      </c>
      <c r="S414" s="178">
        <f t="shared" si="53"/>
        <v>3</v>
      </c>
      <c r="T414" s="186">
        <f t="shared" si="54"/>
        <v>5</v>
      </c>
      <c r="U414" s="179">
        <f t="shared" si="55"/>
        <v>2</v>
      </c>
      <c r="V414" s="1">
        <f t="shared" si="57"/>
        <v>25</v>
      </c>
      <c r="W414" s="8">
        <f t="shared" si="56"/>
        <v>6.25</v>
      </c>
      <c r="X414" s="15">
        <f t="shared" si="52"/>
        <v>2456.25</v>
      </c>
    </row>
    <row r="415" spans="1:24">
      <c r="A415" t="s">
        <v>930</v>
      </c>
      <c r="B415" s="163" t="s">
        <v>792</v>
      </c>
      <c r="C415" s="2" t="s">
        <v>149</v>
      </c>
      <c r="D415" s="2" t="s">
        <v>153</v>
      </c>
      <c r="E415" s="3">
        <v>45417.791666666664</v>
      </c>
      <c r="F415" s="2" t="s">
        <v>282</v>
      </c>
      <c r="G415" s="2" t="s">
        <v>205</v>
      </c>
      <c r="H415" s="2">
        <v>2.2999999999999998</v>
      </c>
      <c r="I415" s="2">
        <v>90</v>
      </c>
      <c r="J415" s="2">
        <v>65</v>
      </c>
      <c r="K415" s="2">
        <v>63</v>
      </c>
      <c r="L415" s="2">
        <v>20</v>
      </c>
      <c r="M415" s="2"/>
      <c r="N415" s="2" t="s">
        <v>95</v>
      </c>
      <c r="O415" s="10">
        <v>2</v>
      </c>
      <c r="P415" s="14">
        <v>0</v>
      </c>
      <c r="Q415" s="183">
        <v>5</v>
      </c>
      <c r="R415" s="181">
        <v>0</v>
      </c>
      <c r="S415" s="178">
        <f t="shared" si="53"/>
        <v>2</v>
      </c>
      <c r="T415" s="186">
        <f t="shared" si="54"/>
        <v>5</v>
      </c>
      <c r="U415" s="179">
        <f t="shared" si="55"/>
        <v>3</v>
      </c>
      <c r="V415" s="1">
        <f t="shared" si="57"/>
        <v>25</v>
      </c>
      <c r="W415" s="8">
        <f t="shared" si="56"/>
        <v>6.25</v>
      </c>
      <c r="X415" s="15">
        <f t="shared" si="52"/>
        <v>2462.5</v>
      </c>
    </row>
    <row r="416" spans="1:24">
      <c r="A416" t="s">
        <v>930</v>
      </c>
      <c r="B416" s="163" t="s">
        <v>792</v>
      </c>
      <c r="C416" s="2" t="s">
        <v>6</v>
      </c>
      <c r="D416" s="2" t="s">
        <v>62</v>
      </c>
      <c r="E416" s="3">
        <v>45423.729166666664</v>
      </c>
      <c r="F416" s="2" t="s">
        <v>264</v>
      </c>
      <c r="G416" s="2" t="s">
        <v>65</v>
      </c>
      <c r="H416" s="2">
        <v>2.25</v>
      </c>
      <c r="I416" s="2">
        <v>100</v>
      </c>
      <c r="J416" s="2">
        <v>65</v>
      </c>
      <c r="K416" s="2">
        <v>63</v>
      </c>
      <c r="L416" s="2">
        <v>20</v>
      </c>
      <c r="M416" s="2"/>
      <c r="N416" s="2" t="s">
        <v>95</v>
      </c>
      <c r="O416" s="10">
        <v>1</v>
      </c>
      <c r="P416" s="14">
        <v>1</v>
      </c>
      <c r="Q416" s="183">
        <v>2</v>
      </c>
      <c r="R416" s="181">
        <v>3</v>
      </c>
      <c r="S416" s="178">
        <f t="shared" si="53"/>
        <v>2</v>
      </c>
      <c r="T416" s="186">
        <f t="shared" si="54"/>
        <v>5</v>
      </c>
      <c r="U416" s="179">
        <f t="shared" si="55"/>
        <v>3</v>
      </c>
      <c r="V416" s="1">
        <f t="shared" si="57"/>
        <v>25</v>
      </c>
      <c r="W416" s="8">
        <f t="shared" si="56"/>
        <v>6.25</v>
      </c>
      <c r="X416" s="15">
        <f t="shared" si="52"/>
        <v>2468.75</v>
      </c>
    </row>
    <row r="417" spans="1:24">
      <c r="A417" t="s">
        <v>930</v>
      </c>
      <c r="B417" s="163" t="s">
        <v>792</v>
      </c>
      <c r="C417" s="2" t="s">
        <v>77</v>
      </c>
      <c r="D417" s="2" t="s">
        <v>156</v>
      </c>
      <c r="E417" s="3">
        <v>45424.770833333336</v>
      </c>
      <c r="F417" s="2" t="s">
        <v>239</v>
      </c>
      <c r="G417" s="2" t="s">
        <v>325</v>
      </c>
      <c r="H417" s="2">
        <v>1.9</v>
      </c>
      <c r="I417" s="2">
        <v>95</v>
      </c>
      <c r="J417" s="2">
        <v>65</v>
      </c>
      <c r="K417" s="2">
        <v>65</v>
      </c>
      <c r="L417" s="2">
        <v>20</v>
      </c>
      <c r="M417" s="2"/>
      <c r="N417" s="2" t="s">
        <v>95</v>
      </c>
      <c r="O417" s="10">
        <v>0</v>
      </c>
      <c r="P417" s="14">
        <v>2</v>
      </c>
      <c r="Q417" s="183">
        <v>0</v>
      </c>
      <c r="R417" s="181">
        <v>5</v>
      </c>
      <c r="S417" s="178">
        <f t="shared" si="53"/>
        <v>2</v>
      </c>
      <c r="T417" s="186">
        <f t="shared" si="54"/>
        <v>5</v>
      </c>
      <c r="U417" s="179">
        <f t="shared" si="55"/>
        <v>3</v>
      </c>
      <c r="V417" s="1">
        <f t="shared" si="57"/>
        <v>25</v>
      </c>
      <c r="W417" s="8">
        <f t="shared" si="56"/>
        <v>6.25</v>
      </c>
      <c r="X417" s="15">
        <f t="shared" si="52"/>
        <v>2475</v>
      </c>
    </row>
    <row r="418" spans="1:24">
      <c r="A418" t="s">
        <v>930</v>
      </c>
      <c r="B418" s="163" t="s">
        <v>792</v>
      </c>
      <c r="C418" s="2" t="s">
        <v>133</v>
      </c>
      <c r="D418" s="2" t="s">
        <v>78</v>
      </c>
      <c r="E418" s="3">
        <v>45427.75</v>
      </c>
      <c r="F418" s="2" t="s">
        <v>137</v>
      </c>
      <c r="G418" s="2" t="s">
        <v>466</v>
      </c>
      <c r="H418" s="2">
        <v>1.95</v>
      </c>
      <c r="I418" s="2">
        <v>95</v>
      </c>
      <c r="J418" s="2">
        <v>70</v>
      </c>
      <c r="K418" s="2">
        <v>64</v>
      </c>
      <c r="L418" s="2">
        <v>20</v>
      </c>
      <c r="M418" s="2"/>
      <c r="N418" s="2" t="s">
        <v>95</v>
      </c>
      <c r="O418" s="10">
        <v>1</v>
      </c>
      <c r="P418" s="14">
        <v>0</v>
      </c>
      <c r="Q418" s="183">
        <v>4</v>
      </c>
      <c r="R418" s="181">
        <v>1</v>
      </c>
      <c r="S418" s="178">
        <f t="shared" si="53"/>
        <v>1</v>
      </c>
      <c r="T418" s="186">
        <f t="shared" si="54"/>
        <v>5</v>
      </c>
      <c r="U418" s="179">
        <f t="shared" si="55"/>
        <v>4</v>
      </c>
      <c r="V418" s="1">
        <f t="shared" si="57"/>
        <v>25</v>
      </c>
      <c r="W418" s="8">
        <f t="shared" si="56"/>
        <v>6.25</v>
      </c>
      <c r="X418" s="15">
        <f t="shared" si="52"/>
        <v>2481.25</v>
      </c>
    </row>
    <row r="419" spans="1:24">
      <c r="A419" t="s">
        <v>930</v>
      </c>
      <c r="B419" s="163" t="s">
        <v>792</v>
      </c>
      <c r="C419" s="2" t="s">
        <v>13</v>
      </c>
      <c r="D419" s="2" t="s">
        <v>37</v>
      </c>
      <c r="E419" s="3">
        <v>45427.8125</v>
      </c>
      <c r="F419" s="2" t="s">
        <v>324</v>
      </c>
      <c r="G419" s="2" t="s">
        <v>99</v>
      </c>
      <c r="H419" s="2">
        <v>2.1</v>
      </c>
      <c r="I419" s="2">
        <v>95</v>
      </c>
      <c r="J419" s="2">
        <v>65</v>
      </c>
      <c r="K419" s="2">
        <v>62</v>
      </c>
      <c r="L419" s="2">
        <v>20</v>
      </c>
      <c r="M419" s="2"/>
      <c r="N419" s="2" t="s">
        <v>95</v>
      </c>
      <c r="O419" s="10">
        <v>0</v>
      </c>
      <c r="P419" s="14">
        <v>3</v>
      </c>
      <c r="Q419" s="183">
        <v>0</v>
      </c>
      <c r="R419" s="181">
        <v>5</v>
      </c>
      <c r="S419" s="178">
        <f t="shared" si="53"/>
        <v>3</v>
      </c>
      <c r="T419" s="186">
        <f t="shared" si="54"/>
        <v>5</v>
      </c>
      <c r="U419" s="179">
        <f t="shared" si="55"/>
        <v>2</v>
      </c>
      <c r="V419" s="1">
        <f t="shared" si="57"/>
        <v>25</v>
      </c>
      <c r="W419" s="8">
        <f t="shared" si="56"/>
        <v>6.25</v>
      </c>
      <c r="X419" s="15">
        <f t="shared" si="52"/>
        <v>2487.5</v>
      </c>
    </row>
    <row r="420" spans="1:24">
      <c r="A420" t="s">
        <v>930</v>
      </c>
      <c r="B420" s="163" t="s">
        <v>792</v>
      </c>
      <c r="C420" s="2" t="s">
        <v>6</v>
      </c>
      <c r="D420" s="2" t="s">
        <v>62</v>
      </c>
      <c r="E420" s="3">
        <v>45427.833333333336</v>
      </c>
      <c r="F420" s="2" t="s">
        <v>383</v>
      </c>
      <c r="G420" s="2" t="s">
        <v>164</v>
      </c>
      <c r="H420" s="2">
        <v>2.15</v>
      </c>
      <c r="I420" s="2">
        <v>85</v>
      </c>
      <c r="J420" s="2">
        <v>70</v>
      </c>
      <c r="K420" s="2">
        <v>59</v>
      </c>
      <c r="L420" s="2">
        <v>20</v>
      </c>
      <c r="M420" s="2"/>
      <c r="N420" s="2" t="s">
        <v>95</v>
      </c>
      <c r="O420" s="10">
        <v>1</v>
      </c>
      <c r="P420" s="14">
        <v>0</v>
      </c>
      <c r="Q420" s="183">
        <v>3</v>
      </c>
      <c r="R420" s="181">
        <v>2</v>
      </c>
      <c r="S420" s="178">
        <f t="shared" si="53"/>
        <v>1</v>
      </c>
      <c r="T420" s="186">
        <f t="shared" si="54"/>
        <v>5</v>
      </c>
      <c r="U420" s="179">
        <f t="shared" si="55"/>
        <v>4</v>
      </c>
      <c r="V420" s="1">
        <f t="shared" si="57"/>
        <v>25</v>
      </c>
      <c r="W420" s="8">
        <f t="shared" si="56"/>
        <v>6.25</v>
      </c>
      <c r="X420" s="15">
        <f t="shared" si="52"/>
        <v>2493.75</v>
      </c>
    </row>
    <row r="421" spans="1:24">
      <c r="A421" t="s">
        <v>930</v>
      </c>
      <c r="B421" s="163" t="s">
        <v>792</v>
      </c>
      <c r="C421" s="2" t="s">
        <v>516</v>
      </c>
      <c r="D421" s="2" t="s">
        <v>78</v>
      </c>
      <c r="E421" s="3">
        <v>45429.524305555555</v>
      </c>
      <c r="F421" s="2" t="s">
        <v>836</v>
      </c>
      <c r="G421" s="2" t="s">
        <v>837</v>
      </c>
      <c r="H421" s="2">
        <v>1.9</v>
      </c>
      <c r="I421" s="2">
        <v>85</v>
      </c>
      <c r="J421" s="2">
        <v>75</v>
      </c>
      <c r="K421" s="2">
        <v>60</v>
      </c>
      <c r="L421" s="2">
        <v>20</v>
      </c>
      <c r="M421" s="2"/>
      <c r="N421" s="2" t="s">
        <v>95</v>
      </c>
      <c r="O421" s="10">
        <v>1</v>
      </c>
      <c r="P421" s="14">
        <v>2</v>
      </c>
      <c r="Q421" s="183">
        <v>2</v>
      </c>
      <c r="R421" s="181">
        <v>3</v>
      </c>
      <c r="S421" s="178">
        <f t="shared" si="53"/>
        <v>3</v>
      </c>
      <c r="T421" s="186">
        <f t="shared" si="54"/>
        <v>5</v>
      </c>
      <c r="U421" s="179">
        <f t="shared" si="55"/>
        <v>2</v>
      </c>
      <c r="V421" s="1">
        <f t="shared" si="57"/>
        <v>25</v>
      </c>
      <c r="W421" s="8">
        <f t="shared" si="56"/>
        <v>6.25</v>
      </c>
      <c r="X421" s="15">
        <f t="shared" si="52"/>
        <v>2500</v>
      </c>
    </row>
    <row r="422" spans="1:24">
      <c r="A422" t="s">
        <v>930</v>
      </c>
      <c r="B422" s="163" t="s">
        <v>792</v>
      </c>
      <c r="C422" s="2" t="s">
        <v>516</v>
      </c>
      <c r="D422" s="2" t="s">
        <v>78</v>
      </c>
      <c r="E422" s="3">
        <v>45438.541666666664</v>
      </c>
      <c r="F422" s="2" t="s">
        <v>538</v>
      </c>
      <c r="G422" s="2" t="s">
        <v>862</v>
      </c>
      <c r="H422" s="2">
        <v>2.15</v>
      </c>
      <c r="I422" s="2">
        <v>95</v>
      </c>
      <c r="J422" s="2">
        <v>75</v>
      </c>
      <c r="K422" s="2">
        <v>65</v>
      </c>
      <c r="L422" s="2">
        <v>20</v>
      </c>
      <c r="M422" s="2"/>
      <c r="N422" s="2" t="s">
        <v>95</v>
      </c>
      <c r="O422" s="10">
        <v>1</v>
      </c>
      <c r="P422" s="14">
        <v>1</v>
      </c>
      <c r="Q422" s="183">
        <v>4</v>
      </c>
      <c r="R422" s="181">
        <v>1</v>
      </c>
      <c r="S422" s="178">
        <f t="shared" si="53"/>
        <v>2</v>
      </c>
      <c r="T422" s="186">
        <f t="shared" si="54"/>
        <v>5</v>
      </c>
      <c r="U422" s="179">
        <f t="shared" si="55"/>
        <v>3</v>
      </c>
      <c r="V422" s="1">
        <f t="shared" si="57"/>
        <v>25</v>
      </c>
      <c r="W422" s="8">
        <f t="shared" si="56"/>
        <v>6.25</v>
      </c>
      <c r="X422" s="15">
        <f t="shared" si="52"/>
        <v>2506.25</v>
      </c>
    </row>
    <row r="423" spans="1:24">
      <c r="A423" t="s">
        <v>930</v>
      </c>
      <c r="B423" s="163" t="s">
        <v>28</v>
      </c>
      <c r="C423" s="2" t="s">
        <v>133</v>
      </c>
      <c r="D423" s="2" t="s">
        <v>78</v>
      </c>
      <c r="E423" s="3">
        <v>45382.666666666664</v>
      </c>
      <c r="F423" s="2" t="s">
        <v>466</v>
      </c>
      <c r="G423" s="2" t="s">
        <v>137</v>
      </c>
      <c r="H423" s="2">
        <v>2.2999999999999998</v>
      </c>
      <c r="I423" s="2">
        <v>5.1100000000000003</v>
      </c>
      <c r="J423" s="2">
        <v>60</v>
      </c>
      <c r="K423" s="2">
        <v>0</v>
      </c>
      <c r="L423" s="2">
        <v>20</v>
      </c>
      <c r="M423" s="2">
        <v>1.17</v>
      </c>
      <c r="N423" s="2" t="s">
        <v>95</v>
      </c>
      <c r="O423" s="10">
        <v>1</v>
      </c>
      <c r="P423" s="14">
        <v>2</v>
      </c>
      <c r="Q423" s="183">
        <v>2</v>
      </c>
      <c r="R423" s="181">
        <v>3</v>
      </c>
      <c r="S423" s="178">
        <f t="shared" si="53"/>
        <v>3</v>
      </c>
      <c r="T423" s="186">
        <f t="shared" si="54"/>
        <v>5</v>
      </c>
      <c r="U423" s="179">
        <f t="shared" si="55"/>
        <v>2</v>
      </c>
      <c r="V423" s="1">
        <f t="shared" si="57"/>
        <v>25</v>
      </c>
      <c r="W423" s="8">
        <f t="shared" si="56"/>
        <v>6.25</v>
      </c>
      <c r="X423" s="15">
        <f t="shared" si="52"/>
        <v>2512.5</v>
      </c>
    </row>
    <row r="424" spans="1:24">
      <c r="A424" t="s">
        <v>930</v>
      </c>
      <c r="B424" s="163" t="s">
        <v>35</v>
      </c>
      <c r="C424" s="2" t="s">
        <v>6</v>
      </c>
      <c r="D424" s="2" t="s">
        <v>40</v>
      </c>
      <c r="E424" s="3">
        <v>45292.625</v>
      </c>
      <c r="F424" s="2" t="s">
        <v>41</v>
      </c>
      <c r="G424" s="2" t="s">
        <v>42</v>
      </c>
      <c r="H424" s="2">
        <v>70</v>
      </c>
      <c r="I424" s="2">
        <v>90</v>
      </c>
      <c r="J424" s="2">
        <v>80</v>
      </c>
      <c r="K424" s="2">
        <v>50</v>
      </c>
      <c r="L424" s="2">
        <v>20</v>
      </c>
      <c r="M424" s="2"/>
      <c r="N424" s="2" t="s">
        <v>95</v>
      </c>
      <c r="O424" s="9">
        <v>0</v>
      </c>
      <c r="P424" s="13">
        <v>1</v>
      </c>
      <c r="Q424" s="183">
        <v>3</v>
      </c>
      <c r="R424" s="181">
        <v>2</v>
      </c>
      <c r="S424" s="178">
        <f t="shared" si="53"/>
        <v>1</v>
      </c>
      <c r="T424" s="186">
        <f t="shared" si="54"/>
        <v>5</v>
      </c>
      <c r="U424" s="179">
        <f t="shared" si="55"/>
        <v>4</v>
      </c>
      <c r="V424" s="1">
        <f t="shared" si="57"/>
        <v>25</v>
      </c>
      <c r="W424" s="8">
        <f t="shared" si="56"/>
        <v>6.25</v>
      </c>
      <c r="X424" s="15">
        <f t="shared" si="52"/>
        <v>2518.75</v>
      </c>
    </row>
    <row r="425" spans="1:24">
      <c r="A425" t="s">
        <v>930</v>
      </c>
      <c r="B425" s="163" t="s">
        <v>35</v>
      </c>
      <c r="C425" s="2" t="s">
        <v>6</v>
      </c>
      <c r="D425" s="2" t="s">
        <v>40</v>
      </c>
      <c r="E425" s="3">
        <v>45301.822916666664</v>
      </c>
      <c r="F425" s="2" t="s">
        <v>41</v>
      </c>
      <c r="G425" s="2" t="s">
        <v>93</v>
      </c>
      <c r="H425" s="2">
        <v>71</v>
      </c>
      <c r="I425" s="2">
        <v>95</v>
      </c>
      <c r="J425" s="2">
        <v>85</v>
      </c>
      <c r="K425" s="2">
        <v>45</v>
      </c>
      <c r="L425" s="2">
        <v>20</v>
      </c>
      <c r="M425" s="2"/>
      <c r="N425" s="2" t="s">
        <v>95</v>
      </c>
      <c r="O425" s="9">
        <v>4</v>
      </c>
      <c r="P425" s="13">
        <v>0</v>
      </c>
      <c r="Q425" s="183">
        <v>5</v>
      </c>
      <c r="R425" s="181">
        <v>0</v>
      </c>
      <c r="S425" s="178">
        <f t="shared" si="53"/>
        <v>4</v>
      </c>
      <c r="T425" s="186">
        <f t="shared" si="54"/>
        <v>5</v>
      </c>
      <c r="U425" s="179">
        <f t="shared" si="55"/>
        <v>1</v>
      </c>
      <c r="V425" s="1">
        <f t="shared" si="57"/>
        <v>25</v>
      </c>
      <c r="W425" s="8">
        <f t="shared" si="56"/>
        <v>6.25</v>
      </c>
      <c r="X425" s="15">
        <f t="shared" si="52"/>
        <v>2525</v>
      </c>
    </row>
    <row r="426" spans="1:24">
      <c r="A426" t="s">
        <v>930</v>
      </c>
      <c r="B426" s="163" t="s">
        <v>35</v>
      </c>
      <c r="C426" s="2" t="s">
        <v>6</v>
      </c>
      <c r="D426" s="2" t="s">
        <v>62</v>
      </c>
      <c r="E426" s="3">
        <v>45321.833333333336</v>
      </c>
      <c r="F426" s="2" t="s">
        <v>66</v>
      </c>
      <c r="G426" s="2" t="s">
        <v>85</v>
      </c>
      <c r="H426" s="2">
        <v>73</v>
      </c>
      <c r="I426" s="2">
        <v>85</v>
      </c>
      <c r="J426" s="2">
        <v>55</v>
      </c>
      <c r="K426" s="2">
        <v>40</v>
      </c>
      <c r="L426" s="2">
        <v>20</v>
      </c>
      <c r="M426" s="2">
        <v>1.25</v>
      </c>
      <c r="N426" s="2" t="s">
        <v>95</v>
      </c>
      <c r="O426" s="10">
        <v>2</v>
      </c>
      <c r="P426" s="13">
        <v>2</v>
      </c>
      <c r="Q426" s="183">
        <v>3</v>
      </c>
      <c r="R426" s="181">
        <v>2</v>
      </c>
      <c r="S426" s="178">
        <f t="shared" si="53"/>
        <v>4</v>
      </c>
      <c r="T426" s="186">
        <f t="shared" si="54"/>
        <v>5</v>
      </c>
      <c r="U426" s="179">
        <f t="shared" si="55"/>
        <v>1</v>
      </c>
      <c r="V426" s="1">
        <f t="shared" si="57"/>
        <v>25</v>
      </c>
      <c r="W426" s="8">
        <f t="shared" si="56"/>
        <v>6.25</v>
      </c>
      <c r="X426" s="15">
        <f t="shared" si="52"/>
        <v>2531.25</v>
      </c>
    </row>
    <row r="427" spans="1:24">
      <c r="A427" t="s">
        <v>930</v>
      </c>
      <c r="B427" s="163" t="s">
        <v>35</v>
      </c>
      <c r="C427" s="2" t="s">
        <v>6</v>
      </c>
      <c r="D427" s="2" t="s">
        <v>62</v>
      </c>
      <c r="E427" s="3">
        <v>45332.729166666664</v>
      </c>
      <c r="F427" s="2" t="s">
        <v>264</v>
      </c>
      <c r="G427" s="2" t="s">
        <v>164</v>
      </c>
      <c r="H427" s="2">
        <v>73</v>
      </c>
      <c r="I427" s="2">
        <v>95</v>
      </c>
      <c r="J427" s="2">
        <v>70</v>
      </c>
      <c r="K427" s="2">
        <v>50</v>
      </c>
      <c r="L427" s="2">
        <v>20</v>
      </c>
      <c r="M427" s="2">
        <v>1.73</v>
      </c>
      <c r="N427" s="2" t="s">
        <v>95</v>
      </c>
      <c r="O427" s="10">
        <v>2</v>
      </c>
      <c r="P427" s="13">
        <v>2</v>
      </c>
      <c r="Q427" s="183">
        <v>2</v>
      </c>
      <c r="R427" s="181">
        <v>3</v>
      </c>
      <c r="S427" s="178">
        <f t="shared" si="53"/>
        <v>4</v>
      </c>
      <c r="T427" s="186">
        <f t="shared" si="54"/>
        <v>5</v>
      </c>
      <c r="U427" s="179">
        <f t="shared" si="55"/>
        <v>1</v>
      </c>
      <c r="V427" s="1">
        <f t="shared" si="57"/>
        <v>25</v>
      </c>
      <c r="W427" s="8">
        <f t="shared" si="56"/>
        <v>6.25</v>
      </c>
      <c r="X427" s="15">
        <f t="shared" si="52"/>
        <v>2537.5</v>
      </c>
    </row>
    <row r="428" spans="1:24">
      <c r="A428" t="s">
        <v>930</v>
      </c>
      <c r="B428" s="163" t="s">
        <v>35</v>
      </c>
      <c r="C428" s="2" t="s">
        <v>149</v>
      </c>
      <c r="D428" s="2" t="s">
        <v>150</v>
      </c>
      <c r="E428" s="3">
        <v>45415.791666666664</v>
      </c>
      <c r="F428" s="2" t="s">
        <v>493</v>
      </c>
      <c r="G428" s="2" t="s">
        <v>562</v>
      </c>
      <c r="H428" s="2">
        <v>72</v>
      </c>
      <c r="I428" s="2">
        <v>90</v>
      </c>
      <c r="J428" s="2">
        <v>65</v>
      </c>
      <c r="K428" s="2">
        <v>40</v>
      </c>
      <c r="L428" s="2">
        <v>20</v>
      </c>
      <c r="M428" s="2">
        <v>1.45</v>
      </c>
      <c r="N428" s="2" t="s">
        <v>95</v>
      </c>
      <c r="O428" s="10">
        <v>1</v>
      </c>
      <c r="P428" s="14">
        <v>0</v>
      </c>
      <c r="Q428" s="183">
        <v>4</v>
      </c>
      <c r="R428" s="181">
        <v>1</v>
      </c>
      <c r="S428" s="178">
        <f t="shared" si="53"/>
        <v>1</v>
      </c>
      <c r="T428" s="186">
        <f t="shared" si="54"/>
        <v>5</v>
      </c>
      <c r="U428" s="179">
        <f t="shared" si="55"/>
        <v>4</v>
      </c>
      <c r="V428" s="1">
        <f t="shared" si="57"/>
        <v>25</v>
      </c>
      <c r="W428" s="8">
        <f t="shared" si="56"/>
        <v>6.25</v>
      </c>
      <c r="X428" s="15">
        <f t="shared" si="52"/>
        <v>2543.75</v>
      </c>
    </row>
    <row r="429" spans="1:24">
      <c r="A429" t="s">
        <v>930</v>
      </c>
      <c r="B429" s="163" t="s">
        <v>35</v>
      </c>
      <c r="C429" s="2" t="s">
        <v>149</v>
      </c>
      <c r="D429" s="2" t="s">
        <v>153</v>
      </c>
      <c r="E429" s="3">
        <v>45417.791666666664</v>
      </c>
      <c r="F429" s="2" t="s">
        <v>282</v>
      </c>
      <c r="G429" s="2" t="s">
        <v>205</v>
      </c>
      <c r="H429" s="2">
        <v>69</v>
      </c>
      <c r="I429" s="2">
        <v>90</v>
      </c>
      <c r="J429" s="2">
        <v>65</v>
      </c>
      <c r="K429" s="2">
        <v>45</v>
      </c>
      <c r="L429" s="2">
        <v>20</v>
      </c>
      <c r="M429" s="2">
        <v>1.65</v>
      </c>
      <c r="N429" s="2" t="s">
        <v>95</v>
      </c>
      <c r="O429" s="10">
        <v>2</v>
      </c>
      <c r="P429" s="14">
        <v>0</v>
      </c>
      <c r="Q429" s="183">
        <v>5</v>
      </c>
      <c r="R429" s="181">
        <v>0</v>
      </c>
      <c r="S429" s="178">
        <f t="shared" si="53"/>
        <v>2</v>
      </c>
      <c r="T429" s="186">
        <f t="shared" si="54"/>
        <v>5</v>
      </c>
      <c r="U429" s="179">
        <f t="shared" si="55"/>
        <v>3</v>
      </c>
      <c r="V429" s="1">
        <f t="shared" si="57"/>
        <v>25</v>
      </c>
      <c r="W429" s="8">
        <f t="shared" si="56"/>
        <v>6.25</v>
      </c>
      <c r="X429" s="15">
        <f t="shared" si="52"/>
        <v>2550</v>
      </c>
    </row>
    <row r="430" spans="1:24">
      <c r="A430" t="s">
        <v>930</v>
      </c>
      <c r="B430" s="163" t="s">
        <v>43</v>
      </c>
      <c r="C430" s="2" t="s">
        <v>44</v>
      </c>
      <c r="D430" s="2" t="s">
        <v>45</v>
      </c>
      <c r="E430" s="3">
        <v>45297.447916666664</v>
      </c>
      <c r="F430" s="2" t="s">
        <v>131</v>
      </c>
      <c r="G430" s="2" t="s">
        <v>132</v>
      </c>
      <c r="H430" s="2">
        <v>70</v>
      </c>
      <c r="I430" s="2">
        <v>80</v>
      </c>
      <c r="J430" s="2">
        <v>61</v>
      </c>
      <c r="K430" s="2">
        <v>2.2999999999999998</v>
      </c>
      <c r="L430" s="2"/>
      <c r="M430" s="2"/>
      <c r="N430" s="2" t="s">
        <v>95</v>
      </c>
      <c r="O430" s="10">
        <v>1</v>
      </c>
      <c r="P430" s="13">
        <v>1</v>
      </c>
      <c r="Q430" s="183">
        <v>2</v>
      </c>
      <c r="R430" s="181">
        <v>3</v>
      </c>
      <c r="S430" s="178">
        <f t="shared" si="53"/>
        <v>2</v>
      </c>
      <c r="T430" s="186">
        <f t="shared" si="54"/>
        <v>5</v>
      </c>
      <c r="U430" s="179">
        <f t="shared" si="55"/>
        <v>3</v>
      </c>
      <c r="V430" s="1">
        <f t="shared" si="57"/>
        <v>25</v>
      </c>
      <c r="W430" s="8">
        <f t="shared" si="56"/>
        <v>6.25</v>
      </c>
      <c r="X430" s="15">
        <f t="shared" si="52"/>
        <v>2556.25</v>
      </c>
    </row>
    <row r="431" spans="1:24">
      <c r="A431" t="s">
        <v>930</v>
      </c>
      <c r="B431" s="163" t="s">
        <v>43</v>
      </c>
      <c r="C431" s="2" t="s">
        <v>13</v>
      </c>
      <c r="D431" s="2" t="s">
        <v>37</v>
      </c>
      <c r="E431" s="3">
        <v>45328.822916666664</v>
      </c>
      <c r="F431" s="2" t="s">
        <v>38</v>
      </c>
      <c r="G431" s="2" t="s">
        <v>323</v>
      </c>
      <c r="H431" s="2">
        <v>67</v>
      </c>
      <c r="I431" s="2">
        <v>90</v>
      </c>
      <c r="J431" s="2">
        <v>63</v>
      </c>
      <c r="K431" s="2">
        <v>2.1</v>
      </c>
      <c r="L431" s="2">
        <v>1.36</v>
      </c>
      <c r="M431" s="2"/>
      <c r="N431" s="2" t="s">
        <v>95</v>
      </c>
      <c r="O431" s="10">
        <v>3</v>
      </c>
      <c r="P431" s="13">
        <v>0</v>
      </c>
      <c r="Q431" s="183">
        <v>5</v>
      </c>
      <c r="R431" s="181">
        <v>0</v>
      </c>
      <c r="S431" s="178">
        <f t="shared" si="53"/>
        <v>3</v>
      </c>
      <c r="T431" s="186">
        <f t="shared" si="54"/>
        <v>5</v>
      </c>
      <c r="U431" s="179">
        <f t="shared" si="55"/>
        <v>2</v>
      </c>
      <c r="V431" s="1">
        <f t="shared" si="57"/>
        <v>25</v>
      </c>
      <c r="W431" s="8">
        <f t="shared" si="56"/>
        <v>6.25</v>
      </c>
      <c r="X431" s="15">
        <f t="shared" si="52"/>
        <v>2562.5</v>
      </c>
    </row>
    <row r="432" spans="1:24">
      <c r="A432" t="s">
        <v>930</v>
      </c>
      <c r="B432" s="163" t="s">
        <v>43</v>
      </c>
      <c r="C432" s="2" t="s">
        <v>44</v>
      </c>
      <c r="D432" s="2" t="s">
        <v>45</v>
      </c>
      <c r="E432" s="3">
        <v>45339.447916666664</v>
      </c>
      <c r="F432" s="2" t="s">
        <v>131</v>
      </c>
      <c r="G432" s="2" t="s">
        <v>233</v>
      </c>
      <c r="H432" s="2">
        <v>71</v>
      </c>
      <c r="I432" s="2">
        <v>69</v>
      </c>
      <c r="J432" s="2">
        <v>59</v>
      </c>
      <c r="K432" s="2">
        <v>2.6</v>
      </c>
      <c r="L432" s="2">
        <v>1.38</v>
      </c>
      <c r="M432" s="2"/>
      <c r="N432" s="2" t="s">
        <v>95</v>
      </c>
      <c r="O432" s="10">
        <v>1</v>
      </c>
      <c r="P432" s="14">
        <v>2</v>
      </c>
      <c r="Q432" s="183">
        <v>3</v>
      </c>
      <c r="R432" s="181">
        <v>2</v>
      </c>
      <c r="S432" s="178">
        <f t="shared" si="53"/>
        <v>3</v>
      </c>
      <c r="T432" s="186">
        <f t="shared" si="54"/>
        <v>5</v>
      </c>
      <c r="U432" s="179">
        <f t="shared" si="55"/>
        <v>2</v>
      </c>
      <c r="V432" s="1">
        <f t="shared" si="57"/>
        <v>25</v>
      </c>
      <c r="W432" s="8">
        <f t="shared" si="56"/>
        <v>6.25</v>
      </c>
      <c r="X432" s="15">
        <f t="shared" ref="X432:X491" si="58">SUM(X431,W432)</f>
        <v>2568.75</v>
      </c>
    </row>
    <row r="433" spans="1:25">
      <c r="A433" t="s">
        <v>930</v>
      </c>
      <c r="B433" s="163" t="s">
        <v>43</v>
      </c>
      <c r="C433" s="2" t="s">
        <v>20</v>
      </c>
      <c r="D433" s="2" t="s">
        <v>21</v>
      </c>
      <c r="E433" s="3">
        <v>45347.479166666664</v>
      </c>
      <c r="F433" s="2" t="s">
        <v>358</v>
      </c>
      <c r="G433" s="2" t="s">
        <v>402</v>
      </c>
      <c r="H433" s="2">
        <v>77</v>
      </c>
      <c r="I433" s="2">
        <v>67</v>
      </c>
      <c r="J433" s="2">
        <v>63</v>
      </c>
      <c r="K433" s="2">
        <v>1.7</v>
      </c>
      <c r="L433" s="2">
        <v>1.29</v>
      </c>
      <c r="M433" s="2"/>
      <c r="N433" s="2" t="s">
        <v>95</v>
      </c>
      <c r="O433" s="10">
        <v>2</v>
      </c>
      <c r="P433" s="14">
        <v>2</v>
      </c>
      <c r="Q433" s="183">
        <v>3</v>
      </c>
      <c r="R433" s="181">
        <v>2</v>
      </c>
      <c r="S433" s="178">
        <f t="shared" si="53"/>
        <v>4</v>
      </c>
      <c r="T433" s="186">
        <f t="shared" si="54"/>
        <v>5</v>
      </c>
      <c r="U433" s="179">
        <f t="shared" si="55"/>
        <v>1</v>
      </c>
      <c r="V433" s="1">
        <f t="shared" si="57"/>
        <v>25</v>
      </c>
      <c r="W433" s="8">
        <f t="shared" si="56"/>
        <v>6.25</v>
      </c>
      <c r="X433" s="15">
        <f t="shared" si="58"/>
        <v>2575</v>
      </c>
    </row>
    <row r="434" spans="1:25">
      <c r="A434" t="s">
        <v>930</v>
      </c>
      <c r="B434" s="163" t="s">
        <v>43</v>
      </c>
      <c r="C434" s="2" t="s">
        <v>6</v>
      </c>
      <c r="D434" s="2" t="s">
        <v>14</v>
      </c>
      <c r="E434" s="3">
        <v>45361.5</v>
      </c>
      <c r="F434" s="2" t="s">
        <v>421</v>
      </c>
      <c r="G434" s="2" t="s">
        <v>414</v>
      </c>
      <c r="H434" s="2">
        <v>67</v>
      </c>
      <c r="I434" s="2">
        <v>67</v>
      </c>
      <c r="J434" s="2">
        <v>57</v>
      </c>
      <c r="K434" s="2">
        <v>1.55</v>
      </c>
      <c r="L434" s="2">
        <v>1.1299999999999999</v>
      </c>
      <c r="M434" s="2"/>
      <c r="N434" s="2" t="s">
        <v>95</v>
      </c>
      <c r="O434" s="10">
        <v>1</v>
      </c>
      <c r="P434" s="14">
        <v>0</v>
      </c>
      <c r="Q434" s="183">
        <v>1</v>
      </c>
      <c r="R434" s="181">
        <v>4</v>
      </c>
      <c r="S434" s="178">
        <f t="shared" si="53"/>
        <v>1</v>
      </c>
      <c r="T434" s="186">
        <f t="shared" si="54"/>
        <v>5</v>
      </c>
      <c r="U434" s="179">
        <f t="shared" si="55"/>
        <v>4</v>
      </c>
      <c r="V434" s="1">
        <f t="shared" si="57"/>
        <v>25</v>
      </c>
      <c r="W434" s="8">
        <f t="shared" si="56"/>
        <v>6.25</v>
      </c>
      <c r="X434" s="15">
        <f t="shared" si="58"/>
        <v>2581.25</v>
      </c>
    </row>
    <row r="435" spans="1:25">
      <c r="A435" t="s">
        <v>930</v>
      </c>
      <c r="B435" s="163" t="s">
        <v>43</v>
      </c>
      <c r="C435" s="2" t="s">
        <v>434</v>
      </c>
      <c r="D435" s="2" t="s">
        <v>435</v>
      </c>
      <c r="E435" s="3">
        <v>45383.625</v>
      </c>
      <c r="F435" s="2" t="s">
        <v>437</v>
      </c>
      <c r="G435" s="2" t="s">
        <v>533</v>
      </c>
      <c r="H435" s="2">
        <v>67</v>
      </c>
      <c r="I435" s="2">
        <v>67</v>
      </c>
      <c r="J435" s="2">
        <v>64</v>
      </c>
      <c r="K435" s="2">
        <v>1.7</v>
      </c>
      <c r="L435" s="2">
        <v>1.1599999999999999</v>
      </c>
      <c r="M435" s="2"/>
      <c r="N435" s="2" t="s">
        <v>95</v>
      </c>
      <c r="O435" s="10">
        <v>0</v>
      </c>
      <c r="P435" s="14">
        <v>1</v>
      </c>
      <c r="Q435" s="183">
        <v>2</v>
      </c>
      <c r="R435" s="181">
        <v>3</v>
      </c>
      <c r="S435" s="178">
        <f t="shared" si="53"/>
        <v>1</v>
      </c>
      <c r="T435" s="186">
        <f t="shared" si="54"/>
        <v>5</v>
      </c>
      <c r="U435" s="179">
        <f t="shared" si="55"/>
        <v>4</v>
      </c>
      <c r="V435" s="1">
        <f t="shared" si="57"/>
        <v>25</v>
      </c>
      <c r="W435" s="8">
        <f t="shared" si="56"/>
        <v>6.25</v>
      </c>
      <c r="X435" s="15">
        <f t="shared" si="58"/>
        <v>2587.5</v>
      </c>
    </row>
    <row r="436" spans="1:25">
      <c r="A436" t="s">
        <v>930</v>
      </c>
      <c r="B436" s="163" t="s">
        <v>43</v>
      </c>
      <c r="C436" s="2" t="s">
        <v>149</v>
      </c>
      <c r="D436" s="2" t="s">
        <v>150</v>
      </c>
      <c r="E436" s="3">
        <v>45408.791666666664</v>
      </c>
      <c r="F436" s="2" t="s">
        <v>331</v>
      </c>
      <c r="G436" s="2" t="s">
        <v>332</v>
      </c>
      <c r="H436" s="2">
        <v>67</v>
      </c>
      <c r="I436" s="2">
        <v>75</v>
      </c>
      <c r="J436" s="2">
        <v>62</v>
      </c>
      <c r="K436" s="2">
        <v>1.65</v>
      </c>
      <c r="L436" s="2">
        <v>1.31</v>
      </c>
      <c r="M436" s="2"/>
      <c r="N436" s="2" t="s">
        <v>95</v>
      </c>
      <c r="O436" s="10">
        <v>0</v>
      </c>
      <c r="P436" s="14">
        <v>1</v>
      </c>
      <c r="Q436" s="183">
        <v>2</v>
      </c>
      <c r="R436" s="181">
        <v>3</v>
      </c>
      <c r="S436" s="178">
        <f t="shared" si="53"/>
        <v>1</v>
      </c>
      <c r="T436" s="186">
        <f t="shared" si="54"/>
        <v>5</v>
      </c>
      <c r="U436" s="179">
        <f t="shared" si="55"/>
        <v>4</v>
      </c>
      <c r="V436" s="1">
        <f t="shared" ref="V436:V467" si="59">SUM($X$1*0.05)</f>
        <v>25</v>
      </c>
      <c r="W436" s="8">
        <f t="shared" si="56"/>
        <v>6.25</v>
      </c>
      <c r="X436" s="15">
        <f t="shared" si="58"/>
        <v>2593.75</v>
      </c>
    </row>
    <row r="437" spans="1:25">
      <c r="A437" t="s">
        <v>930</v>
      </c>
      <c r="B437" s="163" t="s">
        <v>43</v>
      </c>
      <c r="C437" s="2" t="s">
        <v>13</v>
      </c>
      <c r="D437" s="2" t="s">
        <v>37</v>
      </c>
      <c r="E437" s="3">
        <v>45427.8125</v>
      </c>
      <c r="F437" s="2" t="s">
        <v>324</v>
      </c>
      <c r="G437" s="2" t="s">
        <v>99</v>
      </c>
      <c r="H437" s="2">
        <v>72</v>
      </c>
      <c r="I437" s="2">
        <v>67</v>
      </c>
      <c r="J437" s="2">
        <v>62</v>
      </c>
      <c r="K437" s="2">
        <v>2.1</v>
      </c>
      <c r="L437" s="2">
        <v>1.53</v>
      </c>
      <c r="M437" s="2"/>
      <c r="N437" s="2" t="s">
        <v>95</v>
      </c>
      <c r="O437" s="10">
        <v>0</v>
      </c>
      <c r="P437" s="14">
        <v>3</v>
      </c>
      <c r="Q437" s="183">
        <v>0</v>
      </c>
      <c r="R437" s="181">
        <v>5</v>
      </c>
      <c r="S437" s="178">
        <f t="shared" si="53"/>
        <v>3</v>
      </c>
      <c r="T437" s="186">
        <f t="shared" si="54"/>
        <v>5</v>
      </c>
      <c r="U437" s="179">
        <f t="shared" si="55"/>
        <v>2</v>
      </c>
      <c r="V437" s="1">
        <f t="shared" si="59"/>
        <v>25</v>
      </c>
      <c r="W437" s="8">
        <f t="shared" si="56"/>
        <v>6.25</v>
      </c>
      <c r="X437" s="15">
        <f t="shared" si="58"/>
        <v>2600</v>
      </c>
    </row>
    <row r="438" spans="1:25">
      <c r="A438" t="s">
        <v>930</v>
      </c>
      <c r="B438" s="163" t="s">
        <v>43</v>
      </c>
      <c r="C438" s="2" t="s">
        <v>516</v>
      </c>
      <c r="D438" s="2" t="s">
        <v>78</v>
      </c>
      <c r="E438" s="3">
        <v>45438.541666666664</v>
      </c>
      <c r="F438" s="2" t="s">
        <v>538</v>
      </c>
      <c r="G438" s="2" t="s">
        <v>862</v>
      </c>
      <c r="H438" s="2">
        <v>70</v>
      </c>
      <c r="I438" s="2">
        <v>67</v>
      </c>
      <c r="J438" s="2">
        <v>65</v>
      </c>
      <c r="K438" s="2">
        <v>2.15</v>
      </c>
      <c r="L438" s="2">
        <v>1.61</v>
      </c>
      <c r="M438" s="2"/>
      <c r="N438" s="2" t="s">
        <v>95</v>
      </c>
      <c r="O438" s="10">
        <v>1</v>
      </c>
      <c r="P438" s="14">
        <v>1</v>
      </c>
      <c r="Q438" s="183">
        <v>4</v>
      </c>
      <c r="R438" s="181">
        <v>1</v>
      </c>
      <c r="S438" s="178">
        <f t="shared" si="53"/>
        <v>2</v>
      </c>
      <c r="T438" s="186">
        <f t="shared" si="54"/>
        <v>5</v>
      </c>
      <c r="U438" s="179">
        <f t="shared" si="55"/>
        <v>3</v>
      </c>
      <c r="V438" s="1">
        <f t="shared" si="59"/>
        <v>25</v>
      </c>
      <c r="W438" s="8">
        <f t="shared" si="56"/>
        <v>6.25</v>
      </c>
      <c r="X438" s="15">
        <f t="shared" si="58"/>
        <v>2606.25</v>
      </c>
    </row>
    <row r="439" spans="1:25">
      <c r="A439" t="s">
        <v>930</v>
      </c>
      <c r="B439" s="163" t="s">
        <v>726</v>
      </c>
      <c r="C439" s="2" t="s">
        <v>89</v>
      </c>
      <c r="D439" s="2" t="s">
        <v>90</v>
      </c>
      <c r="E439" s="3">
        <v>45395.604166666664</v>
      </c>
      <c r="F439" s="2" t="s">
        <v>483</v>
      </c>
      <c r="G439" s="2" t="s">
        <v>91</v>
      </c>
      <c r="H439" s="2">
        <v>90</v>
      </c>
      <c r="I439" s="2">
        <v>20</v>
      </c>
      <c r="J439" s="2">
        <v>2.2999999999999998</v>
      </c>
      <c r="K439" s="2">
        <v>61</v>
      </c>
      <c r="L439" s="2"/>
      <c r="M439" s="2"/>
      <c r="N439" s="2" t="s">
        <v>95</v>
      </c>
      <c r="O439" s="10">
        <v>0</v>
      </c>
      <c r="P439" s="14">
        <v>1</v>
      </c>
      <c r="Q439" s="183">
        <v>0</v>
      </c>
      <c r="R439" s="181">
        <v>5</v>
      </c>
      <c r="S439" s="178">
        <f t="shared" si="53"/>
        <v>1</v>
      </c>
      <c r="T439" s="186">
        <f t="shared" si="54"/>
        <v>5</v>
      </c>
      <c r="U439" s="179">
        <f t="shared" si="55"/>
        <v>4</v>
      </c>
      <c r="V439" s="1">
        <f t="shared" si="59"/>
        <v>25</v>
      </c>
      <c r="W439" s="8">
        <f t="shared" si="56"/>
        <v>6.25</v>
      </c>
      <c r="X439" s="15">
        <f t="shared" si="58"/>
        <v>2612.5</v>
      </c>
    </row>
    <row r="440" spans="1:25">
      <c r="A440" t="s">
        <v>930</v>
      </c>
      <c r="B440" s="163" t="s">
        <v>726</v>
      </c>
      <c r="C440" s="2" t="s">
        <v>89</v>
      </c>
      <c r="D440" s="2" t="s">
        <v>90</v>
      </c>
      <c r="E440" s="3">
        <v>45395.604166666664</v>
      </c>
      <c r="F440" s="2" t="s">
        <v>478</v>
      </c>
      <c r="G440" s="2" t="s">
        <v>92</v>
      </c>
      <c r="H440" s="2">
        <v>85</v>
      </c>
      <c r="I440" s="2">
        <v>20</v>
      </c>
      <c r="J440" s="2">
        <v>1.85</v>
      </c>
      <c r="K440" s="2">
        <v>63</v>
      </c>
      <c r="L440" s="2"/>
      <c r="M440" s="2"/>
      <c r="N440" s="2" t="s">
        <v>95</v>
      </c>
      <c r="O440" s="10">
        <v>1</v>
      </c>
      <c r="P440" s="14">
        <v>0</v>
      </c>
      <c r="Q440" s="183">
        <v>5</v>
      </c>
      <c r="R440" s="181">
        <v>0</v>
      </c>
      <c r="S440" s="178">
        <f t="shared" si="53"/>
        <v>1</v>
      </c>
      <c r="T440" s="186">
        <f t="shared" si="54"/>
        <v>5</v>
      </c>
      <c r="U440" s="179">
        <f t="shared" si="55"/>
        <v>4</v>
      </c>
      <c r="V440" s="1">
        <f t="shared" si="59"/>
        <v>25</v>
      </c>
      <c r="W440" s="8">
        <f t="shared" si="56"/>
        <v>6.25</v>
      </c>
      <c r="X440" s="15">
        <f t="shared" si="58"/>
        <v>2618.75</v>
      </c>
    </row>
    <row r="441" spans="1:25">
      <c r="A441" t="s">
        <v>930</v>
      </c>
      <c r="B441" s="163" t="s">
        <v>726</v>
      </c>
      <c r="C441" s="2" t="s">
        <v>13</v>
      </c>
      <c r="D441" s="2" t="s">
        <v>14</v>
      </c>
      <c r="E441" s="3">
        <v>45395.625</v>
      </c>
      <c r="F441" s="2" t="s">
        <v>682</v>
      </c>
      <c r="G441" s="2" t="s">
        <v>30</v>
      </c>
      <c r="H441" s="2">
        <v>80</v>
      </c>
      <c r="I441" s="2">
        <v>20</v>
      </c>
      <c r="J441" s="2">
        <v>1.9</v>
      </c>
      <c r="K441" s="2">
        <v>60</v>
      </c>
      <c r="L441" s="2"/>
      <c r="M441" s="2"/>
      <c r="N441" s="2" t="s">
        <v>95</v>
      </c>
      <c r="O441" s="10">
        <v>3</v>
      </c>
      <c r="P441" s="14">
        <v>0</v>
      </c>
      <c r="Q441" s="183">
        <v>5</v>
      </c>
      <c r="R441" s="181">
        <v>0</v>
      </c>
      <c r="S441" s="178">
        <f t="shared" si="53"/>
        <v>3</v>
      </c>
      <c r="T441" s="186">
        <f t="shared" si="54"/>
        <v>5</v>
      </c>
      <c r="U441" s="179">
        <f t="shared" si="55"/>
        <v>2</v>
      </c>
      <c r="V441" s="1">
        <f t="shared" si="59"/>
        <v>25</v>
      </c>
      <c r="W441" s="8">
        <f t="shared" si="56"/>
        <v>6.25</v>
      </c>
      <c r="X441" s="15">
        <f t="shared" si="58"/>
        <v>2625</v>
      </c>
    </row>
    <row r="442" spans="1:25">
      <c r="A442" t="s">
        <v>930</v>
      </c>
      <c r="B442" s="163" t="s">
        <v>726</v>
      </c>
      <c r="C442" s="2" t="s">
        <v>6</v>
      </c>
      <c r="D442" s="2" t="s">
        <v>62</v>
      </c>
      <c r="E442" s="3">
        <v>45402.625</v>
      </c>
      <c r="F442" s="2" t="s">
        <v>85</v>
      </c>
      <c r="G442" s="2" t="s">
        <v>103</v>
      </c>
      <c r="H442" s="2">
        <v>85</v>
      </c>
      <c r="I442" s="2">
        <v>20</v>
      </c>
      <c r="J442" s="2">
        <v>1.95</v>
      </c>
      <c r="K442" s="2">
        <v>61</v>
      </c>
      <c r="L442" s="2"/>
      <c r="M442" s="2"/>
      <c r="N442" s="2" t="s">
        <v>95</v>
      </c>
      <c r="O442" s="10">
        <v>0</v>
      </c>
      <c r="P442" s="14">
        <v>2</v>
      </c>
      <c r="Q442" s="183">
        <v>1</v>
      </c>
      <c r="R442" s="181">
        <v>4</v>
      </c>
      <c r="S442" s="178">
        <f t="shared" si="53"/>
        <v>2</v>
      </c>
      <c r="T442" s="186">
        <f t="shared" si="54"/>
        <v>5</v>
      </c>
      <c r="U442" s="179">
        <f t="shared" si="55"/>
        <v>3</v>
      </c>
      <c r="V442" s="1">
        <f t="shared" si="59"/>
        <v>25</v>
      </c>
      <c r="W442" s="8">
        <f t="shared" si="56"/>
        <v>6.25</v>
      </c>
      <c r="X442" s="15">
        <f t="shared" si="58"/>
        <v>2631.25</v>
      </c>
    </row>
    <row r="443" spans="1:25">
      <c r="A443" t="s">
        <v>930</v>
      </c>
      <c r="B443" s="163" t="s">
        <v>726</v>
      </c>
      <c r="C443" s="2" t="s">
        <v>77</v>
      </c>
      <c r="D443" s="2" t="s">
        <v>234</v>
      </c>
      <c r="E443" s="3">
        <v>45403.520833333336</v>
      </c>
      <c r="F443" s="2" t="s">
        <v>729</v>
      </c>
      <c r="G443" s="2" t="s">
        <v>475</v>
      </c>
      <c r="H443" s="2">
        <v>90</v>
      </c>
      <c r="I443" s="2">
        <v>20</v>
      </c>
      <c r="J443" s="2">
        <v>2.0499999999999998</v>
      </c>
      <c r="K443" s="2">
        <v>59</v>
      </c>
      <c r="L443" s="2"/>
      <c r="M443" s="2"/>
      <c r="N443" s="2" t="s">
        <v>95</v>
      </c>
      <c r="O443" s="10">
        <v>2</v>
      </c>
      <c r="P443" s="14">
        <v>1</v>
      </c>
      <c r="Q443" s="183">
        <v>3</v>
      </c>
      <c r="R443" s="181">
        <v>2</v>
      </c>
      <c r="S443" s="178">
        <f t="shared" si="53"/>
        <v>3</v>
      </c>
      <c r="T443" s="186">
        <f t="shared" si="54"/>
        <v>5</v>
      </c>
      <c r="U443" s="179">
        <f t="shared" si="55"/>
        <v>2</v>
      </c>
      <c r="V443" s="1">
        <f t="shared" si="59"/>
        <v>25</v>
      </c>
      <c r="W443" s="8">
        <f t="shared" si="56"/>
        <v>6.25</v>
      </c>
      <c r="X443" s="15">
        <f t="shared" si="58"/>
        <v>2637.5</v>
      </c>
    </row>
    <row r="444" spans="1:25">
      <c r="A444" t="s">
        <v>930</v>
      </c>
      <c r="B444" s="163" t="s">
        <v>726</v>
      </c>
      <c r="C444" s="2" t="s">
        <v>119</v>
      </c>
      <c r="D444" s="2" t="s">
        <v>120</v>
      </c>
      <c r="E444" s="3">
        <v>45403.833333333336</v>
      </c>
      <c r="F444" s="2" t="s">
        <v>122</v>
      </c>
      <c r="G444" s="2" t="s">
        <v>361</v>
      </c>
      <c r="H444" s="2">
        <v>90</v>
      </c>
      <c r="I444" s="2">
        <v>20</v>
      </c>
      <c r="J444" s="2">
        <v>1.9</v>
      </c>
      <c r="K444" s="2">
        <v>64</v>
      </c>
      <c r="L444" s="2"/>
      <c r="M444" s="2"/>
      <c r="N444" s="2" t="s">
        <v>95</v>
      </c>
      <c r="O444" s="10">
        <v>1</v>
      </c>
      <c r="P444" s="14">
        <v>1</v>
      </c>
      <c r="Q444" s="183">
        <v>3</v>
      </c>
      <c r="R444" s="181">
        <v>2</v>
      </c>
      <c r="S444" s="178">
        <f t="shared" si="53"/>
        <v>2</v>
      </c>
      <c r="T444" s="186">
        <f t="shared" si="54"/>
        <v>5</v>
      </c>
      <c r="U444" s="179">
        <f t="shared" si="55"/>
        <v>3</v>
      </c>
      <c r="V444" s="1">
        <f t="shared" si="59"/>
        <v>25</v>
      </c>
      <c r="W444" s="8">
        <f t="shared" si="56"/>
        <v>6.25</v>
      </c>
      <c r="X444" s="15">
        <f t="shared" si="58"/>
        <v>2643.75</v>
      </c>
    </row>
    <row r="445" spans="1:25">
      <c r="A445" t="s">
        <v>930</v>
      </c>
      <c r="B445" s="163" t="s">
        <v>726</v>
      </c>
      <c r="C445" s="2" t="s">
        <v>6</v>
      </c>
      <c r="D445" s="2" t="s">
        <v>62</v>
      </c>
      <c r="E445" s="3">
        <v>45405.833333333336</v>
      </c>
      <c r="F445" s="2" t="s">
        <v>73</v>
      </c>
      <c r="G445" s="2" t="s">
        <v>65</v>
      </c>
      <c r="H445" s="2">
        <v>95</v>
      </c>
      <c r="I445" s="2">
        <v>20</v>
      </c>
      <c r="J445" s="2">
        <v>2.1</v>
      </c>
      <c r="K445" s="2">
        <v>64</v>
      </c>
      <c r="L445" s="2"/>
      <c r="M445" s="2"/>
      <c r="N445" s="2" t="s">
        <v>95</v>
      </c>
      <c r="O445" s="10">
        <v>1</v>
      </c>
      <c r="P445" s="14">
        <v>0</v>
      </c>
      <c r="Q445" s="183">
        <v>5</v>
      </c>
      <c r="R445" s="181">
        <v>0</v>
      </c>
      <c r="S445" s="178">
        <f t="shared" si="53"/>
        <v>1</v>
      </c>
      <c r="T445" s="186">
        <f t="shared" si="54"/>
        <v>5</v>
      </c>
      <c r="U445" s="179">
        <f t="shared" si="55"/>
        <v>4</v>
      </c>
      <c r="V445" s="1">
        <f t="shared" si="59"/>
        <v>25</v>
      </c>
      <c r="W445" s="8">
        <f t="shared" si="56"/>
        <v>6.25</v>
      </c>
      <c r="X445" s="15">
        <f t="shared" si="58"/>
        <v>2650</v>
      </c>
    </row>
    <row r="446" spans="1:25">
      <c r="A446" t="s">
        <v>930</v>
      </c>
      <c r="B446" s="163" t="s">
        <v>726</v>
      </c>
      <c r="C446" s="2" t="s">
        <v>31</v>
      </c>
      <c r="D446" s="2" t="s">
        <v>32</v>
      </c>
      <c r="E446" s="3">
        <v>45409.729166666664</v>
      </c>
      <c r="F446" s="2" t="s">
        <v>777</v>
      </c>
      <c r="G446" s="2" t="s">
        <v>261</v>
      </c>
      <c r="H446" s="2">
        <v>85</v>
      </c>
      <c r="I446" s="2">
        <v>20</v>
      </c>
      <c r="J446" s="2">
        <v>2</v>
      </c>
      <c r="K446" s="2">
        <v>62</v>
      </c>
      <c r="L446" s="2"/>
      <c r="M446" s="2"/>
      <c r="N446" s="2" t="s">
        <v>95</v>
      </c>
      <c r="O446" s="10">
        <v>3</v>
      </c>
      <c r="P446" s="14">
        <v>0</v>
      </c>
      <c r="Q446" s="183">
        <v>5</v>
      </c>
      <c r="R446" s="181">
        <v>0</v>
      </c>
      <c r="S446" s="178">
        <f t="shared" si="53"/>
        <v>3</v>
      </c>
      <c r="T446" s="186">
        <f t="shared" si="54"/>
        <v>5</v>
      </c>
      <c r="U446" s="179">
        <f t="shared" si="55"/>
        <v>2</v>
      </c>
      <c r="V446" s="1">
        <f t="shared" si="59"/>
        <v>25</v>
      </c>
      <c r="W446" s="8">
        <f t="shared" si="56"/>
        <v>6.25</v>
      </c>
      <c r="X446" s="15">
        <f t="shared" si="58"/>
        <v>2656.25</v>
      </c>
      <c r="Y446" s="16">
        <v>9</v>
      </c>
    </row>
    <row r="447" spans="1:25">
      <c r="A447" t="s">
        <v>930</v>
      </c>
      <c r="B447" s="163" t="s">
        <v>726</v>
      </c>
      <c r="C447" s="2" t="s">
        <v>6</v>
      </c>
      <c r="D447" s="2" t="s">
        <v>62</v>
      </c>
      <c r="E447" s="3">
        <v>45410.583333333336</v>
      </c>
      <c r="F447" s="2" t="s">
        <v>116</v>
      </c>
      <c r="G447" s="2" t="s">
        <v>73</v>
      </c>
      <c r="H447" s="2">
        <v>85</v>
      </c>
      <c r="I447" s="2">
        <v>20</v>
      </c>
      <c r="J447" s="2">
        <v>1.9</v>
      </c>
      <c r="K447" s="2">
        <v>60</v>
      </c>
      <c r="L447" s="2"/>
      <c r="M447" s="2"/>
      <c r="N447" s="2" t="s">
        <v>95</v>
      </c>
      <c r="O447" s="10">
        <v>0</v>
      </c>
      <c r="P447" s="14">
        <v>3</v>
      </c>
      <c r="Q447" s="183">
        <v>2</v>
      </c>
      <c r="R447" s="181">
        <v>3</v>
      </c>
      <c r="S447" s="178">
        <f t="shared" si="53"/>
        <v>3</v>
      </c>
      <c r="T447" s="186">
        <f t="shared" si="54"/>
        <v>5</v>
      </c>
      <c r="U447" s="179">
        <f t="shared" si="55"/>
        <v>2</v>
      </c>
      <c r="V447" s="1">
        <f t="shared" si="59"/>
        <v>25</v>
      </c>
      <c r="W447" s="8">
        <f t="shared" si="56"/>
        <v>6.25</v>
      </c>
      <c r="X447" s="15">
        <f t="shared" si="58"/>
        <v>2662.5</v>
      </c>
    </row>
    <row r="448" spans="1:25">
      <c r="A448" t="s">
        <v>930</v>
      </c>
      <c r="B448" s="163" t="s">
        <v>726</v>
      </c>
      <c r="C448" s="2" t="s">
        <v>133</v>
      </c>
      <c r="D448" s="2" t="s">
        <v>78</v>
      </c>
      <c r="E448" s="3">
        <v>45410.625</v>
      </c>
      <c r="F448" s="2" t="s">
        <v>488</v>
      </c>
      <c r="G448" s="2" t="s">
        <v>394</v>
      </c>
      <c r="H448" s="2">
        <v>90</v>
      </c>
      <c r="I448" s="2">
        <v>20</v>
      </c>
      <c r="J448" s="2">
        <v>2</v>
      </c>
      <c r="K448" s="2">
        <v>62</v>
      </c>
      <c r="L448" s="2"/>
      <c r="M448" s="2"/>
      <c r="N448" s="2" t="s">
        <v>95</v>
      </c>
      <c r="O448" s="10">
        <v>2</v>
      </c>
      <c r="P448" s="14">
        <v>0</v>
      </c>
      <c r="Q448" s="183">
        <v>4</v>
      </c>
      <c r="R448" s="181">
        <v>1</v>
      </c>
      <c r="S448" s="178">
        <f t="shared" si="53"/>
        <v>2</v>
      </c>
      <c r="T448" s="186">
        <f t="shared" si="54"/>
        <v>5</v>
      </c>
      <c r="U448" s="179">
        <f t="shared" si="55"/>
        <v>3</v>
      </c>
      <c r="V448" s="1">
        <f t="shared" si="59"/>
        <v>25</v>
      </c>
      <c r="W448" s="8">
        <f t="shared" si="56"/>
        <v>6.25</v>
      </c>
      <c r="X448" s="15">
        <f t="shared" si="58"/>
        <v>2668.75</v>
      </c>
    </row>
    <row r="449" spans="1:24">
      <c r="A449" t="s">
        <v>930</v>
      </c>
      <c r="B449" s="163" t="s">
        <v>726</v>
      </c>
      <c r="C449" s="2" t="s">
        <v>149</v>
      </c>
      <c r="D449" s="2" t="s">
        <v>150</v>
      </c>
      <c r="E449" s="3">
        <v>45415.791666666664</v>
      </c>
      <c r="F449" s="2" t="s">
        <v>700</v>
      </c>
      <c r="G449" s="2" t="s">
        <v>152</v>
      </c>
      <c r="H449" s="2">
        <v>90</v>
      </c>
      <c r="I449" s="2">
        <v>20</v>
      </c>
      <c r="J449" s="2">
        <v>2.2000000000000002</v>
      </c>
      <c r="K449" s="2">
        <v>62</v>
      </c>
      <c r="L449" s="2"/>
      <c r="M449" s="2"/>
      <c r="N449" s="2" t="s">
        <v>95</v>
      </c>
      <c r="O449" s="10">
        <v>1</v>
      </c>
      <c r="P449" s="14">
        <v>2</v>
      </c>
      <c r="Q449" s="183">
        <v>2</v>
      </c>
      <c r="R449" s="181">
        <v>3</v>
      </c>
      <c r="S449" s="178">
        <f t="shared" ref="S449:S512" si="60">SUM(O449:P449)</f>
        <v>3</v>
      </c>
      <c r="T449" s="186">
        <f t="shared" ref="T449:T512" si="61">SUM(Q449:R449)</f>
        <v>5</v>
      </c>
      <c r="U449" s="179">
        <f t="shared" ref="U449:U512" si="62">SUM(T449-S449)</f>
        <v>2</v>
      </c>
      <c r="V449" s="1">
        <f t="shared" si="59"/>
        <v>25</v>
      </c>
      <c r="W449" s="8">
        <f t="shared" si="56"/>
        <v>6.25</v>
      </c>
      <c r="X449" s="15">
        <f t="shared" si="58"/>
        <v>2675</v>
      </c>
    </row>
    <row r="450" spans="1:24">
      <c r="A450" t="s">
        <v>930</v>
      </c>
      <c r="B450" s="163" t="s">
        <v>726</v>
      </c>
      <c r="C450" s="2" t="s">
        <v>13</v>
      </c>
      <c r="D450" s="2" t="s">
        <v>14</v>
      </c>
      <c r="E450" s="3">
        <v>45415.822916666664</v>
      </c>
      <c r="F450" s="2" t="s">
        <v>29</v>
      </c>
      <c r="G450" s="2" t="s">
        <v>30</v>
      </c>
      <c r="H450" s="2">
        <v>90</v>
      </c>
      <c r="I450" s="2">
        <v>20</v>
      </c>
      <c r="J450" s="2">
        <v>2.0499999999999998</v>
      </c>
      <c r="K450" s="2">
        <v>61</v>
      </c>
      <c r="L450" s="2"/>
      <c r="M450" s="2"/>
      <c r="N450" s="2" t="s">
        <v>95</v>
      </c>
      <c r="O450" s="10">
        <v>2</v>
      </c>
      <c r="P450" s="14">
        <v>0</v>
      </c>
      <c r="Q450" s="183">
        <v>5</v>
      </c>
      <c r="R450" s="181">
        <v>0</v>
      </c>
      <c r="S450" s="178">
        <f t="shared" si="60"/>
        <v>2</v>
      </c>
      <c r="T450" s="186">
        <f t="shared" si="61"/>
        <v>5</v>
      </c>
      <c r="U450" s="179">
        <f t="shared" si="62"/>
        <v>3</v>
      </c>
      <c r="V450" s="1">
        <f t="shared" si="59"/>
        <v>25</v>
      </c>
      <c r="W450" s="8">
        <f t="shared" ref="W450:W513" si="63">IF(N450="won",V450*0.25,-V450)</f>
        <v>6.25</v>
      </c>
      <c r="X450" s="15">
        <f t="shared" si="58"/>
        <v>2681.25</v>
      </c>
    </row>
    <row r="451" spans="1:24">
      <c r="A451" t="s">
        <v>930</v>
      </c>
      <c r="B451" s="163" t="s">
        <v>726</v>
      </c>
      <c r="C451" s="2" t="s">
        <v>77</v>
      </c>
      <c r="D451" s="2" t="s">
        <v>234</v>
      </c>
      <c r="E451" s="3">
        <v>45416.8125</v>
      </c>
      <c r="F451" s="2" t="s">
        <v>631</v>
      </c>
      <c r="G451" s="2" t="s">
        <v>413</v>
      </c>
      <c r="H451" s="2">
        <v>80</v>
      </c>
      <c r="I451" s="2">
        <v>20</v>
      </c>
      <c r="J451" s="2">
        <v>1.9</v>
      </c>
      <c r="K451" s="2">
        <v>57</v>
      </c>
      <c r="L451" s="2"/>
      <c r="M451" s="2"/>
      <c r="N451" s="2" t="s">
        <v>95</v>
      </c>
      <c r="O451" s="10">
        <v>2</v>
      </c>
      <c r="P451" s="14">
        <v>0</v>
      </c>
      <c r="Q451" s="183">
        <v>4</v>
      </c>
      <c r="R451" s="181">
        <v>1</v>
      </c>
      <c r="S451" s="178">
        <f t="shared" si="60"/>
        <v>2</v>
      </c>
      <c r="T451" s="186">
        <f t="shared" si="61"/>
        <v>5</v>
      </c>
      <c r="U451" s="179">
        <f t="shared" si="62"/>
        <v>3</v>
      </c>
      <c r="V451" s="1">
        <f t="shared" si="59"/>
        <v>25</v>
      </c>
      <c r="W451" s="8">
        <f t="shared" si="63"/>
        <v>6.25</v>
      </c>
      <c r="X451" s="15">
        <f t="shared" si="58"/>
        <v>2687.5</v>
      </c>
    </row>
    <row r="452" spans="1:24">
      <c r="A452" t="s">
        <v>930</v>
      </c>
      <c r="B452" s="163" t="s">
        <v>726</v>
      </c>
      <c r="C452" s="2" t="s">
        <v>149</v>
      </c>
      <c r="D452" s="2" t="s">
        <v>153</v>
      </c>
      <c r="E452" s="3">
        <v>45417.5625</v>
      </c>
      <c r="F452" s="2" t="s">
        <v>244</v>
      </c>
      <c r="G452" s="2" t="s">
        <v>363</v>
      </c>
      <c r="H452" s="2">
        <v>90</v>
      </c>
      <c r="I452" s="2">
        <v>20</v>
      </c>
      <c r="J452" s="2">
        <v>2.5499999999999998</v>
      </c>
      <c r="K452" s="2">
        <v>59</v>
      </c>
      <c r="L452" s="2"/>
      <c r="M452" s="2"/>
      <c r="N452" s="2" t="s">
        <v>95</v>
      </c>
      <c r="O452" s="10">
        <v>0</v>
      </c>
      <c r="P452" s="14">
        <v>1</v>
      </c>
      <c r="Q452" s="183">
        <v>1</v>
      </c>
      <c r="R452" s="181">
        <v>4</v>
      </c>
      <c r="S452" s="178">
        <f t="shared" si="60"/>
        <v>1</v>
      </c>
      <c r="T452" s="186">
        <f t="shared" si="61"/>
        <v>5</v>
      </c>
      <c r="U452" s="179">
        <f t="shared" si="62"/>
        <v>4</v>
      </c>
      <c r="V452" s="1">
        <f t="shared" si="59"/>
        <v>25</v>
      </c>
      <c r="W452" s="8">
        <f t="shared" si="63"/>
        <v>6.25</v>
      </c>
      <c r="X452" s="15">
        <f t="shared" si="58"/>
        <v>2693.75</v>
      </c>
    </row>
    <row r="453" spans="1:24">
      <c r="A453" t="s">
        <v>930</v>
      </c>
      <c r="B453" s="163" t="s">
        <v>726</v>
      </c>
      <c r="C453" s="2" t="s">
        <v>6</v>
      </c>
      <c r="D453" s="2" t="s">
        <v>62</v>
      </c>
      <c r="E453" s="3">
        <v>45417.583333333336</v>
      </c>
      <c r="F453" s="2" t="s">
        <v>65</v>
      </c>
      <c r="G453" s="2" t="s">
        <v>74</v>
      </c>
      <c r="H453" s="2">
        <v>95</v>
      </c>
      <c r="I453" s="2">
        <v>20</v>
      </c>
      <c r="J453" s="2">
        <v>2.1</v>
      </c>
      <c r="K453" s="2">
        <v>63</v>
      </c>
      <c r="L453" s="2"/>
      <c r="M453" s="2"/>
      <c r="N453" s="2" t="s">
        <v>95</v>
      </c>
      <c r="O453" s="10">
        <v>3</v>
      </c>
      <c r="P453" s="14">
        <v>0</v>
      </c>
      <c r="Q453" s="183">
        <v>5</v>
      </c>
      <c r="R453" s="181">
        <v>0</v>
      </c>
      <c r="S453" s="178">
        <f t="shared" si="60"/>
        <v>3</v>
      </c>
      <c r="T453" s="186">
        <f t="shared" si="61"/>
        <v>5</v>
      </c>
      <c r="U453" s="179">
        <f t="shared" si="62"/>
        <v>2</v>
      </c>
      <c r="V453" s="1">
        <f t="shared" si="59"/>
        <v>25</v>
      </c>
      <c r="W453" s="8">
        <f t="shared" si="63"/>
        <v>6.25</v>
      </c>
      <c r="X453" s="15">
        <f t="shared" si="58"/>
        <v>2700</v>
      </c>
    </row>
    <row r="454" spans="1:24">
      <c r="A454" t="s">
        <v>930</v>
      </c>
      <c r="B454" s="163" t="s">
        <v>726</v>
      </c>
      <c r="C454" s="2" t="s">
        <v>149</v>
      </c>
      <c r="D454" s="2" t="s">
        <v>153</v>
      </c>
      <c r="E454" s="3">
        <v>45417.791666666664</v>
      </c>
      <c r="F454" s="2" t="s">
        <v>282</v>
      </c>
      <c r="G454" s="2" t="s">
        <v>205</v>
      </c>
      <c r="H454" s="2">
        <v>90</v>
      </c>
      <c r="I454" s="2">
        <v>20</v>
      </c>
      <c r="J454" s="2">
        <v>2.2999999999999998</v>
      </c>
      <c r="K454" s="2">
        <v>63</v>
      </c>
      <c r="L454" s="2"/>
      <c r="M454" s="2"/>
      <c r="N454" s="2" t="s">
        <v>95</v>
      </c>
      <c r="O454" s="10">
        <v>2</v>
      </c>
      <c r="P454" s="14">
        <v>0</v>
      </c>
      <c r="Q454" s="183">
        <v>5</v>
      </c>
      <c r="R454" s="181">
        <v>0</v>
      </c>
      <c r="S454" s="178">
        <f t="shared" si="60"/>
        <v>2</v>
      </c>
      <c r="T454" s="186">
        <f t="shared" si="61"/>
        <v>5</v>
      </c>
      <c r="U454" s="179">
        <f t="shared" si="62"/>
        <v>3</v>
      </c>
      <c r="V454" s="1">
        <f t="shared" si="59"/>
        <v>25</v>
      </c>
      <c r="W454" s="8">
        <f t="shared" si="63"/>
        <v>6.25</v>
      </c>
      <c r="X454" s="15">
        <f t="shared" si="58"/>
        <v>2706.25</v>
      </c>
    </row>
    <row r="455" spans="1:24">
      <c r="A455" t="s">
        <v>930</v>
      </c>
      <c r="B455" s="163" t="s">
        <v>726</v>
      </c>
      <c r="C455" s="2" t="s">
        <v>149</v>
      </c>
      <c r="D455" s="2" t="s">
        <v>150</v>
      </c>
      <c r="E455" s="3">
        <v>45422.791666666664</v>
      </c>
      <c r="F455" s="2" t="s">
        <v>178</v>
      </c>
      <c r="G455" s="2" t="s">
        <v>493</v>
      </c>
      <c r="H455" s="2">
        <v>95</v>
      </c>
      <c r="I455" s="2">
        <v>20</v>
      </c>
      <c r="J455" s="2">
        <v>2</v>
      </c>
      <c r="K455" s="2">
        <v>62</v>
      </c>
      <c r="L455" s="2"/>
      <c r="M455" s="2"/>
      <c r="N455" s="2" t="s">
        <v>95</v>
      </c>
      <c r="O455" s="10">
        <v>1</v>
      </c>
      <c r="P455" s="14">
        <v>1</v>
      </c>
      <c r="Q455" s="183">
        <v>2</v>
      </c>
      <c r="R455" s="181">
        <v>3</v>
      </c>
      <c r="S455" s="178">
        <f t="shared" si="60"/>
        <v>2</v>
      </c>
      <c r="T455" s="186">
        <f t="shared" si="61"/>
        <v>5</v>
      </c>
      <c r="U455" s="179">
        <f t="shared" si="62"/>
        <v>3</v>
      </c>
      <c r="V455" s="1">
        <f t="shared" si="59"/>
        <v>25</v>
      </c>
      <c r="W455" s="8">
        <f t="shared" si="63"/>
        <v>6.25</v>
      </c>
      <c r="X455" s="15">
        <f t="shared" si="58"/>
        <v>2712.5</v>
      </c>
    </row>
    <row r="456" spans="1:24">
      <c r="A456" t="s">
        <v>930</v>
      </c>
      <c r="B456" s="163" t="s">
        <v>726</v>
      </c>
      <c r="C456" s="2" t="s">
        <v>6</v>
      </c>
      <c r="D456" s="2" t="s">
        <v>62</v>
      </c>
      <c r="E456" s="3">
        <v>45423.729166666664</v>
      </c>
      <c r="F456" s="2" t="s">
        <v>264</v>
      </c>
      <c r="G456" s="2" t="s">
        <v>65</v>
      </c>
      <c r="H456" s="2">
        <v>100</v>
      </c>
      <c r="I456" s="2">
        <v>20</v>
      </c>
      <c r="J456" s="2">
        <v>2.25</v>
      </c>
      <c r="K456" s="2">
        <v>63</v>
      </c>
      <c r="L456" s="2"/>
      <c r="M456" s="2"/>
      <c r="N456" s="2" t="s">
        <v>95</v>
      </c>
      <c r="O456" s="10">
        <v>1</v>
      </c>
      <c r="P456" s="14">
        <v>1</v>
      </c>
      <c r="Q456" s="183">
        <v>2</v>
      </c>
      <c r="R456" s="181">
        <v>3</v>
      </c>
      <c r="S456" s="178">
        <f t="shared" si="60"/>
        <v>2</v>
      </c>
      <c r="T456" s="186">
        <f t="shared" si="61"/>
        <v>5</v>
      </c>
      <c r="U456" s="179">
        <f t="shared" si="62"/>
        <v>3</v>
      </c>
      <c r="V456" s="1">
        <f t="shared" si="59"/>
        <v>25</v>
      </c>
      <c r="W456" s="8">
        <f t="shared" si="63"/>
        <v>6.25</v>
      </c>
      <c r="X456" s="15">
        <f t="shared" si="58"/>
        <v>2718.75</v>
      </c>
    </row>
    <row r="457" spans="1:24">
      <c r="A457" t="s">
        <v>930</v>
      </c>
      <c r="B457" s="163" t="s">
        <v>726</v>
      </c>
      <c r="C457" s="2" t="s">
        <v>149</v>
      </c>
      <c r="D457" s="2" t="s">
        <v>153</v>
      </c>
      <c r="E457" s="3">
        <v>45424.5625</v>
      </c>
      <c r="F457" s="2" t="s">
        <v>241</v>
      </c>
      <c r="G457" s="2" t="s">
        <v>282</v>
      </c>
      <c r="H457" s="2">
        <v>80</v>
      </c>
      <c r="I457" s="2">
        <v>20</v>
      </c>
      <c r="J457" s="2">
        <v>1.85</v>
      </c>
      <c r="K457" s="2">
        <v>56</v>
      </c>
      <c r="L457" s="2"/>
      <c r="M457" s="2"/>
      <c r="N457" s="2" t="s">
        <v>95</v>
      </c>
      <c r="O457" s="10">
        <v>0</v>
      </c>
      <c r="P457" s="14">
        <v>1</v>
      </c>
      <c r="Q457" s="183">
        <v>2</v>
      </c>
      <c r="R457" s="181">
        <v>3</v>
      </c>
      <c r="S457" s="178">
        <f t="shared" si="60"/>
        <v>1</v>
      </c>
      <c r="T457" s="186">
        <f t="shared" si="61"/>
        <v>5</v>
      </c>
      <c r="U457" s="179">
        <f t="shared" si="62"/>
        <v>4</v>
      </c>
      <c r="V457" s="1">
        <f t="shared" si="59"/>
        <v>25</v>
      </c>
      <c r="W457" s="8">
        <f t="shared" si="63"/>
        <v>6.25</v>
      </c>
      <c r="X457" s="15">
        <f t="shared" si="58"/>
        <v>2725</v>
      </c>
    </row>
    <row r="458" spans="1:24">
      <c r="A458" t="s">
        <v>930</v>
      </c>
      <c r="B458" s="163" t="s">
        <v>726</v>
      </c>
      <c r="C458" s="2" t="s">
        <v>58</v>
      </c>
      <c r="D458" s="2" t="s">
        <v>59</v>
      </c>
      <c r="E458" s="3">
        <v>45424.75</v>
      </c>
      <c r="F458" s="2" t="s">
        <v>60</v>
      </c>
      <c r="G458" s="2" t="s">
        <v>76</v>
      </c>
      <c r="H458" s="2">
        <v>90</v>
      </c>
      <c r="I458" s="2">
        <v>20</v>
      </c>
      <c r="J458" s="2">
        <v>1.9</v>
      </c>
      <c r="K458" s="2">
        <v>60</v>
      </c>
      <c r="L458" s="2"/>
      <c r="M458" s="2"/>
      <c r="N458" s="2" t="s">
        <v>95</v>
      </c>
      <c r="O458" s="10">
        <v>3</v>
      </c>
      <c r="P458" s="14">
        <v>0</v>
      </c>
      <c r="Q458" s="183">
        <v>5</v>
      </c>
      <c r="R458" s="181">
        <v>0</v>
      </c>
      <c r="S458" s="178">
        <f t="shared" si="60"/>
        <v>3</v>
      </c>
      <c r="T458" s="186">
        <f t="shared" si="61"/>
        <v>5</v>
      </c>
      <c r="U458" s="179">
        <f t="shared" si="62"/>
        <v>2</v>
      </c>
      <c r="V458" s="1">
        <f t="shared" si="59"/>
        <v>25</v>
      </c>
      <c r="W458" s="8">
        <f t="shared" si="63"/>
        <v>6.25</v>
      </c>
      <c r="X458" s="15">
        <f t="shared" si="58"/>
        <v>2731.25</v>
      </c>
    </row>
    <row r="459" spans="1:24">
      <c r="A459" t="s">
        <v>930</v>
      </c>
      <c r="B459" s="163" t="s">
        <v>726</v>
      </c>
      <c r="C459" s="2" t="s">
        <v>133</v>
      </c>
      <c r="D459" s="2" t="s">
        <v>78</v>
      </c>
      <c r="E459" s="3">
        <v>45427.75</v>
      </c>
      <c r="F459" s="2" t="s">
        <v>137</v>
      </c>
      <c r="G459" s="2" t="s">
        <v>466</v>
      </c>
      <c r="H459" s="2">
        <v>95</v>
      </c>
      <c r="I459" s="2">
        <v>20</v>
      </c>
      <c r="J459" s="2">
        <v>1.95</v>
      </c>
      <c r="K459" s="2">
        <v>64</v>
      </c>
      <c r="L459" s="2"/>
      <c r="M459" s="2"/>
      <c r="N459" s="2" t="s">
        <v>95</v>
      </c>
      <c r="O459" s="10">
        <v>1</v>
      </c>
      <c r="P459" s="14">
        <v>0</v>
      </c>
      <c r="Q459" s="183">
        <v>4</v>
      </c>
      <c r="R459" s="181">
        <v>1</v>
      </c>
      <c r="S459" s="178">
        <f t="shared" si="60"/>
        <v>1</v>
      </c>
      <c r="T459" s="186">
        <f t="shared" si="61"/>
        <v>5</v>
      </c>
      <c r="U459" s="179">
        <f t="shared" si="62"/>
        <v>4</v>
      </c>
      <c r="V459" s="1">
        <f t="shared" si="59"/>
        <v>25</v>
      </c>
      <c r="W459" s="8">
        <f t="shared" si="63"/>
        <v>6.25</v>
      </c>
      <c r="X459" s="15">
        <f t="shared" si="58"/>
        <v>2737.5</v>
      </c>
    </row>
    <row r="460" spans="1:24">
      <c r="A460" t="s">
        <v>930</v>
      </c>
      <c r="B460" s="163" t="s">
        <v>726</v>
      </c>
      <c r="C460" s="2" t="s">
        <v>6</v>
      </c>
      <c r="D460" s="2" t="s">
        <v>62</v>
      </c>
      <c r="E460" s="3">
        <v>45427.833333333336</v>
      </c>
      <c r="F460" s="2" t="s">
        <v>383</v>
      </c>
      <c r="G460" s="2" t="s">
        <v>164</v>
      </c>
      <c r="H460" s="2">
        <v>85</v>
      </c>
      <c r="I460" s="2">
        <v>20</v>
      </c>
      <c r="J460" s="2">
        <v>2.15</v>
      </c>
      <c r="K460" s="2">
        <v>59</v>
      </c>
      <c r="L460" s="2"/>
      <c r="M460" s="2"/>
      <c r="N460" s="2" t="s">
        <v>95</v>
      </c>
      <c r="O460" s="10">
        <v>1</v>
      </c>
      <c r="P460" s="14">
        <v>0</v>
      </c>
      <c r="Q460" s="183">
        <v>3</v>
      </c>
      <c r="R460" s="181">
        <v>2</v>
      </c>
      <c r="S460" s="178">
        <f t="shared" si="60"/>
        <v>1</v>
      </c>
      <c r="T460" s="186">
        <f t="shared" si="61"/>
        <v>5</v>
      </c>
      <c r="U460" s="179">
        <f t="shared" si="62"/>
        <v>4</v>
      </c>
      <c r="V460" s="1">
        <f t="shared" si="59"/>
        <v>25</v>
      </c>
      <c r="W460" s="8">
        <f t="shared" si="63"/>
        <v>6.25</v>
      </c>
      <c r="X460" s="15">
        <f t="shared" si="58"/>
        <v>2743.75</v>
      </c>
    </row>
    <row r="461" spans="1:24">
      <c r="A461" t="s">
        <v>930</v>
      </c>
      <c r="B461" s="163" t="s">
        <v>726</v>
      </c>
      <c r="C461" s="2" t="s">
        <v>149</v>
      </c>
      <c r="D461" s="2" t="s">
        <v>153</v>
      </c>
      <c r="E461" s="3">
        <v>45431.5625</v>
      </c>
      <c r="F461" s="2" t="s">
        <v>248</v>
      </c>
      <c r="G461" s="2" t="s">
        <v>241</v>
      </c>
      <c r="H461" s="2">
        <v>80</v>
      </c>
      <c r="I461" s="2">
        <v>20</v>
      </c>
      <c r="J461" s="2">
        <v>1.95</v>
      </c>
      <c r="K461" s="2">
        <v>64</v>
      </c>
      <c r="L461" s="2"/>
      <c r="M461" s="2"/>
      <c r="N461" s="2" t="s">
        <v>95</v>
      </c>
      <c r="O461" s="10">
        <v>1</v>
      </c>
      <c r="P461" s="14">
        <v>2</v>
      </c>
      <c r="Q461" s="183">
        <v>1</v>
      </c>
      <c r="R461" s="181">
        <v>4</v>
      </c>
      <c r="S461" s="178">
        <f t="shared" si="60"/>
        <v>3</v>
      </c>
      <c r="T461" s="186">
        <f t="shared" si="61"/>
        <v>5</v>
      </c>
      <c r="U461" s="179">
        <f t="shared" si="62"/>
        <v>2</v>
      </c>
      <c r="V461" s="1">
        <f t="shared" si="59"/>
        <v>25</v>
      </c>
      <c r="W461" s="8">
        <f t="shared" si="63"/>
        <v>6.25</v>
      </c>
      <c r="X461" s="15">
        <f t="shared" si="58"/>
        <v>2750</v>
      </c>
    </row>
    <row r="462" spans="1:24">
      <c r="A462" t="s">
        <v>930</v>
      </c>
      <c r="B462" s="163" t="s">
        <v>726</v>
      </c>
      <c r="C462" s="2" t="s">
        <v>77</v>
      </c>
      <c r="D462" s="2" t="s">
        <v>234</v>
      </c>
      <c r="E462" s="3">
        <v>45431.604166666664</v>
      </c>
      <c r="F462" s="2" t="s">
        <v>631</v>
      </c>
      <c r="G462" s="2" t="s">
        <v>687</v>
      </c>
      <c r="H462" s="2">
        <v>95</v>
      </c>
      <c r="I462" s="2">
        <v>20</v>
      </c>
      <c r="J462" s="2">
        <v>2.0499999999999998</v>
      </c>
      <c r="K462" s="2">
        <v>58</v>
      </c>
      <c r="L462" s="2"/>
      <c r="M462" s="2"/>
      <c r="N462" s="2" t="s">
        <v>95</v>
      </c>
      <c r="O462" s="10">
        <v>1</v>
      </c>
      <c r="P462" s="14">
        <v>0</v>
      </c>
      <c r="Q462" s="183">
        <v>5</v>
      </c>
      <c r="R462" s="181">
        <v>0</v>
      </c>
      <c r="S462" s="178">
        <f t="shared" si="60"/>
        <v>1</v>
      </c>
      <c r="T462" s="186">
        <f t="shared" si="61"/>
        <v>5</v>
      </c>
      <c r="U462" s="179">
        <f t="shared" si="62"/>
        <v>4</v>
      </c>
      <c r="V462" s="1">
        <f t="shared" si="59"/>
        <v>25</v>
      </c>
      <c r="W462" s="8">
        <f t="shared" si="63"/>
        <v>6.25</v>
      </c>
      <c r="X462" s="15">
        <f t="shared" si="58"/>
        <v>2756.25</v>
      </c>
    </row>
    <row r="463" spans="1:24">
      <c r="A463" t="s">
        <v>930</v>
      </c>
      <c r="B463" s="163" t="s">
        <v>519</v>
      </c>
      <c r="C463" s="2" t="s">
        <v>149</v>
      </c>
      <c r="D463" s="2" t="s">
        <v>150</v>
      </c>
      <c r="E463" s="3">
        <v>45415.791666666664</v>
      </c>
      <c r="F463" s="2" t="s">
        <v>493</v>
      </c>
      <c r="G463" s="2" t="s">
        <v>562</v>
      </c>
      <c r="H463" s="2">
        <v>20</v>
      </c>
      <c r="I463" s="2">
        <v>90</v>
      </c>
      <c r="J463" s="2">
        <v>90</v>
      </c>
      <c r="K463" s="2"/>
      <c r="L463" s="2"/>
      <c r="M463" s="2"/>
      <c r="N463" s="2" t="s">
        <v>95</v>
      </c>
      <c r="O463" s="10">
        <v>1</v>
      </c>
      <c r="P463" s="14">
        <v>0</v>
      </c>
      <c r="Q463" s="183">
        <v>4</v>
      </c>
      <c r="R463" s="187">
        <v>1</v>
      </c>
      <c r="S463" s="178">
        <f t="shared" si="60"/>
        <v>1</v>
      </c>
      <c r="T463" s="186">
        <f t="shared" si="61"/>
        <v>5</v>
      </c>
      <c r="U463" s="179">
        <f t="shared" si="62"/>
        <v>4</v>
      </c>
      <c r="V463" s="1">
        <f t="shared" si="59"/>
        <v>25</v>
      </c>
      <c r="W463" s="8">
        <f t="shared" si="63"/>
        <v>6.25</v>
      </c>
      <c r="X463" s="15">
        <f t="shared" si="58"/>
        <v>2762.5</v>
      </c>
    </row>
    <row r="464" spans="1:24">
      <c r="A464" t="s">
        <v>930</v>
      </c>
      <c r="B464" s="163" t="s">
        <v>522</v>
      </c>
      <c r="C464" s="2" t="s">
        <v>149</v>
      </c>
      <c r="D464" s="2" t="s">
        <v>150</v>
      </c>
      <c r="E464" s="3">
        <v>45415.791666666664</v>
      </c>
      <c r="F464" s="2" t="s">
        <v>493</v>
      </c>
      <c r="G464" s="2" t="s">
        <v>562</v>
      </c>
      <c r="H464" s="2">
        <v>72</v>
      </c>
      <c r="I464" s="2">
        <v>20</v>
      </c>
      <c r="J464" s="2">
        <v>90</v>
      </c>
      <c r="K464" s="2">
        <v>65</v>
      </c>
      <c r="L464" s="2">
        <v>2.1</v>
      </c>
      <c r="M464" s="2"/>
      <c r="N464" s="2" t="s">
        <v>95</v>
      </c>
      <c r="O464" s="10">
        <v>1</v>
      </c>
      <c r="P464" s="14">
        <v>0</v>
      </c>
      <c r="Q464" s="183">
        <v>4</v>
      </c>
      <c r="R464" s="187">
        <v>1</v>
      </c>
      <c r="S464" s="178">
        <f t="shared" si="60"/>
        <v>1</v>
      </c>
      <c r="T464" s="186">
        <f t="shared" si="61"/>
        <v>5</v>
      </c>
      <c r="U464" s="179">
        <f t="shared" si="62"/>
        <v>4</v>
      </c>
      <c r="V464" s="1">
        <f t="shared" si="59"/>
        <v>25</v>
      </c>
      <c r="W464" s="8">
        <f t="shared" si="63"/>
        <v>6.25</v>
      </c>
      <c r="X464" s="15">
        <f t="shared" si="58"/>
        <v>2768.75</v>
      </c>
    </row>
    <row r="465" spans="1:24">
      <c r="A465" t="s">
        <v>930</v>
      </c>
      <c r="B465" s="163" t="s">
        <v>522</v>
      </c>
      <c r="C465" s="2" t="s">
        <v>13</v>
      </c>
      <c r="D465" s="2" t="s">
        <v>37</v>
      </c>
      <c r="E465" s="3">
        <v>45427.8125</v>
      </c>
      <c r="F465" s="2" t="s">
        <v>324</v>
      </c>
      <c r="G465" s="2" t="s">
        <v>99</v>
      </c>
      <c r="H465" s="2">
        <v>70</v>
      </c>
      <c r="I465" s="2">
        <v>20</v>
      </c>
      <c r="J465" s="2">
        <v>95</v>
      </c>
      <c r="K465" s="2">
        <v>65</v>
      </c>
      <c r="L465" s="2">
        <v>2.1</v>
      </c>
      <c r="M465" s="2"/>
      <c r="N465" s="2" t="s">
        <v>95</v>
      </c>
      <c r="O465" s="10">
        <v>0</v>
      </c>
      <c r="P465" s="14">
        <v>3</v>
      </c>
      <c r="Q465" s="183">
        <v>0</v>
      </c>
      <c r="R465" s="187">
        <v>5</v>
      </c>
      <c r="S465" s="178">
        <f t="shared" si="60"/>
        <v>3</v>
      </c>
      <c r="T465" s="186">
        <f t="shared" si="61"/>
        <v>5</v>
      </c>
      <c r="U465" s="179">
        <f t="shared" si="62"/>
        <v>2</v>
      </c>
      <c r="V465" s="1">
        <f t="shared" si="59"/>
        <v>25</v>
      </c>
      <c r="W465" s="8">
        <f t="shared" si="63"/>
        <v>6.25</v>
      </c>
      <c r="X465" s="15">
        <f t="shared" si="58"/>
        <v>2775</v>
      </c>
    </row>
    <row r="466" spans="1:24">
      <c r="A466" t="s">
        <v>930</v>
      </c>
      <c r="B466" s="163" t="s">
        <v>515</v>
      </c>
      <c r="C466" s="2" t="s">
        <v>149</v>
      </c>
      <c r="D466" s="2" t="s">
        <v>150</v>
      </c>
      <c r="E466" s="3">
        <v>45415.791666666664</v>
      </c>
      <c r="F466" s="2" t="s">
        <v>493</v>
      </c>
      <c r="G466" s="2" t="s">
        <v>562</v>
      </c>
      <c r="H466" s="2">
        <v>20</v>
      </c>
      <c r="I466" s="2">
        <v>72</v>
      </c>
      <c r="J466" s="2">
        <v>2.1</v>
      </c>
      <c r="K466" s="2"/>
      <c r="L466" s="2"/>
      <c r="M466" s="2"/>
      <c r="N466" s="2" t="s">
        <v>95</v>
      </c>
      <c r="O466" s="10">
        <v>1</v>
      </c>
      <c r="P466" s="14">
        <v>0</v>
      </c>
      <c r="Q466" s="183">
        <v>4</v>
      </c>
      <c r="R466" s="187">
        <v>1</v>
      </c>
      <c r="S466" s="178">
        <f t="shared" si="60"/>
        <v>1</v>
      </c>
      <c r="T466" s="186">
        <f t="shared" si="61"/>
        <v>5</v>
      </c>
      <c r="U466" s="179">
        <f t="shared" si="62"/>
        <v>4</v>
      </c>
      <c r="V466" s="1">
        <f t="shared" si="59"/>
        <v>25</v>
      </c>
      <c r="W466" s="8">
        <f t="shared" si="63"/>
        <v>6.25</v>
      </c>
      <c r="X466" s="15">
        <f t="shared" si="58"/>
        <v>2781.25</v>
      </c>
    </row>
    <row r="467" spans="1:24">
      <c r="A467" t="s">
        <v>930</v>
      </c>
      <c r="B467" s="163" t="s">
        <v>515</v>
      </c>
      <c r="C467" s="2" t="s">
        <v>564</v>
      </c>
      <c r="D467" s="2" t="s">
        <v>565</v>
      </c>
      <c r="E467" s="3">
        <v>45422.822916666664</v>
      </c>
      <c r="F467" s="2" t="s">
        <v>811</v>
      </c>
      <c r="G467" s="2" t="s">
        <v>812</v>
      </c>
      <c r="H467" s="2">
        <v>20</v>
      </c>
      <c r="I467" s="2">
        <v>72</v>
      </c>
      <c r="J467" s="2">
        <v>1.65</v>
      </c>
      <c r="K467" s="2"/>
      <c r="L467" s="2"/>
      <c r="M467" s="2"/>
      <c r="N467" s="2" t="s">
        <v>95</v>
      </c>
      <c r="O467" s="10">
        <v>2</v>
      </c>
      <c r="P467" s="14">
        <v>1</v>
      </c>
      <c r="Q467" s="183">
        <v>4</v>
      </c>
      <c r="R467" s="187">
        <v>1</v>
      </c>
      <c r="S467" s="178">
        <f t="shared" si="60"/>
        <v>3</v>
      </c>
      <c r="T467" s="186">
        <f t="shared" si="61"/>
        <v>5</v>
      </c>
      <c r="U467" s="179">
        <f t="shared" si="62"/>
        <v>2</v>
      </c>
      <c r="V467" s="1">
        <f t="shared" si="59"/>
        <v>25</v>
      </c>
      <c r="W467" s="8">
        <f t="shared" si="63"/>
        <v>6.25</v>
      </c>
      <c r="X467" s="15">
        <f t="shared" si="58"/>
        <v>2787.5</v>
      </c>
    </row>
    <row r="468" spans="1:24">
      <c r="A468" t="s">
        <v>930</v>
      </c>
      <c r="B468" s="163" t="s">
        <v>515</v>
      </c>
      <c r="C468" s="2" t="s">
        <v>13</v>
      </c>
      <c r="D468" s="2" t="s">
        <v>37</v>
      </c>
      <c r="E468" s="3">
        <v>45427.8125</v>
      </c>
      <c r="F468" s="2" t="s">
        <v>324</v>
      </c>
      <c r="G468" s="2" t="s">
        <v>99</v>
      </c>
      <c r="H468" s="2">
        <v>20</v>
      </c>
      <c r="I468" s="2">
        <v>70</v>
      </c>
      <c r="J468" s="2">
        <v>2.1</v>
      </c>
      <c r="K468" s="2"/>
      <c r="L468" s="2"/>
      <c r="M468" s="2"/>
      <c r="N468" s="2" t="s">
        <v>95</v>
      </c>
      <c r="O468" s="10">
        <v>0</v>
      </c>
      <c r="P468" s="14">
        <v>3</v>
      </c>
      <c r="Q468" s="183">
        <v>0</v>
      </c>
      <c r="R468" s="187">
        <v>5</v>
      </c>
      <c r="S468" s="178">
        <f t="shared" si="60"/>
        <v>3</v>
      </c>
      <c r="T468" s="186">
        <f t="shared" si="61"/>
        <v>5</v>
      </c>
      <c r="U468" s="179">
        <f t="shared" si="62"/>
        <v>2</v>
      </c>
      <c r="V468" s="1">
        <f t="shared" ref="V468:V491" si="64">SUM($X$1*0.05)</f>
        <v>25</v>
      </c>
      <c r="W468" s="8">
        <f t="shared" si="63"/>
        <v>6.25</v>
      </c>
      <c r="X468" s="15">
        <f t="shared" si="58"/>
        <v>2793.75</v>
      </c>
    </row>
    <row r="469" spans="1:24">
      <c r="A469" t="s">
        <v>930</v>
      </c>
      <c r="B469" s="163" t="s">
        <v>877</v>
      </c>
      <c r="C469" s="2" t="s">
        <v>516</v>
      </c>
      <c r="D469" s="2" t="s">
        <v>78</v>
      </c>
      <c r="E469" s="3">
        <v>45438.541666666664</v>
      </c>
      <c r="F469" s="2" t="s">
        <v>538</v>
      </c>
      <c r="G469" s="2" t="s">
        <v>862</v>
      </c>
      <c r="H469" s="2">
        <v>2.15</v>
      </c>
      <c r="I469" s="2">
        <v>95</v>
      </c>
      <c r="J469" s="2">
        <v>75</v>
      </c>
      <c r="K469" s="2">
        <v>65</v>
      </c>
      <c r="L469" s="2">
        <v>20</v>
      </c>
      <c r="M469" s="2"/>
      <c r="N469" s="2" t="s">
        <v>95</v>
      </c>
      <c r="O469" s="10">
        <v>1</v>
      </c>
      <c r="P469" s="14">
        <v>1</v>
      </c>
      <c r="Q469" s="183">
        <v>4</v>
      </c>
      <c r="R469" s="187">
        <v>1</v>
      </c>
      <c r="S469" s="178">
        <f t="shared" si="60"/>
        <v>2</v>
      </c>
      <c r="T469" s="186">
        <f t="shared" si="61"/>
        <v>5</v>
      </c>
      <c r="U469" s="179">
        <f t="shared" si="62"/>
        <v>3</v>
      </c>
      <c r="V469" s="1">
        <f t="shared" si="64"/>
        <v>25</v>
      </c>
      <c r="W469" s="8">
        <f t="shared" si="63"/>
        <v>6.25</v>
      </c>
      <c r="X469" s="15">
        <f t="shared" si="58"/>
        <v>2800</v>
      </c>
    </row>
    <row r="470" spans="1:24">
      <c r="A470" t="s">
        <v>930</v>
      </c>
      <c r="B470" s="163" t="s">
        <v>10</v>
      </c>
      <c r="C470" s="2" t="s">
        <v>133</v>
      </c>
      <c r="D470" s="2" t="s">
        <v>78</v>
      </c>
      <c r="E470" s="3">
        <v>45312.583333333336</v>
      </c>
      <c r="F470" s="2" t="s">
        <v>134</v>
      </c>
      <c r="G470" s="2" t="s">
        <v>137</v>
      </c>
      <c r="H470" s="2">
        <v>2.29</v>
      </c>
      <c r="I470" s="2">
        <v>100</v>
      </c>
      <c r="J470" s="2">
        <v>71</v>
      </c>
      <c r="K470" s="2">
        <v>35</v>
      </c>
      <c r="L470" s="2">
        <v>61</v>
      </c>
      <c r="M470" s="2">
        <v>17</v>
      </c>
      <c r="N470" s="2" t="s">
        <v>95</v>
      </c>
      <c r="O470" s="10">
        <v>0</v>
      </c>
      <c r="P470" s="13">
        <v>2</v>
      </c>
      <c r="Q470" s="183">
        <v>1</v>
      </c>
      <c r="R470" s="181">
        <v>5</v>
      </c>
      <c r="S470" s="178">
        <f t="shared" si="60"/>
        <v>2</v>
      </c>
      <c r="T470" s="186">
        <f t="shared" si="61"/>
        <v>6</v>
      </c>
      <c r="U470" s="179">
        <f t="shared" si="62"/>
        <v>4</v>
      </c>
      <c r="V470" s="1">
        <f t="shared" si="64"/>
        <v>25</v>
      </c>
      <c r="W470" s="8">
        <f t="shared" si="63"/>
        <v>6.25</v>
      </c>
      <c r="X470" s="15">
        <f t="shared" si="58"/>
        <v>2806.25</v>
      </c>
    </row>
    <row r="471" spans="1:24">
      <c r="A471" t="s">
        <v>930</v>
      </c>
      <c r="B471" s="163" t="s">
        <v>10</v>
      </c>
      <c r="C471" s="2" t="s">
        <v>6</v>
      </c>
      <c r="D471" s="2" t="s">
        <v>7</v>
      </c>
      <c r="E471" s="3">
        <v>45325.625</v>
      </c>
      <c r="F471" s="2" t="s">
        <v>27</v>
      </c>
      <c r="G471" s="2" t="s">
        <v>386</v>
      </c>
      <c r="H471" s="2">
        <v>2.2999999999999998</v>
      </c>
      <c r="I471" s="2">
        <v>85</v>
      </c>
      <c r="J471" s="2">
        <v>75</v>
      </c>
      <c r="K471" s="2">
        <v>40</v>
      </c>
      <c r="L471" s="2">
        <v>60</v>
      </c>
      <c r="M471" s="2">
        <v>20</v>
      </c>
      <c r="N471" s="2" t="s">
        <v>95</v>
      </c>
      <c r="O471" s="10">
        <v>0</v>
      </c>
      <c r="P471" s="13">
        <v>2</v>
      </c>
      <c r="Q471" s="183">
        <v>3</v>
      </c>
      <c r="R471" s="181">
        <v>3</v>
      </c>
      <c r="S471" s="178">
        <f t="shared" si="60"/>
        <v>2</v>
      </c>
      <c r="T471" s="186">
        <f t="shared" si="61"/>
        <v>6</v>
      </c>
      <c r="U471" s="179">
        <f t="shared" si="62"/>
        <v>4</v>
      </c>
      <c r="V471" s="1">
        <f t="shared" si="64"/>
        <v>25</v>
      </c>
      <c r="W471" s="8">
        <f t="shared" si="63"/>
        <v>6.25</v>
      </c>
      <c r="X471" s="15">
        <f t="shared" si="58"/>
        <v>2812.5</v>
      </c>
    </row>
    <row r="472" spans="1:24">
      <c r="A472" t="s">
        <v>930</v>
      </c>
      <c r="B472" s="163" t="s">
        <v>10</v>
      </c>
      <c r="C472" s="2" t="s">
        <v>31</v>
      </c>
      <c r="D472" s="2" t="s">
        <v>32</v>
      </c>
      <c r="E472" s="3">
        <v>45346.625</v>
      </c>
      <c r="F472" s="2" t="s">
        <v>440</v>
      </c>
      <c r="G472" s="2" t="s">
        <v>34</v>
      </c>
      <c r="H472" s="2">
        <v>2.2000000000000002</v>
      </c>
      <c r="I472" s="2">
        <v>95</v>
      </c>
      <c r="J472" s="2">
        <v>65</v>
      </c>
      <c r="K472" s="2">
        <v>45</v>
      </c>
      <c r="L472" s="2">
        <v>63</v>
      </c>
      <c r="M472" s="2">
        <v>20</v>
      </c>
      <c r="N472" s="2" t="s">
        <v>95</v>
      </c>
      <c r="O472" s="10">
        <v>1</v>
      </c>
      <c r="P472" s="14">
        <v>2</v>
      </c>
      <c r="Q472" s="183">
        <v>3</v>
      </c>
      <c r="R472" s="181">
        <v>3</v>
      </c>
      <c r="S472" s="178">
        <f t="shared" si="60"/>
        <v>3</v>
      </c>
      <c r="T472" s="186">
        <f t="shared" si="61"/>
        <v>6</v>
      </c>
      <c r="U472" s="179">
        <f t="shared" si="62"/>
        <v>3</v>
      </c>
      <c r="V472" s="1">
        <f t="shared" si="64"/>
        <v>25</v>
      </c>
      <c r="W472" s="8">
        <f t="shared" si="63"/>
        <v>6.25</v>
      </c>
      <c r="X472" s="15">
        <f t="shared" si="58"/>
        <v>2818.75</v>
      </c>
    </row>
    <row r="473" spans="1:24">
      <c r="A473" t="s">
        <v>930</v>
      </c>
      <c r="B473" s="163" t="s">
        <v>10</v>
      </c>
      <c r="C473" s="2" t="s">
        <v>58</v>
      </c>
      <c r="D473" s="2" t="s">
        <v>59</v>
      </c>
      <c r="E473" s="3">
        <v>45347.854166666664</v>
      </c>
      <c r="F473" s="2" t="s">
        <v>127</v>
      </c>
      <c r="G473" s="2" t="s">
        <v>125</v>
      </c>
      <c r="H473" s="2">
        <v>2</v>
      </c>
      <c r="I473" s="2">
        <v>95</v>
      </c>
      <c r="J473" s="2">
        <v>70</v>
      </c>
      <c r="K473" s="2">
        <v>25</v>
      </c>
      <c r="L473" s="2">
        <v>63</v>
      </c>
      <c r="M473" s="2">
        <v>20</v>
      </c>
      <c r="N473" s="2" t="s">
        <v>95</v>
      </c>
      <c r="O473" s="10">
        <v>2</v>
      </c>
      <c r="P473" s="14">
        <v>2</v>
      </c>
      <c r="Q473" s="183">
        <v>3</v>
      </c>
      <c r="R473" s="181">
        <v>3</v>
      </c>
      <c r="S473" s="178">
        <f t="shared" si="60"/>
        <v>4</v>
      </c>
      <c r="T473" s="186">
        <f t="shared" si="61"/>
        <v>6</v>
      </c>
      <c r="U473" s="179">
        <f t="shared" si="62"/>
        <v>2</v>
      </c>
      <c r="V473" s="1">
        <f t="shared" si="64"/>
        <v>25</v>
      </c>
      <c r="W473" s="8">
        <f t="shared" si="63"/>
        <v>6.25</v>
      </c>
      <c r="X473" s="15">
        <f t="shared" si="58"/>
        <v>2825</v>
      </c>
    </row>
    <row r="474" spans="1:24">
      <c r="A474" t="s">
        <v>930</v>
      </c>
      <c r="B474" s="163" t="s">
        <v>10</v>
      </c>
      <c r="C474" s="2" t="s">
        <v>133</v>
      </c>
      <c r="D474" s="2" t="s">
        <v>78</v>
      </c>
      <c r="E474" s="3">
        <v>45350.541666666664</v>
      </c>
      <c r="F474" s="2" t="s">
        <v>374</v>
      </c>
      <c r="G474" s="2" t="s">
        <v>427</v>
      </c>
      <c r="H474" s="2">
        <v>1.8</v>
      </c>
      <c r="I474" s="2">
        <v>100</v>
      </c>
      <c r="J474" s="2">
        <v>65</v>
      </c>
      <c r="K474" s="2">
        <v>10</v>
      </c>
      <c r="L474" s="2">
        <v>70</v>
      </c>
      <c r="M474" s="2">
        <v>20</v>
      </c>
      <c r="N474" s="2" t="s">
        <v>95</v>
      </c>
      <c r="O474" s="10">
        <v>3</v>
      </c>
      <c r="P474" s="14">
        <v>2</v>
      </c>
      <c r="Q474" s="183">
        <v>3</v>
      </c>
      <c r="R474" s="181">
        <v>3</v>
      </c>
      <c r="S474" s="178">
        <f t="shared" si="60"/>
        <v>5</v>
      </c>
      <c r="T474" s="186">
        <f t="shared" si="61"/>
        <v>6</v>
      </c>
      <c r="U474" s="179">
        <f t="shared" si="62"/>
        <v>1</v>
      </c>
      <c r="V474" s="1">
        <f t="shared" si="64"/>
        <v>25</v>
      </c>
      <c r="W474" s="8">
        <f t="shared" si="63"/>
        <v>6.25</v>
      </c>
      <c r="X474" s="15">
        <f t="shared" si="58"/>
        <v>2831.25</v>
      </c>
    </row>
    <row r="475" spans="1:24">
      <c r="A475" t="s">
        <v>930</v>
      </c>
      <c r="B475" s="163" t="s">
        <v>792</v>
      </c>
      <c r="C475" s="2" t="s">
        <v>119</v>
      </c>
      <c r="D475" s="2" t="s">
        <v>120</v>
      </c>
      <c r="E475" s="3">
        <v>45416.729166666664</v>
      </c>
      <c r="F475" s="2" t="s">
        <v>453</v>
      </c>
      <c r="G475" s="2" t="s">
        <v>361</v>
      </c>
      <c r="H475" s="2">
        <v>2</v>
      </c>
      <c r="I475" s="2">
        <v>85</v>
      </c>
      <c r="J475" s="2">
        <v>70</v>
      </c>
      <c r="K475" s="2">
        <v>59</v>
      </c>
      <c r="L475" s="2">
        <v>20</v>
      </c>
      <c r="M475" s="2"/>
      <c r="N475" s="2" t="s">
        <v>95</v>
      </c>
      <c r="O475" s="10">
        <v>1</v>
      </c>
      <c r="P475" s="14">
        <v>2</v>
      </c>
      <c r="Q475" s="183">
        <v>4</v>
      </c>
      <c r="R475" s="181">
        <v>2</v>
      </c>
      <c r="S475" s="178">
        <f t="shared" si="60"/>
        <v>3</v>
      </c>
      <c r="T475" s="186">
        <f t="shared" si="61"/>
        <v>6</v>
      </c>
      <c r="U475" s="179">
        <f t="shared" si="62"/>
        <v>3</v>
      </c>
      <c r="V475" s="1">
        <f t="shared" si="64"/>
        <v>25</v>
      </c>
      <c r="W475" s="8">
        <f t="shared" si="63"/>
        <v>6.25</v>
      </c>
      <c r="X475" s="15">
        <f t="shared" si="58"/>
        <v>2837.5</v>
      </c>
    </row>
    <row r="476" spans="1:24">
      <c r="A476" t="s">
        <v>930</v>
      </c>
      <c r="B476" s="163" t="s">
        <v>792</v>
      </c>
      <c r="C476" s="2" t="s">
        <v>77</v>
      </c>
      <c r="D476" s="2" t="s">
        <v>156</v>
      </c>
      <c r="E476" s="3">
        <v>45424.604166666664</v>
      </c>
      <c r="F476" s="2" t="s">
        <v>345</v>
      </c>
      <c r="G476" s="2" t="s">
        <v>158</v>
      </c>
      <c r="H476" s="2">
        <v>2.15</v>
      </c>
      <c r="I476" s="2">
        <v>95</v>
      </c>
      <c r="J476" s="2">
        <v>70</v>
      </c>
      <c r="K476" s="2">
        <v>61</v>
      </c>
      <c r="L476" s="2">
        <v>20</v>
      </c>
      <c r="M476" s="2"/>
      <c r="N476" s="2" t="s">
        <v>95</v>
      </c>
      <c r="O476" s="10">
        <v>0</v>
      </c>
      <c r="P476" s="14">
        <v>5</v>
      </c>
      <c r="Q476" s="183">
        <v>0</v>
      </c>
      <c r="R476" s="181">
        <v>6</v>
      </c>
      <c r="S476" s="178">
        <f t="shared" si="60"/>
        <v>5</v>
      </c>
      <c r="T476" s="186">
        <f t="shared" si="61"/>
        <v>6</v>
      </c>
      <c r="U476" s="179">
        <f t="shared" si="62"/>
        <v>1</v>
      </c>
      <c r="V476" s="1">
        <f t="shared" si="64"/>
        <v>25</v>
      </c>
      <c r="W476" s="8">
        <f t="shared" si="63"/>
        <v>6.25</v>
      </c>
      <c r="X476" s="15">
        <f t="shared" si="58"/>
        <v>2843.75</v>
      </c>
    </row>
    <row r="477" spans="1:24">
      <c r="A477" t="s">
        <v>930</v>
      </c>
      <c r="B477" s="163" t="s">
        <v>792</v>
      </c>
      <c r="C477" s="2" t="s">
        <v>6</v>
      </c>
      <c r="D477" s="2" t="s">
        <v>62</v>
      </c>
      <c r="E477" s="3">
        <v>45425.833333333336</v>
      </c>
      <c r="F477" s="2" t="s">
        <v>102</v>
      </c>
      <c r="G477" s="2" t="s">
        <v>285</v>
      </c>
      <c r="H477" s="2">
        <v>2.4</v>
      </c>
      <c r="I477" s="2">
        <v>100</v>
      </c>
      <c r="J477" s="2">
        <v>80</v>
      </c>
      <c r="K477" s="2">
        <v>61</v>
      </c>
      <c r="L477" s="2">
        <v>20</v>
      </c>
      <c r="M477" s="2"/>
      <c r="N477" s="2" t="s">
        <v>95</v>
      </c>
      <c r="O477" s="10">
        <v>1</v>
      </c>
      <c r="P477" s="14">
        <v>2</v>
      </c>
      <c r="Q477" s="183">
        <v>3</v>
      </c>
      <c r="R477" s="181">
        <v>3</v>
      </c>
      <c r="S477" s="178">
        <f t="shared" si="60"/>
        <v>3</v>
      </c>
      <c r="T477" s="186">
        <f t="shared" si="61"/>
        <v>6</v>
      </c>
      <c r="U477" s="179">
        <f t="shared" si="62"/>
        <v>3</v>
      </c>
      <c r="V477" s="1">
        <f t="shared" si="64"/>
        <v>25</v>
      </c>
      <c r="W477" s="8">
        <f t="shared" si="63"/>
        <v>6.25</v>
      </c>
      <c r="X477" s="15">
        <f t="shared" si="58"/>
        <v>2850</v>
      </c>
    </row>
    <row r="478" spans="1:24">
      <c r="A478" t="s">
        <v>930</v>
      </c>
      <c r="B478" s="163" t="s">
        <v>792</v>
      </c>
      <c r="C478" s="2" t="s">
        <v>77</v>
      </c>
      <c r="D478" s="2" t="s">
        <v>156</v>
      </c>
      <c r="E478" s="3">
        <v>45430.604166666664</v>
      </c>
      <c r="F478" s="2" t="s">
        <v>158</v>
      </c>
      <c r="G478" s="2" t="s">
        <v>157</v>
      </c>
      <c r="H478" s="2">
        <v>2.1</v>
      </c>
      <c r="I478" s="2">
        <v>90</v>
      </c>
      <c r="J478" s="2">
        <v>70</v>
      </c>
      <c r="K478" s="2">
        <v>68</v>
      </c>
      <c r="L478" s="2">
        <v>20</v>
      </c>
      <c r="M478" s="2"/>
      <c r="N478" s="2" t="s">
        <v>95</v>
      </c>
      <c r="O478" s="10">
        <v>1</v>
      </c>
      <c r="P478" s="14">
        <v>2</v>
      </c>
      <c r="Q478" s="183">
        <v>4</v>
      </c>
      <c r="R478" s="181">
        <v>2</v>
      </c>
      <c r="S478" s="178">
        <f t="shared" si="60"/>
        <v>3</v>
      </c>
      <c r="T478" s="186">
        <f t="shared" si="61"/>
        <v>6</v>
      </c>
      <c r="U478" s="179">
        <f t="shared" si="62"/>
        <v>3</v>
      </c>
      <c r="V478" s="1">
        <f t="shared" si="64"/>
        <v>25</v>
      </c>
      <c r="W478" s="8">
        <f t="shared" si="63"/>
        <v>6.25</v>
      </c>
      <c r="X478" s="15">
        <f t="shared" si="58"/>
        <v>2856.25</v>
      </c>
    </row>
    <row r="479" spans="1:24">
      <c r="A479" t="s">
        <v>930</v>
      </c>
      <c r="B479" s="163" t="s">
        <v>792</v>
      </c>
      <c r="C479" s="2" t="s">
        <v>6</v>
      </c>
      <c r="D479" s="2" t="s">
        <v>62</v>
      </c>
      <c r="E479" s="3">
        <v>45431.666666666664</v>
      </c>
      <c r="F479" s="2" t="s">
        <v>63</v>
      </c>
      <c r="G479" s="2" t="s">
        <v>164</v>
      </c>
      <c r="H479" s="2">
        <v>2.15</v>
      </c>
      <c r="I479" s="2">
        <v>85</v>
      </c>
      <c r="J479" s="2">
        <v>70</v>
      </c>
      <c r="K479" s="2">
        <v>57</v>
      </c>
      <c r="L479" s="2">
        <v>20</v>
      </c>
      <c r="M479" s="2"/>
      <c r="N479" s="2" t="s">
        <v>95</v>
      </c>
      <c r="O479" s="10">
        <v>0</v>
      </c>
      <c r="P479" s="14">
        <v>3</v>
      </c>
      <c r="Q479" s="183">
        <v>2</v>
      </c>
      <c r="R479" s="181">
        <v>4</v>
      </c>
      <c r="S479" s="178">
        <f t="shared" si="60"/>
        <v>3</v>
      </c>
      <c r="T479" s="186">
        <f t="shared" si="61"/>
        <v>6</v>
      </c>
      <c r="U479" s="179">
        <f t="shared" si="62"/>
        <v>3</v>
      </c>
      <c r="V479" s="1">
        <f t="shared" si="64"/>
        <v>25</v>
      </c>
      <c r="W479" s="8">
        <f t="shared" si="63"/>
        <v>6.25</v>
      </c>
      <c r="X479" s="15">
        <f t="shared" si="58"/>
        <v>2862.5</v>
      </c>
    </row>
    <row r="480" spans="1:24">
      <c r="A480" t="s">
        <v>930</v>
      </c>
      <c r="B480" s="163" t="s">
        <v>35</v>
      </c>
      <c r="C480" s="2" t="s">
        <v>6</v>
      </c>
      <c r="D480" s="2" t="s">
        <v>7</v>
      </c>
      <c r="E480" s="3">
        <v>45325.625</v>
      </c>
      <c r="F480" s="2" t="s">
        <v>27</v>
      </c>
      <c r="G480" s="2" t="s">
        <v>386</v>
      </c>
      <c r="H480" s="2">
        <v>68</v>
      </c>
      <c r="I480" s="2">
        <v>85</v>
      </c>
      <c r="J480" s="2">
        <v>75</v>
      </c>
      <c r="K480" s="2">
        <v>40</v>
      </c>
      <c r="L480" s="2">
        <v>20</v>
      </c>
      <c r="M480" s="2">
        <v>1.39</v>
      </c>
      <c r="N480" s="2" t="s">
        <v>95</v>
      </c>
      <c r="O480" s="10">
        <v>0</v>
      </c>
      <c r="P480" s="13">
        <v>2</v>
      </c>
      <c r="Q480" s="183">
        <v>3</v>
      </c>
      <c r="R480" s="181">
        <v>3</v>
      </c>
      <c r="S480" s="178">
        <f t="shared" si="60"/>
        <v>2</v>
      </c>
      <c r="T480" s="186">
        <f t="shared" si="61"/>
        <v>6</v>
      </c>
      <c r="U480" s="179">
        <f t="shared" si="62"/>
        <v>4</v>
      </c>
      <c r="V480" s="1">
        <f t="shared" si="64"/>
        <v>25</v>
      </c>
      <c r="W480" s="8">
        <f t="shared" si="63"/>
        <v>6.25</v>
      </c>
      <c r="X480" s="15">
        <f t="shared" si="58"/>
        <v>2868.75</v>
      </c>
    </row>
    <row r="481" spans="1:24">
      <c r="A481" t="s">
        <v>930</v>
      </c>
      <c r="B481" s="163" t="s">
        <v>35</v>
      </c>
      <c r="C481" s="2" t="s">
        <v>149</v>
      </c>
      <c r="D481" s="2" t="s">
        <v>153</v>
      </c>
      <c r="E481" s="3">
        <v>45333.65625</v>
      </c>
      <c r="F481" s="2" t="s">
        <v>244</v>
      </c>
      <c r="G481" s="2" t="s">
        <v>188</v>
      </c>
      <c r="H481" s="2">
        <v>68</v>
      </c>
      <c r="I481" s="2">
        <v>89</v>
      </c>
      <c r="J481" s="2">
        <v>63</v>
      </c>
      <c r="K481" s="2">
        <v>42</v>
      </c>
      <c r="L481" s="2">
        <v>19</v>
      </c>
      <c r="M481" s="2">
        <v>1.46</v>
      </c>
      <c r="N481" s="2" t="s">
        <v>95</v>
      </c>
      <c r="O481" s="10">
        <v>1</v>
      </c>
      <c r="P481" s="13">
        <v>1</v>
      </c>
      <c r="Q481" s="183">
        <v>1</v>
      </c>
      <c r="R481" s="181">
        <v>5</v>
      </c>
      <c r="S481" s="178">
        <f t="shared" si="60"/>
        <v>2</v>
      </c>
      <c r="T481" s="186">
        <f t="shared" si="61"/>
        <v>6</v>
      </c>
      <c r="U481" s="179">
        <f t="shared" si="62"/>
        <v>4</v>
      </c>
      <c r="V481" s="1">
        <f t="shared" si="64"/>
        <v>25</v>
      </c>
      <c r="W481" s="8">
        <f t="shared" si="63"/>
        <v>6.25</v>
      </c>
      <c r="X481" s="15">
        <f t="shared" si="58"/>
        <v>2875</v>
      </c>
    </row>
    <row r="482" spans="1:24">
      <c r="A482" t="s">
        <v>930</v>
      </c>
      <c r="B482" s="163" t="s">
        <v>35</v>
      </c>
      <c r="C482" s="2" t="s">
        <v>149</v>
      </c>
      <c r="D482" s="2" t="s">
        <v>153</v>
      </c>
      <c r="E482" s="3">
        <v>45385.791666666664</v>
      </c>
      <c r="F482" s="2" t="s">
        <v>250</v>
      </c>
      <c r="G482" s="2" t="s">
        <v>205</v>
      </c>
      <c r="H482" s="2">
        <v>71</v>
      </c>
      <c r="I482" s="2">
        <v>90</v>
      </c>
      <c r="J482" s="2">
        <v>55</v>
      </c>
      <c r="K482" s="2">
        <v>45</v>
      </c>
      <c r="L482" s="2">
        <v>20</v>
      </c>
      <c r="M482" s="2">
        <v>1.78</v>
      </c>
      <c r="N482" s="2" t="s">
        <v>95</v>
      </c>
      <c r="O482" s="10">
        <v>0</v>
      </c>
      <c r="P482" s="14">
        <v>0</v>
      </c>
      <c r="Q482" s="183">
        <v>5</v>
      </c>
      <c r="R482" s="181">
        <v>1</v>
      </c>
      <c r="S482" s="178">
        <f t="shared" si="60"/>
        <v>0</v>
      </c>
      <c r="T482" s="186">
        <f t="shared" si="61"/>
        <v>6</v>
      </c>
      <c r="U482" s="179">
        <f t="shared" si="62"/>
        <v>6</v>
      </c>
      <c r="V482" s="1">
        <f t="shared" si="64"/>
        <v>25</v>
      </c>
      <c r="W482" s="8">
        <f t="shared" si="63"/>
        <v>6.25</v>
      </c>
      <c r="X482" s="15">
        <f t="shared" si="58"/>
        <v>2881.25</v>
      </c>
    </row>
    <row r="483" spans="1:24">
      <c r="A483" t="s">
        <v>930</v>
      </c>
      <c r="B483" s="163" t="s">
        <v>35</v>
      </c>
      <c r="C483" s="2" t="s">
        <v>119</v>
      </c>
      <c r="D483" s="2" t="s">
        <v>120</v>
      </c>
      <c r="E483" s="3">
        <v>45411.833333333336</v>
      </c>
      <c r="F483" s="2" t="s">
        <v>361</v>
      </c>
      <c r="G483" s="2" t="s">
        <v>350</v>
      </c>
      <c r="H483" s="2">
        <v>71</v>
      </c>
      <c r="I483" s="2">
        <v>90</v>
      </c>
      <c r="J483" s="2">
        <v>50</v>
      </c>
      <c r="K483" s="2">
        <v>40</v>
      </c>
      <c r="L483" s="2">
        <v>20</v>
      </c>
      <c r="M483" s="2">
        <v>1.56</v>
      </c>
      <c r="N483" s="2" t="s">
        <v>95</v>
      </c>
      <c r="O483" s="10">
        <v>1</v>
      </c>
      <c r="P483" s="14">
        <v>2</v>
      </c>
      <c r="Q483" s="183">
        <v>4</v>
      </c>
      <c r="R483" s="181">
        <v>2</v>
      </c>
      <c r="S483" s="178">
        <f t="shared" si="60"/>
        <v>3</v>
      </c>
      <c r="T483" s="186">
        <f t="shared" si="61"/>
        <v>6</v>
      </c>
      <c r="U483" s="179">
        <f t="shared" si="62"/>
        <v>3</v>
      </c>
      <c r="V483" s="1">
        <f t="shared" si="64"/>
        <v>25</v>
      </c>
      <c r="W483" s="8">
        <f t="shared" si="63"/>
        <v>6.25</v>
      </c>
      <c r="X483" s="15">
        <f t="shared" si="58"/>
        <v>2887.5</v>
      </c>
    </row>
    <row r="484" spans="1:24">
      <c r="A484" t="s">
        <v>930</v>
      </c>
      <c r="B484" s="163" t="s">
        <v>43</v>
      </c>
      <c r="C484" s="2" t="s">
        <v>44</v>
      </c>
      <c r="D484" s="2" t="s">
        <v>45</v>
      </c>
      <c r="E484" s="3">
        <v>45324.447916666664</v>
      </c>
      <c r="F484" s="2" t="s">
        <v>131</v>
      </c>
      <c r="G484" s="2" t="s">
        <v>126</v>
      </c>
      <c r="H484" s="2">
        <v>71</v>
      </c>
      <c r="I484" s="2">
        <v>69</v>
      </c>
      <c r="J484" s="2">
        <v>62</v>
      </c>
      <c r="K484" s="2">
        <v>2.15</v>
      </c>
      <c r="L484" s="2">
        <v>1.6</v>
      </c>
      <c r="M484" s="2">
        <v>0.95</v>
      </c>
      <c r="N484" s="2" t="s">
        <v>95</v>
      </c>
      <c r="O484" s="10">
        <v>1</v>
      </c>
      <c r="P484" s="13">
        <v>1</v>
      </c>
      <c r="Q484" s="183">
        <v>4</v>
      </c>
      <c r="R484" s="181">
        <v>2</v>
      </c>
      <c r="S484" s="178">
        <f t="shared" si="60"/>
        <v>2</v>
      </c>
      <c r="T484" s="186">
        <f t="shared" si="61"/>
        <v>6</v>
      </c>
      <c r="U484" s="179">
        <f t="shared" si="62"/>
        <v>4</v>
      </c>
      <c r="V484" s="1">
        <f t="shared" si="64"/>
        <v>25</v>
      </c>
      <c r="W484" s="8">
        <f t="shared" si="63"/>
        <v>6.25</v>
      </c>
      <c r="X484" s="15">
        <f t="shared" si="58"/>
        <v>2893.75</v>
      </c>
    </row>
    <row r="485" spans="1:24">
      <c r="A485" t="s">
        <v>930</v>
      </c>
      <c r="B485" s="163" t="s">
        <v>43</v>
      </c>
      <c r="C485" s="2" t="s">
        <v>6</v>
      </c>
      <c r="D485" s="2" t="s">
        <v>14</v>
      </c>
      <c r="E485" s="3">
        <v>45335.822916666664</v>
      </c>
      <c r="F485" s="2" t="s">
        <v>317</v>
      </c>
      <c r="G485" s="2" t="s">
        <v>431</v>
      </c>
      <c r="H485" s="2">
        <v>67</v>
      </c>
      <c r="I485" s="2">
        <v>69</v>
      </c>
      <c r="J485" s="2">
        <v>61</v>
      </c>
      <c r="K485" s="2">
        <v>1.6</v>
      </c>
      <c r="L485" s="2">
        <v>1.37</v>
      </c>
      <c r="M485" s="2"/>
      <c r="N485" s="2" t="s">
        <v>95</v>
      </c>
      <c r="O485" s="10">
        <v>2</v>
      </c>
      <c r="P485" s="14">
        <v>1</v>
      </c>
      <c r="Q485" s="183">
        <v>4</v>
      </c>
      <c r="R485" s="181">
        <v>2</v>
      </c>
      <c r="S485" s="178">
        <f t="shared" si="60"/>
        <v>3</v>
      </c>
      <c r="T485" s="186">
        <f t="shared" si="61"/>
        <v>6</v>
      </c>
      <c r="U485" s="179">
        <f t="shared" si="62"/>
        <v>3</v>
      </c>
      <c r="V485" s="1">
        <f t="shared" si="64"/>
        <v>25</v>
      </c>
      <c r="W485" s="8">
        <f t="shared" si="63"/>
        <v>6.25</v>
      </c>
      <c r="X485" s="15">
        <f t="shared" si="58"/>
        <v>2900</v>
      </c>
    </row>
    <row r="486" spans="1:24">
      <c r="A486" t="s">
        <v>930</v>
      </c>
      <c r="B486" s="163" t="s">
        <v>43</v>
      </c>
      <c r="C486" s="2" t="s">
        <v>119</v>
      </c>
      <c r="D486" s="2" t="s">
        <v>120</v>
      </c>
      <c r="E486" s="3">
        <v>45354.541666666664</v>
      </c>
      <c r="F486" s="2" t="s">
        <v>362</v>
      </c>
      <c r="G486" s="2" t="s">
        <v>388</v>
      </c>
      <c r="H486" s="2">
        <v>77</v>
      </c>
      <c r="I486" s="2">
        <v>86</v>
      </c>
      <c r="J486" s="2">
        <v>63</v>
      </c>
      <c r="K486" s="2">
        <v>1.55</v>
      </c>
      <c r="L486" s="2">
        <v>1.55</v>
      </c>
      <c r="M486" s="2"/>
      <c r="N486" s="2" t="s">
        <v>95</v>
      </c>
      <c r="O486" s="14">
        <v>3</v>
      </c>
      <c r="P486" s="10">
        <v>0</v>
      </c>
      <c r="Q486" s="184">
        <v>5</v>
      </c>
      <c r="R486" s="181">
        <v>1</v>
      </c>
      <c r="S486" s="178">
        <f t="shared" si="60"/>
        <v>3</v>
      </c>
      <c r="T486" s="186">
        <f t="shared" si="61"/>
        <v>6</v>
      </c>
      <c r="U486" s="179">
        <f t="shared" si="62"/>
        <v>3</v>
      </c>
      <c r="V486" s="1">
        <f t="shared" si="64"/>
        <v>25</v>
      </c>
      <c r="W486" s="8">
        <f t="shared" si="63"/>
        <v>6.25</v>
      </c>
      <c r="X486" s="15">
        <f t="shared" si="58"/>
        <v>2906.25</v>
      </c>
    </row>
    <row r="487" spans="1:24">
      <c r="A487" t="s">
        <v>930</v>
      </c>
      <c r="B487" s="163" t="s">
        <v>43</v>
      </c>
      <c r="C487" s="2" t="s">
        <v>6</v>
      </c>
      <c r="D487" s="2" t="s">
        <v>14</v>
      </c>
      <c r="E487" s="3">
        <v>45360.625</v>
      </c>
      <c r="F487" s="2" t="s">
        <v>56</v>
      </c>
      <c r="G487" s="2" t="s">
        <v>503</v>
      </c>
      <c r="H487" s="2">
        <v>74</v>
      </c>
      <c r="I487" s="2">
        <v>67</v>
      </c>
      <c r="J487" s="2">
        <v>64</v>
      </c>
      <c r="K487" s="2">
        <v>1.65</v>
      </c>
      <c r="L487" s="2">
        <v>1.42</v>
      </c>
      <c r="M487" s="2"/>
      <c r="N487" s="2" t="s">
        <v>95</v>
      </c>
      <c r="O487" s="14">
        <v>2</v>
      </c>
      <c r="P487" s="10">
        <v>0</v>
      </c>
      <c r="Q487" s="184">
        <v>4</v>
      </c>
      <c r="R487" s="181">
        <v>2</v>
      </c>
      <c r="S487" s="178">
        <f t="shared" si="60"/>
        <v>2</v>
      </c>
      <c r="T487" s="186">
        <f t="shared" si="61"/>
        <v>6</v>
      </c>
      <c r="U487" s="179">
        <f t="shared" si="62"/>
        <v>4</v>
      </c>
      <c r="V487" s="1">
        <f t="shared" si="64"/>
        <v>25</v>
      </c>
      <c r="W487" s="8">
        <f t="shared" si="63"/>
        <v>6.25</v>
      </c>
      <c r="X487" s="15">
        <f t="shared" si="58"/>
        <v>2912.5</v>
      </c>
    </row>
    <row r="488" spans="1:24">
      <c r="A488" t="s">
        <v>930</v>
      </c>
      <c r="B488" s="163" t="s">
        <v>43</v>
      </c>
      <c r="C488" s="2" t="s">
        <v>119</v>
      </c>
      <c r="D488" s="2" t="s">
        <v>120</v>
      </c>
      <c r="E488" s="3">
        <v>45411.833333333336</v>
      </c>
      <c r="F488" s="2" t="s">
        <v>361</v>
      </c>
      <c r="G488" s="2" t="s">
        <v>350</v>
      </c>
      <c r="H488" s="2">
        <v>76</v>
      </c>
      <c r="I488" s="2">
        <v>78</v>
      </c>
      <c r="J488" s="2">
        <v>63</v>
      </c>
      <c r="K488" s="2">
        <v>2.1</v>
      </c>
      <c r="L488" s="2">
        <v>1.56</v>
      </c>
      <c r="M488" s="2"/>
      <c r="N488" s="2" t="s">
        <v>95</v>
      </c>
      <c r="O488" s="14">
        <v>1</v>
      </c>
      <c r="P488" s="10">
        <v>2</v>
      </c>
      <c r="Q488" s="184">
        <v>4</v>
      </c>
      <c r="R488" s="181">
        <v>2</v>
      </c>
      <c r="S488" s="178">
        <f t="shared" si="60"/>
        <v>3</v>
      </c>
      <c r="T488" s="186">
        <f t="shared" si="61"/>
        <v>6</v>
      </c>
      <c r="U488" s="179">
        <f t="shared" si="62"/>
        <v>3</v>
      </c>
      <c r="V488" s="1">
        <f t="shared" si="64"/>
        <v>25</v>
      </c>
      <c r="W488" s="8">
        <f t="shared" si="63"/>
        <v>6.25</v>
      </c>
      <c r="X488" s="15">
        <f t="shared" si="58"/>
        <v>2918.75</v>
      </c>
    </row>
    <row r="489" spans="1:24">
      <c r="A489" t="s">
        <v>930</v>
      </c>
      <c r="B489" s="163" t="s">
        <v>726</v>
      </c>
      <c r="C489" s="2" t="s">
        <v>6</v>
      </c>
      <c r="D489" s="2" t="s">
        <v>62</v>
      </c>
      <c r="E489" s="3">
        <v>45395.625</v>
      </c>
      <c r="F489" s="2" t="s">
        <v>72</v>
      </c>
      <c r="G489" s="2" t="s">
        <v>86</v>
      </c>
      <c r="H489" s="2">
        <v>90</v>
      </c>
      <c r="I489" s="2">
        <v>20</v>
      </c>
      <c r="J489" s="2">
        <v>2.15</v>
      </c>
      <c r="K489" s="2">
        <v>63</v>
      </c>
      <c r="L489" s="2"/>
      <c r="M489" s="2"/>
      <c r="N489" s="2" t="s">
        <v>95</v>
      </c>
      <c r="O489" s="14">
        <v>1</v>
      </c>
      <c r="P489" s="10">
        <v>0</v>
      </c>
      <c r="Q489" s="184">
        <v>5</v>
      </c>
      <c r="R489" s="181">
        <v>1</v>
      </c>
      <c r="S489" s="178">
        <f t="shared" si="60"/>
        <v>1</v>
      </c>
      <c r="T489" s="186">
        <f t="shared" si="61"/>
        <v>6</v>
      </c>
      <c r="U489" s="179">
        <f t="shared" si="62"/>
        <v>5</v>
      </c>
      <c r="V489" s="1">
        <f t="shared" si="64"/>
        <v>25</v>
      </c>
      <c r="W489" s="8">
        <f t="shared" si="63"/>
        <v>6.25</v>
      </c>
      <c r="X489" s="15">
        <f t="shared" si="58"/>
        <v>2925</v>
      </c>
    </row>
    <row r="490" spans="1:24">
      <c r="A490" t="s">
        <v>930</v>
      </c>
      <c r="B490" s="163" t="s">
        <v>726</v>
      </c>
      <c r="C490" s="2" t="s">
        <v>149</v>
      </c>
      <c r="D490" s="2" t="s">
        <v>153</v>
      </c>
      <c r="E490" s="3">
        <v>45395.645833333336</v>
      </c>
      <c r="F490" s="2" t="s">
        <v>188</v>
      </c>
      <c r="G490" s="2" t="s">
        <v>281</v>
      </c>
      <c r="H490" s="2">
        <v>95</v>
      </c>
      <c r="I490" s="2">
        <v>20</v>
      </c>
      <c r="J490" s="2">
        <v>2.2999999999999998</v>
      </c>
      <c r="K490" s="2">
        <v>60</v>
      </c>
      <c r="L490" s="2"/>
      <c r="M490" s="2"/>
      <c r="N490" s="2" t="s">
        <v>95</v>
      </c>
      <c r="O490" s="14">
        <v>3</v>
      </c>
      <c r="P490" s="10">
        <v>0</v>
      </c>
      <c r="Q490" s="184">
        <v>6</v>
      </c>
      <c r="R490" s="181">
        <v>0</v>
      </c>
      <c r="S490" s="178">
        <f t="shared" si="60"/>
        <v>3</v>
      </c>
      <c r="T490" s="186">
        <f t="shared" si="61"/>
        <v>6</v>
      </c>
      <c r="U490" s="179">
        <f t="shared" si="62"/>
        <v>3</v>
      </c>
      <c r="V490" s="1">
        <f t="shared" si="64"/>
        <v>25</v>
      </c>
      <c r="W490" s="8">
        <f t="shared" si="63"/>
        <v>6.25</v>
      </c>
      <c r="X490" s="15">
        <f t="shared" si="58"/>
        <v>2931.25</v>
      </c>
    </row>
    <row r="491" spans="1:24">
      <c r="A491" t="s">
        <v>930</v>
      </c>
      <c r="B491" s="163" t="s">
        <v>726</v>
      </c>
      <c r="C491" s="2" t="s">
        <v>20</v>
      </c>
      <c r="D491" s="2" t="s">
        <v>21</v>
      </c>
      <c r="E491" s="154">
        <v>45396.583333333336</v>
      </c>
      <c r="F491" s="155" t="s">
        <v>370</v>
      </c>
      <c r="G491" s="2" t="s">
        <v>109</v>
      </c>
      <c r="H491" s="2">
        <v>80</v>
      </c>
      <c r="I491" s="2">
        <v>20</v>
      </c>
      <c r="J491" s="155">
        <v>1.9</v>
      </c>
      <c r="K491" s="155">
        <v>62</v>
      </c>
      <c r="L491" s="2"/>
      <c r="M491" s="2"/>
      <c r="N491" s="2" t="s">
        <v>95</v>
      </c>
      <c r="O491" s="14">
        <v>2</v>
      </c>
      <c r="P491" s="10">
        <v>1</v>
      </c>
      <c r="Q491" s="184">
        <v>3</v>
      </c>
      <c r="R491" s="181">
        <v>3</v>
      </c>
      <c r="S491" s="178">
        <f t="shared" si="60"/>
        <v>3</v>
      </c>
      <c r="T491" s="186">
        <f t="shared" si="61"/>
        <v>6</v>
      </c>
      <c r="U491" s="179">
        <f t="shared" si="62"/>
        <v>3</v>
      </c>
      <c r="V491" s="1">
        <f t="shared" si="64"/>
        <v>25</v>
      </c>
      <c r="W491" s="8">
        <f t="shared" si="63"/>
        <v>6.25</v>
      </c>
      <c r="X491" s="15">
        <f t="shared" si="58"/>
        <v>2937.5</v>
      </c>
    </row>
    <row r="492" spans="1:24">
      <c r="A492" t="s">
        <v>930</v>
      </c>
      <c r="B492" s="163" t="s">
        <v>726</v>
      </c>
      <c r="C492" s="2" t="s">
        <v>6</v>
      </c>
      <c r="D492" s="2" t="s">
        <v>62</v>
      </c>
      <c r="E492" s="3">
        <v>45402.625</v>
      </c>
      <c r="F492" s="2" t="s">
        <v>86</v>
      </c>
      <c r="G492" s="2" t="s">
        <v>63</v>
      </c>
      <c r="H492" s="2">
        <v>85</v>
      </c>
      <c r="I492" s="2">
        <v>20</v>
      </c>
      <c r="J492" s="2">
        <v>1.9</v>
      </c>
      <c r="K492" s="2">
        <v>62</v>
      </c>
      <c r="L492" s="2"/>
      <c r="M492" s="2"/>
      <c r="N492" s="2" t="s">
        <v>95</v>
      </c>
      <c r="O492" s="14">
        <v>0</v>
      </c>
      <c r="P492" s="10">
        <v>2</v>
      </c>
      <c r="Q492" s="184">
        <v>1</v>
      </c>
      <c r="R492" s="181">
        <v>5</v>
      </c>
      <c r="S492" s="178">
        <f t="shared" si="60"/>
        <v>2</v>
      </c>
      <c r="T492" s="186">
        <f t="shared" si="61"/>
        <v>6</v>
      </c>
      <c r="U492" s="179">
        <f t="shared" si="62"/>
        <v>4</v>
      </c>
      <c r="V492" s="1">
        <f t="shared" ref="V492:V555" si="65">SUM($X$1*0.05)</f>
        <v>25</v>
      </c>
      <c r="W492" s="8">
        <f t="shared" si="63"/>
        <v>6.25</v>
      </c>
      <c r="X492" s="15">
        <f t="shared" ref="X492:X555" si="66">SUM(X491,W492)</f>
        <v>2943.75</v>
      </c>
    </row>
    <row r="493" spans="1:24">
      <c r="A493" t="s">
        <v>930</v>
      </c>
      <c r="B493" s="163" t="s">
        <v>726</v>
      </c>
      <c r="C493" s="2" t="s">
        <v>6</v>
      </c>
      <c r="D493" s="2" t="s">
        <v>62</v>
      </c>
      <c r="E493" s="3">
        <v>45406.833333333336</v>
      </c>
      <c r="F493" s="2" t="s">
        <v>383</v>
      </c>
      <c r="G493" s="2" t="s">
        <v>85</v>
      </c>
      <c r="H493" s="2">
        <v>90</v>
      </c>
      <c r="I493" s="2">
        <v>20</v>
      </c>
      <c r="J493" s="2">
        <v>1.85</v>
      </c>
      <c r="K493" s="2">
        <v>61</v>
      </c>
      <c r="L493" s="2"/>
      <c r="M493" s="2"/>
      <c r="N493" s="2" t="s">
        <v>95</v>
      </c>
      <c r="O493" s="14">
        <v>1</v>
      </c>
      <c r="P493" s="10">
        <v>1</v>
      </c>
      <c r="Q493" s="184">
        <v>4</v>
      </c>
      <c r="R493" s="181">
        <v>2</v>
      </c>
      <c r="S493" s="178">
        <f t="shared" si="60"/>
        <v>2</v>
      </c>
      <c r="T493" s="186">
        <f t="shared" si="61"/>
        <v>6</v>
      </c>
      <c r="U493" s="179">
        <f t="shared" si="62"/>
        <v>4</v>
      </c>
      <c r="V493" s="1">
        <f t="shared" si="65"/>
        <v>25</v>
      </c>
      <c r="W493" s="8">
        <f t="shared" si="63"/>
        <v>6.25</v>
      </c>
      <c r="X493" s="15">
        <f t="shared" si="66"/>
        <v>2950</v>
      </c>
    </row>
    <row r="494" spans="1:24">
      <c r="A494" t="s">
        <v>930</v>
      </c>
      <c r="B494" s="163" t="s">
        <v>726</v>
      </c>
      <c r="C494" s="2" t="s">
        <v>149</v>
      </c>
      <c r="D494" s="2" t="s">
        <v>150</v>
      </c>
      <c r="E494" s="3">
        <v>45408.791666666664</v>
      </c>
      <c r="F494" s="2" t="s">
        <v>151</v>
      </c>
      <c r="G494" s="2" t="s">
        <v>559</v>
      </c>
      <c r="H494" s="2">
        <v>95</v>
      </c>
      <c r="I494" s="2">
        <v>20</v>
      </c>
      <c r="J494" s="2">
        <v>2</v>
      </c>
      <c r="K494" s="2">
        <v>62</v>
      </c>
      <c r="L494" s="2"/>
      <c r="M494" s="2"/>
      <c r="N494" s="2" t="s">
        <v>95</v>
      </c>
      <c r="O494" s="14">
        <v>2</v>
      </c>
      <c r="P494" s="10">
        <v>1</v>
      </c>
      <c r="Q494" s="184">
        <v>3</v>
      </c>
      <c r="R494" s="181">
        <v>3</v>
      </c>
      <c r="S494" s="178">
        <f t="shared" si="60"/>
        <v>3</v>
      </c>
      <c r="T494" s="186">
        <f t="shared" si="61"/>
        <v>6</v>
      </c>
      <c r="U494" s="179">
        <f t="shared" si="62"/>
        <v>3</v>
      </c>
      <c r="V494" s="1">
        <f t="shared" si="65"/>
        <v>25</v>
      </c>
      <c r="W494" s="8">
        <f t="shared" si="63"/>
        <v>6.25</v>
      </c>
      <c r="X494" s="15">
        <f t="shared" si="66"/>
        <v>2956.25</v>
      </c>
    </row>
    <row r="495" spans="1:24">
      <c r="A495" t="s">
        <v>930</v>
      </c>
      <c r="B495" s="163" t="s">
        <v>726</v>
      </c>
      <c r="C495" s="2" t="s">
        <v>6</v>
      </c>
      <c r="D495" s="2" t="s">
        <v>62</v>
      </c>
      <c r="E495" s="3">
        <v>45409.625</v>
      </c>
      <c r="F495" s="2" t="s">
        <v>164</v>
      </c>
      <c r="G495" s="2" t="s">
        <v>85</v>
      </c>
      <c r="H495" s="2">
        <v>95</v>
      </c>
      <c r="I495" s="2">
        <v>20</v>
      </c>
      <c r="J495" s="2">
        <v>2.2000000000000002</v>
      </c>
      <c r="K495" s="2">
        <v>62</v>
      </c>
      <c r="L495" s="2"/>
      <c r="M495" s="2"/>
      <c r="N495" s="2" t="s">
        <v>95</v>
      </c>
      <c r="O495" s="14">
        <v>1</v>
      </c>
      <c r="P495" s="10">
        <v>1</v>
      </c>
      <c r="Q495" s="184">
        <v>5</v>
      </c>
      <c r="R495" s="181">
        <v>1</v>
      </c>
      <c r="S495" s="178">
        <f t="shared" si="60"/>
        <v>2</v>
      </c>
      <c r="T495" s="186">
        <f t="shared" si="61"/>
        <v>6</v>
      </c>
      <c r="U495" s="179">
        <f t="shared" si="62"/>
        <v>4</v>
      </c>
      <c r="V495" s="1">
        <f t="shared" si="65"/>
        <v>25</v>
      </c>
      <c r="W495" s="8">
        <f t="shared" si="63"/>
        <v>6.25</v>
      </c>
      <c r="X495" s="15">
        <f t="shared" si="66"/>
        <v>2962.5</v>
      </c>
    </row>
    <row r="496" spans="1:24">
      <c r="A496" t="s">
        <v>930</v>
      </c>
      <c r="B496" s="163" t="s">
        <v>726</v>
      </c>
      <c r="C496" s="2" t="s">
        <v>296</v>
      </c>
      <c r="D496" s="2" t="s">
        <v>525</v>
      </c>
      <c r="E496" s="3">
        <v>45409.708333333336</v>
      </c>
      <c r="F496" s="2" t="s">
        <v>596</v>
      </c>
      <c r="G496" s="2" t="s">
        <v>589</v>
      </c>
      <c r="H496" s="2">
        <v>80</v>
      </c>
      <c r="I496" s="2">
        <v>20</v>
      </c>
      <c r="J496" s="2">
        <v>2.0499999999999998</v>
      </c>
      <c r="K496" s="2">
        <v>64</v>
      </c>
      <c r="L496" s="2"/>
      <c r="M496" s="2"/>
      <c r="N496" s="2" t="s">
        <v>95</v>
      </c>
      <c r="O496" s="14">
        <v>2</v>
      </c>
      <c r="P496" s="10">
        <v>0</v>
      </c>
      <c r="Q496" s="184">
        <v>6</v>
      </c>
      <c r="R496" s="181">
        <v>0</v>
      </c>
      <c r="S496" s="178">
        <f t="shared" si="60"/>
        <v>2</v>
      </c>
      <c r="T496" s="186">
        <f t="shared" si="61"/>
        <v>6</v>
      </c>
      <c r="U496" s="179">
        <f t="shared" si="62"/>
        <v>4</v>
      </c>
      <c r="V496" s="1">
        <f t="shared" si="65"/>
        <v>25</v>
      </c>
      <c r="W496" s="8">
        <f t="shared" si="63"/>
        <v>6.25</v>
      </c>
      <c r="X496" s="15">
        <f t="shared" si="66"/>
        <v>2968.75</v>
      </c>
    </row>
    <row r="497" spans="1:30">
      <c r="A497" t="s">
        <v>930</v>
      </c>
      <c r="B497" s="163" t="s">
        <v>726</v>
      </c>
      <c r="C497" s="2" t="s">
        <v>119</v>
      </c>
      <c r="D497" s="2" t="s">
        <v>120</v>
      </c>
      <c r="E497" s="3">
        <v>45411.833333333336</v>
      </c>
      <c r="F497" s="2" t="s">
        <v>361</v>
      </c>
      <c r="G497" s="2" t="s">
        <v>350</v>
      </c>
      <c r="H497" s="2">
        <v>90</v>
      </c>
      <c r="I497" s="2">
        <v>20</v>
      </c>
      <c r="J497" s="2">
        <v>2.1</v>
      </c>
      <c r="K497" s="2">
        <v>63</v>
      </c>
      <c r="L497" s="2"/>
      <c r="M497" s="2"/>
      <c r="N497" s="2" t="s">
        <v>95</v>
      </c>
      <c r="O497" s="14">
        <v>1</v>
      </c>
      <c r="P497" s="10">
        <v>2</v>
      </c>
      <c r="Q497" s="184">
        <v>4</v>
      </c>
      <c r="R497" s="181">
        <v>2</v>
      </c>
      <c r="S497" s="178">
        <f t="shared" si="60"/>
        <v>3</v>
      </c>
      <c r="T497" s="186">
        <f t="shared" si="61"/>
        <v>6</v>
      </c>
      <c r="U497" s="179">
        <f t="shared" si="62"/>
        <v>3</v>
      </c>
      <c r="V497" s="1">
        <f t="shared" si="65"/>
        <v>25</v>
      </c>
      <c r="W497" s="8">
        <f t="shared" si="63"/>
        <v>6.25</v>
      </c>
      <c r="X497" s="15">
        <f t="shared" si="66"/>
        <v>2975</v>
      </c>
    </row>
    <row r="498" spans="1:30">
      <c r="A498" t="s">
        <v>930</v>
      </c>
      <c r="B498" s="163" t="s">
        <v>726</v>
      </c>
      <c r="C498" s="2" t="s">
        <v>119</v>
      </c>
      <c r="D498" s="2" t="s">
        <v>120</v>
      </c>
      <c r="E498" s="3">
        <v>45416.729166666664</v>
      </c>
      <c r="F498" s="2" t="s">
        <v>453</v>
      </c>
      <c r="G498" s="2" t="s">
        <v>361</v>
      </c>
      <c r="H498" s="2">
        <v>85</v>
      </c>
      <c r="I498" s="2">
        <v>20</v>
      </c>
      <c r="J498" s="2">
        <v>2</v>
      </c>
      <c r="K498" s="2">
        <v>59</v>
      </c>
      <c r="L498" s="2"/>
      <c r="M498" s="2"/>
      <c r="N498" s="2" t="s">
        <v>95</v>
      </c>
      <c r="O498" s="14">
        <v>1</v>
      </c>
      <c r="P498" s="10">
        <v>2</v>
      </c>
      <c r="Q498" s="184">
        <v>4</v>
      </c>
      <c r="R498" s="181">
        <v>2</v>
      </c>
      <c r="S498" s="178">
        <f t="shared" si="60"/>
        <v>3</v>
      </c>
      <c r="T498" s="186">
        <f t="shared" si="61"/>
        <v>6</v>
      </c>
      <c r="U498" s="179">
        <f t="shared" si="62"/>
        <v>3</v>
      </c>
      <c r="V498" s="1">
        <f t="shared" si="65"/>
        <v>25</v>
      </c>
      <c r="W498" s="8">
        <f t="shared" si="63"/>
        <v>6.25</v>
      </c>
      <c r="X498" s="15">
        <f t="shared" si="66"/>
        <v>2981.25</v>
      </c>
    </row>
    <row r="499" spans="1:30">
      <c r="A499" t="s">
        <v>930</v>
      </c>
      <c r="B499" s="163" t="s">
        <v>726</v>
      </c>
      <c r="C499" s="2" t="s">
        <v>6</v>
      </c>
      <c r="D499" s="2" t="s">
        <v>62</v>
      </c>
      <c r="E499" s="3">
        <v>45417.6875</v>
      </c>
      <c r="F499" s="2" t="s">
        <v>285</v>
      </c>
      <c r="G499" s="2" t="s">
        <v>116</v>
      </c>
      <c r="H499" s="2">
        <v>80</v>
      </c>
      <c r="I499" s="2">
        <v>20</v>
      </c>
      <c r="J499" s="2">
        <v>1.95</v>
      </c>
      <c r="K499" s="2">
        <v>59</v>
      </c>
      <c r="L499" s="2"/>
      <c r="M499" s="2"/>
      <c r="N499" s="2" t="s">
        <v>95</v>
      </c>
      <c r="O499" s="14">
        <v>2</v>
      </c>
      <c r="P499" s="10">
        <v>0</v>
      </c>
      <c r="Q499" s="184">
        <v>4</v>
      </c>
      <c r="R499" s="181">
        <v>2</v>
      </c>
      <c r="S499" s="178">
        <f t="shared" si="60"/>
        <v>2</v>
      </c>
      <c r="T499" s="186">
        <f t="shared" si="61"/>
        <v>6</v>
      </c>
      <c r="U499" s="179">
        <f t="shared" si="62"/>
        <v>4</v>
      </c>
      <c r="V499" s="1">
        <f t="shared" si="65"/>
        <v>25</v>
      </c>
      <c r="W499" s="8">
        <f t="shared" si="63"/>
        <v>6.25</v>
      </c>
      <c r="X499" s="15">
        <f t="shared" si="66"/>
        <v>2987.5</v>
      </c>
    </row>
    <row r="500" spans="1:30">
      <c r="A500" t="s">
        <v>930</v>
      </c>
      <c r="B500" s="163" t="s">
        <v>726</v>
      </c>
      <c r="C500" s="2" t="s">
        <v>6</v>
      </c>
      <c r="D500" s="2" t="s">
        <v>62</v>
      </c>
      <c r="E500" s="3">
        <v>45425.833333333336</v>
      </c>
      <c r="F500" s="2" t="s">
        <v>102</v>
      </c>
      <c r="G500" s="2" t="s">
        <v>285</v>
      </c>
      <c r="H500" s="2">
        <v>100</v>
      </c>
      <c r="I500" s="2">
        <v>20</v>
      </c>
      <c r="J500" s="2">
        <v>2.4</v>
      </c>
      <c r="K500" s="2">
        <v>61</v>
      </c>
      <c r="L500" s="2"/>
      <c r="M500" s="2"/>
      <c r="N500" s="2" t="s">
        <v>95</v>
      </c>
      <c r="O500" s="14">
        <v>1</v>
      </c>
      <c r="P500" s="10">
        <v>2</v>
      </c>
      <c r="Q500" s="184">
        <v>3</v>
      </c>
      <c r="R500" s="181">
        <v>3</v>
      </c>
      <c r="S500" s="178">
        <f t="shared" si="60"/>
        <v>3</v>
      </c>
      <c r="T500" s="186">
        <f t="shared" si="61"/>
        <v>6</v>
      </c>
      <c r="U500" s="179">
        <f t="shared" si="62"/>
        <v>3</v>
      </c>
      <c r="V500" s="1">
        <f t="shared" si="65"/>
        <v>25</v>
      </c>
      <c r="W500" s="8">
        <f t="shared" si="63"/>
        <v>6.25</v>
      </c>
      <c r="X500" s="15">
        <f t="shared" si="66"/>
        <v>2993.75</v>
      </c>
    </row>
    <row r="501" spans="1:30">
      <c r="A501" t="s">
        <v>930</v>
      </c>
      <c r="B501" s="163" t="s">
        <v>726</v>
      </c>
      <c r="C501" s="2" t="s">
        <v>6</v>
      </c>
      <c r="D501" s="2" t="s">
        <v>62</v>
      </c>
      <c r="E501" s="3">
        <v>45431.666666666664</v>
      </c>
      <c r="F501" s="2" t="s">
        <v>63</v>
      </c>
      <c r="G501" s="2" t="s">
        <v>164</v>
      </c>
      <c r="H501" s="2">
        <v>85</v>
      </c>
      <c r="I501" s="2">
        <v>20</v>
      </c>
      <c r="J501" s="2">
        <v>2.15</v>
      </c>
      <c r="K501" s="2">
        <v>57</v>
      </c>
      <c r="L501" s="2"/>
      <c r="M501" s="2"/>
      <c r="N501" s="2" t="s">
        <v>95</v>
      </c>
      <c r="O501" s="14">
        <v>0</v>
      </c>
      <c r="P501" s="10">
        <v>3</v>
      </c>
      <c r="Q501" s="184">
        <v>2</v>
      </c>
      <c r="R501" s="181">
        <v>4</v>
      </c>
      <c r="S501" s="178">
        <f t="shared" si="60"/>
        <v>3</v>
      </c>
      <c r="T501" s="186">
        <f t="shared" si="61"/>
        <v>6</v>
      </c>
      <c r="U501" s="179">
        <f t="shared" si="62"/>
        <v>3</v>
      </c>
      <c r="V501" s="1">
        <f t="shared" si="65"/>
        <v>25</v>
      </c>
      <c r="W501" s="8">
        <f t="shared" si="63"/>
        <v>6.25</v>
      </c>
      <c r="X501" s="15">
        <f t="shared" si="66"/>
        <v>3000</v>
      </c>
    </row>
    <row r="502" spans="1:30">
      <c r="A502" t="s">
        <v>930</v>
      </c>
      <c r="B502" s="163" t="s">
        <v>522</v>
      </c>
      <c r="C502" s="2" t="s">
        <v>149</v>
      </c>
      <c r="D502" s="2" t="s">
        <v>153</v>
      </c>
      <c r="E502" s="3">
        <v>45385.791666666664</v>
      </c>
      <c r="F502" s="2" t="s">
        <v>250</v>
      </c>
      <c r="G502" s="2" t="s">
        <v>205</v>
      </c>
      <c r="H502" s="2">
        <v>71</v>
      </c>
      <c r="I502" s="2">
        <v>20</v>
      </c>
      <c r="J502" s="2">
        <v>90</v>
      </c>
      <c r="K502" s="2">
        <v>55</v>
      </c>
      <c r="L502" s="2">
        <v>2.35</v>
      </c>
      <c r="M502" s="2"/>
      <c r="N502" s="2" t="s">
        <v>95</v>
      </c>
      <c r="O502" s="14">
        <v>0</v>
      </c>
      <c r="P502" s="10">
        <v>0</v>
      </c>
      <c r="Q502" s="184">
        <v>5</v>
      </c>
      <c r="R502" s="187">
        <v>1</v>
      </c>
      <c r="S502" s="178">
        <f t="shared" si="60"/>
        <v>0</v>
      </c>
      <c r="T502" s="186">
        <f t="shared" si="61"/>
        <v>6</v>
      </c>
      <c r="U502" s="179">
        <f t="shared" si="62"/>
        <v>6</v>
      </c>
      <c r="V502" s="1">
        <f t="shared" si="65"/>
        <v>25</v>
      </c>
      <c r="W502" s="8">
        <f t="shared" si="63"/>
        <v>6.25</v>
      </c>
      <c r="X502" s="15">
        <f t="shared" si="66"/>
        <v>3006.25</v>
      </c>
    </row>
    <row r="503" spans="1:30">
      <c r="A503" t="s">
        <v>930</v>
      </c>
      <c r="B503" s="163" t="s">
        <v>515</v>
      </c>
      <c r="C503" s="2" t="s">
        <v>410</v>
      </c>
      <c r="D503" s="2" t="s">
        <v>544</v>
      </c>
      <c r="E503" s="3">
        <v>45368.458333333336</v>
      </c>
      <c r="F503" s="2" t="s">
        <v>563</v>
      </c>
      <c r="G503" s="2" t="s">
        <v>591</v>
      </c>
      <c r="H503" s="2">
        <v>20</v>
      </c>
      <c r="I503" s="2">
        <v>77</v>
      </c>
      <c r="J503" s="2">
        <v>1.85</v>
      </c>
      <c r="K503" s="2"/>
      <c r="L503" s="2"/>
      <c r="M503" s="2"/>
      <c r="N503" s="2" t="s">
        <v>95</v>
      </c>
      <c r="O503" s="14">
        <v>3</v>
      </c>
      <c r="P503" s="10">
        <v>0</v>
      </c>
      <c r="Q503" s="184">
        <v>3</v>
      </c>
      <c r="R503" s="187">
        <v>3</v>
      </c>
      <c r="S503" s="178">
        <f t="shared" si="60"/>
        <v>3</v>
      </c>
      <c r="T503" s="186">
        <f t="shared" si="61"/>
        <v>6</v>
      </c>
      <c r="U503" s="179">
        <f t="shared" si="62"/>
        <v>3</v>
      </c>
      <c r="V503" s="1">
        <f t="shared" si="65"/>
        <v>25</v>
      </c>
      <c r="W503" s="8">
        <f t="shared" si="63"/>
        <v>6.25</v>
      </c>
      <c r="X503" s="15">
        <f t="shared" si="66"/>
        <v>3012.5</v>
      </c>
    </row>
    <row r="504" spans="1:30">
      <c r="A504" t="s">
        <v>930</v>
      </c>
      <c r="B504" s="163" t="s">
        <v>515</v>
      </c>
      <c r="C504" s="2" t="s">
        <v>592</v>
      </c>
      <c r="D504" s="2" t="s">
        <v>593</v>
      </c>
      <c r="E504" s="3">
        <v>45368.479166666664</v>
      </c>
      <c r="F504" s="2" t="s">
        <v>594</v>
      </c>
      <c r="G504" s="2" t="s">
        <v>595</v>
      </c>
      <c r="H504" s="2">
        <v>20</v>
      </c>
      <c r="I504" s="2">
        <v>71</v>
      </c>
      <c r="J504" s="2">
        <v>2.1</v>
      </c>
      <c r="K504" s="2"/>
      <c r="L504" s="2"/>
      <c r="M504" s="2"/>
      <c r="N504" s="2" t="s">
        <v>95</v>
      </c>
      <c r="O504" s="14">
        <v>4</v>
      </c>
      <c r="P504" s="10">
        <v>0</v>
      </c>
      <c r="Q504" s="184">
        <v>5</v>
      </c>
      <c r="R504" s="187">
        <v>1</v>
      </c>
      <c r="S504" s="178">
        <f t="shared" si="60"/>
        <v>4</v>
      </c>
      <c r="T504" s="186">
        <f t="shared" si="61"/>
        <v>6</v>
      </c>
      <c r="U504" s="179">
        <f t="shared" si="62"/>
        <v>2</v>
      </c>
      <c r="V504" s="1">
        <f t="shared" si="65"/>
        <v>25</v>
      </c>
      <c r="W504" s="8">
        <f t="shared" si="63"/>
        <v>6.25</v>
      </c>
      <c r="X504" s="15">
        <f t="shared" si="66"/>
        <v>3018.75</v>
      </c>
      <c r="Y504"/>
      <c r="Z504"/>
      <c r="AA504"/>
      <c r="AB504"/>
      <c r="AC504"/>
      <c r="AD504"/>
    </row>
    <row r="505" spans="1:30">
      <c r="A505" t="s">
        <v>930</v>
      </c>
      <c r="B505" s="163" t="s">
        <v>515</v>
      </c>
      <c r="C505" s="2" t="s">
        <v>149</v>
      </c>
      <c r="D505" s="2" t="s">
        <v>153</v>
      </c>
      <c r="E505" s="3">
        <v>45385.791666666664</v>
      </c>
      <c r="F505" s="2" t="s">
        <v>250</v>
      </c>
      <c r="G505" s="2" t="s">
        <v>205</v>
      </c>
      <c r="H505" s="2">
        <v>20</v>
      </c>
      <c r="I505" s="2">
        <v>71</v>
      </c>
      <c r="J505" s="2">
        <v>2.35</v>
      </c>
      <c r="K505" s="2"/>
      <c r="L505" s="2"/>
      <c r="M505" s="2"/>
      <c r="N505" s="2" t="s">
        <v>95</v>
      </c>
      <c r="O505" s="14">
        <v>0</v>
      </c>
      <c r="P505" s="10">
        <v>0</v>
      </c>
      <c r="Q505" s="184">
        <v>5</v>
      </c>
      <c r="R505" s="187">
        <v>1</v>
      </c>
      <c r="S505" s="178">
        <f t="shared" si="60"/>
        <v>0</v>
      </c>
      <c r="T505" s="186">
        <f t="shared" si="61"/>
        <v>6</v>
      </c>
      <c r="U505" s="179">
        <f t="shared" si="62"/>
        <v>6</v>
      </c>
      <c r="V505" s="1">
        <f t="shared" si="65"/>
        <v>25</v>
      </c>
      <c r="W505" s="8">
        <f t="shared" si="63"/>
        <v>6.25</v>
      </c>
      <c r="X505" s="15">
        <f t="shared" si="66"/>
        <v>3025</v>
      </c>
      <c r="Y505"/>
      <c r="Z505"/>
      <c r="AA505"/>
      <c r="AB505"/>
      <c r="AC505"/>
      <c r="AD505"/>
    </row>
    <row r="506" spans="1:30">
      <c r="A506" t="s">
        <v>930</v>
      </c>
      <c r="B506" s="163" t="s">
        <v>515</v>
      </c>
      <c r="C506" s="2" t="s">
        <v>119</v>
      </c>
      <c r="D506" s="2" t="s">
        <v>120</v>
      </c>
      <c r="E506" s="3">
        <v>45411.833333333336</v>
      </c>
      <c r="F506" s="2" t="s">
        <v>361</v>
      </c>
      <c r="G506" s="2" t="s">
        <v>350</v>
      </c>
      <c r="H506" s="2">
        <v>20</v>
      </c>
      <c r="I506" s="2">
        <v>71</v>
      </c>
      <c r="J506" s="2">
        <v>2.1</v>
      </c>
      <c r="K506" s="2"/>
      <c r="L506" s="2"/>
      <c r="M506" s="2"/>
      <c r="N506" s="2" t="s">
        <v>95</v>
      </c>
      <c r="O506" s="14">
        <v>1</v>
      </c>
      <c r="P506" s="10">
        <v>2</v>
      </c>
      <c r="Q506" s="184">
        <v>4</v>
      </c>
      <c r="R506" s="187">
        <v>2</v>
      </c>
      <c r="S506" s="178">
        <f t="shared" si="60"/>
        <v>3</v>
      </c>
      <c r="T506" s="186">
        <f t="shared" si="61"/>
        <v>6</v>
      </c>
      <c r="U506" s="179">
        <f t="shared" si="62"/>
        <v>3</v>
      </c>
      <c r="V506" s="1">
        <f t="shared" si="65"/>
        <v>25</v>
      </c>
      <c r="W506" s="8">
        <f t="shared" si="63"/>
        <v>6.25</v>
      </c>
      <c r="X506" s="15">
        <f t="shared" si="66"/>
        <v>3031.25</v>
      </c>
      <c r="Y506"/>
      <c r="Z506"/>
      <c r="AA506"/>
      <c r="AB506"/>
      <c r="AC506"/>
      <c r="AD506"/>
    </row>
    <row r="507" spans="1:30">
      <c r="A507" t="s">
        <v>930</v>
      </c>
      <c r="B507" s="163" t="s">
        <v>885</v>
      </c>
      <c r="C507" s="2" t="s">
        <v>441</v>
      </c>
      <c r="D507" s="2" t="s">
        <v>442</v>
      </c>
      <c r="E507" s="3">
        <v>45438.5</v>
      </c>
      <c r="F507" s="2" t="s">
        <v>444</v>
      </c>
      <c r="G507" s="2" t="s">
        <v>697</v>
      </c>
      <c r="H507" s="2">
        <v>95</v>
      </c>
      <c r="I507" s="2">
        <v>20</v>
      </c>
      <c r="J507" s="2">
        <v>1.9</v>
      </c>
      <c r="K507" s="2">
        <v>64</v>
      </c>
      <c r="L507" s="2"/>
      <c r="M507" s="2"/>
      <c r="N507" s="2" t="s">
        <v>95</v>
      </c>
      <c r="O507" s="14">
        <v>2</v>
      </c>
      <c r="P507" s="10">
        <v>1</v>
      </c>
      <c r="Q507" s="184">
        <v>4</v>
      </c>
      <c r="R507" s="187">
        <v>2</v>
      </c>
      <c r="S507" s="178">
        <f t="shared" si="60"/>
        <v>3</v>
      </c>
      <c r="T507" s="186">
        <f t="shared" si="61"/>
        <v>6</v>
      </c>
      <c r="U507" s="179">
        <f t="shared" si="62"/>
        <v>3</v>
      </c>
      <c r="V507" s="1">
        <f t="shared" si="65"/>
        <v>25</v>
      </c>
      <c r="W507" s="8">
        <f t="shared" si="63"/>
        <v>6.25</v>
      </c>
      <c r="X507" s="15">
        <f t="shared" si="66"/>
        <v>3037.5</v>
      </c>
    </row>
    <row r="508" spans="1:30">
      <c r="A508" t="s">
        <v>930</v>
      </c>
      <c r="B508" s="163" t="s">
        <v>877</v>
      </c>
      <c r="C508" s="2" t="s">
        <v>616</v>
      </c>
      <c r="D508" s="2" t="s">
        <v>617</v>
      </c>
      <c r="E508" s="3">
        <v>45438.104166666664</v>
      </c>
      <c r="F508" s="2" t="s">
        <v>881</v>
      </c>
      <c r="G508" s="2" t="s">
        <v>882</v>
      </c>
      <c r="H508" s="2">
        <v>1.7</v>
      </c>
      <c r="I508" s="2">
        <v>85</v>
      </c>
      <c r="J508" s="2">
        <v>65</v>
      </c>
      <c r="K508" s="2">
        <v>60</v>
      </c>
      <c r="L508" s="2">
        <v>20</v>
      </c>
      <c r="M508" s="2"/>
      <c r="N508" s="2" t="s">
        <v>95</v>
      </c>
      <c r="O508" s="14">
        <v>1</v>
      </c>
      <c r="P508" s="10">
        <v>3</v>
      </c>
      <c r="Q508" s="184">
        <v>3</v>
      </c>
      <c r="R508" s="187">
        <v>3</v>
      </c>
      <c r="S508" s="178">
        <f t="shared" si="60"/>
        <v>4</v>
      </c>
      <c r="T508" s="186">
        <f t="shared" si="61"/>
        <v>6</v>
      </c>
      <c r="U508" s="179">
        <f t="shared" si="62"/>
        <v>2</v>
      </c>
      <c r="V508" s="1">
        <f t="shared" si="65"/>
        <v>25</v>
      </c>
      <c r="W508" s="8">
        <f t="shared" si="63"/>
        <v>6.25</v>
      </c>
      <c r="X508" s="15">
        <f t="shared" si="66"/>
        <v>3043.75</v>
      </c>
    </row>
    <row r="509" spans="1:30">
      <c r="A509" t="s">
        <v>930</v>
      </c>
      <c r="B509" s="163" t="s">
        <v>792</v>
      </c>
      <c r="C509" s="2" t="s">
        <v>516</v>
      </c>
      <c r="D509" s="2" t="s">
        <v>78</v>
      </c>
      <c r="E509" s="3">
        <v>45422.541666666664</v>
      </c>
      <c r="F509" s="2" t="s">
        <v>538</v>
      </c>
      <c r="G509" s="2" t="s">
        <v>518</v>
      </c>
      <c r="H509" s="2">
        <v>1.95</v>
      </c>
      <c r="I509" s="2">
        <v>95</v>
      </c>
      <c r="J509" s="2">
        <v>65</v>
      </c>
      <c r="K509" s="2">
        <v>63</v>
      </c>
      <c r="L509" s="2">
        <v>20</v>
      </c>
      <c r="M509" s="2"/>
      <c r="N509" s="2" t="s">
        <v>95</v>
      </c>
      <c r="O509" s="14">
        <v>3</v>
      </c>
      <c r="P509" s="10">
        <v>1</v>
      </c>
      <c r="Q509" s="184">
        <v>5</v>
      </c>
      <c r="R509" s="181">
        <v>2</v>
      </c>
      <c r="S509" s="178">
        <f t="shared" si="60"/>
        <v>4</v>
      </c>
      <c r="T509" s="186">
        <f t="shared" si="61"/>
        <v>7</v>
      </c>
      <c r="U509" s="179">
        <f t="shared" si="62"/>
        <v>3</v>
      </c>
      <c r="V509" s="1">
        <f t="shared" si="65"/>
        <v>25</v>
      </c>
      <c r="W509" s="8">
        <f t="shared" si="63"/>
        <v>6.25</v>
      </c>
      <c r="X509" s="15">
        <f t="shared" si="66"/>
        <v>3050</v>
      </c>
    </row>
    <row r="510" spans="1:30">
      <c r="A510" t="s">
        <v>930</v>
      </c>
      <c r="B510" s="163" t="s">
        <v>792</v>
      </c>
      <c r="C510" s="2" t="s">
        <v>13</v>
      </c>
      <c r="D510" s="2" t="s">
        <v>37</v>
      </c>
      <c r="E510" s="3">
        <v>45426.8125</v>
      </c>
      <c r="F510" s="2" t="s">
        <v>79</v>
      </c>
      <c r="G510" s="2" t="s">
        <v>306</v>
      </c>
      <c r="H510" s="2">
        <v>1.95</v>
      </c>
      <c r="I510" s="2">
        <v>95</v>
      </c>
      <c r="J510" s="2">
        <v>65</v>
      </c>
      <c r="K510" s="2">
        <v>66</v>
      </c>
      <c r="L510" s="2">
        <v>20</v>
      </c>
      <c r="M510" s="2"/>
      <c r="N510" s="2" t="s">
        <v>95</v>
      </c>
      <c r="O510" s="14">
        <v>1</v>
      </c>
      <c r="P510" s="10">
        <v>2</v>
      </c>
      <c r="Q510" s="184">
        <v>5</v>
      </c>
      <c r="R510" s="181">
        <v>2</v>
      </c>
      <c r="S510" s="178">
        <f t="shared" si="60"/>
        <v>3</v>
      </c>
      <c r="T510" s="186">
        <f t="shared" si="61"/>
        <v>7</v>
      </c>
      <c r="U510" s="179">
        <f t="shared" si="62"/>
        <v>4</v>
      </c>
      <c r="V510" s="1">
        <f t="shared" si="65"/>
        <v>25</v>
      </c>
      <c r="W510" s="8">
        <f t="shared" si="63"/>
        <v>6.25</v>
      </c>
      <c r="X510" s="15">
        <f t="shared" si="66"/>
        <v>3056.25</v>
      </c>
    </row>
    <row r="511" spans="1:30">
      <c r="A511" t="s">
        <v>930</v>
      </c>
      <c r="B511" s="163" t="s">
        <v>792</v>
      </c>
      <c r="C511" s="2" t="s">
        <v>516</v>
      </c>
      <c r="D511" s="2" t="s">
        <v>78</v>
      </c>
      <c r="E511" s="3">
        <v>45438.5</v>
      </c>
      <c r="F511" s="2" t="s">
        <v>827</v>
      </c>
      <c r="G511" s="2" t="s">
        <v>674</v>
      </c>
      <c r="H511" s="2">
        <v>2.0499999999999998</v>
      </c>
      <c r="I511" s="2">
        <v>85</v>
      </c>
      <c r="J511" s="2">
        <v>70</v>
      </c>
      <c r="K511" s="2">
        <v>64</v>
      </c>
      <c r="L511" s="2">
        <v>20</v>
      </c>
      <c r="M511" s="2"/>
      <c r="N511" s="2" t="s">
        <v>95</v>
      </c>
      <c r="O511" s="14">
        <v>2</v>
      </c>
      <c r="P511" s="10">
        <v>1</v>
      </c>
      <c r="Q511" s="184">
        <v>5</v>
      </c>
      <c r="R511" s="181">
        <v>2</v>
      </c>
      <c r="S511" s="178">
        <f t="shared" si="60"/>
        <v>3</v>
      </c>
      <c r="T511" s="186">
        <f t="shared" si="61"/>
        <v>7</v>
      </c>
      <c r="U511" s="179">
        <f t="shared" si="62"/>
        <v>4</v>
      </c>
      <c r="V511" s="1">
        <f t="shared" si="65"/>
        <v>25</v>
      </c>
      <c r="W511" s="8">
        <f t="shared" si="63"/>
        <v>6.25</v>
      </c>
      <c r="X511" s="15">
        <f t="shared" si="66"/>
        <v>3062.5</v>
      </c>
    </row>
    <row r="512" spans="1:30">
      <c r="A512" t="s">
        <v>930</v>
      </c>
      <c r="B512" s="163" t="s">
        <v>35</v>
      </c>
      <c r="C512" s="2" t="s">
        <v>6</v>
      </c>
      <c r="D512" s="2" t="s">
        <v>62</v>
      </c>
      <c r="E512" s="3">
        <v>45364.8125</v>
      </c>
      <c r="F512" s="2" t="s">
        <v>117</v>
      </c>
      <c r="G512" s="2" t="s">
        <v>86</v>
      </c>
      <c r="H512" s="2">
        <v>68</v>
      </c>
      <c r="I512" s="2">
        <v>90</v>
      </c>
      <c r="J512" s="2">
        <v>60</v>
      </c>
      <c r="K512" s="2">
        <v>40</v>
      </c>
      <c r="L512" s="2">
        <v>20</v>
      </c>
      <c r="M512" s="2">
        <v>1.33</v>
      </c>
      <c r="N512" s="2" t="s">
        <v>95</v>
      </c>
      <c r="O512" s="14">
        <v>0</v>
      </c>
      <c r="P512" s="10">
        <v>3</v>
      </c>
      <c r="Q512" s="184">
        <v>4</v>
      </c>
      <c r="R512" s="181">
        <v>3</v>
      </c>
      <c r="S512" s="178">
        <f t="shared" si="60"/>
        <v>3</v>
      </c>
      <c r="T512" s="186">
        <f t="shared" si="61"/>
        <v>7</v>
      </c>
      <c r="U512" s="179">
        <f t="shared" si="62"/>
        <v>4</v>
      </c>
      <c r="V512" s="1">
        <f t="shared" si="65"/>
        <v>25</v>
      </c>
      <c r="W512" s="8">
        <f t="shared" si="63"/>
        <v>6.25</v>
      </c>
      <c r="X512" s="15">
        <f t="shared" si="66"/>
        <v>3068.75</v>
      </c>
    </row>
    <row r="513" spans="1:24">
      <c r="A513" t="s">
        <v>930</v>
      </c>
      <c r="B513" s="163" t="s">
        <v>43</v>
      </c>
      <c r="C513" s="2" t="s">
        <v>6</v>
      </c>
      <c r="D513" s="2" t="s">
        <v>11</v>
      </c>
      <c r="E513" s="3">
        <v>45332.625</v>
      </c>
      <c r="F513" s="2" t="s">
        <v>309</v>
      </c>
      <c r="G513" s="2" t="s">
        <v>12</v>
      </c>
      <c r="H513" s="2">
        <v>67</v>
      </c>
      <c r="I513" s="2">
        <v>65</v>
      </c>
      <c r="J513" s="2">
        <v>61</v>
      </c>
      <c r="K513" s="2">
        <v>1.65</v>
      </c>
      <c r="L513" s="2">
        <v>1.5</v>
      </c>
      <c r="M513" s="2"/>
      <c r="N513" s="2" t="s">
        <v>95</v>
      </c>
      <c r="O513" s="14">
        <v>2</v>
      </c>
      <c r="P513" s="9">
        <v>0</v>
      </c>
      <c r="Q513" s="184">
        <v>5</v>
      </c>
      <c r="R513" s="181">
        <v>2</v>
      </c>
      <c r="S513" s="178">
        <f t="shared" ref="S513:S576" si="67">SUM(O513:P513)</f>
        <v>2</v>
      </c>
      <c r="T513" s="186">
        <f t="shared" ref="T513:T576" si="68">SUM(Q513:R513)</f>
        <v>7</v>
      </c>
      <c r="U513" s="179">
        <f t="shared" ref="U513:U576" si="69">SUM(T513-S513)</f>
        <v>5</v>
      </c>
      <c r="V513" s="1">
        <f t="shared" si="65"/>
        <v>25</v>
      </c>
      <c r="W513" s="8">
        <f t="shared" si="63"/>
        <v>6.25</v>
      </c>
      <c r="X513" s="15">
        <f t="shared" si="66"/>
        <v>3075</v>
      </c>
    </row>
    <row r="514" spans="1:24">
      <c r="A514" t="s">
        <v>930</v>
      </c>
      <c r="B514" s="163" t="s">
        <v>43</v>
      </c>
      <c r="C514" s="2" t="s">
        <v>44</v>
      </c>
      <c r="D514" s="2" t="s">
        <v>45</v>
      </c>
      <c r="E514" s="3">
        <v>45403.333333333336</v>
      </c>
      <c r="F514" s="2" t="s">
        <v>131</v>
      </c>
      <c r="G514" s="2" t="s">
        <v>53</v>
      </c>
      <c r="H514" s="2">
        <v>67</v>
      </c>
      <c r="I514" s="2">
        <v>75</v>
      </c>
      <c r="J514" s="2">
        <v>61</v>
      </c>
      <c r="K514" s="2">
        <v>2.2999999999999998</v>
      </c>
      <c r="L514" s="2">
        <v>1.66</v>
      </c>
      <c r="M514" s="2"/>
      <c r="N514" s="2" t="s">
        <v>95</v>
      </c>
      <c r="O514" s="14">
        <v>1</v>
      </c>
      <c r="P514" s="10">
        <v>1</v>
      </c>
      <c r="Q514" s="184">
        <v>4</v>
      </c>
      <c r="R514" s="181">
        <v>3</v>
      </c>
      <c r="S514" s="178">
        <f t="shared" si="67"/>
        <v>2</v>
      </c>
      <c r="T514" s="186">
        <f t="shared" si="68"/>
        <v>7</v>
      </c>
      <c r="U514" s="179">
        <f t="shared" si="69"/>
        <v>5</v>
      </c>
      <c r="V514" s="1">
        <f t="shared" si="65"/>
        <v>25</v>
      </c>
      <c r="W514" s="8">
        <f t="shared" ref="W514:W577" si="70">IF(N514="won",V514*0.25,-V514)</f>
        <v>6.25</v>
      </c>
      <c r="X514" s="15">
        <f t="shared" si="66"/>
        <v>3081.25</v>
      </c>
    </row>
    <row r="515" spans="1:24">
      <c r="A515" t="s">
        <v>930</v>
      </c>
      <c r="B515" s="163" t="s">
        <v>43</v>
      </c>
      <c r="C515" s="2" t="s">
        <v>516</v>
      </c>
      <c r="D515" s="2" t="s">
        <v>78</v>
      </c>
      <c r="E515" s="3">
        <v>45422.541666666664</v>
      </c>
      <c r="F515" s="2" t="s">
        <v>538</v>
      </c>
      <c r="G515" s="2" t="s">
        <v>518</v>
      </c>
      <c r="H515" s="2">
        <v>67</v>
      </c>
      <c r="I515" s="2">
        <v>80</v>
      </c>
      <c r="J515" s="2">
        <v>63</v>
      </c>
      <c r="K515" s="2">
        <v>1.95</v>
      </c>
      <c r="L515" s="2">
        <v>1.06</v>
      </c>
      <c r="M515" s="2"/>
      <c r="N515" s="2" t="s">
        <v>95</v>
      </c>
      <c r="O515" s="14">
        <v>3</v>
      </c>
      <c r="P515" s="10">
        <v>1</v>
      </c>
      <c r="Q515" s="184">
        <v>5</v>
      </c>
      <c r="R515" s="181">
        <v>2</v>
      </c>
      <c r="S515" s="178">
        <f t="shared" si="67"/>
        <v>4</v>
      </c>
      <c r="T515" s="186">
        <f t="shared" si="68"/>
        <v>7</v>
      </c>
      <c r="U515" s="179">
        <f t="shared" si="69"/>
        <v>3</v>
      </c>
      <c r="V515" s="1">
        <f t="shared" si="65"/>
        <v>25</v>
      </c>
      <c r="W515" s="8">
        <f t="shared" si="70"/>
        <v>6.25</v>
      </c>
      <c r="X515" s="15">
        <f t="shared" si="66"/>
        <v>3087.5</v>
      </c>
    </row>
    <row r="516" spans="1:24">
      <c r="A516" t="s">
        <v>930</v>
      </c>
      <c r="B516" s="163" t="s">
        <v>726</v>
      </c>
      <c r="C516" s="2" t="s">
        <v>44</v>
      </c>
      <c r="D516" s="2" t="s">
        <v>45</v>
      </c>
      <c r="E516" s="3">
        <v>45403.333333333336</v>
      </c>
      <c r="F516" s="2" t="s">
        <v>131</v>
      </c>
      <c r="G516" s="2" t="s">
        <v>53</v>
      </c>
      <c r="H516" s="2">
        <v>90</v>
      </c>
      <c r="I516" s="2">
        <v>20</v>
      </c>
      <c r="J516" s="2">
        <v>2.2999999999999998</v>
      </c>
      <c r="K516" s="2">
        <v>61</v>
      </c>
      <c r="L516" s="2"/>
      <c r="M516" s="2"/>
      <c r="N516" s="2" t="s">
        <v>95</v>
      </c>
      <c r="O516" s="14">
        <v>1</v>
      </c>
      <c r="P516" s="10">
        <v>1</v>
      </c>
      <c r="Q516" s="184">
        <v>4</v>
      </c>
      <c r="R516" s="181">
        <v>3</v>
      </c>
      <c r="S516" s="178">
        <f t="shared" si="67"/>
        <v>2</v>
      </c>
      <c r="T516" s="186">
        <f t="shared" si="68"/>
        <v>7</v>
      </c>
      <c r="U516" s="179">
        <f t="shared" si="69"/>
        <v>5</v>
      </c>
      <c r="V516" s="1">
        <f t="shared" si="65"/>
        <v>25</v>
      </c>
      <c r="W516" s="8">
        <f t="shared" si="70"/>
        <v>6.25</v>
      </c>
      <c r="X516" s="15">
        <f t="shared" si="66"/>
        <v>3093.75</v>
      </c>
    </row>
    <row r="517" spans="1:24">
      <c r="A517" t="s">
        <v>930</v>
      </c>
      <c r="B517" s="163" t="s">
        <v>726</v>
      </c>
      <c r="C517" s="2" t="s">
        <v>6</v>
      </c>
      <c r="D517" s="2" t="s">
        <v>62</v>
      </c>
      <c r="E517" s="3">
        <v>45403.625</v>
      </c>
      <c r="F517" s="2" t="s">
        <v>66</v>
      </c>
      <c r="G517" s="2" t="s">
        <v>74</v>
      </c>
      <c r="H517" s="2">
        <v>100</v>
      </c>
      <c r="I517" s="2">
        <v>20</v>
      </c>
      <c r="J517" s="2">
        <v>2.2000000000000002</v>
      </c>
      <c r="K517" s="2">
        <v>63</v>
      </c>
      <c r="L517" s="2"/>
      <c r="M517" s="2"/>
      <c r="N517" s="2" t="s">
        <v>95</v>
      </c>
      <c r="O517" s="14">
        <v>4</v>
      </c>
      <c r="P517" s="10">
        <v>1</v>
      </c>
      <c r="Q517" s="184">
        <v>5</v>
      </c>
      <c r="R517" s="181">
        <v>2</v>
      </c>
      <c r="S517" s="178">
        <f t="shared" si="67"/>
        <v>5</v>
      </c>
      <c r="T517" s="186">
        <f t="shared" si="68"/>
        <v>7</v>
      </c>
      <c r="U517" s="179">
        <f t="shared" si="69"/>
        <v>2</v>
      </c>
      <c r="V517" s="1">
        <f t="shared" si="65"/>
        <v>25</v>
      </c>
      <c r="W517" s="8">
        <f t="shared" si="70"/>
        <v>6.25</v>
      </c>
      <c r="X517" s="15">
        <f t="shared" si="66"/>
        <v>3100</v>
      </c>
    </row>
    <row r="518" spans="1:24">
      <c r="A518" t="s">
        <v>930</v>
      </c>
      <c r="B518" s="163" t="s">
        <v>726</v>
      </c>
      <c r="C518" s="2" t="s">
        <v>44</v>
      </c>
      <c r="D518" s="2" t="s">
        <v>45</v>
      </c>
      <c r="E518" s="3">
        <v>45408.447916666664</v>
      </c>
      <c r="F518" s="2" t="s">
        <v>233</v>
      </c>
      <c r="G518" s="2" t="s">
        <v>124</v>
      </c>
      <c r="H518" s="2">
        <v>80</v>
      </c>
      <c r="I518" s="2">
        <v>20</v>
      </c>
      <c r="J518" s="2">
        <v>2</v>
      </c>
      <c r="K518" s="2">
        <v>59</v>
      </c>
      <c r="L518" s="2"/>
      <c r="M518" s="2"/>
      <c r="N518" s="2" t="s">
        <v>95</v>
      </c>
      <c r="O518" s="14">
        <v>1</v>
      </c>
      <c r="P518" s="10">
        <v>1</v>
      </c>
      <c r="Q518" s="184">
        <v>3</v>
      </c>
      <c r="R518" s="181">
        <v>4</v>
      </c>
      <c r="S518" s="178">
        <f t="shared" si="67"/>
        <v>2</v>
      </c>
      <c r="T518" s="186">
        <f t="shared" si="68"/>
        <v>7</v>
      </c>
      <c r="U518" s="179">
        <f t="shared" si="69"/>
        <v>5</v>
      </c>
      <c r="V518" s="1">
        <f t="shared" si="65"/>
        <v>25</v>
      </c>
      <c r="W518" s="8">
        <f t="shared" si="70"/>
        <v>6.25</v>
      </c>
      <c r="X518" s="15">
        <f t="shared" si="66"/>
        <v>3106.25</v>
      </c>
    </row>
    <row r="519" spans="1:24">
      <c r="A519" t="s">
        <v>930</v>
      </c>
      <c r="B519" s="163" t="s">
        <v>726</v>
      </c>
      <c r="C519" s="2" t="s">
        <v>58</v>
      </c>
      <c r="D519" s="2" t="s">
        <v>59</v>
      </c>
      <c r="E519" s="3">
        <v>45417.75</v>
      </c>
      <c r="F519" s="2" t="s">
        <v>112</v>
      </c>
      <c r="G519" s="2" t="s">
        <v>111</v>
      </c>
      <c r="H519" s="2">
        <v>85</v>
      </c>
      <c r="I519" s="2">
        <v>20</v>
      </c>
      <c r="J519" s="2">
        <v>1.85</v>
      </c>
      <c r="K519" s="2">
        <v>62</v>
      </c>
      <c r="L519" s="2"/>
      <c r="M519" s="2"/>
      <c r="N519" s="2" t="s">
        <v>95</v>
      </c>
      <c r="O519" s="14">
        <v>1</v>
      </c>
      <c r="P519" s="10">
        <v>1</v>
      </c>
      <c r="Q519" s="184">
        <v>4</v>
      </c>
      <c r="R519" s="181">
        <v>3</v>
      </c>
      <c r="S519" s="178">
        <f t="shared" si="67"/>
        <v>2</v>
      </c>
      <c r="T519" s="186">
        <f t="shared" si="68"/>
        <v>7</v>
      </c>
      <c r="U519" s="179">
        <f t="shared" si="69"/>
        <v>5</v>
      </c>
      <c r="V519" s="1">
        <f t="shared" si="65"/>
        <v>25</v>
      </c>
      <c r="W519" s="8">
        <f t="shared" si="70"/>
        <v>6.25</v>
      </c>
      <c r="X519" s="15">
        <f t="shared" si="66"/>
        <v>3112.5</v>
      </c>
    </row>
    <row r="520" spans="1:24">
      <c r="A520" t="s">
        <v>930</v>
      </c>
      <c r="B520" s="163" t="s">
        <v>885</v>
      </c>
      <c r="C520" s="2" t="s">
        <v>887</v>
      </c>
      <c r="D520" s="2" t="s">
        <v>888</v>
      </c>
      <c r="E520" s="3">
        <v>45438.5</v>
      </c>
      <c r="F520" s="2" t="s">
        <v>889</v>
      </c>
      <c r="G520" s="2" t="s">
        <v>890</v>
      </c>
      <c r="H520" s="2">
        <v>85</v>
      </c>
      <c r="I520" s="2">
        <v>20</v>
      </c>
      <c r="J520" s="2">
        <v>1.85</v>
      </c>
      <c r="K520" s="2">
        <v>61</v>
      </c>
      <c r="L520" s="2"/>
      <c r="M520" s="2"/>
      <c r="N520" s="2" t="s">
        <v>95</v>
      </c>
      <c r="O520" s="14">
        <v>2</v>
      </c>
      <c r="P520" s="10">
        <v>1</v>
      </c>
      <c r="Q520" s="184">
        <v>2</v>
      </c>
      <c r="R520" s="187">
        <v>5</v>
      </c>
      <c r="S520" s="178">
        <f t="shared" si="67"/>
        <v>3</v>
      </c>
      <c r="T520" s="186">
        <f t="shared" si="68"/>
        <v>7</v>
      </c>
      <c r="U520" s="179">
        <f t="shared" si="69"/>
        <v>4</v>
      </c>
      <c r="V520" s="1">
        <f t="shared" si="65"/>
        <v>25</v>
      </c>
      <c r="W520" s="8">
        <f t="shared" si="70"/>
        <v>6.25</v>
      </c>
      <c r="X520" s="15">
        <f t="shared" si="66"/>
        <v>3118.75</v>
      </c>
    </row>
    <row r="521" spans="1:24">
      <c r="A521" t="s">
        <v>930</v>
      </c>
      <c r="B521" s="163" t="s">
        <v>877</v>
      </c>
      <c r="C521" s="2" t="s">
        <v>516</v>
      </c>
      <c r="D521" s="2" t="s">
        <v>78</v>
      </c>
      <c r="E521" s="3">
        <v>45438.5</v>
      </c>
      <c r="F521" s="2" t="s">
        <v>827</v>
      </c>
      <c r="G521" s="2" t="s">
        <v>674</v>
      </c>
      <c r="H521" s="2">
        <v>2.0499999999999998</v>
      </c>
      <c r="I521" s="2">
        <v>85</v>
      </c>
      <c r="J521" s="2">
        <v>70</v>
      </c>
      <c r="K521" s="2">
        <v>64</v>
      </c>
      <c r="L521" s="2">
        <v>20</v>
      </c>
      <c r="M521" s="2"/>
      <c r="N521" s="2" t="s">
        <v>95</v>
      </c>
      <c r="O521" s="14">
        <v>2</v>
      </c>
      <c r="P521" s="10">
        <v>1</v>
      </c>
      <c r="Q521" s="184">
        <v>5</v>
      </c>
      <c r="R521" s="187">
        <v>2</v>
      </c>
      <c r="S521" s="178">
        <f t="shared" si="67"/>
        <v>3</v>
      </c>
      <c r="T521" s="186">
        <f t="shared" si="68"/>
        <v>7</v>
      </c>
      <c r="U521" s="179">
        <f t="shared" si="69"/>
        <v>4</v>
      </c>
      <c r="V521" s="1">
        <f t="shared" si="65"/>
        <v>25</v>
      </c>
      <c r="W521" s="8">
        <f t="shared" si="70"/>
        <v>6.25</v>
      </c>
      <c r="X521" s="15">
        <f t="shared" si="66"/>
        <v>3125</v>
      </c>
    </row>
    <row r="522" spans="1:24">
      <c r="A522" t="s">
        <v>930</v>
      </c>
      <c r="B522" s="163" t="s">
        <v>877</v>
      </c>
      <c r="C522" s="2" t="s">
        <v>887</v>
      </c>
      <c r="D522" s="2" t="s">
        <v>888</v>
      </c>
      <c r="E522" s="3">
        <v>45438.5</v>
      </c>
      <c r="F522" s="2" t="s">
        <v>889</v>
      </c>
      <c r="G522" s="2" t="s">
        <v>890</v>
      </c>
      <c r="H522" s="2">
        <v>1.85</v>
      </c>
      <c r="I522" s="2">
        <v>85</v>
      </c>
      <c r="J522" s="2">
        <v>70</v>
      </c>
      <c r="K522" s="2">
        <v>61</v>
      </c>
      <c r="L522" s="2">
        <v>20</v>
      </c>
      <c r="M522" s="2"/>
      <c r="N522" s="2" t="s">
        <v>95</v>
      </c>
      <c r="O522" s="14">
        <v>2</v>
      </c>
      <c r="P522" s="10">
        <v>1</v>
      </c>
      <c r="Q522" s="184">
        <v>2</v>
      </c>
      <c r="R522" s="187">
        <v>5</v>
      </c>
      <c r="S522" s="178">
        <f t="shared" si="67"/>
        <v>3</v>
      </c>
      <c r="T522" s="186">
        <f t="shared" si="68"/>
        <v>7</v>
      </c>
      <c r="U522" s="179">
        <f t="shared" si="69"/>
        <v>4</v>
      </c>
      <c r="V522" s="1">
        <f t="shared" si="65"/>
        <v>25</v>
      </c>
      <c r="W522" s="8">
        <f t="shared" si="70"/>
        <v>6.25</v>
      </c>
      <c r="X522" s="15">
        <f t="shared" si="66"/>
        <v>3131.25</v>
      </c>
    </row>
    <row r="523" spans="1:24">
      <c r="A523" t="s">
        <v>930</v>
      </c>
      <c r="B523" s="163" t="s">
        <v>10</v>
      </c>
      <c r="C523" s="2" t="s">
        <v>13</v>
      </c>
      <c r="D523" s="2" t="s">
        <v>37</v>
      </c>
      <c r="E523" s="3">
        <v>45350.822916666664</v>
      </c>
      <c r="F523" s="2" t="s">
        <v>99</v>
      </c>
      <c r="G523" s="2" t="s">
        <v>306</v>
      </c>
      <c r="H523" s="2">
        <v>1.9</v>
      </c>
      <c r="I523" s="2">
        <v>85</v>
      </c>
      <c r="J523" s="2">
        <v>65</v>
      </c>
      <c r="K523" s="2">
        <v>30</v>
      </c>
      <c r="L523" s="2">
        <v>71</v>
      </c>
      <c r="M523" s="2">
        <v>20</v>
      </c>
      <c r="N523" s="2" t="s">
        <v>95</v>
      </c>
      <c r="O523" s="14">
        <v>6</v>
      </c>
      <c r="P523" s="10">
        <v>0</v>
      </c>
      <c r="Q523" s="184">
        <v>7</v>
      </c>
      <c r="R523" s="181">
        <v>1</v>
      </c>
      <c r="S523" s="178">
        <f t="shared" si="67"/>
        <v>6</v>
      </c>
      <c r="T523" s="186">
        <f t="shared" si="68"/>
        <v>8</v>
      </c>
      <c r="U523" s="179">
        <f t="shared" si="69"/>
        <v>2</v>
      </c>
      <c r="V523" s="1">
        <f t="shared" si="65"/>
        <v>25</v>
      </c>
      <c r="W523" s="8">
        <f t="shared" si="70"/>
        <v>6.25</v>
      </c>
      <c r="X523" s="15">
        <f t="shared" si="66"/>
        <v>3137.5</v>
      </c>
    </row>
    <row r="524" spans="1:24">
      <c r="A524" t="s">
        <v>930</v>
      </c>
      <c r="B524" s="163" t="s">
        <v>726</v>
      </c>
      <c r="C524" s="2" t="s">
        <v>149</v>
      </c>
      <c r="D524" s="2" t="s">
        <v>153</v>
      </c>
      <c r="E524" s="3">
        <v>45407.739583333336</v>
      </c>
      <c r="F524" s="2" t="s">
        <v>206</v>
      </c>
      <c r="G524" s="2" t="s">
        <v>188</v>
      </c>
      <c r="H524" s="2">
        <v>90</v>
      </c>
      <c r="I524" s="2">
        <v>20</v>
      </c>
      <c r="J524" s="2">
        <v>2.0499999999999998</v>
      </c>
      <c r="K524" s="2">
        <v>56</v>
      </c>
      <c r="L524" s="2"/>
      <c r="M524" s="2"/>
      <c r="N524" s="2" t="s">
        <v>95</v>
      </c>
      <c r="O524" s="13">
        <v>0</v>
      </c>
      <c r="P524" s="9">
        <v>5</v>
      </c>
      <c r="Q524" s="184">
        <v>0</v>
      </c>
      <c r="R524" s="181">
        <v>8</v>
      </c>
      <c r="S524" s="178">
        <f t="shared" si="67"/>
        <v>5</v>
      </c>
      <c r="T524" s="186">
        <f t="shared" si="68"/>
        <v>8</v>
      </c>
      <c r="U524" s="179">
        <f t="shared" si="69"/>
        <v>3</v>
      </c>
      <c r="V524" s="1">
        <f t="shared" si="65"/>
        <v>25</v>
      </c>
      <c r="W524" s="8">
        <f t="shared" si="70"/>
        <v>6.25</v>
      </c>
      <c r="X524" s="15">
        <f t="shared" si="66"/>
        <v>3143.75</v>
      </c>
    </row>
    <row r="525" spans="1:24">
      <c r="A525" t="s">
        <v>930</v>
      </c>
      <c r="B525" s="163" t="s">
        <v>726</v>
      </c>
      <c r="C525" s="2" t="s">
        <v>77</v>
      </c>
      <c r="D525" s="2" t="s">
        <v>251</v>
      </c>
      <c r="E525" s="3">
        <v>45409.541666666664</v>
      </c>
      <c r="F525" s="2" t="s">
        <v>295</v>
      </c>
      <c r="G525" s="2" t="s">
        <v>252</v>
      </c>
      <c r="H525" s="2">
        <v>85</v>
      </c>
      <c r="I525" s="2">
        <v>20</v>
      </c>
      <c r="J525" s="2">
        <v>2.2000000000000002</v>
      </c>
      <c r="K525" s="2">
        <v>61</v>
      </c>
      <c r="L525" s="2"/>
      <c r="M525" s="2"/>
      <c r="N525" s="2" t="s">
        <v>95</v>
      </c>
      <c r="O525" s="14">
        <v>2</v>
      </c>
      <c r="P525" s="10">
        <v>1</v>
      </c>
      <c r="Q525" s="184">
        <v>3</v>
      </c>
      <c r="R525" s="181">
        <v>5</v>
      </c>
      <c r="S525" s="178">
        <f t="shared" si="67"/>
        <v>3</v>
      </c>
      <c r="T525" s="186">
        <f t="shared" si="68"/>
        <v>8</v>
      </c>
      <c r="U525" s="179">
        <f t="shared" si="69"/>
        <v>5</v>
      </c>
      <c r="V525" s="1">
        <f t="shared" si="65"/>
        <v>25</v>
      </c>
      <c r="W525" s="8">
        <f t="shared" si="70"/>
        <v>6.25</v>
      </c>
      <c r="X525" s="15">
        <f t="shared" si="66"/>
        <v>3150</v>
      </c>
    </row>
    <row r="526" spans="1:24">
      <c r="A526" t="s">
        <v>930</v>
      </c>
      <c r="B526" s="163" t="s">
        <v>515</v>
      </c>
      <c r="C526" s="2" t="s">
        <v>58</v>
      </c>
      <c r="D526" s="2" t="s">
        <v>59</v>
      </c>
      <c r="E526" s="3">
        <v>45383.84375</v>
      </c>
      <c r="F526" s="2" t="s">
        <v>128</v>
      </c>
      <c r="G526" s="2" t="s">
        <v>112</v>
      </c>
      <c r="H526" s="2">
        <v>20</v>
      </c>
      <c r="I526" s="2">
        <v>71</v>
      </c>
      <c r="J526" s="2">
        <v>1.95</v>
      </c>
      <c r="K526" s="2"/>
      <c r="L526" s="2"/>
      <c r="M526" s="2"/>
      <c r="N526" s="2" t="s">
        <v>95</v>
      </c>
      <c r="O526" s="14">
        <v>1</v>
      </c>
      <c r="P526" s="10">
        <v>2</v>
      </c>
      <c r="Q526" s="184">
        <v>3</v>
      </c>
      <c r="R526" s="187">
        <v>5</v>
      </c>
      <c r="S526" s="178">
        <f t="shared" si="67"/>
        <v>3</v>
      </c>
      <c r="T526" s="186">
        <f t="shared" si="68"/>
        <v>8</v>
      </c>
      <c r="U526" s="179">
        <f t="shared" si="69"/>
        <v>5</v>
      </c>
      <c r="V526" s="1">
        <f t="shared" si="65"/>
        <v>25</v>
      </c>
      <c r="W526" s="8">
        <f t="shared" si="70"/>
        <v>6.25</v>
      </c>
      <c r="X526" s="15">
        <f t="shared" si="66"/>
        <v>3156.25</v>
      </c>
    </row>
    <row r="527" spans="1:24">
      <c r="A527" t="s">
        <v>930</v>
      </c>
      <c r="B527" s="163" t="s">
        <v>877</v>
      </c>
      <c r="C527" s="2" t="s">
        <v>878</v>
      </c>
      <c r="D527" s="2" t="s">
        <v>62</v>
      </c>
      <c r="E527" s="3">
        <v>45437.458333333336</v>
      </c>
      <c r="F527" s="2" t="s">
        <v>879</v>
      </c>
      <c r="G527" s="2" t="s">
        <v>880</v>
      </c>
      <c r="H527" s="2">
        <v>2.15</v>
      </c>
      <c r="I527" s="2">
        <v>85</v>
      </c>
      <c r="J527" s="2">
        <v>65</v>
      </c>
      <c r="K527" s="2">
        <v>60</v>
      </c>
      <c r="L527" s="2">
        <v>20</v>
      </c>
      <c r="M527" s="2"/>
      <c r="N527" s="2" t="s">
        <v>95</v>
      </c>
      <c r="O527" s="14">
        <v>2</v>
      </c>
      <c r="P527" s="10">
        <v>0</v>
      </c>
      <c r="Q527" s="184">
        <v>7</v>
      </c>
      <c r="R527" s="187">
        <v>1</v>
      </c>
      <c r="S527" s="178">
        <f t="shared" si="67"/>
        <v>2</v>
      </c>
      <c r="T527" s="186">
        <f t="shared" si="68"/>
        <v>8</v>
      </c>
      <c r="U527" s="179">
        <f t="shared" si="69"/>
        <v>6</v>
      </c>
      <c r="V527" s="1">
        <f t="shared" si="65"/>
        <v>25</v>
      </c>
      <c r="W527" s="8">
        <f t="shared" si="70"/>
        <v>6.25</v>
      </c>
      <c r="X527" s="15">
        <f t="shared" si="66"/>
        <v>3162.5</v>
      </c>
    </row>
    <row r="528" spans="1:24">
      <c r="A528" t="s">
        <v>930</v>
      </c>
      <c r="B528" s="163" t="s">
        <v>792</v>
      </c>
      <c r="C528" s="2" t="s">
        <v>149</v>
      </c>
      <c r="D528" s="2" t="s">
        <v>153</v>
      </c>
      <c r="E528" s="3">
        <v>45424.5625</v>
      </c>
      <c r="F528" s="2" t="s">
        <v>242</v>
      </c>
      <c r="G528" s="2" t="s">
        <v>244</v>
      </c>
      <c r="H528" s="2">
        <v>1.7</v>
      </c>
      <c r="I528" s="2">
        <v>90</v>
      </c>
      <c r="J528" s="2">
        <v>65</v>
      </c>
      <c r="K528" s="2">
        <v>62</v>
      </c>
      <c r="L528" s="2">
        <v>20</v>
      </c>
      <c r="M528" s="2"/>
      <c r="N528" s="2" t="s">
        <v>95</v>
      </c>
      <c r="O528" s="14">
        <v>5</v>
      </c>
      <c r="P528" s="10">
        <v>2</v>
      </c>
      <c r="Q528" s="184">
        <v>7</v>
      </c>
      <c r="R528" s="181">
        <v>2</v>
      </c>
      <c r="S528" s="178">
        <f t="shared" si="67"/>
        <v>7</v>
      </c>
      <c r="T528" s="186">
        <f t="shared" si="68"/>
        <v>9</v>
      </c>
      <c r="U528" s="179">
        <f t="shared" si="69"/>
        <v>2</v>
      </c>
      <c r="V528" s="1">
        <f t="shared" si="65"/>
        <v>25</v>
      </c>
      <c r="W528" s="8">
        <f t="shared" si="70"/>
        <v>6.25</v>
      </c>
      <c r="X528" s="15">
        <f t="shared" si="66"/>
        <v>3168.75</v>
      </c>
    </row>
    <row r="529" spans="1:24">
      <c r="A529" t="s">
        <v>930</v>
      </c>
      <c r="B529" s="163" t="s">
        <v>10</v>
      </c>
      <c r="C529" s="2" t="s">
        <v>6</v>
      </c>
      <c r="D529" s="2" t="s">
        <v>7</v>
      </c>
      <c r="E529" s="3">
        <v>45304.625</v>
      </c>
      <c r="F529" s="2" t="s">
        <v>113</v>
      </c>
      <c r="G529" s="2" t="s">
        <v>8</v>
      </c>
      <c r="H529" s="2">
        <v>2</v>
      </c>
      <c r="I529" s="2">
        <v>90</v>
      </c>
      <c r="J529" s="2">
        <v>65</v>
      </c>
      <c r="K529" s="2">
        <v>20</v>
      </c>
      <c r="L529" s="2">
        <v>66</v>
      </c>
      <c r="M529" s="2">
        <v>20</v>
      </c>
      <c r="N529" s="2" t="s">
        <v>95</v>
      </c>
      <c r="O529" s="14">
        <v>2</v>
      </c>
      <c r="P529" s="9">
        <v>2</v>
      </c>
      <c r="Q529" s="184">
        <v>5</v>
      </c>
      <c r="R529" s="181">
        <v>5</v>
      </c>
      <c r="S529" s="178">
        <f t="shared" si="67"/>
        <v>4</v>
      </c>
      <c r="T529" s="186">
        <f t="shared" si="68"/>
        <v>10</v>
      </c>
      <c r="U529" s="179">
        <f t="shared" si="69"/>
        <v>6</v>
      </c>
      <c r="V529" s="1">
        <f t="shared" si="65"/>
        <v>25</v>
      </c>
      <c r="W529" s="8">
        <f t="shared" si="70"/>
        <v>6.25</v>
      </c>
      <c r="X529" s="15">
        <f t="shared" si="66"/>
        <v>3175</v>
      </c>
    </row>
    <row r="530" spans="1:24">
      <c r="A530" t="s">
        <v>930</v>
      </c>
      <c r="B530" s="163" t="s">
        <v>885</v>
      </c>
      <c r="C530" s="2" t="s">
        <v>441</v>
      </c>
      <c r="D530" s="2" t="s">
        <v>442</v>
      </c>
      <c r="E530" s="3">
        <v>45438.5</v>
      </c>
      <c r="F530" s="2" t="s">
        <v>648</v>
      </c>
      <c r="G530" s="2" t="s">
        <v>886</v>
      </c>
      <c r="H530" s="2">
        <v>90</v>
      </c>
      <c r="I530" s="2">
        <v>20</v>
      </c>
      <c r="J530" s="2">
        <v>2</v>
      </c>
      <c r="K530" s="2">
        <v>61</v>
      </c>
      <c r="L530" s="2"/>
      <c r="M530" s="2"/>
      <c r="N530" s="2" t="s">
        <v>95</v>
      </c>
      <c r="O530" s="14">
        <v>3</v>
      </c>
      <c r="P530" s="10">
        <v>1</v>
      </c>
      <c r="Q530" s="184">
        <v>8</v>
      </c>
      <c r="R530" s="187">
        <v>2</v>
      </c>
      <c r="S530" s="178">
        <f t="shared" si="67"/>
        <v>4</v>
      </c>
      <c r="T530" s="186">
        <f t="shared" si="68"/>
        <v>10</v>
      </c>
      <c r="U530" s="179">
        <f t="shared" si="69"/>
        <v>6</v>
      </c>
      <c r="V530" s="1">
        <f t="shared" si="65"/>
        <v>25</v>
      </c>
      <c r="W530" s="8">
        <f t="shared" si="70"/>
        <v>6.25</v>
      </c>
      <c r="X530" s="15">
        <f t="shared" si="66"/>
        <v>3181.25</v>
      </c>
    </row>
    <row r="531" spans="1:24">
      <c r="A531" t="s">
        <v>931</v>
      </c>
      <c r="B531" s="163" t="s">
        <v>406</v>
      </c>
      <c r="C531" s="2" t="s">
        <v>119</v>
      </c>
      <c r="D531" s="2" t="s">
        <v>120</v>
      </c>
      <c r="E531" s="3">
        <v>45437.833333333336</v>
      </c>
      <c r="F531" s="2" t="s">
        <v>122</v>
      </c>
      <c r="G531" s="2" t="s">
        <v>834</v>
      </c>
      <c r="H531" s="2">
        <v>1.3</v>
      </c>
      <c r="I531" s="2">
        <v>11.5</v>
      </c>
      <c r="J531" s="2">
        <v>2.85</v>
      </c>
      <c r="K531" s="2">
        <v>3.35</v>
      </c>
      <c r="L531" s="2">
        <v>2.71</v>
      </c>
      <c r="M531" s="2"/>
      <c r="N531" s="2" t="s">
        <v>96</v>
      </c>
      <c r="O531" s="14">
        <v>0</v>
      </c>
      <c r="P531" s="10">
        <v>0</v>
      </c>
      <c r="Q531" s="184">
        <v>0</v>
      </c>
      <c r="R531" s="181">
        <v>0</v>
      </c>
      <c r="S531" s="178">
        <f t="shared" si="67"/>
        <v>0</v>
      </c>
      <c r="T531" s="186">
        <f t="shared" si="68"/>
        <v>0</v>
      </c>
      <c r="U531" s="179">
        <f t="shared" si="69"/>
        <v>0</v>
      </c>
      <c r="V531" s="1">
        <f t="shared" si="65"/>
        <v>25</v>
      </c>
      <c r="W531" s="8">
        <f t="shared" si="70"/>
        <v>-25</v>
      </c>
      <c r="X531" s="15">
        <f t="shared" si="66"/>
        <v>3156.25</v>
      </c>
    </row>
    <row r="532" spans="1:24">
      <c r="A532" t="s">
        <v>931</v>
      </c>
      <c r="B532" s="163" t="s">
        <v>406</v>
      </c>
      <c r="C532" s="2" t="s">
        <v>6</v>
      </c>
      <c r="D532" s="2" t="s">
        <v>14</v>
      </c>
      <c r="E532" s="3">
        <v>45391.833333333336</v>
      </c>
      <c r="F532" s="2" t="s">
        <v>280</v>
      </c>
      <c r="G532" s="2" t="s">
        <v>503</v>
      </c>
      <c r="H532" s="2">
        <v>1.34</v>
      </c>
      <c r="I532" s="2">
        <v>12</v>
      </c>
      <c r="J532" s="2">
        <v>2.4500000000000002</v>
      </c>
      <c r="K532" s="2">
        <v>4.7</v>
      </c>
      <c r="L532" s="2">
        <v>2.41</v>
      </c>
      <c r="M532" s="2"/>
      <c r="N532" s="2" t="s">
        <v>96</v>
      </c>
      <c r="O532" s="13">
        <v>0</v>
      </c>
      <c r="P532" s="10">
        <v>0</v>
      </c>
      <c r="Q532" s="184">
        <v>0</v>
      </c>
      <c r="R532" s="181">
        <v>0</v>
      </c>
      <c r="S532" s="178">
        <f t="shared" si="67"/>
        <v>0</v>
      </c>
      <c r="T532" s="186">
        <f t="shared" si="68"/>
        <v>0</v>
      </c>
      <c r="U532" s="179">
        <f t="shared" si="69"/>
        <v>0</v>
      </c>
      <c r="V532" s="1">
        <f t="shared" si="65"/>
        <v>25</v>
      </c>
      <c r="W532" s="8">
        <f t="shared" si="70"/>
        <v>-25</v>
      </c>
      <c r="X532" s="15">
        <f t="shared" si="66"/>
        <v>3131.25</v>
      </c>
    </row>
    <row r="533" spans="1:24">
      <c r="A533" t="s">
        <v>931</v>
      </c>
      <c r="B533" s="167" t="s">
        <v>531</v>
      </c>
      <c r="C533" s="2" t="s">
        <v>149</v>
      </c>
      <c r="D533" s="2" t="s">
        <v>153</v>
      </c>
      <c r="E533" s="3">
        <v>45386.739583333336</v>
      </c>
      <c r="F533" s="2" t="s">
        <v>244</v>
      </c>
      <c r="G533" s="2" t="s">
        <v>282</v>
      </c>
      <c r="H533" s="2">
        <v>2.12</v>
      </c>
      <c r="I533" s="2">
        <v>26</v>
      </c>
      <c r="J533" s="2">
        <v>3.62</v>
      </c>
      <c r="K533" s="2">
        <v>23</v>
      </c>
      <c r="L533" s="2">
        <v>4</v>
      </c>
      <c r="M533" s="1">
        <v>13</v>
      </c>
      <c r="N533" s="1" t="s">
        <v>96</v>
      </c>
      <c r="O533" s="10">
        <v>0</v>
      </c>
      <c r="P533" s="14">
        <v>0</v>
      </c>
      <c r="Q533" s="183">
        <v>0</v>
      </c>
      <c r="R533" s="181">
        <v>0</v>
      </c>
      <c r="S533" s="178">
        <f t="shared" si="67"/>
        <v>0</v>
      </c>
      <c r="T533" s="186">
        <f t="shared" si="68"/>
        <v>0</v>
      </c>
      <c r="U533" s="179">
        <f t="shared" si="69"/>
        <v>0</v>
      </c>
      <c r="V533" s="1">
        <f t="shared" si="65"/>
        <v>25</v>
      </c>
      <c r="W533" s="8">
        <f t="shared" si="70"/>
        <v>-25</v>
      </c>
      <c r="X533" s="15">
        <f t="shared" si="66"/>
        <v>3106.25</v>
      </c>
    </row>
    <row r="534" spans="1:24">
      <c r="A534" t="s">
        <v>931</v>
      </c>
      <c r="B534" s="163" t="s">
        <v>531</v>
      </c>
      <c r="C534" s="2" t="s">
        <v>13</v>
      </c>
      <c r="D534" s="2" t="s">
        <v>37</v>
      </c>
      <c r="E534" s="3">
        <v>45399.833333333336</v>
      </c>
      <c r="F534" s="2" t="s">
        <v>306</v>
      </c>
      <c r="G534" s="2" t="s">
        <v>79</v>
      </c>
      <c r="H534" s="2">
        <v>4</v>
      </c>
      <c r="I534" s="2">
        <v>30</v>
      </c>
      <c r="J534" s="2">
        <v>2.7</v>
      </c>
      <c r="K534" s="2">
        <v>28</v>
      </c>
      <c r="L534" s="2">
        <v>1</v>
      </c>
      <c r="M534" s="1">
        <v>15</v>
      </c>
      <c r="N534" s="1" t="s">
        <v>96</v>
      </c>
      <c r="O534" s="10">
        <v>0</v>
      </c>
      <c r="P534" s="14">
        <v>0</v>
      </c>
      <c r="Q534" s="183">
        <v>0</v>
      </c>
      <c r="R534" s="181">
        <v>0</v>
      </c>
      <c r="S534" s="178">
        <f t="shared" si="67"/>
        <v>0</v>
      </c>
      <c r="T534" s="186">
        <f t="shared" si="68"/>
        <v>0</v>
      </c>
      <c r="U534" s="179">
        <f t="shared" si="69"/>
        <v>0</v>
      </c>
      <c r="V534" s="1">
        <f t="shared" si="65"/>
        <v>25</v>
      </c>
      <c r="W534" s="8">
        <f t="shared" si="70"/>
        <v>-25</v>
      </c>
      <c r="X534" s="15">
        <f t="shared" si="66"/>
        <v>3081.25</v>
      </c>
    </row>
    <row r="535" spans="1:24">
      <c r="A535" t="s">
        <v>931</v>
      </c>
      <c r="B535" s="163" t="s">
        <v>531</v>
      </c>
      <c r="C535" s="2" t="s">
        <v>80</v>
      </c>
      <c r="D535" s="2" t="s">
        <v>81</v>
      </c>
      <c r="E535" s="3">
        <v>45418.75</v>
      </c>
      <c r="F535" s="2" t="s">
        <v>82</v>
      </c>
      <c r="G535" s="2" t="s">
        <v>314</v>
      </c>
      <c r="H535" s="2">
        <v>5.7</v>
      </c>
      <c r="I535" s="2">
        <v>33</v>
      </c>
      <c r="J535" s="2">
        <v>2.7</v>
      </c>
      <c r="K535" s="2">
        <v>37</v>
      </c>
      <c r="L535" s="2">
        <v>3</v>
      </c>
      <c r="M535" s="2">
        <v>17</v>
      </c>
      <c r="N535" s="2" t="s">
        <v>96</v>
      </c>
      <c r="O535" s="10">
        <v>0</v>
      </c>
      <c r="P535" s="14">
        <v>0</v>
      </c>
      <c r="Q535" s="183">
        <v>0</v>
      </c>
      <c r="R535" s="181">
        <v>0</v>
      </c>
      <c r="S535" s="178">
        <f t="shared" si="67"/>
        <v>0</v>
      </c>
      <c r="T535" s="186">
        <f t="shared" si="68"/>
        <v>0</v>
      </c>
      <c r="U535" s="179">
        <f t="shared" si="69"/>
        <v>0</v>
      </c>
      <c r="V535" s="1">
        <f t="shared" si="65"/>
        <v>25</v>
      </c>
      <c r="W535" s="8">
        <f t="shared" si="70"/>
        <v>-25</v>
      </c>
      <c r="X535" s="15">
        <f t="shared" si="66"/>
        <v>3056.25</v>
      </c>
    </row>
    <row r="536" spans="1:24">
      <c r="A536" t="s">
        <v>931</v>
      </c>
      <c r="B536" s="163" t="s">
        <v>623</v>
      </c>
      <c r="C536" s="2" t="s">
        <v>77</v>
      </c>
      <c r="D536" s="2" t="s">
        <v>156</v>
      </c>
      <c r="E536" s="3">
        <v>45381.604166666664</v>
      </c>
      <c r="F536" s="2" t="s">
        <v>181</v>
      </c>
      <c r="G536" s="2" t="s">
        <v>160</v>
      </c>
      <c r="H536" s="2">
        <v>4.4000000000000004</v>
      </c>
      <c r="I536" s="2">
        <v>20</v>
      </c>
      <c r="J536" s="2">
        <v>2.9</v>
      </c>
      <c r="K536" s="2">
        <v>22</v>
      </c>
      <c r="L536" s="2">
        <v>1</v>
      </c>
      <c r="M536" s="2">
        <v>10</v>
      </c>
      <c r="N536" s="2" t="s">
        <v>96</v>
      </c>
      <c r="O536" s="10">
        <v>0</v>
      </c>
      <c r="P536" s="14">
        <v>0</v>
      </c>
      <c r="Q536" s="183">
        <v>0</v>
      </c>
      <c r="R536" s="181">
        <v>0</v>
      </c>
      <c r="S536" s="178">
        <f t="shared" si="67"/>
        <v>0</v>
      </c>
      <c r="T536" s="186">
        <f t="shared" si="68"/>
        <v>0</v>
      </c>
      <c r="U536" s="179">
        <f t="shared" si="69"/>
        <v>0</v>
      </c>
      <c r="V536" s="1">
        <f t="shared" si="65"/>
        <v>25</v>
      </c>
      <c r="W536" s="8">
        <f t="shared" si="70"/>
        <v>-25</v>
      </c>
      <c r="X536" s="15">
        <f t="shared" si="66"/>
        <v>3031.25</v>
      </c>
    </row>
    <row r="537" spans="1:24">
      <c r="A537" t="s">
        <v>931</v>
      </c>
      <c r="B537" s="163" t="s">
        <v>623</v>
      </c>
      <c r="C537" s="2" t="s">
        <v>6</v>
      </c>
      <c r="D537" s="2" t="s">
        <v>14</v>
      </c>
      <c r="E537" s="3">
        <v>45391.833333333336</v>
      </c>
      <c r="F537" s="2" t="s">
        <v>280</v>
      </c>
      <c r="G537" s="2" t="s">
        <v>503</v>
      </c>
      <c r="H537" s="2">
        <v>4.7</v>
      </c>
      <c r="I537" s="2">
        <v>20</v>
      </c>
      <c r="J537" s="2">
        <v>2.4500000000000002</v>
      </c>
      <c r="K537" s="2">
        <v>31</v>
      </c>
      <c r="L537" s="2">
        <v>1</v>
      </c>
      <c r="M537" s="2">
        <v>10</v>
      </c>
      <c r="N537" s="2" t="s">
        <v>96</v>
      </c>
      <c r="O537" s="9">
        <v>0</v>
      </c>
      <c r="P537" s="14">
        <v>0</v>
      </c>
      <c r="Q537" s="183">
        <v>0</v>
      </c>
      <c r="R537" s="181">
        <v>0</v>
      </c>
      <c r="S537" s="178">
        <f t="shared" si="67"/>
        <v>0</v>
      </c>
      <c r="T537" s="186">
        <f t="shared" si="68"/>
        <v>0</v>
      </c>
      <c r="U537" s="179">
        <f t="shared" si="69"/>
        <v>0</v>
      </c>
      <c r="V537" s="1">
        <f t="shared" si="65"/>
        <v>25</v>
      </c>
      <c r="W537" s="8">
        <f t="shared" si="70"/>
        <v>-25</v>
      </c>
      <c r="X537" s="15">
        <f t="shared" si="66"/>
        <v>3006.25</v>
      </c>
    </row>
    <row r="538" spans="1:24">
      <c r="A538" t="s">
        <v>931</v>
      </c>
      <c r="B538" s="163" t="s">
        <v>623</v>
      </c>
      <c r="C538" s="2" t="s">
        <v>6</v>
      </c>
      <c r="D538" s="2" t="s">
        <v>14</v>
      </c>
      <c r="E538" s="3">
        <v>45392.822916666664</v>
      </c>
      <c r="F538" s="2" t="s">
        <v>291</v>
      </c>
      <c r="G538" s="2" t="s">
        <v>431</v>
      </c>
      <c r="H538" s="2">
        <v>6</v>
      </c>
      <c r="I538" s="2">
        <v>20</v>
      </c>
      <c r="J538" s="2">
        <v>3.35</v>
      </c>
      <c r="K538" s="2">
        <v>27</v>
      </c>
      <c r="L538" s="2">
        <v>2</v>
      </c>
      <c r="M538" s="2">
        <v>10</v>
      </c>
      <c r="N538" s="2" t="s">
        <v>96</v>
      </c>
      <c r="O538" s="9">
        <v>0</v>
      </c>
      <c r="P538" s="14">
        <v>0</v>
      </c>
      <c r="Q538" s="183">
        <v>0</v>
      </c>
      <c r="R538" s="181">
        <v>0</v>
      </c>
      <c r="S538" s="178">
        <f t="shared" si="67"/>
        <v>0</v>
      </c>
      <c r="T538" s="186">
        <f t="shared" si="68"/>
        <v>0</v>
      </c>
      <c r="U538" s="179">
        <f t="shared" si="69"/>
        <v>0</v>
      </c>
      <c r="V538" s="1">
        <f t="shared" si="65"/>
        <v>25</v>
      </c>
      <c r="W538" s="8">
        <f t="shared" si="70"/>
        <v>-25</v>
      </c>
      <c r="X538" s="15">
        <f t="shared" si="66"/>
        <v>2981.25</v>
      </c>
    </row>
    <row r="539" spans="1:24">
      <c r="A539" t="s">
        <v>931</v>
      </c>
      <c r="B539" s="163" t="s">
        <v>623</v>
      </c>
      <c r="C539" s="2" t="s">
        <v>145</v>
      </c>
      <c r="D539" s="2" t="s">
        <v>268</v>
      </c>
      <c r="E539" s="3">
        <v>45429.822916666664</v>
      </c>
      <c r="F539" s="2" t="s">
        <v>844</v>
      </c>
      <c r="G539" s="2" t="s">
        <v>304</v>
      </c>
      <c r="H539" s="2">
        <v>6.2</v>
      </c>
      <c r="I539" s="2">
        <v>20</v>
      </c>
      <c r="J539" s="2">
        <v>2.5499999999999998</v>
      </c>
      <c r="K539" s="2">
        <v>25</v>
      </c>
      <c r="L539" s="2">
        <v>0</v>
      </c>
      <c r="M539" s="2">
        <v>10</v>
      </c>
      <c r="N539" s="2" t="s">
        <v>96</v>
      </c>
      <c r="O539" s="10">
        <v>0</v>
      </c>
      <c r="P539" s="14">
        <v>0</v>
      </c>
      <c r="Q539" s="183">
        <v>0</v>
      </c>
      <c r="R539" s="181">
        <v>0</v>
      </c>
      <c r="S539" s="178">
        <f t="shared" si="67"/>
        <v>0</v>
      </c>
      <c r="T539" s="186">
        <f t="shared" si="68"/>
        <v>0</v>
      </c>
      <c r="U539" s="179">
        <f t="shared" si="69"/>
        <v>0</v>
      </c>
      <c r="V539" s="1">
        <f t="shared" si="65"/>
        <v>25</v>
      </c>
      <c r="W539" s="8">
        <f t="shared" si="70"/>
        <v>-25</v>
      </c>
      <c r="X539" s="15">
        <f t="shared" si="66"/>
        <v>2956.25</v>
      </c>
    </row>
    <row r="540" spans="1:24">
      <c r="A540" t="s">
        <v>931</v>
      </c>
      <c r="B540" s="163" t="s">
        <v>623</v>
      </c>
      <c r="C540" s="2" t="s">
        <v>119</v>
      </c>
      <c r="D540" s="2" t="s">
        <v>120</v>
      </c>
      <c r="E540" s="3">
        <v>45437.833333333336</v>
      </c>
      <c r="F540" s="2" t="s">
        <v>122</v>
      </c>
      <c r="G540" s="2" t="s">
        <v>834</v>
      </c>
      <c r="H540" s="2">
        <v>3.35</v>
      </c>
      <c r="I540" s="2">
        <v>20</v>
      </c>
      <c r="J540" s="2">
        <v>2.85</v>
      </c>
      <c r="K540" s="2">
        <v>27</v>
      </c>
      <c r="L540" s="2">
        <v>3</v>
      </c>
      <c r="M540" s="2">
        <v>10</v>
      </c>
      <c r="N540" s="2" t="s">
        <v>96</v>
      </c>
      <c r="O540" s="10">
        <v>0</v>
      </c>
      <c r="P540" s="14">
        <v>0</v>
      </c>
      <c r="Q540" s="183">
        <v>0</v>
      </c>
      <c r="R540" s="181">
        <v>0</v>
      </c>
      <c r="S540" s="178">
        <f t="shared" si="67"/>
        <v>0</v>
      </c>
      <c r="T540" s="186">
        <f t="shared" si="68"/>
        <v>0</v>
      </c>
      <c r="U540" s="179">
        <f t="shared" si="69"/>
        <v>0</v>
      </c>
      <c r="V540" s="1">
        <f t="shared" si="65"/>
        <v>25</v>
      </c>
      <c r="W540" s="8">
        <f t="shared" si="70"/>
        <v>-25</v>
      </c>
      <c r="X540" s="15">
        <f t="shared" si="66"/>
        <v>2931.25</v>
      </c>
    </row>
    <row r="541" spans="1:24">
      <c r="A541" t="s">
        <v>931</v>
      </c>
      <c r="B541" s="163" t="s">
        <v>498</v>
      </c>
      <c r="C541" s="2" t="s">
        <v>296</v>
      </c>
      <c r="D541" s="2" t="s">
        <v>525</v>
      </c>
      <c r="E541" s="3">
        <v>45359.802083333336</v>
      </c>
      <c r="F541" s="2" t="s">
        <v>528</v>
      </c>
      <c r="G541" s="2" t="s">
        <v>529</v>
      </c>
      <c r="H541" s="2">
        <v>64</v>
      </c>
      <c r="I541" s="2">
        <v>90</v>
      </c>
      <c r="J541" s="2">
        <v>1.25</v>
      </c>
      <c r="K541" s="2">
        <v>20</v>
      </c>
      <c r="L541" s="2"/>
      <c r="M541" s="2"/>
      <c r="N541" s="2" t="s">
        <v>96</v>
      </c>
      <c r="O541" s="10">
        <v>0</v>
      </c>
      <c r="P541" s="14">
        <v>0</v>
      </c>
      <c r="Q541" s="183">
        <v>0</v>
      </c>
      <c r="R541" s="187">
        <v>0</v>
      </c>
      <c r="S541" s="178">
        <f t="shared" si="67"/>
        <v>0</v>
      </c>
      <c r="T541" s="186">
        <f t="shared" si="68"/>
        <v>0</v>
      </c>
      <c r="U541" s="179">
        <f t="shared" si="69"/>
        <v>0</v>
      </c>
      <c r="V541" s="1">
        <f t="shared" si="65"/>
        <v>25</v>
      </c>
      <c r="W541" s="8">
        <f t="shared" si="70"/>
        <v>-25</v>
      </c>
      <c r="X541" s="15">
        <f t="shared" si="66"/>
        <v>2906.25</v>
      </c>
    </row>
    <row r="542" spans="1:24">
      <c r="A542" t="s">
        <v>931</v>
      </c>
      <c r="B542" s="163" t="s">
        <v>498</v>
      </c>
      <c r="C542" s="2" t="s">
        <v>77</v>
      </c>
      <c r="D542" s="2" t="s">
        <v>234</v>
      </c>
      <c r="E542" s="3">
        <v>45388.5</v>
      </c>
      <c r="F542" s="2" t="s">
        <v>499</v>
      </c>
      <c r="G542" s="2" t="s">
        <v>413</v>
      </c>
      <c r="H542" s="2">
        <v>71</v>
      </c>
      <c r="I542" s="2">
        <v>80</v>
      </c>
      <c r="J542" s="2">
        <v>1.45</v>
      </c>
      <c r="K542" s="2">
        <v>20</v>
      </c>
      <c r="L542" s="2"/>
      <c r="M542" s="2"/>
      <c r="N542" s="2" t="s">
        <v>96</v>
      </c>
      <c r="O542" s="10">
        <v>0</v>
      </c>
      <c r="P542" s="14">
        <v>0</v>
      </c>
      <c r="Q542" s="183">
        <v>0</v>
      </c>
      <c r="R542" s="187">
        <v>0</v>
      </c>
      <c r="S542" s="178">
        <f t="shared" si="67"/>
        <v>0</v>
      </c>
      <c r="T542" s="186">
        <f t="shared" si="68"/>
        <v>0</v>
      </c>
      <c r="U542" s="179">
        <f t="shared" si="69"/>
        <v>0</v>
      </c>
      <c r="V542" s="1">
        <f t="shared" si="65"/>
        <v>25</v>
      </c>
      <c r="W542" s="8">
        <f t="shared" si="70"/>
        <v>-25</v>
      </c>
      <c r="X542" s="15">
        <f t="shared" si="66"/>
        <v>2881.25</v>
      </c>
    </row>
    <row r="543" spans="1:24">
      <c r="A543" t="s">
        <v>931</v>
      </c>
      <c r="B543" s="163" t="s">
        <v>473</v>
      </c>
      <c r="C543" s="2" t="s">
        <v>6</v>
      </c>
      <c r="D543" s="2" t="s">
        <v>11</v>
      </c>
      <c r="E543" s="3">
        <v>45353.625</v>
      </c>
      <c r="F543" s="2" t="s">
        <v>301</v>
      </c>
      <c r="G543" s="2" t="s">
        <v>232</v>
      </c>
      <c r="H543" s="2">
        <v>65</v>
      </c>
      <c r="I543" s="2">
        <v>85</v>
      </c>
      <c r="J543" s="2">
        <v>20</v>
      </c>
      <c r="K543" s="2">
        <v>2.7</v>
      </c>
      <c r="L543" s="2"/>
      <c r="M543" s="2"/>
      <c r="N543" s="2" t="s">
        <v>96</v>
      </c>
      <c r="O543" s="10">
        <v>0</v>
      </c>
      <c r="P543" s="14">
        <v>0</v>
      </c>
      <c r="Q543" s="183">
        <v>0</v>
      </c>
      <c r="R543" s="187">
        <v>0</v>
      </c>
      <c r="S543" s="178">
        <f t="shared" si="67"/>
        <v>0</v>
      </c>
      <c r="T543" s="186">
        <f t="shared" si="68"/>
        <v>0</v>
      </c>
      <c r="U543" s="179">
        <f t="shared" si="69"/>
        <v>0</v>
      </c>
      <c r="V543" s="1">
        <f t="shared" si="65"/>
        <v>25</v>
      </c>
      <c r="W543" s="8">
        <f t="shared" si="70"/>
        <v>-25</v>
      </c>
      <c r="X543" s="15">
        <f t="shared" si="66"/>
        <v>2856.25</v>
      </c>
    </row>
    <row r="544" spans="1:24">
      <c r="A544" t="s">
        <v>931</v>
      </c>
      <c r="B544" s="163" t="s">
        <v>177</v>
      </c>
      <c r="C544" s="2" t="s">
        <v>77</v>
      </c>
      <c r="D544" s="2" t="s">
        <v>156</v>
      </c>
      <c r="E544" s="3">
        <v>45415.8125</v>
      </c>
      <c r="F544" s="2" t="s">
        <v>158</v>
      </c>
      <c r="G544" s="2" t="s">
        <v>181</v>
      </c>
      <c r="H544" s="2">
        <v>3.85</v>
      </c>
      <c r="I544" s="2">
        <v>95</v>
      </c>
      <c r="J544" s="2">
        <v>75</v>
      </c>
      <c r="K544" s="2">
        <v>31</v>
      </c>
      <c r="L544" s="2">
        <v>65</v>
      </c>
      <c r="M544" s="2">
        <v>3.66</v>
      </c>
      <c r="N544" s="2" t="s">
        <v>96</v>
      </c>
      <c r="O544" s="10">
        <v>0</v>
      </c>
      <c r="P544" s="14">
        <v>1</v>
      </c>
      <c r="Q544" s="183">
        <v>1</v>
      </c>
      <c r="R544" s="181">
        <v>1</v>
      </c>
      <c r="S544" s="178">
        <f t="shared" si="67"/>
        <v>1</v>
      </c>
      <c r="T544" s="186">
        <f t="shared" si="68"/>
        <v>2</v>
      </c>
      <c r="U544" s="179">
        <f t="shared" si="69"/>
        <v>1</v>
      </c>
      <c r="V544" s="1">
        <f t="shared" si="65"/>
        <v>25</v>
      </c>
      <c r="W544" s="8">
        <f t="shared" si="70"/>
        <v>-25</v>
      </c>
      <c r="X544" s="15">
        <f t="shared" si="66"/>
        <v>2831.25</v>
      </c>
    </row>
    <row r="545" spans="1:24">
      <c r="A545" t="s">
        <v>931</v>
      </c>
      <c r="B545" s="163" t="s">
        <v>406</v>
      </c>
      <c r="C545" s="2" t="s">
        <v>145</v>
      </c>
      <c r="D545" s="2" t="s">
        <v>190</v>
      </c>
      <c r="E545" s="3">
        <v>45409.833333333336</v>
      </c>
      <c r="F545" s="2" t="s">
        <v>553</v>
      </c>
      <c r="G545" s="2" t="s">
        <v>612</v>
      </c>
      <c r="H545" s="2">
        <v>1.36</v>
      </c>
      <c r="I545" s="2">
        <v>10.5</v>
      </c>
      <c r="J545" s="2">
        <v>3.1</v>
      </c>
      <c r="K545" s="2">
        <v>4.9000000000000004</v>
      </c>
      <c r="L545" s="2">
        <v>2.65</v>
      </c>
      <c r="M545" s="2"/>
      <c r="N545" s="2" t="s">
        <v>96</v>
      </c>
      <c r="O545" s="10">
        <v>1</v>
      </c>
      <c r="P545" s="14">
        <v>2</v>
      </c>
      <c r="Q545" s="183">
        <v>3</v>
      </c>
      <c r="R545" s="181">
        <v>3</v>
      </c>
      <c r="S545" s="178">
        <f t="shared" si="67"/>
        <v>3</v>
      </c>
      <c r="T545" s="186">
        <f t="shared" si="68"/>
        <v>6</v>
      </c>
      <c r="U545" s="179">
        <f t="shared" si="69"/>
        <v>3</v>
      </c>
      <c r="V545" s="1">
        <f t="shared" si="65"/>
        <v>25</v>
      </c>
      <c r="W545" s="8">
        <f t="shared" si="70"/>
        <v>-25</v>
      </c>
      <c r="X545" s="15">
        <f t="shared" si="66"/>
        <v>2806.25</v>
      </c>
    </row>
    <row r="546" spans="1:24">
      <c r="A546" t="s">
        <v>931</v>
      </c>
      <c r="B546" s="163" t="s">
        <v>406</v>
      </c>
      <c r="C546" s="2" t="s">
        <v>119</v>
      </c>
      <c r="D546" s="2" t="s">
        <v>120</v>
      </c>
      <c r="E546" s="3">
        <v>45294.760416666664</v>
      </c>
      <c r="F546" s="2" t="s">
        <v>122</v>
      </c>
      <c r="G546" s="2" t="s">
        <v>123</v>
      </c>
      <c r="H546" s="2">
        <v>1.26</v>
      </c>
      <c r="I546" s="2">
        <v>16.5</v>
      </c>
      <c r="J546" s="2">
        <v>2.88</v>
      </c>
      <c r="K546" s="2">
        <v>4.9000000000000004</v>
      </c>
      <c r="L546" s="2"/>
      <c r="M546" s="2"/>
      <c r="N546" s="2" t="s">
        <v>95</v>
      </c>
      <c r="O546" s="10">
        <v>0</v>
      </c>
      <c r="P546" s="13">
        <v>0</v>
      </c>
      <c r="Q546" s="183">
        <v>1</v>
      </c>
      <c r="R546" s="181">
        <v>0</v>
      </c>
      <c r="S546" s="178">
        <f t="shared" si="67"/>
        <v>0</v>
      </c>
      <c r="T546" s="186">
        <f t="shared" si="68"/>
        <v>1</v>
      </c>
      <c r="U546" s="179">
        <f t="shared" si="69"/>
        <v>1</v>
      </c>
      <c r="V546" s="1">
        <f t="shared" si="65"/>
        <v>25</v>
      </c>
      <c r="W546" s="8">
        <f t="shared" si="70"/>
        <v>6.25</v>
      </c>
      <c r="X546" s="15">
        <f t="shared" si="66"/>
        <v>2812.5</v>
      </c>
    </row>
    <row r="547" spans="1:24">
      <c r="A547" t="s">
        <v>931</v>
      </c>
      <c r="B547" s="163" t="s">
        <v>406</v>
      </c>
      <c r="C547" s="2" t="s">
        <v>13</v>
      </c>
      <c r="D547" s="2" t="s">
        <v>11</v>
      </c>
      <c r="E547" s="3">
        <v>45297.625</v>
      </c>
      <c r="F547" s="2" t="s">
        <v>140</v>
      </c>
      <c r="G547" s="2" t="s">
        <v>104</v>
      </c>
      <c r="H547" s="2">
        <v>1.25</v>
      </c>
      <c r="I547" s="2">
        <v>16</v>
      </c>
      <c r="J547" s="2">
        <v>2.83</v>
      </c>
      <c r="K547" s="2">
        <v>3.85</v>
      </c>
      <c r="L547" s="2"/>
      <c r="M547" s="2"/>
      <c r="N547" s="2" t="s">
        <v>95</v>
      </c>
      <c r="O547" s="10">
        <v>0</v>
      </c>
      <c r="P547" s="13">
        <v>0</v>
      </c>
      <c r="Q547" s="183">
        <v>1</v>
      </c>
      <c r="R547" s="181">
        <v>0</v>
      </c>
      <c r="S547" s="178">
        <f t="shared" si="67"/>
        <v>0</v>
      </c>
      <c r="T547" s="186">
        <f t="shared" si="68"/>
        <v>1</v>
      </c>
      <c r="U547" s="179">
        <f t="shared" si="69"/>
        <v>1</v>
      </c>
      <c r="V547" s="1">
        <f t="shared" si="65"/>
        <v>25</v>
      </c>
      <c r="W547" s="8">
        <f t="shared" si="70"/>
        <v>6.25</v>
      </c>
      <c r="X547" s="15">
        <f t="shared" si="66"/>
        <v>2818.75</v>
      </c>
    </row>
    <row r="548" spans="1:24">
      <c r="A548" t="s">
        <v>931</v>
      </c>
      <c r="B548" s="163" t="s">
        <v>406</v>
      </c>
      <c r="C548" s="7" t="s">
        <v>13</v>
      </c>
      <c r="D548" s="7" t="s">
        <v>37</v>
      </c>
      <c r="E548" s="24">
        <v>45318.625</v>
      </c>
      <c r="F548" s="7" t="s">
        <v>99</v>
      </c>
      <c r="G548" s="7" t="s">
        <v>323</v>
      </c>
      <c r="H548" s="7">
        <v>1.08</v>
      </c>
      <c r="I548" s="7">
        <v>50</v>
      </c>
      <c r="J548" s="7">
        <v>3.05</v>
      </c>
      <c r="K548" s="7">
        <v>2.38</v>
      </c>
      <c r="L548" s="7">
        <v>2.4500000000000002</v>
      </c>
      <c r="M548" s="7"/>
      <c r="N548" s="2" t="s">
        <v>95</v>
      </c>
      <c r="O548" s="10">
        <v>1</v>
      </c>
      <c r="P548" s="13">
        <v>0</v>
      </c>
      <c r="Q548" s="183">
        <v>1</v>
      </c>
      <c r="R548" s="181">
        <v>0</v>
      </c>
      <c r="S548" s="178">
        <f t="shared" si="67"/>
        <v>1</v>
      </c>
      <c r="T548" s="186">
        <f t="shared" si="68"/>
        <v>1</v>
      </c>
      <c r="U548" s="179">
        <f t="shared" si="69"/>
        <v>0</v>
      </c>
      <c r="V548" s="1">
        <f t="shared" si="65"/>
        <v>25</v>
      </c>
      <c r="W548" s="8">
        <f t="shared" si="70"/>
        <v>6.25</v>
      </c>
      <c r="X548" s="15">
        <f t="shared" si="66"/>
        <v>2825</v>
      </c>
    </row>
    <row r="549" spans="1:24">
      <c r="A549" t="s">
        <v>931</v>
      </c>
      <c r="B549" s="163" t="s">
        <v>406</v>
      </c>
      <c r="C549" s="2" t="s">
        <v>119</v>
      </c>
      <c r="D549" s="2" t="s">
        <v>120</v>
      </c>
      <c r="E549" s="3">
        <v>45347.833333333336</v>
      </c>
      <c r="F549" s="2" t="s">
        <v>122</v>
      </c>
      <c r="G549" s="2" t="s">
        <v>347</v>
      </c>
      <c r="H549" s="2">
        <v>1.29</v>
      </c>
      <c r="I549" s="2">
        <v>13.5</v>
      </c>
      <c r="J549" s="2">
        <v>2.75</v>
      </c>
      <c r="K549" s="2">
        <v>3.9</v>
      </c>
      <c r="L549" s="2">
        <v>2.36</v>
      </c>
      <c r="M549" s="2"/>
      <c r="N549" s="2" t="s">
        <v>95</v>
      </c>
      <c r="O549" s="10">
        <v>0</v>
      </c>
      <c r="P549" s="14">
        <v>0</v>
      </c>
      <c r="Q549" s="183">
        <v>1</v>
      </c>
      <c r="R549" s="181">
        <v>0</v>
      </c>
      <c r="S549" s="178">
        <f t="shared" si="67"/>
        <v>0</v>
      </c>
      <c r="T549" s="186">
        <f t="shared" si="68"/>
        <v>1</v>
      </c>
      <c r="U549" s="179">
        <f t="shared" si="69"/>
        <v>1</v>
      </c>
      <c r="V549" s="1">
        <f t="shared" si="65"/>
        <v>25</v>
      </c>
      <c r="W549" s="8">
        <f t="shared" si="70"/>
        <v>6.25</v>
      </c>
      <c r="X549" s="15">
        <f t="shared" si="66"/>
        <v>2831.25</v>
      </c>
    </row>
    <row r="550" spans="1:24">
      <c r="A550" t="s">
        <v>931</v>
      </c>
      <c r="B550" s="163" t="s">
        <v>406</v>
      </c>
      <c r="C550" s="2" t="s">
        <v>67</v>
      </c>
      <c r="D550" s="2" t="s">
        <v>68</v>
      </c>
      <c r="E550" s="3">
        <v>45354.729166666664</v>
      </c>
      <c r="F550" s="2" t="s">
        <v>375</v>
      </c>
      <c r="G550" s="2" t="s">
        <v>88</v>
      </c>
      <c r="H550" s="2">
        <v>1.31</v>
      </c>
      <c r="I550" s="2">
        <v>12</v>
      </c>
      <c r="J550" s="2">
        <v>3</v>
      </c>
      <c r="K550" s="2">
        <v>4.3</v>
      </c>
      <c r="L550" s="2">
        <v>2.83</v>
      </c>
      <c r="M550" s="2"/>
      <c r="N550" s="2" t="s">
        <v>95</v>
      </c>
      <c r="O550" s="10">
        <v>1</v>
      </c>
      <c r="P550" s="14">
        <v>0</v>
      </c>
      <c r="Q550" s="183">
        <v>1</v>
      </c>
      <c r="R550" s="181">
        <v>0</v>
      </c>
      <c r="S550" s="178">
        <f t="shared" si="67"/>
        <v>1</v>
      </c>
      <c r="T550" s="186">
        <f t="shared" si="68"/>
        <v>1</v>
      </c>
      <c r="U550" s="179">
        <f t="shared" si="69"/>
        <v>0</v>
      </c>
      <c r="V550" s="1">
        <f t="shared" si="65"/>
        <v>25</v>
      </c>
      <c r="W550" s="8">
        <f t="shared" si="70"/>
        <v>6.25</v>
      </c>
      <c r="X550" s="15">
        <f t="shared" si="66"/>
        <v>2837.5</v>
      </c>
    </row>
    <row r="551" spans="1:24">
      <c r="A551" t="s">
        <v>931</v>
      </c>
      <c r="B551" s="163" t="s">
        <v>406</v>
      </c>
      <c r="C551" s="2" t="s">
        <v>6</v>
      </c>
      <c r="D551" s="2" t="s">
        <v>14</v>
      </c>
      <c r="E551" s="3">
        <v>45356.822916666664</v>
      </c>
      <c r="F551" s="2" t="s">
        <v>280</v>
      </c>
      <c r="G551" s="2" t="s">
        <v>513</v>
      </c>
      <c r="H551" s="2">
        <v>1.37</v>
      </c>
      <c r="I551" s="2">
        <v>10.5</v>
      </c>
      <c r="J551" s="2">
        <v>3.05</v>
      </c>
      <c r="K551" s="2">
        <v>4.8</v>
      </c>
      <c r="L551" s="2">
        <v>2.5</v>
      </c>
      <c r="M551" s="2"/>
      <c r="N551" s="2" t="s">
        <v>95</v>
      </c>
      <c r="O551" s="10">
        <v>1</v>
      </c>
      <c r="P551" s="14">
        <v>0</v>
      </c>
      <c r="Q551" s="183">
        <v>1</v>
      </c>
      <c r="R551" s="181">
        <v>0</v>
      </c>
      <c r="S551" s="178">
        <f t="shared" si="67"/>
        <v>1</v>
      </c>
      <c r="T551" s="186">
        <f t="shared" si="68"/>
        <v>1</v>
      </c>
      <c r="U551" s="179">
        <f t="shared" si="69"/>
        <v>0</v>
      </c>
      <c r="V551" s="1">
        <f t="shared" si="65"/>
        <v>25</v>
      </c>
      <c r="W551" s="8">
        <f t="shared" si="70"/>
        <v>6.25</v>
      </c>
      <c r="X551" s="15">
        <f t="shared" si="66"/>
        <v>2843.75</v>
      </c>
    </row>
    <row r="552" spans="1:24">
      <c r="A552" t="s">
        <v>931</v>
      </c>
      <c r="B552" s="163" t="s">
        <v>406</v>
      </c>
      <c r="C552" s="2" t="s">
        <v>67</v>
      </c>
      <c r="D552" s="2" t="s">
        <v>68</v>
      </c>
      <c r="E552" s="3">
        <v>45367.822916666664</v>
      </c>
      <c r="F552" s="2" t="s">
        <v>375</v>
      </c>
      <c r="G552" s="2" t="s">
        <v>408</v>
      </c>
      <c r="H552" s="2">
        <v>1.25</v>
      </c>
      <c r="I552" s="2">
        <v>13</v>
      </c>
      <c r="J552" s="2">
        <v>2.95</v>
      </c>
      <c r="K552" s="2">
        <v>3.35</v>
      </c>
      <c r="L552" s="2">
        <v>2.7</v>
      </c>
      <c r="M552" s="2"/>
      <c r="N552" s="2" t="s">
        <v>95</v>
      </c>
      <c r="O552" s="10">
        <v>0</v>
      </c>
      <c r="P552" s="14">
        <v>0</v>
      </c>
      <c r="Q552" s="183">
        <v>0</v>
      </c>
      <c r="R552" s="181">
        <v>1</v>
      </c>
      <c r="S552" s="178">
        <f t="shared" si="67"/>
        <v>0</v>
      </c>
      <c r="T552" s="186">
        <f t="shared" si="68"/>
        <v>1</v>
      </c>
      <c r="U552" s="179">
        <f t="shared" si="69"/>
        <v>1</v>
      </c>
      <c r="V552" s="1">
        <f t="shared" si="65"/>
        <v>25</v>
      </c>
      <c r="W552" s="8">
        <f t="shared" si="70"/>
        <v>6.25</v>
      </c>
      <c r="X552" s="15">
        <f t="shared" si="66"/>
        <v>2850</v>
      </c>
    </row>
    <row r="553" spans="1:24">
      <c r="A553" t="s">
        <v>931</v>
      </c>
      <c r="B553" s="163" t="s">
        <v>406</v>
      </c>
      <c r="C553" s="2" t="s">
        <v>119</v>
      </c>
      <c r="D553" s="2" t="s">
        <v>120</v>
      </c>
      <c r="E553" s="3">
        <v>45381.833333333336</v>
      </c>
      <c r="F553" s="2" t="s">
        <v>361</v>
      </c>
      <c r="G553" s="2" t="s">
        <v>389</v>
      </c>
      <c r="H553" s="2">
        <v>1.29</v>
      </c>
      <c r="I553" s="2">
        <v>12.5</v>
      </c>
      <c r="J553" s="2">
        <v>3.2</v>
      </c>
      <c r="K553" s="2">
        <v>3.85</v>
      </c>
      <c r="L553" s="2">
        <v>2.86</v>
      </c>
      <c r="M553" s="2"/>
      <c r="N553" s="2" t="s">
        <v>95</v>
      </c>
      <c r="O553" s="10">
        <v>0</v>
      </c>
      <c r="P553" s="14">
        <v>0</v>
      </c>
      <c r="Q553" s="183">
        <v>1</v>
      </c>
      <c r="R553" s="181">
        <v>0</v>
      </c>
      <c r="S553" s="178">
        <f t="shared" si="67"/>
        <v>0</v>
      </c>
      <c r="T553" s="186">
        <f t="shared" si="68"/>
        <v>1</v>
      </c>
      <c r="U553" s="179">
        <f t="shared" si="69"/>
        <v>1</v>
      </c>
      <c r="V553" s="1">
        <f t="shared" si="65"/>
        <v>25</v>
      </c>
      <c r="W553" s="8">
        <f t="shared" si="70"/>
        <v>6.25</v>
      </c>
      <c r="X553" s="15">
        <f t="shared" si="66"/>
        <v>2856.25</v>
      </c>
    </row>
    <row r="554" spans="1:24">
      <c r="A554" t="s">
        <v>931</v>
      </c>
      <c r="B554" s="163" t="s">
        <v>406</v>
      </c>
      <c r="C554" s="2" t="s">
        <v>6</v>
      </c>
      <c r="D554" s="2" t="s">
        <v>14</v>
      </c>
      <c r="E554" s="3">
        <v>45395.520833333336</v>
      </c>
      <c r="F554" s="2" t="s">
        <v>280</v>
      </c>
      <c r="G554" s="2" t="s">
        <v>428</v>
      </c>
      <c r="H554" s="2">
        <v>1.34</v>
      </c>
      <c r="I554" s="2">
        <v>12</v>
      </c>
      <c r="J554" s="2">
        <v>2.85</v>
      </c>
      <c r="K554" s="2">
        <v>4.9000000000000004</v>
      </c>
      <c r="L554" s="2">
        <v>2.25</v>
      </c>
      <c r="N554" s="2" t="s">
        <v>95</v>
      </c>
      <c r="O554" s="10">
        <v>0</v>
      </c>
      <c r="P554" s="14">
        <v>0</v>
      </c>
      <c r="Q554" s="183">
        <v>0</v>
      </c>
      <c r="R554" s="181">
        <v>1</v>
      </c>
      <c r="S554" s="178">
        <f t="shared" si="67"/>
        <v>0</v>
      </c>
      <c r="T554" s="186">
        <f t="shared" si="68"/>
        <v>1</v>
      </c>
      <c r="U554" s="179">
        <f t="shared" si="69"/>
        <v>1</v>
      </c>
      <c r="V554" s="1">
        <f t="shared" si="65"/>
        <v>25</v>
      </c>
      <c r="W554" s="8">
        <f t="shared" si="70"/>
        <v>6.25</v>
      </c>
      <c r="X554" s="15">
        <f t="shared" si="66"/>
        <v>2862.5</v>
      </c>
    </row>
    <row r="555" spans="1:24">
      <c r="A555" t="s">
        <v>931</v>
      </c>
      <c r="B555" s="163" t="s">
        <v>406</v>
      </c>
      <c r="C555" s="2" t="s">
        <v>6</v>
      </c>
      <c r="D555" s="2" t="s">
        <v>14</v>
      </c>
      <c r="E555" s="3">
        <v>45395.625</v>
      </c>
      <c r="F555" s="2" t="s">
        <v>377</v>
      </c>
      <c r="G555" s="2" t="s">
        <v>262</v>
      </c>
      <c r="H555" s="2">
        <v>1.39</v>
      </c>
      <c r="I555" s="2">
        <v>9.8000000000000007</v>
      </c>
      <c r="J555" s="2">
        <v>3.1</v>
      </c>
      <c r="K555" s="2">
        <v>5.7</v>
      </c>
      <c r="L555" s="2">
        <v>2.67</v>
      </c>
      <c r="N555" s="2" t="s">
        <v>95</v>
      </c>
      <c r="O555" s="10">
        <v>0</v>
      </c>
      <c r="P555" s="14">
        <v>0</v>
      </c>
      <c r="Q555" s="183">
        <v>1</v>
      </c>
      <c r="R555" s="181">
        <v>0</v>
      </c>
      <c r="S555" s="178">
        <f t="shared" si="67"/>
        <v>0</v>
      </c>
      <c r="T555" s="186">
        <f t="shared" si="68"/>
        <v>1</v>
      </c>
      <c r="U555" s="179">
        <f t="shared" si="69"/>
        <v>1</v>
      </c>
      <c r="V555" s="1">
        <f t="shared" si="65"/>
        <v>25</v>
      </c>
      <c r="W555" s="8">
        <f t="shared" si="70"/>
        <v>6.25</v>
      </c>
      <c r="X555" s="15">
        <f t="shared" si="66"/>
        <v>2868.75</v>
      </c>
    </row>
    <row r="556" spans="1:24">
      <c r="A556" t="s">
        <v>931</v>
      </c>
      <c r="B556" s="163" t="s">
        <v>406</v>
      </c>
      <c r="C556" s="2" t="s">
        <v>145</v>
      </c>
      <c r="D556" s="2" t="s">
        <v>190</v>
      </c>
      <c r="E556" s="3">
        <v>45402.833333333336</v>
      </c>
      <c r="F556" s="2" t="s">
        <v>767</v>
      </c>
      <c r="G556" s="2" t="s">
        <v>611</v>
      </c>
      <c r="H556" s="2">
        <v>1.41</v>
      </c>
      <c r="I556" s="2">
        <v>10</v>
      </c>
      <c r="J556" s="2">
        <v>2.6</v>
      </c>
      <c r="K556" s="2">
        <v>5.4</v>
      </c>
      <c r="L556" s="2">
        <v>2.97</v>
      </c>
      <c r="N556" s="2" t="s">
        <v>95</v>
      </c>
      <c r="O556" s="10">
        <v>1</v>
      </c>
      <c r="P556" s="14">
        <v>0</v>
      </c>
      <c r="Q556" s="183">
        <v>1</v>
      </c>
      <c r="R556" s="181">
        <v>0</v>
      </c>
      <c r="S556" s="178">
        <f t="shared" si="67"/>
        <v>1</v>
      </c>
      <c r="T556" s="186">
        <f t="shared" si="68"/>
        <v>1</v>
      </c>
      <c r="U556" s="179">
        <f t="shared" si="69"/>
        <v>0</v>
      </c>
      <c r="V556" s="1">
        <f t="shared" ref="V556:V619" si="71">SUM($X$1*0.05)</f>
        <v>25</v>
      </c>
      <c r="W556" s="8">
        <f t="shared" si="70"/>
        <v>6.25</v>
      </c>
      <c r="X556" s="15">
        <f t="shared" ref="X556:X600" si="72">SUM(X555,W556)</f>
        <v>2875</v>
      </c>
    </row>
    <row r="557" spans="1:24">
      <c r="A557" t="s">
        <v>931</v>
      </c>
      <c r="B557" s="163" t="s">
        <v>406</v>
      </c>
      <c r="C557" s="2" t="s">
        <v>77</v>
      </c>
      <c r="D557" s="2" t="s">
        <v>234</v>
      </c>
      <c r="E557" s="3">
        <v>45408.729166666664</v>
      </c>
      <c r="F557" s="2" t="s">
        <v>555</v>
      </c>
      <c r="G557" s="2" t="s">
        <v>646</v>
      </c>
      <c r="H557" s="2">
        <v>1.31</v>
      </c>
      <c r="I557" s="2">
        <v>13.5</v>
      </c>
      <c r="J557" s="2">
        <v>2.7</v>
      </c>
      <c r="K557" s="2">
        <v>4.5</v>
      </c>
      <c r="L557" s="2">
        <v>3.37</v>
      </c>
      <c r="N557" s="2" t="s">
        <v>95</v>
      </c>
      <c r="O557" s="10">
        <v>0</v>
      </c>
      <c r="P557" s="14">
        <v>0</v>
      </c>
      <c r="Q557" s="183">
        <v>1</v>
      </c>
      <c r="R557" s="181">
        <v>0</v>
      </c>
      <c r="S557" s="178">
        <f t="shared" si="67"/>
        <v>0</v>
      </c>
      <c r="T557" s="186">
        <f t="shared" si="68"/>
        <v>1</v>
      </c>
      <c r="U557" s="179">
        <f t="shared" si="69"/>
        <v>1</v>
      </c>
      <c r="V557" s="1">
        <f t="shared" si="71"/>
        <v>25</v>
      </c>
      <c r="W557" s="8">
        <f t="shared" si="70"/>
        <v>6.25</v>
      </c>
      <c r="X557" s="15">
        <f t="shared" si="72"/>
        <v>2881.25</v>
      </c>
    </row>
    <row r="558" spans="1:24">
      <c r="A558" t="s">
        <v>931</v>
      </c>
      <c r="B558" s="163" t="s">
        <v>506</v>
      </c>
      <c r="C558" s="2" t="s">
        <v>67</v>
      </c>
      <c r="D558" s="2" t="s">
        <v>68</v>
      </c>
      <c r="E558" s="3">
        <v>45354.729166666664</v>
      </c>
      <c r="F558" s="2" t="s">
        <v>375</v>
      </c>
      <c r="G558" s="2" t="s">
        <v>88</v>
      </c>
      <c r="H558" s="2">
        <v>4.3</v>
      </c>
      <c r="I558" s="2">
        <v>0</v>
      </c>
      <c r="J558" s="2">
        <v>0</v>
      </c>
      <c r="K558" s="2">
        <v>20</v>
      </c>
      <c r="L558" s="2">
        <v>3</v>
      </c>
      <c r="N558" s="2" t="s">
        <v>95</v>
      </c>
      <c r="O558" s="10">
        <v>1</v>
      </c>
      <c r="P558" s="14">
        <v>0</v>
      </c>
      <c r="Q558" s="183">
        <v>1</v>
      </c>
      <c r="R558" s="181">
        <v>0</v>
      </c>
      <c r="S558" s="178">
        <f t="shared" si="67"/>
        <v>1</v>
      </c>
      <c r="T558" s="186">
        <f t="shared" si="68"/>
        <v>1</v>
      </c>
      <c r="U558" s="179">
        <f t="shared" si="69"/>
        <v>0</v>
      </c>
      <c r="V558" s="1">
        <f t="shared" si="71"/>
        <v>25</v>
      </c>
      <c r="W558" s="8">
        <f t="shared" si="70"/>
        <v>6.25</v>
      </c>
      <c r="X558" s="15">
        <f t="shared" si="72"/>
        <v>2887.5</v>
      </c>
    </row>
    <row r="559" spans="1:24">
      <c r="A559" t="s">
        <v>931</v>
      </c>
      <c r="B559" s="163" t="s">
        <v>531</v>
      </c>
      <c r="C559" s="2" t="s">
        <v>149</v>
      </c>
      <c r="D559" s="2" t="s">
        <v>153</v>
      </c>
      <c r="E559" s="3">
        <v>45359.791666666664</v>
      </c>
      <c r="F559" s="2" t="s">
        <v>369</v>
      </c>
      <c r="G559" s="2" t="s">
        <v>188</v>
      </c>
      <c r="H559" s="2">
        <v>3.75</v>
      </c>
      <c r="I559" s="2">
        <v>24</v>
      </c>
      <c r="J559" s="2">
        <v>3.79</v>
      </c>
      <c r="K559" s="2">
        <v>30</v>
      </c>
      <c r="L559" s="2">
        <v>7</v>
      </c>
      <c r="M559" s="1">
        <v>12</v>
      </c>
      <c r="N559" s="2" t="s">
        <v>95</v>
      </c>
      <c r="O559" s="10">
        <v>0</v>
      </c>
      <c r="P559" s="14">
        <v>1</v>
      </c>
      <c r="Q559" s="183">
        <v>0</v>
      </c>
      <c r="R559" s="181">
        <v>1</v>
      </c>
      <c r="S559" s="178">
        <f t="shared" si="67"/>
        <v>1</v>
      </c>
      <c r="T559" s="186">
        <f t="shared" si="68"/>
        <v>1</v>
      </c>
      <c r="U559" s="179">
        <f t="shared" si="69"/>
        <v>0</v>
      </c>
      <c r="V559" s="1">
        <f t="shared" si="71"/>
        <v>25</v>
      </c>
      <c r="W559" s="8">
        <f t="shared" si="70"/>
        <v>6.25</v>
      </c>
      <c r="X559" s="15">
        <f t="shared" si="72"/>
        <v>2893.75</v>
      </c>
    </row>
    <row r="560" spans="1:24">
      <c r="A560" t="s">
        <v>931</v>
      </c>
      <c r="B560" s="163" t="s">
        <v>531</v>
      </c>
      <c r="C560" s="2" t="s">
        <v>13</v>
      </c>
      <c r="D560" s="2" t="s">
        <v>37</v>
      </c>
      <c r="E560" s="3">
        <v>45368.5</v>
      </c>
      <c r="F560" s="2" t="s">
        <v>306</v>
      </c>
      <c r="G560" s="2" t="s">
        <v>79</v>
      </c>
      <c r="H560" s="2">
        <v>4.3</v>
      </c>
      <c r="I560" s="2">
        <v>28</v>
      </c>
      <c r="J560" s="2">
        <v>2.54</v>
      </c>
      <c r="K560" s="2">
        <v>28</v>
      </c>
      <c r="L560" s="2">
        <v>1</v>
      </c>
      <c r="M560" s="1">
        <v>14</v>
      </c>
      <c r="N560" s="2" t="s">
        <v>95</v>
      </c>
      <c r="O560" s="10">
        <v>0</v>
      </c>
      <c r="P560" s="14">
        <v>0</v>
      </c>
      <c r="Q560" s="183">
        <v>1</v>
      </c>
      <c r="R560" s="181">
        <v>0</v>
      </c>
      <c r="S560" s="178">
        <f t="shared" si="67"/>
        <v>0</v>
      </c>
      <c r="T560" s="186">
        <f t="shared" si="68"/>
        <v>1</v>
      </c>
      <c r="U560" s="179">
        <f t="shared" si="69"/>
        <v>1</v>
      </c>
      <c r="V560" s="1">
        <f t="shared" si="71"/>
        <v>25</v>
      </c>
      <c r="W560" s="8">
        <f t="shared" si="70"/>
        <v>6.25</v>
      </c>
      <c r="X560" s="15">
        <f t="shared" si="72"/>
        <v>2900</v>
      </c>
    </row>
    <row r="561" spans="1:24">
      <c r="A561" t="s">
        <v>931</v>
      </c>
      <c r="B561" s="163" t="s">
        <v>531</v>
      </c>
      <c r="C561" s="2" t="s">
        <v>13</v>
      </c>
      <c r="D561" s="2" t="s">
        <v>14</v>
      </c>
      <c r="E561" s="3">
        <v>45374.625</v>
      </c>
      <c r="F561" s="2" t="s">
        <v>30</v>
      </c>
      <c r="G561" s="2" t="s">
        <v>16</v>
      </c>
      <c r="H561" s="2">
        <v>5.3</v>
      </c>
      <c r="I561" s="2">
        <v>27</v>
      </c>
      <c r="J561" s="2">
        <v>3.44</v>
      </c>
      <c r="K561" s="2">
        <v>28</v>
      </c>
      <c r="L561" s="2">
        <v>4</v>
      </c>
      <c r="M561" s="1">
        <v>14</v>
      </c>
      <c r="N561" s="2" t="s">
        <v>95</v>
      </c>
      <c r="O561" s="10">
        <v>0</v>
      </c>
      <c r="P561" s="14">
        <v>1</v>
      </c>
      <c r="Q561" s="183">
        <v>0</v>
      </c>
      <c r="R561" s="181">
        <v>1</v>
      </c>
      <c r="S561" s="178">
        <f t="shared" si="67"/>
        <v>1</v>
      </c>
      <c r="T561" s="186">
        <f t="shared" si="68"/>
        <v>1</v>
      </c>
      <c r="U561" s="179">
        <f t="shared" si="69"/>
        <v>0</v>
      </c>
      <c r="V561" s="1">
        <f t="shared" si="71"/>
        <v>25</v>
      </c>
      <c r="W561" s="8">
        <f t="shared" si="70"/>
        <v>6.25</v>
      </c>
      <c r="X561" s="15">
        <f t="shared" si="72"/>
        <v>2906.25</v>
      </c>
    </row>
    <row r="562" spans="1:24">
      <c r="A562" t="s">
        <v>931</v>
      </c>
      <c r="B562" s="163" t="s">
        <v>531</v>
      </c>
      <c r="C562" s="2" t="s">
        <v>6</v>
      </c>
      <c r="D562" s="2" t="s">
        <v>14</v>
      </c>
      <c r="E562" s="3">
        <v>45394.833333333336</v>
      </c>
      <c r="F562" s="2" t="s">
        <v>57</v>
      </c>
      <c r="G562" s="2" t="s">
        <v>290</v>
      </c>
      <c r="H562" s="2">
        <v>5.2</v>
      </c>
      <c r="I562" s="2">
        <v>40</v>
      </c>
      <c r="J562" s="2">
        <v>3.25</v>
      </c>
      <c r="K562" s="2">
        <v>32</v>
      </c>
      <c r="L562" s="2">
        <v>3</v>
      </c>
      <c r="M562" s="1">
        <v>20</v>
      </c>
      <c r="N562" s="2" t="s">
        <v>95</v>
      </c>
      <c r="O562" s="10">
        <v>1</v>
      </c>
      <c r="P562" s="14">
        <v>0</v>
      </c>
      <c r="Q562" s="183">
        <v>1</v>
      </c>
      <c r="R562" s="181">
        <v>0</v>
      </c>
      <c r="S562" s="178">
        <f t="shared" si="67"/>
        <v>1</v>
      </c>
      <c r="T562" s="186">
        <f t="shared" si="68"/>
        <v>1</v>
      </c>
      <c r="U562" s="179">
        <f t="shared" si="69"/>
        <v>0</v>
      </c>
      <c r="V562" s="1">
        <f t="shared" si="71"/>
        <v>25</v>
      </c>
      <c r="W562" s="8">
        <f t="shared" si="70"/>
        <v>6.25</v>
      </c>
      <c r="X562" s="15">
        <f t="shared" si="72"/>
        <v>2912.5</v>
      </c>
    </row>
    <row r="563" spans="1:24">
      <c r="A563" t="s">
        <v>931</v>
      </c>
      <c r="B563" s="163" t="s">
        <v>531</v>
      </c>
      <c r="C563" s="2" t="s">
        <v>149</v>
      </c>
      <c r="D563" s="2" t="s">
        <v>153</v>
      </c>
      <c r="E563" s="3">
        <v>45396.5625</v>
      </c>
      <c r="F563" s="2" t="s">
        <v>249</v>
      </c>
      <c r="G563" s="2" t="s">
        <v>282</v>
      </c>
      <c r="H563" s="2">
        <v>4.5999999999999996</v>
      </c>
      <c r="I563" s="2">
        <v>28</v>
      </c>
      <c r="J563" s="2">
        <v>3.25</v>
      </c>
      <c r="K563" s="2">
        <v>23</v>
      </c>
      <c r="L563" s="2">
        <v>4</v>
      </c>
      <c r="M563" s="1">
        <v>14</v>
      </c>
      <c r="N563" s="2" t="s">
        <v>95</v>
      </c>
      <c r="O563" s="10">
        <v>0</v>
      </c>
      <c r="P563" s="14">
        <v>1</v>
      </c>
      <c r="Q563" s="183">
        <v>0</v>
      </c>
      <c r="R563" s="181">
        <v>1</v>
      </c>
      <c r="S563" s="178">
        <f t="shared" si="67"/>
        <v>1</v>
      </c>
      <c r="T563" s="186">
        <f t="shared" si="68"/>
        <v>1</v>
      </c>
      <c r="U563" s="179">
        <f t="shared" si="69"/>
        <v>0</v>
      </c>
      <c r="V563" s="1">
        <f t="shared" si="71"/>
        <v>25</v>
      </c>
      <c r="W563" s="8">
        <f t="shared" si="70"/>
        <v>6.25</v>
      </c>
      <c r="X563" s="15">
        <f t="shared" si="72"/>
        <v>2918.75</v>
      </c>
    </row>
    <row r="564" spans="1:24">
      <c r="A564" t="s">
        <v>931</v>
      </c>
      <c r="B564" s="163" t="s">
        <v>531</v>
      </c>
      <c r="C564" s="2" t="s">
        <v>58</v>
      </c>
      <c r="D564" s="2" t="s">
        <v>59</v>
      </c>
      <c r="E564" s="3">
        <v>45398.84375</v>
      </c>
      <c r="F564" s="2" t="s">
        <v>61</v>
      </c>
      <c r="G564" s="2" t="s">
        <v>125</v>
      </c>
      <c r="H564" s="2">
        <v>4.9000000000000004</v>
      </c>
      <c r="I564" s="2">
        <v>27</v>
      </c>
      <c r="J564" s="2">
        <v>3.07</v>
      </c>
      <c r="K564" s="2">
        <v>25</v>
      </c>
      <c r="L564" s="2">
        <v>2</v>
      </c>
      <c r="M564" s="1">
        <v>14</v>
      </c>
      <c r="N564" s="2" t="s">
        <v>95</v>
      </c>
      <c r="O564" s="10">
        <v>0</v>
      </c>
      <c r="P564" s="14">
        <v>1</v>
      </c>
      <c r="Q564" s="183">
        <v>0</v>
      </c>
      <c r="R564" s="181">
        <v>1</v>
      </c>
      <c r="S564" s="178">
        <f t="shared" si="67"/>
        <v>1</v>
      </c>
      <c r="T564" s="186">
        <f t="shared" si="68"/>
        <v>1</v>
      </c>
      <c r="U564" s="179">
        <f t="shared" si="69"/>
        <v>0</v>
      </c>
      <c r="V564" s="1">
        <f t="shared" si="71"/>
        <v>25</v>
      </c>
      <c r="W564" s="8">
        <f t="shared" si="70"/>
        <v>6.25</v>
      </c>
      <c r="X564" s="15">
        <f t="shared" si="72"/>
        <v>2925</v>
      </c>
    </row>
    <row r="565" spans="1:24">
      <c r="A565" t="s">
        <v>931</v>
      </c>
      <c r="B565" s="163" t="s">
        <v>531</v>
      </c>
      <c r="C565" s="2" t="s">
        <v>44</v>
      </c>
      <c r="D565" s="2" t="s">
        <v>45</v>
      </c>
      <c r="E565" s="3">
        <v>45402.447916666664</v>
      </c>
      <c r="F565" s="2" t="s">
        <v>143</v>
      </c>
      <c r="G565" s="2" t="s">
        <v>46</v>
      </c>
      <c r="H565" s="2">
        <v>4.7</v>
      </c>
      <c r="I565" s="2">
        <v>26</v>
      </c>
      <c r="J565" s="2">
        <v>3.62</v>
      </c>
      <c r="K565" s="2">
        <v>22</v>
      </c>
      <c r="L565" s="2">
        <v>3</v>
      </c>
      <c r="M565" s="1">
        <v>13</v>
      </c>
      <c r="N565" s="2" t="s">
        <v>95</v>
      </c>
      <c r="O565" s="10">
        <v>1</v>
      </c>
      <c r="P565" s="14">
        <v>0</v>
      </c>
      <c r="Q565" s="183">
        <v>1</v>
      </c>
      <c r="R565" s="181">
        <v>0</v>
      </c>
      <c r="S565" s="178">
        <f t="shared" si="67"/>
        <v>1</v>
      </c>
      <c r="T565" s="186">
        <f t="shared" si="68"/>
        <v>1</v>
      </c>
      <c r="U565" s="179">
        <f t="shared" si="69"/>
        <v>0</v>
      </c>
      <c r="V565" s="1">
        <f t="shared" si="71"/>
        <v>25</v>
      </c>
      <c r="W565" s="8">
        <f t="shared" si="70"/>
        <v>6.25</v>
      </c>
      <c r="X565" s="15">
        <f t="shared" si="72"/>
        <v>2931.25</v>
      </c>
    </row>
    <row r="566" spans="1:24">
      <c r="A566" t="s">
        <v>931</v>
      </c>
      <c r="B566" s="163" t="s">
        <v>531</v>
      </c>
      <c r="C566" s="2" t="s">
        <v>80</v>
      </c>
      <c r="D566" s="2" t="s">
        <v>81</v>
      </c>
      <c r="E566" s="3">
        <v>45416.583333333336</v>
      </c>
      <c r="F566" s="2" t="s">
        <v>310</v>
      </c>
      <c r="G566" s="2" t="s">
        <v>676</v>
      </c>
      <c r="H566" s="2">
        <v>5</v>
      </c>
      <c r="I566" s="2">
        <v>34</v>
      </c>
      <c r="J566" s="2">
        <v>2.82</v>
      </c>
      <c r="K566" s="2">
        <v>32</v>
      </c>
      <c r="L566" s="2">
        <v>1</v>
      </c>
      <c r="M566" s="1">
        <v>17</v>
      </c>
      <c r="N566" s="2" t="s">
        <v>95</v>
      </c>
      <c r="O566" s="10">
        <v>0</v>
      </c>
      <c r="P566" s="14">
        <v>1</v>
      </c>
      <c r="Q566" s="183">
        <v>0</v>
      </c>
      <c r="R566" s="181">
        <v>1</v>
      </c>
      <c r="S566" s="178">
        <f t="shared" si="67"/>
        <v>1</v>
      </c>
      <c r="T566" s="186">
        <f t="shared" si="68"/>
        <v>1</v>
      </c>
      <c r="U566" s="179">
        <f t="shared" si="69"/>
        <v>0</v>
      </c>
      <c r="V566" s="1">
        <f t="shared" si="71"/>
        <v>25</v>
      </c>
      <c r="W566" s="8">
        <f t="shared" si="70"/>
        <v>6.25</v>
      </c>
      <c r="X566" s="15">
        <f t="shared" si="72"/>
        <v>2937.5</v>
      </c>
    </row>
    <row r="567" spans="1:24">
      <c r="A567" t="s">
        <v>931</v>
      </c>
      <c r="B567" s="163" t="s">
        <v>531</v>
      </c>
      <c r="C567" s="2" t="s">
        <v>20</v>
      </c>
      <c r="D567" s="2" t="s">
        <v>21</v>
      </c>
      <c r="E567" s="3">
        <v>45416.822916666664</v>
      </c>
      <c r="F567" s="2" t="s">
        <v>370</v>
      </c>
      <c r="G567" s="2" t="s">
        <v>25</v>
      </c>
      <c r="H567" s="2">
        <v>5.2</v>
      </c>
      <c r="I567" s="2">
        <v>33</v>
      </c>
      <c r="J567" s="2">
        <v>3.03</v>
      </c>
      <c r="K567" s="2">
        <v>29</v>
      </c>
      <c r="L567" s="2">
        <v>4</v>
      </c>
      <c r="M567" s="1">
        <v>16</v>
      </c>
      <c r="N567" s="2" t="s">
        <v>95</v>
      </c>
      <c r="O567" s="10">
        <v>1</v>
      </c>
      <c r="P567" s="14">
        <v>0</v>
      </c>
      <c r="Q567" s="183">
        <v>1</v>
      </c>
      <c r="R567" s="181">
        <v>0</v>
      </c>
      <c r="S567" s="178">
        <f t="shared" si="67"/>
        <v>1</v>
      </c>
      <c r="T567" s="186">
        <f t="shared" si="68"/>
        <v>1</v>
      </c>
      <c r="U567" s="179">
        <f t="shared" si="69"/>
        <v>0</v>
      </c>
      <c r="V567" s="1">
        <f t="shared" si="71"/>
        <v>25</v>
      </c>
      <c r="W567" s="8">
        <f t="shared" si="70"/>
        <v>6.25</v>
      </c>
      <c r="X567" s="15">
        <f t="shared" si="72"/>
        <v>2943.75</v>
      </c>
    </row>
    <row r="568" spans="1:24">
      <c r="A568" t="s">
        <v>931</v>
      </c>
      <c r="B568" s="163" t="s">
        <v>531</v>
      </c>
      <c r="C568" s="2" t="s">
        <v>77</v>
      </c>
      <c r="D568" s="2" t="s">
        <v>234</v>
      </c>
      <c r="E568" s="3">
        <v>45422.729166666664</v>
      </c>
      <c r="F568" s="2" t="s">
        <v>424</v>
      </c>
      <c r="G568" s="2" t="s">
        <v>247</v>
      </c>
      <c r="H568" s="2">
        <v>5.3</v>
      </c>
      <c r="I568" s="2">
        <v>32</v>
      </c>
      <c r="J568" s="2">
        <v>3.19</v>
      </c>
      <c r="K568" s="2">
        <v>34</v>
      </c>
      <c r="L568" s="2">
        <v>2</v>
      </c>
      <c r="M568" s="1">
        <v>16</v>
      </c>
      <c r="N568" s="2" t="s">
        <v>95</v>
      </c>
      <c r="O568" s="10">
        <v>1</v>
      </c>
      <c r="P568" s="14">
        <v>0</v>
      </c>
      <c r="Q568" s="183">
        <v>1</v>
      </c>
      <c r="R568" s="181">
        <v>0</v>
      </c>
      <c r="S568" s="178">
        <f t="shared" si="67"/>
        <v>1</v>
      </c>
      <c r="T568" s="186">
        <f t="shared" si="68"/>
        <v>1</v>
      </c>
      <c r="U568" s="179">
        <f t="shared" si="69"/>
        <v>0</v>
      </c>
      <c r="V568" s="1">
        <f t="shared" si="71"/>
        <v>25</v>
      </c>
      <c r="W568" s="8">
        <f t="shared" si="70"/>
        <v>6.25</v>
      </c>
      <c r="X568" s="15">
        <f t="shared" si="72"/>
        <v>2950</v>
      </c>
    </row>
    <row r="569" spans="1:24">
      <c r="A569" t="s">
        <v>931</v>
      </c>
      <c r="B569" s="163" t="s">
        <v>531</v>
      </c>
      <c r="C569" s="2" t="s">
        <v>77</v>
      </c>
      <c r="D569" s="2" t="s">
        <v>156</v>
      </c>
      <c r="E569" s="3">
        <v>45422.8125</v>
      </c>
      <c r="F569" s="2" t="s">
        <v>284</v>
      </c>
      <c r="G569" s="2" t="s">
        <v>168</v>
      </c>
      <c r="H569" s="2">
        <v>6</v>
      </c>
      <c r="I569" s="2">
        <v>32</v>
      </c>
      <c r="J569" s="2">
        <v>3.19</v>
      </c>
      <c r="K569" s="2">
        <v>31</v>
      </c>
      <c r="L569" s="2">
        <v>1</v>
      </c>
      <c r="M569" s="1">
        <v>16</v>
      </c>
      <c r="N569" s="2" t="s">
        <v>95</v>
      </c>
      <c r="O569" s="10">
        <v>0</v>
      </c>
      <c r="P569" s="14">
        <v>0</v>
      </c>
      <c r="Q569" s="183">
        <v>0</v>
      </c>
      <c r="R569" s="181">
        <v>1</v>
      </c>
      <c r="S569" s="178">
        <f t="shared" si="67"/>
        <v>0</v>
      </c>
      <c r="T569" s="186">
        <f t="shared" si="68"/>
        <v>1</v>
      </c>
      <c r="U569" s="179">
        <f t="shared" si="69"/>
        <v>1</v>
      </c>
      <c r="V569" s="1">
        <f t="shared" si="71"/>
        <v>25</v>
      </c>
      <c r="W569" s="8">
        <f t="shared" si="70"/>
        <v>6.25</v>
      </c>
      <c r="X569" s="15">
        <f t="shared" si="72"/>
        <v>2956.25</v>
      </c>
    </row>
    <row r="570" spans="1:24">
      <c r="A570" t="s">
        <v>931</v>
      </c>
      <c r="B570" s="163" t="s">
        <v>531</v>
      </c>
      <c r="C570" s="2" t="s">
        <v>58</v>
      </c>
      <c r="D570" s="2" t="s">
        <v>59</v>
      </c>
      <c r="E570" s="3">
        <v>45423.75</v>
      </c>
      <c r="F570" s="2" t="s">
        <v>105</v>
      </c>
      <c r="G570" s="2" t="s">
        <v>125</v>
      </c>
      <c r="H570" s="2">
        <v>5.2</v>
      </c>
      <c r="I570" s="2">
        <v>32</v>
      </c>
      <c r="J570" s="2">
        <v>3.06</v>
      </c>
      <c r="K570" s="2">
        <v>29</v>
      </c>
      <c r="L570" s="2">
        <v>2</v>
      </c>
      <c r="M570" s="1">
        <v>16</v>
      </c>
      <c r="N570" s="2" t="s">
        <v>95</v>
      </c>
      <c r="O570" s="10">
        <v>0</v>
      </c>
      <c r="P570" s="14">
        <v>0</v>
      </c>
      <c r="Q570" s="183">
        <v>0</v>
      </c>
      <c r="R570" s="181">
        <v>1</v>
      </c>
      <c r="S570" s="178">
        <f t="shared" si="67"/>
        <v>0</v>
      </c>
      <c r="T570" s="186">
        <f t="shared" si="68"/>
        <v>1</v>
      </c>
      <c r="U570" s="179">
        <f t="shared" si="69"/>
        <v>1</v>
      </c>
      <c r="V570" s="1">
        <f t="shared" si="71"/>
        <v>25</v>
      </c>
      <c r="W570" s="8">
        <f t="shared" si="70"/>
        <v>6.25</v>
      </c>
      <c r="X570" s="15">
        <f t="shared" si="72"/>
        <v>2962.5</v>
      </c>
    </row>
    <row r="571" spans="1:24">
      <c r="A571" t="s">
        <v>931</v>
      </c>
      <c r="B571" s="163" t="s">
        <v>531</v>
      </c>
      <c r="C571" s="2" t="s">
        <v>6</v>
      </c>
      <c r="D571" s="2" t="s">
        <v>62</v>
      </c>
      <c r="E571" s="3">
        <v>45424.6875</v>
      </c>
      <c r="F571" s="2" t="s">
        <v>383</v>
      </c>
      <c r="G571" s="2" t="s">
        <v>73</v>
      </c>
      <c r="H571" s="2">
        <v>3.8</v>
      </c>
      <c r="I571" s="2">
        <v>35</v>
      </c>
      <c r="J571" s="2">
        <v>3.09</v>
      </c>
      <c r="K571" s="2">
        <v>31</v>
      </c>
      <c r="L571" s="2">
        <v>5</v>
      </c>
      <c r="M571" s="1">
        <v>18</v>
      </c>
      <c r="N571" s="2" t="s">
        <v>95</v>
      </c>
      <c r="O571" s="10">
        <v>0</v>
      </c>
      <c r="P571" s="14">
        <v>1</v>
      </c>
      <c r="Q571" s="183">
        <v>0</v>
      </c>
      <c r="R571" s="181">
        <v>1</v>
      </c>
      <c r="S571" s="178">
        <f t="shared" si="67"/>
        <v>1</v>
      </c>
      <c r="T571" s="186">
        <f t="shared" si="68"/>
        <v>1</v>
      </c>
      <c r="U571" s="179">
        <f t="shared" si="69"/>
        <v>0</v>
      </c>
      <c r="V571" s="1">
        <f t="shared" si="71"/>
        <v>25</v>
      </c>
      <c r="W571" s="8">
        <f t="shared" si="70"/>
        <v>6.25</v>
      </c>
      <c r="X571" s="15">
        <f t="shared" si="72"/>
        <v>2968.75</v>
      </c>
    </row>
    <row r="572" spans="1:24">
      <c r="A572" t="s">
        <v>931</v>
      </c>
      <c r="B572" s="163" t="s">
        <v>531</v>
      </c>
      <c r="C572" s="2" t="s">
        <v>145</v>
      </c>
      <c r="D572" s="2" t="s">
        <v>190</v>
      </c>
      <c r="E572" s="3">
        <v>45424.833333333336</v>
      </c>
      <c r="F572" s="2" t="s">
        <v>611</v>
      </c>
      <c r="G572" s="2" t="s">
        <v>571</v>
      </c>
      <c r="H572" s="2">
        <v>4.9000000000000004</v>
      </c>
      <c r="I572" s="2">
        <v>32</v>
      </c>
      <c r="J572" s="2">
        <v>2.78</v>
      </c>
      <c r="K572" s="2">
        <v>36</v>
      </c>
      <c r="L572" s="2">
        <v>2</v>
      </c>
      <c r="M572" s="1">
        <v>16</v>
      </c>
      <c r="N572" s="2" t="s">
        <v>95</v>
      </c>
      <c r="O572" s="10">
        <v>0</v>
      </c>
      <c r="P572" s="14">
        <v>0</v>
      </c>
      <c r="Q572" s="183">
        <v>0</v>
      </c>
      <c r="R572" s="181">
        <v>1</v>
      </c>
      <c r="S572" s="178">
        <f t="shared" si="67"/>
        <v>0</v>
      </c>
      <c r="T572" s="186">
        <f t="shared" si="68"/>
        <v>1</v>
      </c>
      <c r="U572" s="179">
        <f t="shared" si="69"/>
        <v>1</v>
      </c>
      <c r="V572" s="1">
        <f t="shared" si="71"/>
        <v>25</v>
      </c>
      <c r="W572" s="8">
        <f t="shared" si="70"/>
        <v>6.25</v>
      </c>
      <c r="X572" s="15">
        <f t="shared" si="72"/>
        <v>2975</v>
      </c>
    </row>
    <row r="573" spans="1:24">
      <c r="A573" t="s">
        <v>931</v>
      </c>
      <c r="B573" s="163" t="s">
        <v>512</v>
      </c>
      <c r="C573" s="2" t="s">
        <v>412</v>
      </c>
      <c r="D573" s="2" t="s">
        <v>156</v>
      </c>
      <c r="E573" s="3">
        <v>45354.666666666664</v>
      </c>
      <c r="F573" s="2" t="s">
        <v>500</v>
      </c>
      <c r="G573" s="2" t="s">
        <v>462</v>
      </c>
      <c r="H573" s="2">
        <v>4.5</v>
      </c>
      <c r="I573" s="2">
        <v>0</v>
      </c>
      <c r="J573" s="2">
        <v>980</v>
      </c>
      <c r="K573" s="2">
        <v>20</v>
      </c>
      <c r="L573" s="2">
        <v>2.65</v>
      </c>
      <c r="N573" s="2" t="s">
        <v>95</v>
      </c>
      <c r="O573" s="10">
        <v>0</v>
      </c>
      <c r="P573" s="14">
        <v>0</v>
      </c>
      <c r="Q573" s="183">
        <v>1</v>
      </c>
      <c r="R573" s="181">
        <v>0</v>
      </c>
      <c r="S573" s="178">
        <f t="shared" si="67"/>
        <v>0</v>
      </c>
      <c r="T573" s="186">
        <f t="shared" si="68"/>
        <v>1</v>
      </c>
      <c r="U573" s="179">
        <f t="shared" si="69"/>
        <v>1</v>
      </c>
      <c r="V573" s="1">
        <f t="shared" si="71"/>
        <v>25</v>
      </c>
      <c r="W573" s="8">
        <f t="shared" si="70"/>
        <v>6.25</v>
      </c>
      <c r="X573" s="15">
        <f t="shared" si="72"/>
        <v>2981.25</v>
      </c>
    </row>
    <row r="574" spans="1:24">
      <c r="A574" t="s">
        <v>931</v>
      </c>
      <c r="B574" s="163" t="s">
        <v>512</v>
      </c>
      <c r="C574" s="2" t="s">
        <v>6</v>
      </c>
      <c r="D574" s="2" t="s">
        <v>14</v>
      </c>
      <c r="E574" s="3">
        <v>45356.822916666664</v>
      </c>
      <c r="F574" s="2" t="s">
        <v>280</v>
      </c>
      <c r="G574" s="2" t="s">
        <v>513</v>
      </c>
      <c r="H574" s="2">
        <v>4.8</v>
      </c>
      <c r="I574" s="2">
        <v>20</v>
      </c>
      <c r="J574" s="2">
        <v>3.05</v>
      </c>
      <c r="K574" s="2">
        <v>18</v>
      </c>
      <c r="L574" s="2">
        <v>1</v>
      </c>
      <c r="M574"/>
      <c r="N574" s="2" t="s">
        <v>95</v>
      </c>
      <c r="O574" s="10">
        <v>1</v>
      </c>
      <c r="P574" s="14">
        <v>0</v>
      </c>
      <c r="Q574" s="183">
        <v>1</v>
      </c>
      <c r="R574" s="181">
        <v>0</v>
      </c>
      <c r="S574" s="178">
        <f t="shared" si="67"/>
        <v>1</v>
      </c>
      <c r="T574" s="186">
        <f t="shared" si="68"/>
        <v>1</v>
      </c>
      <c r="U574" s="179">
        <f t="shared" si="69"/>
        <v>0</v>
      </c>
      <c r="V574" s="1">
        <f t="shared" si="71"/>
        <v>25</v>
      </c>
      <c r="W574" s="8">
        <f t="shared" si="70"/>
        <v>6.25</v>
      </c>
      <c r="X574" s="15">
        <f t="shared" si="72"/>
        <v>2987.5</v>
      </c>
    </row>
    <row r="575" spans="1:24">
      <c r="A575" t="s">
        <v>931</v>
      </c>
      <c r="B575" s="163" t="s">
        <v>512</v>
      </c>
      <c r="C575" s="2" t="s">
        <v>149</v>
      </c>
      <c r="D575" s="2" t="s">
        <v>150</v>
      </c>
      <c r="E575" s="3">
        <v>45362.791666666664</v>
      </c>
      <c r="F575" s="2" t="s">
        <v>329</v>
      </c>
      <c r="G575" s="2" t="s">
        <v>562</v>
      </c>
      <c r="H575" s="2">
        <v>5.7</v>
      </c>
      <c r="I575" s="2">
        <v>20</v>
      </c>
      <c r="J575" s="2">
        <v>2.25</v>
      </c>
      <c r="K575" s="2">
        <v>33</v>
      </c>
      <c r="L575" s="2">
        <v>0</v>
      </c>
      <c r="M575" s="1">
        <v>10</v>
      </c>
      <c r="N575" s="2" t="s">
        <v>95</v>
      </c>
      <c r="O575" s="10">
        <v>0</v>
      </c>
      <c r="P575" s="14">
        <v>1</v>
      </c>
      <c r="Q575" s="183">
        <v>0</v>
      </c>
      <c r="R575" s="181">
        <v>1</v>
      </c>
      <c r="S575" s="178">
        <f t="shared" si="67"/>
        <v>1</v>
      </c>
      <c r="T575" s="186">
        <f t="shared" si="68"/>
        <v>1</v>
      </c>
      <c r="U575" s="179">
        <f t="shared" si="69"/>
        <v>0</v>
      </c>
      <c r="V575" s="1">
        <f t="shared" si="71"/>
        <v>25</v>
      </c>
      <c r="W575" s="8">
        <f t="shared" si="70"/>
        <v>6.25</v>
      </c>
      <c r="X575" s="15">
        <f t="shared" si="72"/>
        <v>2993.75</v>
      </c>
    </row>
    <row r="576" spans="1:24">
      <c r="A576" t="s">
        <v>931</v>
      </c>
      <c r="B576" s="165" t="s">
        <v>512</v>
      </c>
      <c r="C576" s="36" t="s">
        <v>6</v>
      </c>
      <c r="D576" s="36" t="s">
        <v>7</v>
      </c>
      <c r="E576" s="37">
        <v>45363.822916666664</v>
      </c>
      <c r="F576" s="36" t="s">
        <v>141</v>
      </c>
      <c r="G576" s="36" t="s">
        <v>84</v>
      </c>
      <c r="H576" s="36">
        <v>4.3</v>
      </c>
      <c r="I576" s="36">
        <v>20</v>
      </c>
      <c r="J576" s="36">
        <v>2.85</v>
      </c>
      <c r="K576" s="36">
        <v>31</v>
      </c>
      <c r="L576" s="36">
        <v>0</v>
      </c>
      <c r="M576" s="268">
        <v>10</v>
      </c>
      <c r="N576" s="2" t="s">
        <v>95</v>
      </c>
      <c r="O576" s="157">
        <v>0</v>
      </c>
      <c r="P576" s="38">
        <v>0</v>
      </c>
      <c r="Q576" s="183">
        <v>1</v>
      </c>
      <c r="R576" s="181">
        <v>0</v>
      </c>
      <c r="S576" s="178">
        <f t="shared" si="67"/>
        <v>0</v>
      </c>
      <c r="T576" s="186">
        <f t="shared" si="68"/>
        <v>1</v>
      </c>
      <c r="U576" s="179">
        <f t="shared" si="69"/>
        <v>1</v>
      </c>
      <c r="V576" s="1">
        <f t="shared" si="71"/>
        <v>25</v>
      </c>
      <c r="W576" s="8">
        <f t="shared" si="70"/>
        <v>6.25</v>
      </c>
      <c r="X576" s="15">
        <f t="shared" si="72"/>
        <v>3000</v>
      </c>
    </row>
    <row r="577" spans="1:24">
      <c r="A577" t="s">
        <v>931</v>
      </c>
      <c r="B577" s="163" t="s">
        <v>512</v>
      </c>
      <c r="C577" s="2" t="s">
        <v>67</v>
      </c>
      <c r="D577" s="2" t="s">
        <v>68</v>
      </c>
      <c r="E577" s="3">
        <v>45367.822916666664</v>
      </c>
      <c r="F577" s="2" t="s">
        <v>375</v>
      </c>
      <c r="G577" s="2" t="s">
        <v>408</v>
      </c>
      <c r="H577" s="2">
        <v>3.35</v>
      </c>
      <c r="I577" s="2">
        <v>20</v>
      </c>
      <c r="J577" s="2">
        <v>2.95</v>
      </c>
      <c r="K577" s="2">
        <v>29</v>
      </c>
      <c r="L577" s="2">
        <v>2</v>
      </c>
      <c r="M577" s="1">
        <v>10</v>
      </c>
      <c r="N577" s="2" t="s">
        <v>95</v>
      </c>
      <c r="O577" s="10">
        <v>0</v>
      </c>
      <c r="P577" s="14">
        <v>0</v>
      </c>
      <c r="Q577" s="183">
        <v>0</v>
      </c>
      <c r="R577" s="181">
        <v>1</v>
      </c>
      <c r="S577" s="178">
        <f t="shared" ref="S577:S640" si="73">SUM(O577:P577)</f>
        <v>0</v>
      </c>
      <c r="T577" s="186">
        <f t="shared" ref="T577:T640" si="74">SUM(Q577:R577)</f>
        <v>1</v>
      </c>
      <c r="U577" s="179">
        <f t="shared" ref="U577:U640" si="75">SUM(T577-S577)</f>
        <v>1</v>
      </c>
      <c r="V577" s="1">
        <f t="shared" si="71"/>
        <v>25</v>
      </c>
      <c r="W577" s="8">
        <f t="shared" si="70"/>
        <v>6.25</v>
      </c>
      <c r="X577" s="15">
        <f t="shared" si="72"/>
        <v>3006.25</v>
      </c>
    </row>
    <row r="578" spans="1:24">
      <c r="A578" t="s">
        <v>931</v>
      </c>
      <c r="B578" s="163" t="s">
        <v>512</v>
      </c>
      <c r="C578" s="2" t="s">
        <v>149</v>
      </c>
      <c r="D578" s="2" t="s">
        <v>153</v>
      </c>
      <c r="E578" s="3">
        <v>45368.791666666664</v>
      </c>
      <c r="F578" s="2" t="s">
        <v>188</v>
      </c>
      <c r="G578" s="2" t="s">
        <v>242</v>
      </c>
      <c r="H578" s="2">
        <v>5.0999999999999996</v>
      </c>
      <c r="I578" s="2">
        <v>20</v>
      </c>
      <c r="J578" s="2">
        <v>3.05</v>
      </c>
      <c r="K578" s="2">
        <v>22</v>
      </c>
      <c r="L578" s="2">
        <v>2</v>
      </c>
      <c r="M578" s="1">
        <v>10</v>
      </c>
      <c r="N578" s="2" t="s">
        <v>95</v>
      </c>
      <c r="O578" s="10">
        <v>0</v>
      </c>
      <c r="P578" s="14">
        <v>0</v>
      </c>
      <c r="Q578" s="183">
        <v>1</v>
      </c>
      <c r="R578" s="181">
        <v>0</v>
      </c>
      <c r="S578" s="178">
        <f t="shared" si="73"/>
        <v>0</v>
      </c>
      <c r="T578" s="186">
        <f t="shared" si="74"/>
        <v>1</v>
      </c>
      <c r="U578" s="179">
        <f t="shared" si="75"/>
        <v>1</v>
      </c>
      <c r="V578" s="1">
        <f t="shared" si="71"/>
        <v>25</v>
      </c>
      <c r="W578" s="8">
        <f t="shared" ref="W578:W641" si="76">IF(N578="won",V578*0.25,-V578)</f>
        <v>6.25</v>
      </c>
      <c r="X578" s="15">
        <f t="shared" si="72"/>
        <v>3012.5</v>
      </c>
    </row>
    <row r="579" spans="1:24">
      <c r="A579" t="s">
        <v>931</v>
      </c>
      <c r="B579" s="163" t="s">
        <v>623</v>
      </c>
      <c r="C579" s="2" t="s">
        <v>119</v>
      </c>
      <c r="D579" s="2" t="s">
        <v>120</v>
      </c>
      <c r="E579" s="3">
        <v>45381.833333333336</v>
      </c>
      <c r="F579" s="2" t="s">
        <v>361</v>
      </c>
      <c r="G579" s="2" t="s">
        <v>389</v>
      </c>
      <c r="H579" s="2">
        <v>3.85</v>
      </c>
      <c r="I579" s="2">
        <v>20</v>
      </c>
      <c r="J579" s="2">
        <v>3.2</v>
      </c>
      <c r="K579" s="2">
        <v>34</v>
      </c>
      <c r="L579" s="2">
        <v>3</v>
      </c>
      <c r="M579" s="1">
        <v>10</v>
      </c>
      <c r="N579" s="2" t="s">
        <v>95</v>
      </c>
      <c r="O579" s="10">
        <v>0</v>
      </c>
      <c r="P579" s="14">
        <v>0</v>
      </c>
      <c r="Q579" s="183">
        <v>1</v>
      </c>
      <c r="R579" s="181">
        <v>0</v>
      </c>
      <c r="S579" s="178">
        <f t="shared" si="73"/>
        <v>0</v>
      </c>
      <c r="T579" s="186">
        <f t="shared" si="74"/>
        <v>1</v>
      </c>
      <c r="U579" s="179">
        <f t="shared" si="75"/>
        <v>1</v>
      </c>
      <c r="V579" s="1">
        <f t="shared" si="71"/>
        <v>25</v>
      </c>
      <c r="W579" s="8">
        <f t="shared" si="76"/>
        <v>6.25</v>
      </c>
      <c r="X579" s="15">
        <f t="shared" si="72"/>
        <v>3018.75</v>
      </c>
    </row>
    <row r="580" spans="1:24">
      <c r="A580" t="s">
        <v>931</v>
      </c>
      <c r="B580" s="163" t="s">
        <v>623</v>
      </c>
      <c r="C580" s="2" t="s">
        <v>149</v>
      </c>
      <c r="D580" s="2" t="s">
        <v>153</v>
      </c>
      <c r="E580" s="3">
        <v>45382.5625</v>
      </c>
      <c r="F580" s="2" t="s">
        <v>242</v>
      </c>
      <c r="G580" s="2" t="s">
        <v>155</v>
      </c>
      <c r="H580" s="2">
        <v>3.45</v>
      </c>
      <c r="I580" s="2">
        <v>20</v>
      </c>
      <c r="J580" s="2">
        <v>3.2</v>
      </c>
      <c r="K580" s="2">
        <v>24</v>
      </c>
      <c r="L580" s="2">
        <v>1</v>
      </c>
      <c r="M580" s="1">
        <v>10</v>
      </c>
      <c r="N580" s="2" t="s">
        <v>95</v>
      </c>
      <c r="O580" s="10">
        <v>0</v>
      </c>
      <c r="P580" s="14">
        <v>0</v>
      </c>
      <c r="Q580" s="183">
        <v>1</v>
      </c>
      <c r="R580" s="181">
        <v>0</v>
      </c>
      <c r="S580" s="178">
        <f t="shared" si="73"/>
        <v>0</v>
      </c>
      <c r="T580" s="186">
        <f t="shared" si="74"/>
        <v>1</v>
      </c>
      <c r="U580" s="179">
        <f t="shared" si="75"/>
        <v>1</v>
      </c>
      <c r="V580" s="1">
        <f t="shared" si="71"/>
        <v>25</v>
      </c>
      <c r="W580" s="8">
        <f t="shared" si="76"/>
        <v>6.25</v>
      </c>
      <c r="X580" s="15">
        <f t="shared" si="72"/>
        <v>3025</v>
      </c>
    </row>
    <row r="581" spans="1:24">
      <c r="A581" t="s">
        <v>931</v>
      </c>
      <c r="B581" s="163" t="s">
        <v>623</v>
      </c>
      <c r="C581" s="2" t="s">
        <v>80</v>
      </c>
      <c r="D581" s="2" t="s">
        <v>81</v>
      </c>
      <c r="E581" s="3">
        <v>45384.770833333336</v>
      </c>
      <c r="F581" s="2" t="s">
        <v>144</v>
      </c>
      <c r="G581" s="2" t="s">
        <v>292</v>
      </c>
      <c r="H581" s="2">
        <v>2.98</v>
      </c>
      <c r="I581" s="2">
        <v>20</v>
      </c>
      <c r="J581" s="2">
        <v>2.7</v>
      </c>
      <c r="K581" s="2">
        <v>32</v>
      </c>
      <c r="L581" s="2">
        <v>2</v>
      </c>
      <c r="M581" s="1">
        <v>10</v>
      </c>
      <c r="N581" s="2" t="s">
        <v>95</v>
      </c>
      <c r="O581" s="10">
        <v>1</v>
      </c>
      <c r="P581" s="14">
        <v>0</v>
      </c>
      <c r="Q581" s="183">
        <v>1</v>
      </c>
      <c r="R581" s="181">
        <v>0</v>
      </c>
      <c r="S581" s="178">
        <f t="shared" si="73"/>
        <v>1</v>
      </c>
      <c r="T581" s="186">
        <f t="shared" si="74"/>
        <v>1</v>
      </c>
      <c r="U581" s="179">
        <f t="shared" si="75"/>
        <v>0</v>
      </c>
      <c r="V581" s="1">
        <f t="shared" si="71"/>
        <v>25</v>
      </c>
      <c r="W581" s="8">
        <f t="shared" si="76"/>
        <v>6.25</v>
      </c>
      <c r="X581" s="15">
        <f t="shared" si="72"/>
        <v>3031.25</v>
      </c>
    </row>
    <row r="582" spans="1:24">
      <c r="A582" t="s">
        <v>931</v>
      </c>
      <c r="B582" s="163" t="s">
        <v>623</v>
      </c>
      <c r="C582" s="2" t="s">
        <v>6</v>
      </c>
      <c r="D582" s="2" t="s">
        <v>11</v>
      </c>
      <c r="E582" s="3">
        <v>45388.625</v>
      </c>
      <c r="F582" s="2" t="s">
        <v>198</v>
      </c>
      <c r="G582" s="2" t="s">
        <v>694</v>
      </c>
      <c r="H582" s="2">
        <v>4.5</v>
      </c>
      <c r="I582" s="2">
        <v>20</v>
      </c>
      <c r="J582" s="2">
        <v>2.6</v>
      </c>
      <c r="K582" s="2">
        <v>24</v>
      </c>
      <c r="L582" s="2">
        <v>1</v>
      </c>
      <c r="M582" s="1">
        <v>10</v>
      </c>
      <c r="N582" s="2" t="s">
        <v>95</v>
      </c>
      <c r="O582" s="10">
        <v>1</v>
      </c>
      <c r="P582" s="14">
        <v>0</v>
      </c>
      <c r="Q582" s="183">
        <v>1</v>
      </c>
      <c r="R582" s="181">
        <v>0</v>
      </c>
      <c r="S582" s="178">
        <f t="shared" si="73"/>
        <v>1</v>
      </c>
      <c r="T582" s="186">
        <f t="shared" si="74"/>
        <v>1</v>
      </c>
      <c r="U582" s="179">
        <f t="shared" si="75"/>
        <v>0</v>
      </c>
      <c r="V582" s="1">
        <f t="shared" si="71"/>
        <v>25</v>
      </c>
      <c r="W582" s="8">
        <f t="shared" si="76"/>
        <v>6.25</v>
      </c>
      <c r="X582" s="15">
        <f t="shared" si="72"/>
        <v>3037.5</v>
      </c>
    </row>
    <row r="583" spans="1:24">
      <c r="A583" t="s">
        <v>931</v>
      </c>
      <c r="B583" s="163" t="s">
        <v>623</v>
      </c>
      <c r="C583" s="2" t="s">
        <v>6</v>
      </c>
      <c r="D583" s="2" t="s">
        <v>7</v>
      </c>
      <c r="E583" s="3">
        <v>45391.822916666664</v>
      </c>
      <c r="F583" s="2" t="s">
        <v>307</v>
      </c>
      <c r="G583" s="2" t="s">
        <v>386</v>
      </c>
      <c r="H583" s="2">
        <v>4.4000000000000004</v>
      </c>
      <c r="I583" s="2">
        <v>20</v>
      </c>
      <c r="J583" s="2">
        <v>3.3</v>
      </c>
      <c r="K583" s="2">
        <v>19</v>
      </c>
      <c r="L583" s="2">
        <v>3</v>
      </c>
      <c r="M583" s="1">
        <v>10</v>
      </c>
      <c r="N583" s="2" t="s">
        <v>95</v>
      </c>
      <c r="O583" s="10">
        <v>1</v>
      </c>
      <c r="P583" s="14">
        <v>0</v>
      </c>
      <c r="Q583" s="183">
        <v>1</v>
      </c>
      <c r="R583" s="181">
        <v>0</v>
      </c>
      <c r="S583" s="178">
        <f t="shared" si="73"/>
        <v>1</v>
      </c>
      <c r="T583" s="186">
        <f t="shared" si="74"/>
        <v>1</v>
      </c>
      <c r="U583" s="179">
        <f t="shared" si="75"/>
        <v>0</v>
      </c>
      <c r="V583" s="1">
        <f t="shared" si="71"/>
        <v>25</v>
      </c>
      <c r="W583" s="8">
        <f t="shared" si="76"/>
        <v>6.25</v>
      </c>
      <c r="X583" s="15">
        <f t="shared" si="72"/>
        <v>3043.75</v>
      </c>
    </row>
    <row r="584" spans="1:24">
      <c r="A584" t="s">
        <v>931</v>
      </c>
      <c r="B584" s="163" t="s">
        <v>623</v>
      </c>
      <c r="C584" s="2" t="s">
        <v>6</v>
      </c>
      <c r="D584" s="2" t="s">
        <v>14</v>
      </c>
      <c r="E584" s="3">
        <v>45395.520833333336</v>
      </c>
      <c r="F584" s="2" t="s">
        <v>280</v>
      </c>
      <c r="G584" s="2" t="s">
        <v>428</v>
      </c>
      <c r="H584" s="2">
        <v>4.9000000000000004</v>
      </c>
      <c r="I584" s="2">
        <v>20</v>
      </c>
      <c r="J584" s="2">
        <v>2.85</v>
      </c>
      <c r="K584" s="2">
        <v>21</v>
      </c>
      <c r="L584" s="2">
        <v>1</v>
      </c>
      <c r="M584" s="1">
        <v>10</v>
      </c>
      <c r="N584" s="2" t="s">
        <v>95</v>
      </c>
      <c r="O584" s="10">
        <v>0</v>
      </c>
      <c r="P584" s="14">
        <v>0</v>
      </c>
      <c r="Q584" s="183">
        <v>0</v>
      </c>
      <c r="R584" s="181">
        <v>1</v>
      </c>
      <c r="S584" s="178">
        <f t="shared" si="73"/>
        <v>0</v>
      </c>
      <c r="T584" s="186">
        <f t="shared" si="74"/>
        <v>1</v>
      </c>
      <c r="U584" s="179">
        <f t="shared" si="75"/>
        <v>1</v>
      </c>
      <c r="V584" s="1">
        <f t="shared" si="71"/>
        <v>25</v>
      </c>
      <c r="W584" s="8">
        <f t="shared" si="76"/>
        <v>6.25</v>
      </c>
      <c r="X584" s="15">
        <f t="shared" si="72"/>
        <v>3050</v>
      </c>
    </row>
    <row r="585" spans="1:24">
      <c r="A585" t="s">
        <v>931</v>
      </c>
      <c r="B585" s="163" t="s">
        <v>623</v>
      </c>
      <c r="C585" s="2" t="s">
        <v>6</v>
      </c>
      <c r="D585" s="2" t="s">
        <v>14</v>
      </c>
      <c r="E585" s="3">
        <v>45395.625</v>
      </c>
      <c r="F585" s="2" t="s">
        <v>377</v>
      </c>
      <c r="G585" s="2" t="s">
        <v>262</v>
      </c>
      <c r="H585" s="2">
        <v>5.7</v>
      </c>
      <c r="I585" s="2">
        <v>20</v>
      </c>
      <c r="J585" s="2">
        <v>3.1</v>
      </c>
      <c r="K585" s="2">
        <v>25</v>
      </c>
      <c r="L585" s="2">
        <v>1</v>
      </c>
      <c r="M585" s="1">
        <v>10</v>
      </c>
      <c r="N585" s="2" t="s">
        <v>95</v>
      </c>
      <c r="O585" s="10">
        <v>0</v>
      </c>
      <c r="P585" s="14">
        <v>0</v>
      </c>
      <c r="Q585" s="183">
        <v>1</v>
      </c>
      <c r="R585" s="181">
        <v>0</v>
      </c>
      <c r="S585" s="178">
        <f t="shared" si="73"/>
        <v>0</v>
      </c>
      <c r="T585" s="186">
        <f t="shared" si="74"/>
        <v>1</v>
      </c>
      <c r="U585" s="179">
        <f t="shared" si="75"/>
        <v>1</v>
      </c>
      <c r="V585" s="1">
        <f t="shared" si="71"/>
        <v>25</v>
      </c>
      <c r="W585" s="8">
        <f t="shared" si="76"/>
        <v>6.25</v>
      </c>
      <c r="X585" s="15">
        <f t="shared" si="72"/>
        <v>3056.25</v>
      </c>
    </row>
    <row r="586" spans="1:24">
      <c r="A586" t="s">
        <v>931</v>
      </c>
      <c r="B586" s="163" t="s">
        <v>623</v>
      </c>
      <c r="C586" s="2" t="s">
        <v>6</v>
      </c>
      <c r="D586" s="2" t="s">
        <v>62</v>
      </c>
      <c r="E586" s="3">
        <v>45396.583333333336</v>
      </c>
      <c r="F586" s="2" t="s">
        <v>285</v>
      </c>
      <c r="G586" s="2" t="s">
        <v>66</v>
      </c>
      <c r="H586" s="2">
        <v>3.05</v>
      </c>
      <c r="I586" s="2">
        <v>20</v>
      </c>
      <c r="J586" s="2">
        <v>3.45</v>
      </c>
      <c r="K586" s="2">
        <v>28</v>
      </c>
      <c r="L586" s="2">
        <v>4</v>
      </c>
      <c r="M586" s="1">
        <v>10</v>
      </c>
      <c r="N586" s="2" t="s">
        <v>95</v>
      </c>
      <c r="O586" s="10">
        <v>0</v>
      </c>
      <c r="P586" s="14">
        <v>1</v>
      </c>
      <c r="Q586" s="183">
        <v>0</v>
      </c>
      <c r="R586" s="181">
        <v>1</v>
      </c>
      <c r="S586" s="178">
        <f t="shared" si="73"/>
        <v>1</v>
      </c>
      <c r="T586" s="186">
        <f t="shared" si="74"/>
        <v>1</v>
      </c>
      <c r="U586" s="179">
        <f t="shared" si="75"/>
        <v>0</v>
      </c>
      <c r="V586" s="1">
        <f t="shared" si="71"/>
        <v>25</v>
      </c>
      <c r="W586" s="8">
        <f t="shared" si="76"/>
        <v>6.25</v>
      </c>
      <c r="X586" s="15">
        <f t="shared" si="72"/>
        <v>3062.5</v>
      </c>
    </row>
    <row r="587" spans="1:24">
      <c r="A587" t="s">
        <v>931</v>
      </c>
      <c r="B587" s="163" t="s">
        <v>623</v>
      </c>
      <c r="C587" s="2" t="s">
        <v>77</v>
      </c>
      <c r="D587" s="2" t="s">
        <v>234</v>
      </c>
      <c r="E587" s="3">
        <v>45402.5</v>
      </c>
      <c r="F587" s="2" t="s">
        <v>632</v>
      </c>
      <c r="G587" s="2" t="s">
        <v>633</v>
      </c>
      <c r="H587" s="2">
        <v>6</v>
      </c>
      <c r="I587" s="2">
        <v>20</v>
      </c>
      <c r="J587" s="2">
        <v>2.9</v>
      </c>
      <c r="K587" s="2">
        <v>25</v>
      </c>
      <c r="L587" s="2">
        <v>2</v>
      </c>
      <c r="M587" s="1">
        <v>10</v>
      </c>
      <c r="N587" s="2" t="s">
        <v>95</v>
      </c>
      <c r="O587" s="10">
        <v>0</v>
      </c>
      <c r="P587" s="14">
        <v>0</v>
      </c>
      <c r="Q587" s="183">
        <v>1</v>
      </c>
      <c r="R587" s="181">
        <v>0</v>
      </c>
      <c r="S587" s="178">
        <f t="shared" si="73"/>
        <v>0</v>
      </c>
      <c r="T587" s="186">
        <f t="shared" si="74"/>
        <v>1</v>
      </c>
      <c r="U587" s="179">
        <f t="shared" si="75"/>
        <v>1</v>
      </c>
      <c r="V587" s="1">
        <f t="shared" si="71"/>
        <v>25</v>
      </c>
      <c r="W587" s="8">
        <f t="shared" si="76"/>
        <v>6.25</v>
      </c>
      <c r="X587" s="15">
        <f t="shared" si="72"/>
        <v>3068.75</v>
      </c>
    </row>
    <row r="588" spans="1:24">
      <c r="A588" t="s">
        <v>931</v>
      </c>
      <c r="B588" s="163" t="s">
        <v>623</v>
      </c>
      <c r="C588" s="2" t="s">
        <v>145</v>
      </c>
      <c r="D588" s="2" t="s">
        <v>190</v>
      </c>
      <c r="E588" s="3">
        <v>45402.833333333336</v>
      </c>
      <c r="F588" s="2" t="s">
        <v>767</v>
      </c>
      <c r="G588" s="2" t="s">
        <v>611</v>
      </c>
      <c r="H588" s="2">
        <v>5.4</v>
      </c>
      <c r="I588" s="2">
        <v>20</v>
      </c>
      <c r="J588" s="2">
        <v>2.6</v>
      </c>
      <c r="K588" s="2">
        <v>29</v>
      </c>
      <c r="L588" s="2">
        <v>1</v>
      </c>
      <c r="M588" s="1">
        <v>10</v>
      </c>
      <c r="N588" s="2" t="s">
        <v>95</v>
      </c>
      <c r="O588" s="10">
        <v>1</v>
      </c>
      <c r="P588" s="14">
        <v>0</v>
      </c>
      <c r="Q588" s="183">
        <v>1</v>
      </c>
      <c r="R588" s="181">
        <v>0</v>
      </c>
      <c r="S588" s="178">
        <f t="shared" si="73"/>
        <v>1</v>
      </c>
      <c r="T588" s="186">
        <f t="shared" si="74"/>
        <v>1</v>
      </c>
      <c r="U588" s="179">
        <f t="shared" si="75"/>
        <v>0</v>
      </c>
      <c r="V588" s="1">
        <f t="shared" si="71"/>
        <v>25</v>
      </c>
      <c r="W588" s="8">
        <f t="shared" si="76"/>
        <v>6.25</v>
      </c>
      <c r="X588" s="15">
        <f t="shared" si="72"/>
        <v>3075</v>
      </c>
    </row>
    <row r="589" spans="1:24">
      <c r="A589" t="s">
        <v>931</v>
      </c>
      <c r="B589" s="163" t="s">
        <v>623</v>
      </c>
      <c r="C589" s="2" t="s">
        <v>77</v>
      </c>
      <c r="D589" s="2" t="s">
        <v>234</v>
      </c>
      <c r="E589" s="3">
        <v>45408.729166666664</v>
      </c>
      <c r="F589" s="2" t="s">
        <v>555</v>
      </c>
      <c r="G589" s="2" t="s">
        <v>646</v>
      </c>
      <c r="H589" s="2">
        <v>4.5</v>
      </c>
      <c r="I589" s="2">
        <v>20</v>
      </c>
      <c r="J589" s="2">
        <v>2.7</v>
      </c>
      <c r="K589" s="2">
        <v>26</v>
      </c>
      <c r="L589" s="2">
        <v>1</v>
      </c>
      <c r="M589" s="1">
        <v>10</v>
      </c>
      <c r="N589" s="2" t="s">
        <v>95</v>
      </c>
      <c r="O589" s="10">
        <v>0</v>
      </c>
      <c r="P589" s="14">
        <v>0</v>
      </c>
      <c r="Q589" s="183">
        <v>1</v>
      </c>
      <c r="R589" s="181">
        <v>0</v>
      </c>
      <c r="S589" s="178">
        <f t="shared" si="73"/>
        <v>0</v>
      </c>
      <c r="T589" s="186">
        <f t="shared" si="74"/>
        <v>1</v>
      </c>
      <c r="U589" s="179">
        <f t="shared" si="75"/>
        <v>1</v>
      </c>
      <c r="V589" s="1">
        <f t="shared" si="71"/>
        <v>25</v>
      </c>
      <c r="W589" s="8">
        <f t="shared" si="76"/>
        <v>6.25</v>
      </c>
      <c r="X589" s="15">
        <f t="shared" si="72"/>
        <v>3081.25</v>
      </c>
    </row>
    <row r="590" spans="1:24">
      <c r="A590" t="s">
        <v>931</v>
      </c>
      <c r="B590" s="163" t="s">
        <v>623</v>
      </c>
      <c r="C590" s="2" t="s">
        <v>6</v>
      </c>
      <c r="D590" s="2" t="s">
        <v>14</v>
      </c>
      <c r="E590" s="3">
        <v>45409.625</v>
      </c>
      <c r="F590" s="2" t="s">
        <v>56</v>
      </c>
      <c r="G590" s="2" t="s">
        <v>513</v>
      </c>
      <c r="H590" s="2">
        <v>6.4</v>
      </c>
      <c r="I590" s="2">
        <v>20</v>
      </c>
      <c r="J590" s="2">
        <v>3.25</v>
      </c>
      <c r="K590" s="2">
        <v>29</v>
      </c>
      <c r="L590" s="2">
        <v>3</v>
      </c>
      <c r="M590" s="1">
        <v>10</v>
      </c>
      <c r="N590" s="2" t="s">
        <v>95</v>
      </c>
      <c r="O590" s="10">
        <v>0</v>
      </c>
      <c r="P590" s="14">
        <v>1</v>
      </c>
      <c r="Q590" s="183">
        <v>0</v>
      </c>
      <c r="R590" s="181">
        <v>1</v>
      </c>
      <c r="S590" s="178">
        <f t="shared" si="73"/>
        <v>1</v>
      </c>
      <c r="T590" s="186">
        <f t="shared" si="74"/>
        <v>1</v>
      </c>
      <c r="U590" s="179">
        <f t="shared" si="75"/>
        <v>0</v>
      </c>
      <c r="V590" s="1">
        <f t="shared" si="71"/>
        <v>25</v>
      </c>
      <c r="W590" s="8">
        <f t="shared" si="76"/>
        <v>6.25</v>
      </c>
      <c r="X590" s="15">
        <f t="shared" si="72"/>
        <v>3087.5</v>
      </c>
    </row>
    <row r="591" spans="1:24">
      <c r="A591" t="s">
        <v>931</v>
      </c>
      <c r="B591" s="163" t="s">
        <v>623</v>
      </c>
      <c r="C591" s="2" t="s">
        <v>133</v>
      </c>
      <c r="D591" s="2" t="s">
        <v>78</v>
      </c>
      <c r="E591" s="3">
        <v>45409.75</v>
      </c>
      <c r="F591" s="2" t="s">
        <v>134</v>
      </c>
      <c r="G591" s="2" t="s">
        <v>789</v>
      </c>
      <c r="H591" s="2">
        <v>5.2</v>
      </c>
      <c r="I591" s="2">
        <v>20</v>
      </c>
      <c r="J591" s="2">
        <v>3.1</v>
      </c>
      <c r="K591" s="2">
        <v>28</v>
      </c>
      <c r="L591" s="2">
        <v>2</v>
      </c>
      <c r="M591" s="1">
        <v>10</v>
      </c>
      <c r="N591" s="2" t="s">
        <v>95</v>
      </c>
      <c r="O591" s="10">
        <v>0</v>
      </c>
      <c r="P591" s="14">
        <v>0</v>
      </c>
      <c r="Q591" s="183">
        <v>0</v>
      </c>
      <c r="R591" s="181">
        <v>1</v>
      </c>
      <c r="S591" s="178">
        <f t="shared" si="73"/>
        <v>0</v>
      </c>
      <c r="T591" s="186">
        <f t="shared" si="74"/>
        <v>1</v>
      </c>
      <c r="U591" s="179">
        <f t="shared" si="75"/>
        <v>1</v>
      </c>
      <c r="V591" s="1">
        <f t="shared" si="71"/>
        <v>25</v>
      </c>
      <c r="W591" s="8">
        <f t="shared" si="76"/>
        <v>6.25</v>
      </c>
      <c r="X591" s="15">
        <f t="shared" si="72"/>
        <v>3093.75</v>
      </c>
    </row>
    <row r="592" spans="1:24">
      <c r="A592" t="s">
        <v>931</v>
      </c>
      <c r="B592" s="163" t="s">
        <v>623</v>
      </c>
      <c r="C592" s="2" t="s">
        <v>149</v>
      </c>
      <c r="D592" s="2" t="s">
        <v>153</v>
      </c>
      <c r="E592" s="3">
        <v>45410.5625</v>
      </c>
      <c r="F592" s="2" t="s">
        <v>395</v>
      </c>
      <c r="G592" s="2" t="s">
        <v>244</v>
      </c>
      <c r="H592" s="2">
        <v>2.92</v>
      </c>
      <c r="I592" s="2">
        <v>20</v>
      </c>
      <c r="J592" s="2">
        <v>3.35</v>
      </c>
      <c r="K592" s="2">
        <v>23</v>
      </c>
      <c r="L592" s="2">
        <v>2</v>
      </c>
      <c r="M592" s="1">
        <v>10</v>
      </c>
      <c r="N592" s="2" t="s">
        <v>95</v>
      </c>
      <c r="O592" s="10">
        <v>0</v>
      </c>
      <c r="P592" s="14">
        <v>0</v>
      </c>
      <c r="Q592" s="183">
        <v>1</v>
      </c>
      <c r="R592" s="181">
        <v>0</v>
      </c>
      <c r="S592" s="178">
        <f t="shared" si="73"/>
        <v>0</v>
      </c>
      <c r="T592" s="186">
        <f t="shared" si="74"/>
        <v>1</v>
      </c>
      <c r="U592" s="179">
        <f t="shared" si="75"/>
        <v>1</v>
      </c>
      <c r="V592" s="1">
        <f t="shared" si="71"/>
        <v>25</v>
      </c>
      <c r="W592" s="8">
        <f t="shared" si="76"/>
        <v>6.25</v>
      </c>
      <c r="X592" s="15">
        <f t="shared" si="72"/>
        <v>3100</v>
      </c>
    </row>
    <row r="593" spans="1:24">
      <c r="A593" t="s">
        <v>931</v>
      </c>
      <c r="B593" s="163" t="s">
        <v>623</v>
      </c>
      <c r="C593" s="2" t="s">
        <v>149</v>
      </c>
      <c r="D593" s="2" t="s">
        <v>153</v>
      </c>
      <c r="E593" s="3">
        <v>45417.5625</v>
      </c>
      <c r="F593" s="2" t="s">
        <v>250</v>
      </c>
      <c r="G593" s="2" t="s">
        <v>281</v>
      </c>
      <c r="H593" s="2">
        <v>3.95</v>
      </c>
      <c r="I593" s="2">
        <v>20</v>
      </c>
      <c r="J593" s="2">
        <v>3.6</v>
      </c>
      <c r="K593" s="2">
        <v>31</v>
      </c>
      <c r="L593" s="2">
        <v>3</v>
      </c>
      <c r="M593" s="1">
        <v>10</v>
      </c>
      <c r="N593" s="2" t="s">
        <v>95</v>
      </c>
      <c r="O593" s="10">
        <v>0</v>
      </c>
      <c r="P593" s="14">
        <v>0</v>
      </c>
      <c r="Q593" s="183">
        <v>1</v>
      </c>
      <c r="R593" s="181">
        <v>0</v>
      </c>
      <c r="S593" s="178">
        <f t="shared" si="73"/>
        <v>0</v>
      </c>
      <c r="T593" s="186">
        <f t="shared" si="74"/>
        <v>1</v>
      </c>
      <c r="U593" s="179">
        <f t="shared" si="75"/>
        <v>1</v>
      </c>
      <c r="V593" s="1">
        <f t="shared" si="71"/>
        <v>25</v>
      </c>
      <c r="W593" s="8">
        <f t="shared" si="76"/>
        <v>6.25</v>
      </c>
      <c r="X593" s="15">
        <f t="shared" si="72"/>
        <v>3106.25</v>
      </c>
    </row>
    <row r="594" spans="1:24">
      <c r="A594" t="s">
        <v>931</v>
      </c>
      <c r="B594" s="163" t="s">
        <v>623</v>
      </c>
      <c r="C594" s="2" t="s">
        <v>6</v>
      </c>
      <c r="D594" s="2" t="s">
        <v>62</v>
      </c>
      <c r="E594" s="3">
        <v>45423.625</v>
      </c>
      <c r="F594" s="2" t="s">
        <v>71</v>
      </c>
      <c r="G594" s="2" t="s">
        <v>85</v>
      </c>
      <c r="H594" s="2">
        <v>4.7</v>
      </c>
      <c r="I594" s="2">
        <v>20</v>
      </c>
      <c r="J594" s="2">
        <v>2.9</v>
      </c>
      <c r="K594" s="2">
        <v>36</v>
      </c>
      <c r="L594" s="2">
        <v>0</v>
      </c>
      <c r="M594" s="1">
        <v>10</v>
      </c>
      <c r="N594" s="2" t="s">
        <v>95</v>
      </c>
      <c r="O594" s="10">
        <v>1</v>
      </c>
      <c r="P594" s="14">
        <v>0</v>
      </c>
      <c r="Q594" s="183">
        <v>1</v>
      </c>
      <c r="R594" s="181">
        <v>0</v>
      </c>
      <c r="S594" s="178">
        <f t="shared" si="73"/>
        <v>1</v>
      </c>
      <c r="T594" s="186">
        <f t="shared" si="74"/>
        <v>1</v>
      </c>
      <c r="U594" s="179">
        <f t="shared" si="75"/>
        <v>0</v>
      </c>
      <c r="V594" s="1">
        <f t="shared" si="71"/>
        <v>25</v>
      </c>
      <c r="W594" s="8">
        <f t="shared" si="76"/>
        <v>6.25</v>
      </c>
      <c r="X594" s="15">
        <f t="shared" si="72"/>
        <v>3112.5</v>
      </c>
    </row>
    <row r="595" spans="1:24">
      <c r="A595" t="s">
        <v>931</v>
      </c>
      <c r="B595" s="163" t="s">
        <v>623</v>
      </c>
      <c r="C595" s="2" t="s">
        <v>119</v>
      </c>
      <c r="D595" s="2" t="s">
        <v>120</v>
      </c>
      <c r="E595" s="3">
        <v>45424.635416666664</v>
      </c>
      <c r="F595" s="2" t="s">
        <v>349</v>
      </c>
      <c r="G595" s="2" t="s">
        <v>479</v>
      </c>
      <c r="H595" s="2">
        <v>5.0999999999999996</v>
      </c>
      <c r="I595" s="2">
        <v>20</v>
      </c>
      <c r="J595" s="2">
        <v>3.3</v>
      </c>
      <c r="K595" s="2">
        <v>27</v>
      </c>
      <c r="L595" s="2">
        <v>1</v>
      </c>
      <c r="M595" s="1">
        <v>10</v>
      </c>
      <c r="N595" s="2" t="s">
        <v>95</v>
      </c>
      <c r="O595" s="10">
        <v>0</v>
      </c>
      <c r="P595" s="14">
        <v>0</v>
      </c>
      <c r="Q595" s="183">
        <v>1</v>
      </c>
      <c r="R595" s="181">
        <v>0</v>
      </c>
      <c r="S595" s="178">
        <f t="shared" si="73"/>
        <v>0</v>
      </c>
      <c r="T595" s="186">
        <f t="shared" si="74"/>
        <v>1</v>
      </c>
      <c r="U595" s="179">
        <f t="shared" si="75"/>
        <v>1</v>
      </c>
      <c r="V595" s="1">
        <f t="shared" si="71"/>
        <v>25</v>
      </c>
      <c r="W595" s="8">
        <f t="shared" si="76"/>
        <v>6.25</v>
      </c>
      <c r="X595" s="15">
        <f t="shared" si="72"/>
        <v>3118.75</v>
      </c>
    </row>
    <row r="596" spans="1:24">
      <c r="A596" t="s">
        <v>931</v>
      </c>
      <c r="B596" s="163" t="s">
        <v>623</v>
      </c>
      <c r="C596" s="2" t="s">
        <v>119</v>
      </c>
      <c r="D596" s="2" t="s">
        <v>166</v>
      </c>
      <c r="E596" s="3">
        <v>45431.541666666664</v>
      </c>
      <c r="F596" s="2" t="s">
        <v>719</v>
      </c>
      <c r="G596" s="2" t="s">
        <v>851</v>
      </c>
      <c r="H596" s="2">
        <v>6</v>
      </c>
      <c r="I596" s="2">
        <v>20</v>
      </c>
      <c r="J596" s="2">
        <v>2.25</v>
      </c>
      <c r="K596" s="2">
        <v>31</v>
      </c>
      <c r="L596" s="2">
        <v>2</v>
      </c>
      <c r="M596" s="1">
        <v>10</v>
      </c>
      <c r="N596" s="2" t="s">
        <v>95</v>
      </c>
      <c r="O596" s="10">
        <v>1</v>
      </c>
      <c r="P596" s="14">
        <v>0</v>
      </c>
      <c r="Q596" s="183">
        <v>1</v>
      </c>
      <c r="R596" s="181">
        <v>0</v>
      </c>
      <c r="S596" s="178">
        <f t="shared" si="73"/>
        <v>1</v>
      </c>
      <c r="T596" s="186">
        <f t="shared" si="74"/>
        <v>1</v>
      </c>
      <c r="U596" s="179">
        <f t="shared" si="75"/>
        <v>0</v>
      </c>
      <c r="V596" s="1">
        <f t="shared" si="71"/>
        <v>25</v>
      </c>
      <c r="W596" s="8">
        <f t="shared" si="76"/>
        <v>6.25</v>
      </c>
      <c r="X596" s="15">
        <f t="shared" si="72"/>
        <v>3125</v>
      </c>
    </row>
    <row r="597" spans="1:24">
      <c r="A597" t="s">
        <v>931</v>
      </c>
      <c r="B597" s="163" t="s">
        <v>498</v>
      </c>
      <c r="C597" s="2" t="s">
        <v>77</v>
      </c>
      <c r="D597" s="2" t="s">
        <v>156</v>
      </c>
      <c r="E597" s="3">
        <v>45360.604166666664</v>
      </c>
      <c r="F597" s="2" t="s">
        <v>284</v>
      </c>
      <c r="G597" s="2" t="s">
        <v>260</v>
      </c>
      <c r="H597" s="2">
        <v>65</v>
      </c>
      <c r="I597" s="2">
        <v>90</v>
      </c>
      <c r="J597" s="2">
        <v>1.7</v>
      </c>
      <c r="K597" s="2">
        <v>20</v>
      </c>
      <c r="L597" s="2"/>
      <c r="N597" s="2" t="s">
        <v>95</v>
      </c>
      <c r="O597" s="10">
        <v>1</v>
      </c>
      <c r="P597" s="14">
        <v>0</v>
      </c>
      <c r="Q597" s="183">
        <v>1</v>
      </c>
      <c r="R597" s="187">
        <v>0</v>
      </c>
      <c r="S597" s="178">
        <f t="shared" si="73"/>
        <v>1</v>
      </c>
      <c r="T597" s="186">
        <f t="shared" si="74"/>
        <v>1</v>
      </c>
      <c r="U597" s="179">
        <f t="shared" si="75"/>
        <v>0</v>
      </c>
      <c r="V597" s="1">
        <f t="shared" si="71"/>
        <v>25</v>
      </c>
      <c r="W597" s="8">
        <f t="shared" si="76"/>
        <v>6.25</v>
      </c>
      <c r="X597" s="15">
        <f t="shared" si="72"/>
        <v>3131.25</v>
      </c>
    </row>
    <row r="598" spans="1:24">
      <c r="A598" t="s">
        <v>931</v>
      </c>
      <c r="B598" s="163" t="s">
        <v>498</v>
      </c>
      <c r="C598" s="2" t="s">
        <v>145</v>
      </c>
      <c r="D598" s="2" t="s">
        <v>190</v>
      </c>
      <c r="E598" s="3">
        <v>45361.583333333336</v>
      </c>
      <c r="F598" s="2" t="s">
        <v>192</v>
      </c>
      <c r="G598" s="2" t="s">
        <v>364</v>
      </c>
      <c r="H598" s="2">
        <v>64</v>
      </c>
      <c r="I598" s="2">
        <v>85</v>
      </c>
      <c r="J598" s="2">
        <v>1.6</v>
      </c>
      <c r="K598" s="2">
        <v>20</v>
      </c>
      <c r="L598" s="2"/>
      <c r="N598" s="2" t="s">
        <v>95</v>
      </c>
      <c r="O598" s="10">
        <v>0</v>
      </c>
      <c r="P598" s="14">
        <v>0</v>
      </c>
      <c r="Q598" s="183">
        <v>0</v>
      </c>
      <c r="R598" s="187">
        <v>1</v>
      </c>
      <c r="S598" s="178">
        <f t="shared" si="73"/>
        <v>0</v>
      </c>
      <c r="T598" s="186">
        <f t="shared" si="74"/>
        <v>1</v>
      </c>
      <c r="U598" s="179">
        <f t="shared" si="75"/>
        <v>1</v>
      </c>
      <c r="V598" s="1">
        <f t="shared" si="71"/>
        <v>25</v>
      </c>
      <c r="W598" s="8">
        <f t="shared" si="76"/>
        <v>6.25</v>
      </c>
      <c r="X598" s="15">
        <f t="shared" si="72"/>
        <v>3137.5</v>
      </c>
    </row>
    <row r="599" spans="1:24">
      <c r="A599" t="s">
        <v>931</v>
      </c>
      <c r="B599" s="163" t="s">
        <v>498</v>
      </c>
      <c r="C599" s="2" t="s">
        <v>133</v>
      </c>
      <c r="D599" s="2" t="s">
        <v>78</v>
      </c>
      <c r="E599" s="3">
        <v>45361.791666666664</v>
      </c>
      <c r="F599" s="2" t="s">
        <v>137</v>
      </c>
      <c r="G599" s="2" t="s">
        <v>136</v>
      </c>
      <c r="H599" s="2">
        <v>64</v>
      </c>
      <c r="I599" s="2">
        <v>85</v>
      </c>
      <c r="J599" s="2">
        <v>1.2</v>
      </c>
      <c r="K599" s="2">
        <v>20</v>
      </c>
      <c r="L599" s="2"/>
      <c r="N599" s="2" t="s">
        <v>95</v>
      </c>
      <c r="O599" s="10">
        <v>0</v>
      </c>
      <c r="P599" s="14">
        <v>1</v>
      </c>
      <c r="Q599" s="183">
        <v>0</v>
      </c>
      <c r="R599" s="187">
        <v>1</v>
      </c>
      <c r="S599" s="178">
        <f t="shared" si="73"/>
        <v>1</v>
      </c>
      <c r="T599" s="186">
        <f t="shared" si="74"/>
        <v>1</v>
      </c>
      <c r="U599" s="179">
        <f t="shared" si="75"/>
        <v>0</v>
      </c>
      <c r="V599" s="1">
        <f t="shared" si="71"/>
        <v>25</v>
      </c>
      <c r="W599" s="8">
        <f t="shared" si="76"/>
        <v>6.25</v>
      </c>
      <c r="X599" s="15">
        <f t="shared" si="72"/>
        <v>3143.75</v>
      </c>
    </row>
    <row r="600" spans="1:24">
      <c r="A600" t="s">
        <v>931</v>
      </c>
      <c r="B600" s="163" t="s">
        <v>498</v>
      </c>
      <c r="C600" s="2" t="s">
        <v>6</v>
      </c>
      <c r="D600" s="2" t="s">
        <v>11</v>
      </c>
      <c r="E600" s="3">
        <v>45367.625</v>
      </c>
      <c r="F600" s="2" t="s">
        <v>263</v>
      </c>
      <c r="G600" s="2" t="s">
        <v>585</v>
      </c>
      <c r="H600" s="2">
        <v>64</v>
      </c>
      <c r="I600" s="2">
        <v>85</v>
      </c>
      <c r="J600" s="2">
        <v>1.45</v>
      </c>
      <c r="K600" s="2">
        <v>20</v>
      </c>
      <c r="L600" s="2"/>
      <c r="M600" s="2"/>
      <c r="N600" s="2" t="s">
        <v>95</v>
      </c>
      <c r="O600" s="10">
        <v>1</v>
      </c>
      <c r="P600" s="14">
        <v>0</v>
      </c>
      <c r="Q600" s="183">
        <v>1</v>
      </c>
      <c r="R600" s="187">
        <v>0</v>
      </c>
      <c r="S600" s="178">
        <f t="shared" si="73"/>
        <v>1</v>
      </c>
      <c r="T600" s="186">
        <f t="shared" si="74"/>
        <v>1</v>
      </c>
      <c r="U600" s="179">
        <f t="shared" si="75"/>
        <v>0</v>
      </c>
      <c r="V600" s="1">
        <f t="shared" si="71"/>
        <v>25</v>
      </c>
      <c r="W600" s="8">
        <f t="shared" si="76"/>
        <v>6.25</v>
      </c>
      <c r="X600" s="15">
        <f t="shared" si="72"/>
        <v>3150</v>
      </c>
    </row>
    <row r="601" spans="1:24">
      <c r="A601" t="s">
        <v>931</v>
      </c>
      <c r="B601" s="163" t="s">
        <v>498</v>
      </c>
      <c r="C601" s="2" t="s">
        <v>6</v>
      </c>
      <c r="D601" s="2" t="s">
        <v>11</v>
      </c>
      <c r="E601" s="3">
        <v>45391.822916666664</v>
      </c>
      <c r="F601" s="2" t="s">
        <v>301</v>
      </c>
      <c r="G601" s="2" t="s">
        <v>585</v>
      </c>
      <c r="H601" s="2">
        <v>64</v>
      </c>
      <c r="I601" s="2">
        <v>85</v>
      </c>
      <c r="J601" s="2">
        <v>1.25</v>
      </c>
      <c r="K601" s="2">
        <v>20</v>
      </c>
      <c r="L601" s="2"/>
      <c r="M601" s="2"/>
      <c r="N601" s="2" t="s">
        <v>95</v>
      </c>
      <c r="O601" s="10">
        <v>0</v>
      </c>
      <c r="P601" s="14">
        <v>1</v>
      </c>
      <c r="Q601" s="183">
        <v>0</v>
      </c>
      <c r="R601" s="187">
        <v>1</v>
      </c>
      <c r="S601" s="178">
        <f t="shared" si="73"/>
        <v>1</v>
      </c>
      <c r="T601" s="186">
        <f t="shared" si="74"/>
        <v>1</v>
      </c>
      <c r="U601" s="179">
        <f t="shared" si="75"/>
        <v>0</v>
      </c>
      <c r="V601" s="1">
        <f t="shared" si="71"/>
        <v>25</v>
      </c>
      <c r="W601" s="8">
        <f t="shared" si="76"/>
        <v>6.25</v>
      </c>
      <c r="X601" s="15">
        <f t="shared" ref="X601:X664" si="77">SUM(X600,W601)</f>
        <v>3156.25</v>
      </c>
    </row>
    <row r="602" spans="1:24">
      <c r="A602" t="s">
        <v>931</v>
      </c>
      <c r="B602" s="163" t="s">
        <v>498</v>
      </c>
      <c r="C602" s="2" t="s">
        <v>149</v>
      </c>
      <c r="D602" s="2" t="s">
        <v>150</v>
      </c>
      <c r="E602" s="3">
        <v>45394.791666666664</v>
      </c>
      <c r="F602" s="2" t="s">
        <v>178</v>
      </c>
      <c r="G602" s="2" t="s">
        <v>709</v>
      </c>
      <c r="H602" s="2">
        <v>63</v>
      </c>
      <c r="I602" s="2">
        <v>80</v>
      </c>
      <c r="J602" s="2">
        <v>1.7</v>
      </c>
      <c r="K602" s="2">
        <v>20</v>
      </c>
      <c r="L602" s="2"/>
      <c r="M602" s="2"/>
      <c r="N602" s="2" t="s">
        <v>95</v>
      </c>
      <c r="O602" s="9">
        <v>0</v>
      </c>
      <c r="P602" s="14">
        <v>0</v>
      </c>
      <c r="Q602" s="183">
        <v>0</v>
      </c>
      <c r="R602" s="187">
        <v>1</v>
      </c>
      <c r="S602" s="178">
        <f t="shared" si="73"/>
        <v>0</v>
      </c>
      <c r="T602" s="186">
        <f t="shared" si="74"/>
        <v>1</v>
      </c>
      <c r="U602" s="179">
        <f t="shared" si="75"/>
        <v>1</v>
      </c>
      <c r="V602" s="1">
        <f t="shared" si="71"/>
        <v>25</v>
      </c>
      <c r="W602" s="8">
        <f t="shared" si="76"/>
        <v>6.25</v>
      </c>
      <c r="X602" s="15">
        <f t="shared" si="77"/>
        <v>3162.5</v>
      </c>
    </row>
    <row r="603" spans="1:24">
      <c r="A603" t="s">
        <v>931</v>
      </c>
      <c r="B603" s="163" t="s">
        <v>498</v>
      </c>
      <c r="C603" s="2" t="s">
        <v>20</v>
      </c>
      <c r="D603" s="2" t="s">
        <v>21</v>
      </c>
      <c r="E603" s="3">
        <v>45401.729166666664</v>
      </c>
      <c r="F603" s="2" t="s">
        <v>24</v>
      </c>
      <c r="G603" s="2" t="s">
        <v>590</v>
      </c>
      <c r="H603" s="2">
        <v>63</v>
      </c>
      <c r="I603" s="2">
        <v>85</v>
      </c>
      <c r="J603" s="2">
        <v>1.2</v>
      </c>
      <c r="K603" s="2">
        <v>20</v>
      </c>
      <c r="L603" s="2"/>
      <c r="M603" s="2"/>
      <c r="N603" s="2" t="s">
        <v>95</v>
      </c>
      <c r="O603" s="10">
        <v>0</v>
      </c>
      <c r="P603" s="14">
        <v>0</v>
      </c>
      <c r="Q603" s="183">
        <v>0</v>
      </c>
      <c r="R603" s="187">
        <v>1</v>
      </c>
      <c r="S603" s="178">
        <f t="shared" si="73"/>
        <v>0</v>
      </c>
      <c r="T603" s="186">
        <f t="shared" si="74"/>
        <v>1</v>
      </c>
      <c r="U603" s="179">
        <f t="shared" si="75"/>
        <v>1</v>
      </c>
      <c r="V603" s="1">
        <f t="shared" si="71"/>
        <v>25</v>
      </c>
      <c r="W603" s="8">
        <f t="shared" si="76"/>
        <v>6.25</v>
      </c>
      <c r="X603" s="15">
        <f t="shared" si="77"/>
        <v>3168.75</v>
      </c>
    </row>
    <row r="604" spans="1:24">
      <c r="A604" t="s">
        <v>931</v>
      </c>
      <c r="B604" s="163" t="s">
        <v>498</v>
      </c>
      <c r="C604" s="2" t="s">
        <v>77</v>
      </c>
      <c r="D604" s="2" t="s">
        <v>234</v>
      </c>
      <c r="E604" s="3">
        <v>45402.5</v>
      </c>
      <c r="F604" s="2" t="s">
        <v>632</v>
      </c>
      <c r="G604" s="2" t="s">
        <v>633</v>
      </c>
      <c r="H604" s="2">
        <v>67</v>
      </c>
      <c r="I604" s="2">
        <v>80</v>
      </c>
      <c r="J604" s="2">
        <v>1.6</v>
      </c>
      <c r="K604" s="2">
        <v>20</v>
      </c>
      <c r="L604" s="2"/>
      <c r="M604" s="2"/>
      <c r="N604" s="2" t="s">
        <v>95</v>
      </c>
      <c r="O604" s="10">
        <v>0</v>
      </c>
      <c r="P604" s="14">
        <v>0</v>
      </c>
      <c r="Q604" s="183">
        <v>1</v>
      </c>
      <c r="R604" s="187">
        <v>0</v>
      </c>
      <c r="S604" s="178">
        <f t="shared" si="73"/>
        <v>0</v>
      </c>
      <c r="T604" s="186">
        <f t="shared" si="74"/>
        <v>1</v>
      </c>
      <c r="U604" s="179">
        <f t="shared" si="75"/>
        <v>1</v>
      </c>
      <c r="V604" s="1">
        <f t="shared" si="71"/>
        <v>25</v>
      </c>
      <c r="W604" s="8">
        <f t="shared" si="76"/>
        <v>6.25</v>
      </c>
      <c r="X604" s="15">
        <f t="shared" si="77"/>
        <v>3175</v>
      </c>
    </row>
    <row r="605" spans="1:24">
      <c r="A605" t="s">
        <v>931</v>
      </c>
      <c r="B605" s="163" t="s">
        <v>498</v>
      </c>
      <c r="C605" s="2" t="s">
        <v>77</v>
      </c>
      <c r="D605" s="2" t="s">
        <v>234</v>
      </c>
      <c r="E605" s="3">
        <v>45402.8125</v>
      </c>
      <c r="F605" s="2" t="s">
        <v>247</v>
      </c>
      <c r="G605" s="2" t="s">
        <v>235</v>
      </c>
      <c r="H605" s="2">
        <v>67</v>
      </c>
      <c r="I605" s="2">
        <v>90</v>
      </c>
      <c r="J605" s="2">
        <v>1.7</v>
      </c>
      <c r="K605" s="2">
        <v>20</v>
      </c>
      <c r="L605" s="2"/>
      <c r="M605" s="2"/>
      <c r="N605" s="2" t="s">
        <v>95</v>
      </c>
      <c r="O605" s="10">
        <v>0</v>
      </c>
      <c r="P605" s="14">
        <v>0</v>
      </c>
      <c r="Q605" s="183">
        <v>0</v>
      </c>
      <c r="R605" s="187">
        <v>1</v>
      </c>
      <c r="S605" s="178">
        <f t="shared" si="73"/>
        <v>0</v>
      </c>
      <c r="T605" s="186">
        <f t="shared" si="74"/>
        <v>1</v>
      </c>
      <c r="U605" s="179">
        <f t="shared" si="75"/>
        <v>1</v>
      </c>
      <c r="V605" s="1">
        <f t="shared" si="71"/>
        <v>25</v>
      </c>
      <c r="W605" s="8">
        <f t="shared" si="76"/>
        <v>6.25</v>
      </c>
      <c r="X605" s="15">
        <f t="shared" si="77"/>
        <v>3181.25</v>
      </c>
    </row>
    <row r="606" spans="1:24">
      <c r="A606" t="s">
        <v>931</v>
      </c>
      <c r="B606" s="163" t="s">
        <v>498</v>
      </c>
      <c r="C606" s="2" t="s">
        <v>20</v>
      </c>
      <c r="D606" s="2" t="s">
        <v>21</v>
      </c>
      <c r="E606" s="3">
        <v>45402.822916666664</v>
      </c>
      <c r="F606" s="2" t="s">
        <v>598</v>
      </c>
      <c r="G606" s="2" t="s">
        <v>100</v>
      </c>
      <c r="H606" s="2">
        <v>63</v>
      </c>
      <c r="I606" s="2">
        <v>80</v>
      </c>
      <c r="J606" s="2">
        <v>1.1000000000000001</v>
      </c>
      <c r="K606" s="2">
        <v>20</v>
      </c>
      <c r="L606" s="2"/>
      <c r="M606" s="2"/>
      <c r="N606" s="2" t="s">
        <v>95</v>
      </c>
      <c r="O606" s="10">
        <v>0</v>
      </c>
      <c r="P606" s="14">
        <v>0</v>
      </c>
      <c r="Q606" s="183">
        <v>1</v>
      </c>
      <c r="R606" s="187">
        <v>0</v>
      </c>
      <c r="S606" s="178">
        <f t="shared" si="73"/>
        <v>0</v>
      </c>
      <c r="T606" s="186">
        <f t="shared" si="74"/>
        <v>1</v>
      </c>
      <c r="U606" s="179">
        <f t="shared" si="75"/>
        <v>1</v>
      </c>
      <c r="V606" s="1">
        <f t="shared" si="71"/>
        <v>25</v>
      </c>
      <c r="W606" s="8">
        <f t="shared" si="76"/>
        <v>6.25</v>
      </c>
      <c r="X606" s="15">
        <f t="shared" si="77"/>
        <v>3187.5</v>
      </c>
    </row>
    <row r="607" spans="1:24">
      <c r="A607" t="s">
        <v>931</v>
      </c>
      <c r="B607" s="163" t="s">
        <v>498</v>
      </c>
      <c r="C607" s="2" t="s">
        <v>296</v>
      </c>
      <c r="D607" s="2" t="s">
        <v>525</v>
      </c>
      <c r="E607" s="3">
        <v>45405.802083333336</v>
      </c>
      <c r="F607" s="2" t="s">
        <v>589</v>
      </c>
      <c r="G607" s="2" t="s">
        <v>527</v>
      </c>
      <c r="H607" s="2">
        <v>64</v>
      </c>
      <c r="I607" s="2">
        <v>90</v>
      </c>
      <c r="J607" s="2">
        <v>1.45</v>
      </c>
      <c r="K607" s="2">
        <v>20</v>
      </c>
      <c r="L607" s="2"/>
      <c r="M607" s="2"/>
      <c r="N607" s="2" t="s">
        <v>95</v>
      </c>
      <c r="O607" s="10">
        <v>0</v>
      </c>
      <c r="P607" s="14">
        <v>0</v>
      </c>
      <c r="Q607" s="183">
        <v>0</v>
      </c>
      <c r="R607" s="187">
        <v>1</v>
      </c>
      <c r="S607" s="178">
        <f t="shared" si="73"/>
        <v>0</v>
      </c>
      <c r="T607" s="186">
        <f t="shared" si="74"/>
        <v>1</v>
      </c>
      <c r="U607" s="179">
        <f t="shared" si="75"/>
        <v>1</v>
      </c>
      <c r="V607" s="1">
        <f t="shared" si="71"/>
        <v>25</v>
      </c>
      <c r="W607" s="8">
        <f t="shared" si="76"/>
        <v>6.25</v>
      </c>
      <c r="X607" s="15">
        <f t="shared" si="77"/>
        <v>3193.75</v>
      </c>
    </row>
    <row r="608" spans="1:24">
      <c r="A608" t="s">
        <v>931</v>
      </c>
      <c r="B608" s="163" t="s">
        <v>498</v>
      </c>
      <c r="C608" s="2" t="s">
        <v>77</v>
      </c>
      <c r="D608" s="2" t="s">
        <v>234</v>
      </c>
      <c r="E608" s="3">
        <v>45408.729166666664</v>
      </c>
      <c r="F608" s="2" t="s">
        <v>555</v>
      </c>
      <c r="G608" s="2" t="s">
        <v>646</v>
      </c>
      <c r="H608" s="2">
        <v>64</v>
      </c>
      <c r="I608" s="2">
        <v>80</v>
      </c>
      <c r="J608" s="2">
        <v>1.3</v>
      </c>
      <c r="K608" s="2">
        <v>20</v>
      </c>
      <c r="L608" s="2"/>
      <c r="M608" s="2"/>
      <c r="N608" s="2" t="s">
        <v>95</v>
      </c>
      <c r="O608" s="10">
        <v>0</v>
      </c>
      <c r="P608" s="14">
        <v>0</v>
      </c>
      <c r="Q608" s="183">
        <v>1</v>
      </c>
      <c r="R608" s="187">
        <v>0</v>
      </c>
      <c r="S608" s="178">
        <f t="shared" si="73"/>
        <v>0</v>
      </c>
      <c r="T608" s="186">
        <f t="shared" si="74"/>
        <v>1</v>
      </c>
      <c r="U608" s="179">
        <f t="shared" si="75"/>
        <v>1</v>
      </c>
      <c r="V608" s="1">
        <f t="shared" si="71"/>
        <v>25</v>
      </c>
      <c r="W608" s="8">
        <f t="shared" si="76"/>
        <v>6.25</v>
      </c>
      <c r="X608" s="15">
        <f t="shared" si="77"/>
        <v>3200</v>
      </c>
    </row>
    <row r="609" spans="1:24">
      <c r="A609" t="s">
        <v>931</v>
      </c>
      <c r="B609" s="163" t="s">
        <v>498</v>
      </c>
      <c r="C609" s="2" t="s">
        <v>77</v>
      </c>
      <c r="D609" s="2" t="s">
        <v>234</v>
      </c>
      <c r="E609" s="3">
        <v>45417.520833333336</v>
      </c>
      <c r="F609" s="2" t="s">
        <v>407</v>
      </c>
      <c r="G609" s="2" t="s">
        <v>235</v>
      </c>
      <c r="H609" s="2">
        <v>64</v>
      </c>
      <c r="I609" s="2">
        <v>80</v>
      </c>
      <c r="J609" s="2">
        <v>1.25</v>
      </c>
      <c r="K609" s="2">
        <v>20</v>
      </c>
      <c r="L609" s="2"/>
      <c r="M609" s="2"/>
      <c r="N609" s="2" t="s">
        <v>95</v>
      </c>
      <c r="O609" s="10">
        <v>0</v>
      </c>
      <c r="P609" s="14">
        <v>0</v>
      </c>
      <c r="Q609" s="183">
        <v>0</v>
      </c>
      <c r="R609" s="187">
        <v>1</v>
      </c>
      <c r="S609" s="178">
        <f t="shared" si="73"/>
        <v>0</v>
      </c>
      <c r="T609" s="186">
        <f t="shared" si="74"/>
        <v>1</v>
      </c>
      <c r="U609" s="179">
        <f t="shared" si="75"/>
        <v>1</v>
      </c>
      <c r="V609" s="1">
        <f t="shared" si="71"/>
        <v>25</v>
      </c>
      <c r="W609" s="8">
        <f t="shared" si="76"/>
        <v>6.25</v>
      </c>
      <c r="X609" s="15">
        <f t="shared" si="77"/>
        <v>3206.25</v>
      </c>
    </row>
    <row r="610" spans="1:24">
      <c r="A610" t="s">
        <v>931</v>
      </c>
      <c r="B610" s="163" t="s">
        <v>498</v>
      </c>
      <c r="C610" s="2" t="s">
        <v>58</v>
      </c>
      <c r="D610" s="2" t="s">
        <v>59</v>
      </c>
      <c r="E610" s="3">
        <v>45422.84375</v>
      </c>
      <c r="F610" s="2" t="s">
        <v>165</v>
      </c>
      <c r="G610" s="2" t="s">
        <v>61</v>
      </c>
      <c r="H610" s="2">
        <v>63</v>
      </c>
      <c r="I610" s="2">
        <v>80</v>
      </c>
      <c r="J610" s="2">
        <v>1.45</v>
      </c>
      <c r="K610" s="2">
        <v>20</v>
      </c>
      <c r="L610" s="2"/>
      <c r="M610" s="2"/>
      <c r="N610" s="2" t="s">
        <v>95</v>
      </c>
      <c r="O610" s="10">
        <v>0</v>
      </c>
      <c r="P610" s="14">
        <v>1</v>
      </c>
      <c r="Q610" s="183">
        <v>0</v>
      </c>
      <c r="R610" s="187">
        <v>1</v>
      </c>
      <c r="S610" s="178">
        <f t="shared" si="73"/>
        <v>1</v>
      </c>
      <c r="T610" s="186">
        <f t="shared" si="74"/>
        <v>1</v>
      </c>
      <c r="U610" s="179">
        <f t="shared" si="75"/>
        <v>0</v>
      </c>
      <c r="V610" s="1">
        <f t="shared" si="71"/>
        <v>25</v>
      </c>
      <c r="W610" s="8">
        <f t="shared" si="76"/>
        <v>6.25</v>
      </c>
      <c r="X610" s="15">
        <f t="shared" si="77"/>
        <v>3212.5</v>
      </c>
    </row>
    <row r="611" spans="1:24">
      <c r="A611" t="s">
        <v>931</v>
      </c>
      <c r="B611" s="163" t="s">
        <v>498</v>
      </c>
      <c r="C611" s="2" t="s">
        <v>20</v>
      </c>
      <c r="D611" s="2" t="s">
        <v>21</v>
      </c>
      <c r="E611" s="3">
        <v>45431.822916666664</v>
      </c>
      <c r="F611" s="2" t="s">
        <v>380</v>
      </c>
      <c r="G611" s="2" t="s">
        <v>24</v>
      </c>
      <c r="H611" s="2">
        <v>64</v>
      </c>
      <c r="I611" s="2">
        <v>80</v>
      </c>
      <c r="J611" s="2">
        <v>1.35</v>
      </c>
      <c r="K611" s="2">
        <v>20</v>
      </c>
      <c r="L611" s="2"/>
      <c r="M611" s="2"/>
      <c r="N611" s="2" t="s">
        <v>95</v>
      </c>
      <c r="O611" s="10">
        <v>0</v>
      </c>
      <c r="P611" s="14">
        <v>0</v>
      </c>
      <c r="Q611" s="183">
        <v>1</v>
      </c>
      <c r="R611" s="187">
        <v>0</v>
      </c>
      <c r="S611" s="178">
        <f t="shared" si="73"/>
        <v>0</v>
      </c>
      <c r="T611" s="186">
        <f t="shared" si="74"/>
        <v>1</v>
      </c>
      <c r="U611" s="179">
        <f t="shared" si="75"/>
        <v>1</v>
      </c>
      <c r="V611" s="1">
        <f t="shared" si="71"/>
        <v>25</v>
      </c>
      <c r="W611" s="8">
        <f t="shared" si="76"/>
        <v>6.25</v>
      </c>
      <c r="X611" s="15">
        <f t="shared" si="77"/>
        <v>3218.75</v>
      </c>
    </row>
    <row r="612" spans="1:24">
      <c r="A612" t="s">
        <v>931</v>
      </c>
      <c r="B612" s="163" t="s">
        <v>473</v>
      </c>
      <c r="C612" s="2" t="s">
        <v>133</v>
      </c>
      <c r="D612" s="2" t="s">
        <v>78</v>
      </c>
      <c r="E612" s="3">
        <v>45361.791666666664</v>
      </c>
      <c r="F612" s="2" t="s">
        <v>137</v>
      </c>
      <c r="G612" s="2" t="s">
        <v>136</v>
      </c>
      <c r="H612" s="2">
        <v>64</v>
      </c>
      <c r="I612" s="2">
        <v>85</v>
      </c>
      <c r="J612" s="2">
        <v>20</v>
      </c>
      <c r="K612" s="2">
        <v>2.9</v>
      </c>
      <c r="L612" s="2"/>
      <c r="M612" s="2"/>
      <c r="N612" s="2" t="s">
        <v>95</v>
      </c>
      <c r="O612" s="10">
        <v>0</v>
      </c>
      <c r="P612" s="14">
        <v>1</v>
      </c>
      <c r="Q612" s="183">
        <v>0</v>
      </c>
      <c r="R612" s="187">
        <v>1</v>
      </c>
      <c r="S612" s="178">
        <f t="shared" si="73"/>
        <v>1</v>
      </c>
      <c r="T612" s="186">
        <f t="shared" si="74"/>
        <v>1</v>
      </c>
      <c r="U612" s="179">
        <f t="shared" si="75"/>
        <v>0</v>
      </c>
      <c r="V612" s="1">
        <f t="shared" si="71"/>
        <v>25</v>
      </c>
      <c r="W612" s="8">
        <f t="shared" si="76"/>
        <v>6.25</v>
      </c>
      <c r="X612" s="15">
        <f t="shared" si="77"/>
        <v>3225</v>
      </c>
    </row>
    <row r="613" spans="1:24">
      <c r="A613" t="s">
        <v>931</v>
      </c>
      <c r="B613" s="163" t="s">
        <v>473</v>
      </c>
      <c r="C613" s="2" t="s">
        <v>6</v>
      </c>
      <c r="D613" s="2" t="s">
        <v>11</v>
      </c>
      <c r="E613" s="3">
        <v>45367.625</v>
      </c>
      <c r="F613" s="2" t="s">
        <v>263</v>
      </c>
      <c r="G613" s="2" t="s">
        <v>585</v>
      </c>
      <c r="H613" s="2">
        <v>64</v>
      </c>
      <c r="I613" s="2">
        <v>85</v>
      </c>
      <c r="J613" s="2">
        <v>20</v>
      </c>
      <c r="K613" s="2">
        <v>2.9</v>
      </c>
      <c r="L613" s="2"/>
      <c r="M613" s="2"/>
      <c r="N613" s="2" t="s">
        <v>95</v>
      </c>
      <c r="O613" s="10">
        <v>1</v>
      </c>
      <c r="P613" s="14">
        <v>0</v>
      </c>
      <c r="Q613" s="183">
        <v>1</v>
      </c>
      <c r="R613" s="187">
        <v>0</v>
      </c>
      <c r="S613" s="178">
        <f t="shared" si="73"/>
        <v>1</v>
      </c>
      <c r="T613" s="186">
        <f t="shared" si="74"/>
        <v>1</v>
      </c>
      <c r="U613" s="179">
        <f t="shared" si="75"/>
        <v>0</v>
      </c>
      <c r="V613" s="1">
        <f t="shared" si="71"/>
        <v>25</v>
      </c>
      <c r="W613" s="8">
        <f t="shared" si="76"/>
        <v>6.25</v>
      </c>
      <c r="X613" s="15">
        <f t="shared" si="77"/>
        <v>3231.25</v>
      </c>
    </row>
    <row r="614" spans="1:24">
      <c r="A614" t="s">
        <v>931</v>
      </c>
      <c r="B614" s="163" t="s">
        <v>473</v>
      </c>
      <c r="C614" s="2" t="s">
        <v>516</v>
      </c>
      <c r="D614" s="2" t="s">
        <v>78</v>
      </c>
      <c r="E614" s="3">
        <v>45387.541666666664</v>
      </c>
      <c r="F614" s="2" t="s">
        <v>674</v>
      </c>
      <c r="G614" s="2" t="s">
        <v>537</v>
      </c>
      <c r="H614" s="2">
        <v>67</v>
      </c>
      <c r="I614" s="2">
        <v>80</v>
      </c>
      <c r="J614" s="2">
        <v>20</v>
      </c>
      <c r="K614" s="2">
        <v>2.85</v>
      </c>
      <c r="L614" s="2"/>
      <c r="M614" s="2"/>
      <c r="N614" s="2" t="s">
        <v>95</v>
      </c>
      <c r="O614" s="10">
        <v>0</v>
      </c>
      <c r="P614" s="14">
        <v>0</v>
      </c>
      <c r="Q614" s="183">
        <v>1</v>
      </c>
      <c r="R614" s="187">
        <v>0</v>
      </c>
      <c r="S614" s="178">
        <f t="shared" si="73"/>
        <v>0</v>
      </c>
      <c r="T614" s="186">
        <f t="shared" si="74"/>
        <v>1</v>
      </c>
      <c r="U614" s="179">
        <f t="shared" si="75"/>
        <v>1</v>
      </c>
      <c r="V614" s="1">
        <f t="shared" si="71"/>
        <v>25</v>
      </c>
      <c r="W614" s="8">
        <f t="shared" si="76"/>
        <v>6.25</v>
      </c>
      <c r="X614" s="15">
        <f t="shared" si="77"/>
        <v>3237.5</v>
      </c>
    </row>
    <row r="615" spans="1:24">
      <c r="A615" t="s">
        <v>931</v>
      </c>
      <c r="B615" s="163" t="s">
        <v>473</v>
      </c>
      <c r="C615" s="2" t="s">
        <v>6</v>
      </c>
      <c r="D615" s="2" t="s">
        <v>11</v>
      </c>
      <c r="E615" s="3">
        <v>45391.822916666664</v>
      </c>
      <c r="F615" s="2" t="s">
        <v>301</v>
      </c>
      <c r="G615" s="2" t="s">
        <v>585</v>
      </c>
      <c r="H615" s="2">
        <v>66</v>
      </c>
      <c r="I615" s="2">
        <v>85</v>
      </c>
      <c r="J615" s="2">
        <v>20</v>
      </c>
      <c r="K615" s="2">
        <v>2.95</v>
      </c>
      <c r="L615" s="2"/>
      <c r="M615" s="2"/>
      <c r="N615" s="2" t="s">
        <v>95</v>
      </c>
      <c r="O615" s="10">
        <v>0</v>
      </c>
      <c r="P615" s="14">
        <v>1</v>
      </c>
      <c r="Q615" s="183">
        <v>0</v>
      </c>
      <c r="R615" s="187">
        <v>1</v>
      </c>
      <c r="S615" s="178">
        <f t="shared" si="73"/>
        <v>1</v>
      </c>
      <c r="T615" s="186">
        <f t="shared" si="74"/>
        <v>1</v>
      </c>
      <c r="U615" s="179">
        <f t="shared" si="75"/>
        <v>0</v>
      </c>
      <c r="V615" s="1">
        <f t="shared" si="71"/>
        <v>25</v>
      </c>
      <c r="W615" s="8">
        <f t="shared" si="76"/>
        <v>6.25</v>
      </c>
      <c r="X615" s="15">
        <f t="shared" si="77"/>
        <v>3243.75</v>
      </c>
    </row>
    <row r="616" spans="1:24">
      <c r="A616" t="s">
        <v>931</v>
      </c>
      <c r="B616" s="163" t="s">
        <v>473</v>
      </c>
      <c r="C616" s="2" t="s">
        <v>20</v>
      </c>
      <c r="D616" s="2" t="s">
        <v>21</v>
      </c>
      <c r="E616" s="3">
        <v>45401.729166666664</v>
      </c>
      <c r="F616" s="2" t="s">
        <v>24</v>
      </c>
      <c r="G616" s="2" t="s">
        <v>590</v>
      </c>
      <c r="H616" s="2">
        <v>76</v>
      </c>
      <c r="I616" s="2">
        <v>85</v>
      </c>
      <c r="J616" s="2">
        <v>20</v>
      </c>
      <c r="K616" s="2">
        <v>2.65</v>
      </c>
      <c r="L616" s="2"/>
      <c r="M616" s="2"/>
      <c r="N616" s="2" t="s">
        <v>95</v>
      </c>
      <c r="O616" s="10">
        <v>0</v>
      </c>
      <c r="P616" s="14">
        <v>0</v>
      </c>
      <c r="Q616" s="183">
        <v>0</v>
      </c>
      <c r="R616" s="187">
        <v>1</v>
      </c>
      <c r="S616" s="178">
        <f t="shared" si="73"/>
        <v>0</v>
      </c>
      <c r="T616" s="186">
        <f t="shared" si="74"/>
        <v>1</v>
      </c>
      <c r="U616" s="179">
        <f t="shared" si="75"/>
        <v>1</v>
      </c>
      <c r="V616" s="1">
        <f t="shared" si="71"/>
        <v>25</v>
      </c>
      <c r="W616" s="8">
        <f t="shared" si="76"/>
        <v>6.25</v>
      </c>
      <c r="X616" s="15">
        <f t="shared" si="77"/>
        <v>3250</v>
      </c>
    </row>
    <row r="617" spans="1:24">
      <c r="A617" t="s">
        <v>931</v>
      </c>
      <c r="B617" s="163" t="s">
        <v>473</v>
      </c>
      <c r="C617" s="2" t="s">
        <v>20</v>
      </c>
      <c r="D617" s="2" t="s">
        <v>21</v>
      </c>
      <c r="E617" s="3">
        <v>45402.822916666664</v>
      </c>
      <c r="F617" s="2" t="s">
        <v>598</v>
      </c>
      <c r="G617" s="2" t="s">
        <v>100</v>
      </c>
      <c r="H617" s="2">
        <v>69</v>
      </c>
      <c r="I617" s="2">
        <v>80</v>
      </c>
      <c r="J617" s="2">
        <v>20</v>
      </c>
      <c r="K617" s="2">
        <v>2.5499999999999998</v>
      </c>
      <c r="L617" s="2"/>
      <c r="M617" s="2"/>
      <c r="N617" s="2" t="s">
        <v>95</v>
      </c>
      <c r="O617" s="10">
        <v>0</v>
      </c>
      <c r="P617" s="14">
        <v>0</v>
      </c>
      <c r="Q617" s="183">
        <v>1</v>
      </c>
      <c r="R617" s="187">
        <v>0</v>
      </c>
      <c r="S617" s="178">
        <f t="shared" si="73"/>
        <v>0</v>
      </c>
      <c r="T617" s="186">
        <f t="shared" si="74"/>
        <v>1</v>
      </c>
      <c r="U617" s="179">
        <f t="shared" si="75"/>
        <v>1</v>
      </c>
      <c r="V617" s="1">
        <f t="shared" si="71"/>
        <v>25</v>
      </c>
      <c r="W617" s="8">
        <f t="shared" si="76"/>
        <v>6.25</v>
      </c>
      <c r="X617" s="15">
        <f t="shared" si="77"/>
        <v>3256.25</v>
      </c>
    </row>
    <row r="618" spans="1:24">
      <c r="A618" t="s">
        <v>931</v>
      </c>
      <c r="B618" s="163" t="s">
        <v>473</v>
      </c>
      <c r="C618" s="2" t="s">
        <v>296</v>
      </c>
      <c r="D618" s="2" t="s">
        <v>525</v>
      </c>
      <c r="E618" s="3">
        <v>45405.802083333336</v>
      </c>
      <c r="F618" s="2" t="s">
        <v>589</v>
      </c>
      <c r="G618" s="2" t="s">
        <v>527</v>
      </c>
      <c r="H618" s="2">
        <v>64</v>
      </c>
      <c r="I618" s="2">
        <v>90</v>
      </c>
      <c r="J618" s="2">
        <v>20</v>
      </c>
      <c r="K618" s="2">
        <v>3.1</v>
      </c>
      <c r="L618" s="2"/>
      <c r="M618" s="2"/>
      <c r="N618" s="2" t="s">
        <v>95</v>
      </c>
      <c r="O618" s="10">
        <v>0</v>
      </c>
      <c r="P618" s="14">
        <v>0</v>
      </c>
      <c r="Q618" s="183">
        <v>0</v>
      </c>
      <c r="R618" s="187">
        <v>1</v>
      </c>
      <c r="S618" s="178">
        <f t="shared" si="73"/>
        <v>0</v>
      </c>
      <c r="T618" s="186">
        <f t="shared" si="74"/>
        <v>1</v>
      </c>
      <c r="U618" s="179">
        <f t="shared" si="75"/>
        <v>1</v>
      </c>
      <c r="V618" s="1">
        <f t="shared" si="71"/>
        <v>25</v>
      </c>
      <c r="W618" s="8">
        <f t="shared" si="76"/>
        <v>6.25</v>
      </c>
      <c r="X618" s="15">
        <f t="shared" si="77"/>
        <v>3262.5</v>
      </c>
    </row>
    <row r="619" spans="1:24">
      <c r="A619" t="s">
        <v>931</v>
      </c>
      <c r="B619" s="163" t="s">
        <v>473</v>
      </c>
      <c r="C619" s="2" t="s">
        <v>778</v>
      </c>
      <c r="D619" s="2" t="s">
        <v>21</v>
      </c>
      <c r="E619" s="3">
        <v>45410.041666666664</v>
      </c>
      <c r="F619" s="2" t="s">
        <v>779</v>
      </c>
      <c r="G619" s="2" t="s">
        <v>780</v>
      </c>
      <c r="H619" s="2">
        <v>65</v>
      </c>
      <c r="I619" s="2">
        <v>85</v>
      </c>
      <c r="J619" s="2">
        <v>20</v>
      </c>
      <c r="K619" s="2">
        <v>3.45</v>
      </c>
      <c r="L619" s="2"/>
      <c r="M619" s="2"/>
      <c r="N619" s="2" t="s">
        <v>95</v>
      </c>
      <c r="O619" s="10">
        <v>1</v>
      </c>
      <c r="P619" s="14">
        <v>0</v>
      </c>
      <c r="Q619" s="183">
        <v>1</v>
      </c>
      <c r="R619" s="187">
        <v>0</v>
      </c>
      <c r="S619" s="178">
        <f t="shared" si="73"/>
        <v>1</v>
      </c>
      <c r="T619" s="186">
        <f t="shared" si="74"/>
        <v>1</v>
      </c>
      <c r="U619" s="179">
        <f t="shared" si="75"/>
        <v>0</v>
      </c>
      <c r="V619" s="1">
        <f t="shared" si="71"/>
        <v>25</v>
      </c>
      <c r="W619" s="8">
        <f t="shared" si="76"/>
        <v>6.25</v>
      </c>
      <c r="X619" s="15">
        <f t="shared" si="77"/>
        <v>3268.75</v>
      </c>
    </row>
    <row r="620" spans="1:24">
      <c r="A620" t="s">
        <v>931</v>
      </c>
      <c r="B620" s="163" t="s">
        <v>473</v>
      </c>
      <c r="C620" s="2" t="s">
        <v>802</v>
      </c>
      <c r="D620" s="2" t="s">
        <v>803</v>
      </c>
      <c r="E620" s="3">
        <v>45418.75</v>
      </c>
      <c r="F620" s="2" t="s">
        <v>804</v>
      </c>
      <c r="G620" s="2" t="s">
        <v>805</v>
      </c>
      <c r="H620" s="2">
        <v>66</v>
      </c>
      <c r="I620" s="2">
        <v>80</v>
      </c>
      <c r="J620" s="2">
        <v>20</v>
      </c>
      <c r="K620" s="2">
        <v>2.7</v>
      </c>
      <c r="L620" s="2"/>
      <c r="M620" s="2"/>
      <c r="N620" s="2" t="s">
        <v>95</v>
      </c>
      <c r="O620" s="10">
        <v>0</v>
      </c>
      <c r="P620" s="14">
        <v>1</v>
      </c>
      <c r="Q620" s="183">
        <v>0</v>
      </c>
      <c r="R620" s="187">
        <v>1</v>
      </c>
      <c r="S620" s="178">
        <f t="shared" si="73"/>
        <v>1</v>
      </c>
      <c r="T620" s="186">
        <f t="shared" si="74"/>
        <v>1</v>
      </c>
      <c r="U620" s="179">
        <f t="shared" si="75"/>
        <v>0</v>
      </c>
      <c r="V620" s="1">
        <f t="shared" ref="V620:V683" si="78">SUM($X$1*0.05)</f>
        <v>25</v>
      </c>
      <c r="W620" s="8">
        <f t="shared" si="76"/>
        <v>6.25</v>
      </c>
      <c r="X620" s="15">
        <f t="shared" si="77"/>
        <v>3275</v>
      </c>
    </row>
    <row r="621" spans="1:24">
      <c r="A621" t="s">
        <v>931</v>
      </c>
      <c r="B621" s="163" t="s">
        <v>473</v>
      </c>
      <c r="C621" s="2" t="s">
        <v>489</v>
      </c>
      <c r="D621" s="2" t="s">
        <v>490</v>
      </c>
      <c r="E621" s="3">
        <v>45422.583333333336</v>
      </c>
      <c r="F621" s="2" t="s">
        <v>492</v>
      </c>
      <c r="G621" s="2" t="s">
        <v>820</v>
      </c>
      <c r="H621" s="2">
        <v>64</v>
      </c>
      <c r="I621" s="2">
        <v>80</v>
      </c>
      <c r="J621" s="2">
        <v>20</v>
      </c>
      <c r="K621" s="2">
        <v>2.5499999999999998</v>
      </c>
      <c r="L621" s="2"/>
      <c r="M621" s="2"/>
      <c r="N621" s="2" t="s">
        <v>95</v>
      </c>
      <c r="O621" s="10">
        <v>0</v>
      </c>
      <c r="P621" s="14">
        <v>0</v>
      </c>
      <c r="Q621" s="183">
        <v>1</v>
      </c>
      <c r="R621" s="187">
        <v>0</v>
      </c>
      <c r="S621" s="178">
        <f t="shared" si="73"/>
        <v>0</v>
      </c>
      <c r="T621" s="186">
        <f t="shared" si="74"/>
        <v>1</v>
      </c>
      <c r="U621" s="179">
        <f t="shared" si="75"/>
        <v>1</v>
      </c>
      <c r="V621" s="1">
        <f t="shared" si="78"/>
        <v>25</v>
      </c>
      <c r="W621" s="8">
        <f t="shared" si="76"/>
        <v>6.25</v>
      </c>
      <c r="X621" s="15">
        <f t="shared" si="77"/>
        <v>3281.25</v>
      </c>
    </row>
    <row r="622" spans="1:24">
      <c r="A622" t="s">
        <v>931</v>
      </c>
      <c r="B622" s="163" t="s">
        <v>473</v>
      </c>
      <c r="C622" s="2" t="s">
        <v>434</v>
      </c>
      <c r="D622" s="2" t="s">
        <v>435</v>
      </c>
      <c r="E622" s="3">
        <v>45427.791666666664</v>
      </c>
      <c r="F622" s="2" t="s">
        <v>436</v>
      </c>
      <c r="G622" s="2" t="s">
        <v>533</v>
      </c>
      <c r="H622" s="2">
        <v>64</v>
      </c>
      <c r="I622" s="2">
        <v>80</v>
      </c>
      <c r="J622" s="2">
        <v>20</v>
      </c>
      <c r="K622" s="2">
        <v>2.5499999999999998</v>
      </c>
      <c r="L622" s="2"/>
      <c r="M622" s="2"/>
      <c r="N622" s="2" t="s">
        <v>95</v>
      </c>
      <c r="O622" s="10">
        <v>1</v>
      </c>
      <c r="P622" s="14">
        <v>0</v>
      </c>
      <c r="Q622" s="183">
        <v>1</v>
      </c>
      <c r="R622" s="187">
        <v>0</v>
      </c>
      <c r="S622" s="178">
        <f t="shared" si="73"/>
        <v>1</v>
      </c>
      <c r="T622" s="186">
        <f t="shared" si="74"/>
        <v>1</v>
      </c>
      <c r="U622" s="179">
        <f t="shared" si="75"/>
        <v>0</v>
      </c>
      <c r="V622" s="1">
        <f t="shared" si="78"/>
        <v>25</v>
      </c>
      <c r="W622" s="8">
        <f t="shared" si="76"/>
        <v>6.25</v>
      </c>
      <c r="X622" s="15">
        <f t="shared" si="77"/>
        <v>3287.5</v>
      </c>
    </row>
    <row r="623" spans="1:24">
      <c r="A623" t="s">
        <v>931</v>
      </c>
      <c r="B623" s="163" t="s">
        <v>474</v>
      </c>
      <c r="C623" s="2" t="s">
        <v>6</v>
      </c>
      <c r="D623" s="2" t="s">
        <v>455</v>
      </c>
      <c r="E623" s="3">
        <v>45356.822916666664</v>
      </c>
      <c r="F623" s="2" t="s">
        <v>504</v>
      </c>
      <c r="G623" s="2" t="s">
        <v>505</v>
      </c>
      <c r="H623" s="2">
        <v>51</v>
      </c>
      <c r="I623" s="2">
        <v>3.15</v>
      </c>
      <c r="J623" s="2">
        <v>20</v>
      </c>
      <c r="K623" s="2">
        <v>60</v>
      </c>
      <c r="L623" s="2">
        <v>85</v>
      </c>
      <c r="M623" s="2"/>
      <c r="N623" s="2" t="s">
        <v>95</v>
      </c>
      <c r="O623" s="10">
        <v>1</v>
      </c>
      <c r="P623" s="14">
        <v>0</v>
      </c>
      <c r="Q623" s="183">
        <v>1</v>
      </c>
      <c r="R623" s="187">
        <v>0</v>
      </c>
      <c r="S623" s="178">
        <f t="shared" si="73"/>
        <v>1</v>
      </c>
      <c r="T623" s="186">
        <f t="shared" si="74"/>
        <v>1</v>
      </c>
      <c r="U623" s="179">
        <f t="shared" si="75"/>
        <v>0</v>
      </c>
      <c r="V623" s="1">
        <f t="shared" si="78"/>
        <v>25</v>
      </c>
      <c r="W623" s="8">
        <f t="shared" si="76"/>
        <v>6.25</v>
      </c>
      <c r="X623" s="15">
        <f t="shared" si="77"/>
        <v>3293.75</v>
      </c>
    </row>
    <row r="624" spans="1:24">
      <c r="A624" t="s">
        <v>931</v>
      </c>
      <c r="B624" s="163" t="s">
        <v>474</v>
      </c>
      <c r="C624" s="2" t="s">
        <v>13</v>
      </c>
      <c r="D624" s="2" t="s">
        <v>11</v>
      </c>
      <c r="E624" s="3">
        <v>45360.625</v>
      </c>
      <c r="F624" s="2" t="s">
        <v>543</v>
      </c>
      <c r="G624" s="2" t="s">
        <v>400</v>
      </c>
      <c r="H624" s="2">
        <v>51</v>
      </c>
      <c r="I624" s="2">
        <v>3.7</v>
      </c>
      <c r="J624" s="2">
        <v>20</v>
      </c>
      <c r="K624" s="2">
        <v>70</v>
      </c>
      <c r="L624" s="2">
        <v>100</v>
      </c>
      <c r="M624" s="2"/>
      <c r="N624" s="2" t="s">
        <v>95</v>
      </c>
      <c r="O624" s="10">
        <v>1</v>
      </c>
      <c r="P624" s="14">
        <v>0</v>
      </c>
      <c r="Q624" s="183">
        <v>1</v>
      </c>
      <c r="R624" s="187">
        <v>0</v>
      </c>
      <c r="S624" s="178">
        <f t="shared" si="73"/>
        <v>1</v>
      </c>
      <c r="T624" s="186">
        <f t="shared" si="74"/>
        <v>1</v>
      </c>
      <c r="U624" s="179">
        <f t="shared" si="75"/>
        <v>0</v>
      </c>
      <c r="V624" s="1">
        <f t="shared" si="78"/>
        <v>25</v>
      </c>
      <c r="W624" s="8">
        <f t="shared" si="76"/>
        <v>6.25</v>
      </c>
      <c r="X624" s="15">
        <f t="shared" si="77"/>
        <v>3300</v>
      </c>
    </row>
    <row r="625" spans="1:24">
      <c r="A625" t="s">
        <v>931</v>
      </c>
      <c r="B625" s="163" t="s">
        <v>474</v>
      </c>
      <c r="C625" s="2" t="s">
        <v>77</v>
      </c>
      <c r="D625" s="2" t="s">
        <v>251</v>
      </c>
      <c r="E625" s="3">
        <v>45360.645833333336</v>
      </c>
      <c r="F625" s="2" t="s">
        <v>252</v>
      </c>
      <c r="G625" s="2" t="s">
        <v>549</v>
      </c>
      <c r="H625" s="2">
        <v>53</v>
      </c>
      <c r="I625" s="2">
        <v>3.45</v>
      </c>
      <c r="J625" s="2">
        <v>20</v>
      </c>
      <c r="K625" s="2">
        <v>70</v>
      </c>
      <c r="L625" s="2">
        <v>95</v>
      </c>
      <c r="M625" s="2"/>
      <c r="N625" s="2" t="s">
        <v>95</v>
      </c>
      <c r="O625" s="10">
        <v>0</v>
      </c>
      <c r="P625" s="14">
        <v>0</v>
      </c>
      <c r="Q625" s="183">
        <v>1</v>
      </c>
      <c r="R625" s="187">
        <v>0</v>
      </c>
      <c r="S625" s="178">
        <f t="shared" si="73"/>
        <v>0</v>
      </c>
      <c r="T625" s="186">
        <f t="shared" si="74"/>
        <v>1</v>
      </c>
      <c r="U625" s="179">
        <f t="shared" si="75"/>
        <v>1</v>
      </c>
      <c r="V625" s="1">
        <f t="shared" si="78"/>
        <v>25</v>
      </c>
      <c r="W625" s="8">
        <f t="shared" si="76"/>
        <v>6.25</v>
      </c>
      <c r="X625" s="15">
        <f t="shared" si="77"/>
        <v>3306.25</v>
      </c>
    </row>
    <row r="626" spans="1:24">
      <c r="A626" t="s">
        <v>931</v>
      </c>
      <c r="B626" s="163" t="s">
        <v>474</v>
      </c>
      <c r="C626" s="2" t="s">
        <v>6</v>
      </c>
      <c r="D626" s="2" t="s">
        <v>11</v>
      </c>
      <c r="E626" s="3">
        <v>45367.625</v>
      </c>
      <c r="F626" s="2" t="s">
        <v>263</v>
      </c>
      <c r="G626" s="2" t="s">
        <v>585</v>
      </c>
      <c r="H626" s="2">
        <v>52</v>
      </c>
      <c r="I626" s="2">
        <v>2.9</v>
      </c>
      <c r="J626" s="2">
        <v>20</v>
      </c>
      <c r="K626" s="2">
        <v>65</v>
      </c>
      <c r="L626" s="2">
        <v>85</v>
      </c>
      <c r="M626" s="2"/>
      <c r="N626" s="2" t="s">
        <v>95</v>
      </c>
      <c r="O626" s="10">
        <v>1</v>
      </c>
      <c r="P626" s="14">
        <v>0</v>
      </c>
      <c r="Q626" s="183">
        <v>1</v>
      </c>
      <c r="R626" s="187">
        <v>0</v>
      </c>
      <c r="S626" s="178">
        <f t="shared" si="73"/>
        <v>1</v>
      </c>
      <c r="T626" s="186">
        <f t="shared" si="74"/>
        <v>1</v>
      </c>
      <c r="U626" s="179">
        <f t="shared" si="75"/>
        <v>0</v>
      </c>
      <c r="V626" s="1">
        <f t="shared" si="78"/>
        <v>25</v>
      </c>
      <c r="W626" s="8">
        <f t="shared" si="76"/>
        <v>6.25</v>
      </c>
      <c r="X626" s="15">
        <f t="shared" si="77"/>
        <v>3312.5</v>
      </c>
    </row>
    <row r="627" spans="1:24">
      <c r="A627" t="s">
        <v>931</v>
      </c>
      <c r="B627" s="163" t="s">
        <v>474</v>
      </c>
      <c r="C627" s="2" t="s">
        <v>149</v>
      </c>
      <c r="D627" s="2" t="s">
        <v>153</v>
      </c>
      <c r="E627" s="3">
        <v>45368.5625</v>
      </c>
      <c r="F627" s="2" t="s">
        <v>250</v>
      </c>
      <c r="G627" s="2" t="s">
        <v>241</v>
      </c>
      <c r="H627" s="2">
        <v>50</v>
      </c>
      <c r="I627" s="2">
        <v>3.55</v>
      </c>
      <c r="J627" s="2">
        <v>20</v>
      </c>
      <c r="K627" s="2">
        <v>60</v>
      </c>
      <c r="L627" s="2">
        <v>95</v>
      </c>
      <c r="M627" s="2"/>
      <c r="N627" s="2" t="s">
        <v>95</v>
      </c>
      <c r="O627" s="10">
        <v>0</v>
      </c>
      <c r="P627" s="14">
        <v>0</v>
      </c>
      <c r="Q627" s="183">
        <v>1</v>
      </c>
      <c r="R627" s="187">
        <v>0</v>
      </c>
      <c r="S627" s="178">
        <f t="shared" si="73"/>
        <v>0</v>
      </c>
      <c r="T627" s="186">
        <f t="shared" si="74"/>
        <v>1</v>
      </c>
      <c r="U627" s="179">
        <f t="shared" si="75"/>
        <v>1</v>
      </c>
      <c r="V627" s="1">
        <f t="shared" si="78"/>
        <v>25</v>
      </c>
      <c r="W627" s="8">
        <f t="shared" si="76"/>
        <v>6.25</v>
      </c>
      <c r="X627" s="15">
        <f t="shared" si="77"/>
        <v>3318.75</v>
      </c>
    </row>
    <row r="628" spans="1:24">
      <c r="A628" t="s">
        <v>931</v>
      </c>
      <c r="B628" s="163" t="s">
        <v>474</v>
      </c>
      <c r="C628" s="2" t="s">
        <v>67</v>
      </c>
      <c r="D628" s="2" t="s">
        <v>169</v>
      </c>
      <c r="E628" s="3">
        <v>45380.791666666664</v>
      </c>
      <c r="F628" s="2" t="s">
        <v>396</v>
      </c>
      <c r="G628" s="2" t="s">
        <v>170</v>
      </c>
      <c r="H628" s="2">
        <v>52</v>
      </c>
      <c r="I628" s="2">
        <v>2.8</v>
      </c>
      <c r="J628" s="2">
        <v>20</v>
      </c>
      <c r="K628" s="2">
        <v>65</v>
      </c>
      <c r="L628" s="2">
        <v>85</v>
      </c>
      <c r="M628" s="2"/>
      <c r="N628" s="2" t="s">
        <v>95</v>
      </c>
      <c r="O628" s="10">
        <v>1</v>
      </c>
      <c r="P628" s="14">
        <v>0</v>
      </c>
      <c r="Q628" s="183">
        <v>1</v>
      </c>
      <c r="R628" s="187">
        <v>0</v>
      </c>
      <c r="S628" s="178">
        <f t="shared" si="73"/>
        <v>1</v>
      </c>
      <c r="T628" s="186">
        <f t="shared" si="74"/>
        <v>1</v>
      </c>
      <c r="U628" s="179">
        <f t="shared" si="75"/>
        <v>0</v>
      </c>
      <c r="V628" s="1">
        <f t="shared" si="78"/>
        <v>25</v>
      </c>
      <c r="W628" s="8">
        <f t="shared" si="76"/>
        <v>6.25</v>
      </c>
      <c r="X628" s="15">
        <f t="shared" si="77"/>
        <v>3325</v>
      </c>
    </row>
    <row r="629" spans="1:24">
      <c r="A629" t="s">
        <v>931</v>
      </c>
      <c r="B629" s="163" t="s">
        <v>474</v>
      </c>
      <c r="C629" s="2" t="s">
        <v>77</v>
      </c>
      <c r="D629" s="2" t="s">
        <v>234</v>
      </c>
      <c r="E629" s="3">
        <v>45382.520833333336</v>
      </c>
      <c r="F629" s="2" t="s">
        <v>407</v>
      </c>
      <c r="G629" s="2" t="s">
        <v>650</v>
      </c>
      <c r="H629" s="2">
        <v>53</v>
      </c>
      <c r="I629" s="2">
        <v>2.95</v>
      </c>
      <c r="J629" s="2">
        <v>20</v>
      </c>
      <c r="K629" s="2">
        <v>60</v>
      </c>
      <c r="L629" s="2">
        <v>90</v>
      </c>
      <c r="M629" s="2"/>
      <c r="N629" s="2" t="s">
        <v>95</v>
      </c>
      <c r="O629" s="10">
        <v>0</v>
      </c>
      <c r="P629" s="14">
        <v>1</v>
      </c>
      <c r="Q629" s="183">
        <v>0</v>
      </c>
      <c r="R629" s="187">
        <v>1</v>
      </c>
      <c r="S629" s="178">
        <f t="shared" si="73"/>
        <v>1</v>
      </c>
      <c r="T629" s="186">
        <f t="shared" si="74"/>
        <v>1</v>
      </c>
      <c r="U629" s="179">
        <f t="shared" si="75"/>
        <v>0</v>
      </c>
      <c r="V629" s="1">
        <f t="shared" si="78"/>
        <v>25</v>
      </c>
      <c r="W629" s="8">
        <f t="shared" si="76"/>
        <v>6.25</v>
      </c>
      <c r="X629" s="15">
        <f t="shared" si="77"/>
        <v>3331.25</v>
      </c>
    </row>
    <row r="630" spans="1:24">
      <c r="A630" t="s">
        <v>931</v>
      </c>
      <c r="B630" s="163" t="s">
        <v>474</v>
      </c>
      <c r="C630" s="2" t="s">
        <v>20</v>
      </c>
      <c r="D630" s="2" t="s">
        <v>21</v>
      </c>
      <c r="E630" s="3">
        <v>45388.708333333336</v>
      </c>
      <c r="F630" s="2" t="s">
        <v>380</v>
      </c>
      <c r="G630" s="2" t="s">
        <v>590</v>
      </c>
      <c r="H630" s="2">
        <v>53</v>
      </c>
      <c r="I630" s="2">
        <v>3.05</v>
      </c>
      <c r="J630" s="2">
        <v>20</v>
      </c>
      <c r="K630" s="2">
        <v>60</v>
      </c>
      <c r="L630" s="2">
        <v>90</v>
      </c>
      <c r="M630" s="2"/>
      <c r="N630" s="2" t="s">
        <v>95</v>
      </c>
      <c r="O630" s="10">
        <v>1</v>
      </c>
      <c r="P630" s="14">
        <v>0</v>
      </c>
      <c r="Q630" s="183">
        <v>1</v>
      </c>
      <c r="R630" s="187">
        <v>0</v>
      </c>
      <c r="S630" s="178">
        <f t="shared" si="73"/>
        <v>1</v>
      </c>
      <c r="T630" s="186">
        <f t="shared" si="74"/>
        <v>1</v>
      </c>
      <c r="U630" s="179">
        <f t="shared" si="75"/>
        <v>0</v>
      </c>
      <c r="V630" s="1">
        <f t="shared" si="78"/>
        <v>25</v>
      </c>
      <c r="W630" s="8">
        <f t="shared" si="76"/>
        <v>6.25</v>
      </c>
      <c r="X630" s="15">
        <f t="shared" si="77"/>
        <v>3337.5</v>
      </c>
    </row>
    <row r="631" spans="1:24">
      <c r="A631" t="s">
        <v>931</v>
      </c>
      <c r="B631" s="163" t="s">
        <v>474</v>
      </c>
      <c r="C631" s="2" t="s">
        <v>6</v>
      </c>
      <c r="D631" s="2" t="s">
        <v>11</v>
      </c>
      <c r="E631" s="3">
        <v>45391.822916666664</v>
      </c>
      <c r="F631" s="2" t="s">
        <v>301</v>
      </c>
      <c r="G631" s="2" t="s">
        <v>585</v>
      </c>
      <c r="H631" s="2">
        <v>56</v>
      </c>
      <c r="I631" s="2">
        <v>2.95</v>
      </c>
      <c r="J631" s="2">
        <v>20</v>
      </c>
      <c r="K631" s="2">
        <v>65</v>
      </c>
      <c r="L631" s="2">
        <v>85</v>
      </c>
      <c r="M631" s="2"/>
      <c r="N631" s="2" t="s">
        <v>95</v>
      </c>
      <c r="O631" s="10">
        <v>0</v>
      </c>
      <c r="P631" s="14">
        <v>1</v>
      </c>
      <c r="Q631" s="183">
        <v>0</v>
      </c>
      <c r="R631" s="187">
        <v>1</v>
      </c>
      <c r="S631" s="178">
        <f t="shared" si="73"/>
        <v>1</v>
      </c>
      <c r="T631" s="186">
        <f t="shared" si="74"/>
        <v>1</v>
      </c>
      <c r="U631" s="179">
        <f t="shared" si="75"/>
        <v>0</v>
      </c>
      <c r="V631" s="1">
        <f t="shared" si="78"/>
        <v>25</v>
      </c>
      <c r="W631" s="8">
        <f t="shared" si="76"/>
        <v>6.25</v>
      </c>
      <c r="X631" s="15">
        <f t="shared" si="77"/>
        <v>3343.75</v>
      </c>
    </row>
    <row r="632" spans="1:24">
      <c r="A632" t="s">
        <v>931</v>
      </c>
      <c r="B632" s="163" t="s">
        <v>474</v>
      </c>
      <c r="C632" s="2" t="s">
        <v>149</v>
      </c>
      <c r="D632" s="2" t="s">
        <v>150</v>
      </c>
      <c r="E632" s="3">
        <v>45396.65625</v>
      </c>
      <c r="F632" s="2" t="s">
        <v>331</v>
      </c>
      <c r="G632" s="2" t="s">
        <v>732</v>
      </c>
      <c r="H632" s="2">
        <v>50</v>
      </c>
      <c r="I632" s="2">
        <v>3.05</v>
      </c>
      <c r="J632" s="2">
        <v>20</v>
      </c>
      <c r="K632" s="2">
        <v>65</v>
      </c>
      <c r="L632" s="2">
        <v>85</v>
      </c>
      <c r="M632" s="2"/>
      <c r="N632" s="2" t="s">
        <v>95</v>
      </c>
      <c r="O632" s="10">
        <v>0</v>
      </c>
      <c r="P632" s="14">
        <v>0</v>
      </c>
      <c r="Q632" s="183">
        <v>0</v>
      </c>
      <c r="R632" s="187">
        <v>1</v>
      </c>
      <c r="S632" s="178">
        <f t="shared" si="73"/>
        <v>0</v>
      </c>
      <c r="T632" s="186">
        <f t="shared" si="74"/>
        <v>1</v>
      </c>
      <c r="U632" s="179">
        <f t="shared" si="75"/>
        <v>1</v>
      </c>
      <c r="V632" s="1">
        <f t="shared" si="78"/>
        <v>25</v>
      </c>
      <c r="W632" s="8">
        <f t="shared" si="76"/>
        <v>6.25</v>
      </c>
      <c r="X632" s="15">
        <f t="shared" si="77"/>
        <v>3350</v>
      </c>
    </row>
    <row r="633" spans="1:24">
      <c r="A633" t="s">
        <v>931</v>
      </c>
      <c r="B633" s="163" t="s">
        <v>474</v>
      </c>
      <c r="C633" s="2" t="s">
        <v>77</v>
      </c>
      <c r="D633" s="2" t="s">
        <v>156</v>
      </c>
      <c r="E633" s="3">
        <v>45402.604166666664</v>
      </c>
      <c r="F633" s="2" t="s">
        <v>161</v>
      </c>
      <c r="G633" s="2" t="s">
        <v>239</v>
      </c>
      <c r="H633" s="2">
        <v>51</v>
      </c>
      <c r="I633" s="2">
        <v>3.2</v>
      </c>
      <c r="J633" s="2">
        <v>20</v>
      </c>
      <c r="K633" s="2">
        <v>70</v>
      </c>
      <c r="L633" s="2">
        <v>90</v>
      </c>
      <c r="M633" s="2"/>
      <c r="N633" s="2" t="s">
        <v>95</v>
      </c>
      <c r="O633" s="10">
        <v>1</v>
      </c>
      <c r="P633" s="14">
        <v>0</v>
      </c>
      <c r="Q633" s="183">
        <v>1</v>
      </c>
      <c r="R633" s="187">
        <v>0</v>
      </c>
      <c r="S633" s="178">
        <f t="shared" si="73"/>
        <v>1</v>
      </c>
      <c r="T633" s="186">
        <f t="shared" si="74"/>
        <v>1</v>
      </c>
      <c r="U633" s="179">
        <f t="shared" si="75"/>
        <v>0</v>
      </c>
      <c r="V633" s="1">
        <f t="shared" si="78"/>
        <v>25</v>
      </c>
      <c r="W633" s="8">
        <f t="shared" si="76"/>
        <v>6.25</v>
      </c>
      <c r="X633" s="15">
        <f t="shared" si="77"/>
        <v>3356.25</v>
      </c>
    </row>
    <row r="634" spans="1:24">
      <c r="A634" t="s">
        <v>931</v>
      </c>
      <c r="B634" s="163" t="s">
        <v>474</v>
      </c>
      <c r="C634" s="2" t="s">
        <v>296</v>
      </c>
      <c r="D634" s="2" t="s">
        <v>525</v>
      </c>
      <c r="E634" s="3">
        <v>45405.802083333336</v>
      </c>
      <c r="F634" s="2" t="s">
        <v>589</v>
      </c>
      <c r="G634" s="2" t="s">
        <v>527</v>
      </c>
      <c r="H634" s="2">
        <v>58</v>
      </c>
      <c r="I634" s="2">
        <v>3.1</v>
      </c>
      <c r="J634" s="2">
        <v>20</v>
      </c>
      <c r="K634" s="2">
        <v>65</v>
      </c>
      <c r="L634" s="2">
        <v>90</v>
      </c>
      <c r="M634" s="2"/>
      <c r="N634" s="2" t="s">
        <v>95</v>
      </c>
      <c r="O634" s="10">
        <v>0</v>
      </c>
      <c r="P634" s="14">
        <v>0</v>
      </c>
      <c r="Q634" s="183">
        <v>0</v>
      </c>
      <c r="R634" s="187">
        <v>1</v>
      </c>
      <c r="S634" s="178">
        <f t="shared" si="73"/>
        <v>0</v>
      </c>
      <c r="T634" s="186">
        <f t="shared" si="74"/>
        <v>1</v>
      </c>
      <c r="U634" s="179">
        <f t="shared" si="75"/>
        <v>1</v>
      </c>
      <c r="V634" s="1">
        <f t="shared" si="78"/>
        <v>25</v>
      </c>
      <c r="W634" s="8">
        <f t="shared" si="76"/>
        <v>6.25</v>
      </c>
      <c r="X634" s="15">
        <f t="shared" si="77"/>
        <v>3362.5</v>
      </c>
    </row>
    <row r="635" spans="1:24">
      <c r="A635" t="s">
        <v>931</v>
      </c>
      <c r="B635" s="163" t="s">
        <v>406</v>
      </c>
      <c r="C635" s="2" t="s">
        <v>6</v>
      </c>
      <c r="D635" s="2" t="s">
        <v>14</v>
      </c>
      <c r="E635" s="3">
        <v>45311.625</v>
      </c>
      <c r="F635" s="2" t="s">
        <v>17</v>
      </c>
      <c r="G635" s="2" t="s">
        <v>262</v>
      </c>
      <c r="H635" s="2">
        <v>1.38</v>
      </c>
      <c r="I635" s="2">
        <v>11</v>
      </c>
      <c r="J635" s="2">
        <v>2.7</v>
      </c>
      <c r="K635" s="2">
        <v>5.7</v>
      </c>
      <c r="L635" s="2"/>
      <c r="M635" s="2"/>
      <c r="N635" s="2" t="s">
        <v>95</v>
      </c>
      <c r="O635" s="10">
        <v>0</v>
      </c>
      <c r="P635" s="13">
        <v>0</v>
      </c>
      <c r="Q635" s="183">
        <v>1</v>
      </c>
      <c r="R635" s="181">
        <v>1</v>
      </c>
      <c r="S635" s="178">
        <f t="shared" si="73"/>
        <v>0</v>
      </c>
      <c r="T635" s="186">
        <f t="shared" si="74"/>
        <v>2</v>
      </c>
      <c r="U635" s="179">
        <f t="shared" si="75"/>
        <v>2</v>
      </c>
      <c r="V635" s="1">
        <f t="shared" si="78"/>
        <v>25</v>
      </c>
      <c r="W635" s="8">
        <f t="shared" si="76"/>
        <v>6.25</v>
      </c>
      <c r="X635" s="15">
        <f t="shared" si="77"/>
        <v>3368.75</v>
      </c>
    </row>
    <row r="636" spans="1:24">
      <c r="A636" t="s">
        <v>931</v>
      </c>
      <c r="B636" s="163" t="s">
        <v>406</v>
      </c>
      <c r="C636" s="7" t="s">
        <v>352</v>
      </c>
      <c r="D636" s="7" t="s">
        <v>353</v>
      </c>
      <c r="E636" s="24">
        <v>45318.576388888891</v>
      </c>
      <c r="F636" s="7" t="s">
        <v>354</v>
      </c>
      <c r="G636" s="7" t="s">
        <v>355</v>
      </c>
      <c r="H636" s="7">
        <v>1.3</v>
      </c>
      <c r="I636" s="7">
        <v>11.5</v>
      </c>
      <c r="J636" s="7">
        <v>2.65</v>
      </c>
      <c r="K636" s="7">
        <v>4.9000000000000004</v>
      </c>
      <c r="L636" s="7">
        <v>0.77</v>
      </c>
      <c r="M636" s="7"/>
      <c r="N636" s="2" t="s">
        <v>95</v>
      </c>
      <c r="O636" s="10">
        <v>2</v>
      </c>
      <c r="P636" s="13">
        <v>0</v>
      </c>
      <c r="Q636" s="183">
        <v>2</v>
      </c>
      <c r="R636" s="181">
        <v>0</v>
      </c>
      <c r="S636" s="178">
        <f t="shared" si="73"/>
        <v>2</v>
      </c>
      <c r="T636" s="186">
        <f t="shared" si="74"/>
        <v>2</v>
      </c>
      <c r="U636" s="179">
        <f t="shared" si="75"/>
        <v>0</v>
      </c>
      <c r="V636" s="1">
        <f t="shared" si="78"/>
        <v>25</v>
      </c>
      <c r="W636" s="8">
        <f t="shared" si="76"/>
        <v>6.25</v>
      </c>
      <c r="X636" s="15">
        <f t="shared" si="77"/>
        <v>3375</v>
      </c>
    </row>
    <row r="637" spans="1:24">
      <c r="A637" t="s">
        <v>931</v>
      </c>
      <c r="B637" s="163" t="s">
        <v>406</v>
      </c>
      <c r="C637" s="2" t="s">
        <v>77</v>
      </c>
      <c r="D637" s="2" t="s">
        <v>156</v>
      </c>
      <c r="E637" s="3">
        <v>45326.6875</v>
      </c>
      <c r="F637" s="2" t="s">
        <v>181</v>
      </c>
      <c r="G637" s="2" t="s">
        <v>315</v>
      </c>
      <c r="H637" s="2">
        <v>1.4</v>
      </c>
      <c r="I637" s="2">
        <v>9.8000000000000007</v>
      </c>
      <c r="J637" s="2">
        <v>3.21</v>
      </c>
      <c r="K637" s="2">
        <v>5.0999999999999996</v>
      </c>
      <c r="L637" s="2">
        <v>2.64</v>
      </c>
      <c r="M637" s="2"/>
      <c r="N637" s="2" t="s">
        <v>95</v>
      </c>
      <c r="O637" s="10">
        <v>1</v>
      </c>
      <c r="P637" s="13">
        <v>0</v>
      </c>
      <c r="Q637" s="183">
        <v>2</v>
      </c>
      <c r="R637" s="181">
        <v>0</v>
      </c>
      <c r="S637" s="178">
        <f t="shared" si="73"/>
        <v>1</v>
      </c>
      <c r="T637" s="186">
        <f t="shared" si="74"/>
        <v>2</v>
      </c>
      <c r="U637" s="179">
        <f t="shared" si="75"/>
        <v>1</v>
      </c>
      <c r="V637" s="1">
        <f t="shared" si="78"/>
        <v>25</v>
      </c>
      <c r="W637" s="8">
        <f t="shared" si="76"/>
        <v>6.25</v>
      </c>
      <c r="X637" s="15">
        <f t="shared" si="77"/>
        <v>3381.25</v>
      </c>
    </row>
    <row r="638" spans="1:24">
      <c r="A638" t="s">
        <v>931</v>
      </c>
      <c r="B638" s="163" t="s">
        <v>406</v>
      </c>
      <c r="C638" s="2" t="s">
        <v>80</v>
      </c>
      <c r="D638" s="2" t="s">
        <v>81</v>
      </c>
      <c r="E638" s="3">
        <v>45332.666666666664</v>
      </c>
      <c r="F638" s="2" t="s">
        <v>144</v>
      </c>
      <c r="G638" s="2" t="s">
        <v>313</v>
      </c>
      <c r="H638" s="2">
        <v>1.3</v>
      </c>
      <c r="I638" s="2">
        <v>11.5</v>
      </c>
      <c r="J638" s="2">
        <v>2.7</v>
      </c>
      <c r="K638" s="2">
        <v>4</v>
      </c>
      <c r="L638" s="2">
        <v>2.14</v>
      </c>
      <c r="M638" s="2"/>
      <c r="N638" s="2" t="s">
        <v>95</v>
      </c>
      <c r="O638" s="10">
        <v>2</v>
      </c>
      <c r="P638" s="13">
        <v>0</v>
      </c>
      <c r="Q638" s="183">
        <v>2</v>
      </c>
      <c r="R638" s="181">
        <v>0</v>
      </c>
      <c r="S638" s="178">
        <f t="shared" si="73"/>
        <v>2</v>
      </c>
      <c r="T638" s="186">
        <f t="shared" si="74"/>
        <v>2</v>
      </c>
      <c r="U638" s="179">
        <f t="shared" si="75"/>
        <v>0</v>
      </c>
      <c r="V638" s="1">
        <f t="shared" si="78"/>
        <v>25</v>
      </c>
      <c r="W638" s="8">
        <f t="shared" si="76"/>
        <v>6.25</v>
      </c>
      <c r="X638" s="15">
        <f t="shared" si="77"/>
        <v>3387.5</v>
      </c>
    </row>
    <row r="639" spans="1:24">
      <c r="A639" t="s">
        <v>931</v>
      </c>
      <c r="B639" s="163" t="s">
        <v>406</v>
      </c>
      <c r="C639" s="2" t="s">
        <v>6</v>
      </c>
      <c r="D639" s="2" t="s">
        <v>14</v>
      </c>
      <c r="E639" s="3">
        <v>45335.822916666664</v>
      </c>
      <c r="F639" s="2" t="s">
        <v>290</v>
      </c>
      <c r="G639" s="2" t="s">
        <v>202</v>
      </c>
      <c r="H639" s="2">
        <v>1.32</v>
      </c>
      <c r="I639" s="2">
        <v>14</v>
      </c>
      <c r="J639" s="2">
        <v>2.65</v>
      </c>
      <c r="K639" s="2">
        <v>4.7</v>
      </c>
      <c r="L639" s="2">
        <v>2.4900000000000002</v>
      </c>
      <c r="M639" s="2"/>
      <c r="N639" s="2" t="s">
        <v>95</v>
      </c>
      <c r="O639" s="10">
        <v>2</v>
      </c>
      <c r="P639" s="14">
        <v>0</v>
      </c>
      <c r="Q639" s="183">
        <v>2</v>
      </c>
      <c r="R639" s="181">
        <v>0</v>
      </c>
      <c r="S639" s="178">
        <f t="shared" si="73"/>
        <v>2</v>
      </c>
      <c r="T639" s="186">
        <f t="shared" si="74"/>
        <v>2</v>
      </c>
      <c r="U639" s="179">
        <f t="shared" si="75"/>
        <v>0</v>
      </c>
      <c r="V639" s="1">
        <f t="shared" si="78"/>
        <v>25</v>
      </c>
      <c r="W639" s="8">
        <f t="shared" si="76"/>
        <v>6.25</v>
      </c>
      <c r="X639" s="15">
        <f t="shared" si="77"/>
        <v>3393.75</v>
      </c>
    </row>
    <row r="640" spans="1:24">
      <c r="A640" t="s">
        <v>931</v>
      </c>
      <c r="B640" s="163" t="s">
        <v>406</v>
      </c>
      <c r="C640" s="2" t="s">
        <v>77</v>
      </c>
      <c r="D640" s="2" t="s">
        <v>156</v>
      </c>
      <c r="E640" s="3">
        <v>45346.604166666664</v>
      </c>
      <c r="F640" s="2" t="s">
        <v>168</v>
      </c>
      <c r="G640" s="2" t="s">
        <v>438</v>
      </c>
      <c r="H640" s="2">
        <v>1.35</v>
      </c>
      <c r="I640" s="2">
        <v>11.5</v>
      </c>
      <c r="J640" s="2">
        <v>3.2</v>
      </c>
      <c r="K640" s="2">
        <v>4.7</v>
      </c>
      <c r="L640" s="2">
        <v>3.64</v>
      </c>
      <c r="M640" s="2"/>
      <c r="N640" s="2" t="s">
        <v>95</v>
      </c>
      <c r="O640" s="10">
        <v>0</v>
      </c>
      <c r="P640" s="14">
        <v>0</v>
      </c>
      <c r="Q640" s="183">
        <v>1</v>
      </c>
      <c r="R640" s="181">
        <v>1</v>
      </c>
      <c r="S640" s="178">
        <f t="shared" si="73"/>
        <v>0</v>
      </c>
      <c r="T640" s="186">
        <f t="shared" si="74"/>
        <v>2</v>
      </c>
      <c r="U640" s="179">
        <f t="shared" si="75"/>
        <v>2</v>
      </c>
      <c r="V640" s="1">
        <f t="shared" si="78"/>
        <v>25</v>
      </c>
      <c r="W640" s="8">
        <f t="shared" si="76"/>
        <v>6.25</v>
      </c>
      <c r="X640" s="15">
        <f t="shared" si="77"/>
        <v>3400</v>
      </c>
    </row>
    <row r="641" spans="1:24">
      <c r="A641" t="s">
        <v>931</v>
      </c>
      <c r="B641" s="163" t="s">
        <v>406</v>
      </c>
      <c r="C641" s="2" t="s">
        <v>77</v>
      </c>
      <c r="D641" s="2" t="s">
        <v>156</v>
      </c>
      <c r="E641" s="3">
        <v>45361.770833333336</v>
      </c>
      <c r="F641" s="2" t="s">
        <v>325</v>
      </c>
      <c r="G641" s="2" t="s">
        <v>161</v>
      </c>
      <c r="H641" s="2">
        <v>1.35</v>
      </c>
      <c r="I641" s="2">
        <v>10.5</v>
      </c>
      <c r="J641" s="2">
        <v>2.9</v>
      </c>
      <c r="K641" s="2">
        <v>4.9000000000000004</v>
      </c>
      <c r="L641" s="2">
        <v>2.65</v>
      </c>
      <c r="M641" s="2"/>
      <c r="N641" s="2" t="s">
        <v>95</v>
      </c>
      <c r="O641" s="10">
        <v>1</v>
      </c>
      <c r="P641" s="14">
        <v>0</v>
      </c>
      <c r="Q641" s="183">
        <v>2</v>
      </c>
      <c r="R641" s="181">
        <v>0</v>
      </c>
      <c r="S641" s="178">
        <f t="shared" ref="S641:S704" si="79">SUM(O641:P641)</f>
        <v>1</v>
      </c>
      <c r="T641" s="186">
        <f t="shared" ref="T641:T704" si="80">SUM(Q641:R641)</f>
        <v>2</v>
      </c>
      <c r="U641" s="179">
        <f t="shared" ref="U641:U704" si="81">SUM(T641-S641)</f>
        <v>1</v>
      </c>
      <c r="V641" s="1">
        <f t="shared" si="78"/>
        <v>25</v>
      </c>
      <c r="W641" s="8">
        <f t="shared" si="76"/>
        <v>6.25</v>
      </c>
      <c r="X641" s="15">
        <f t="shared" si="77"/>
        <v>3406.25</v>
      </c>
    </row>
    <row r="642" spans="1:24">
      <c r="A642" t="s">
        <v>931</v>
      </c>
      <c r="B642" s="163" t="s">
        <v>406</v>
      </c>
      <c r="C642" s="2" t="s">
        <v>6</v>
      </c>
      <c r="D642" s="2" t="s">
        <v>14</v>
      </c>
      <c r="E642" s="3">
        <v>45368.625</v>
      </c>
      <c r="F642" s="2" t="s">
        <v>280</v>
      </c>
      <c r="G642" s="2" t="s">
        <v>610</v>
      </c>
      <c r="H642" s="2">
        <v>1.34</v>
      </c>
      <c r="I642" s="2">
        <v>12.5</v>
      </c>
      <c r="J642" s="2">
        <v>2.6</v>
      </c>
      <c r="K642" s="2">
        <v>5.6</v>
      </c>
      <c r="L642" s="2">
        <v>2.17</v>
      </c>
      <c r="M642" s="2"/>
      <c r="N642" s="2" t="s">
        <v>95</v>
      </c>
      <c r="O642" s="10">
        <v>1</v>
      </c>
      <c r="P642" s="14">
        <v>0</v>
      </c>
      <c r="Q642" s="183">
        <v>2</v>
      </c>
      <c r="R642" s="181">
        <v>0</v>
      </c>
      <c r="S642" s="178">
        <f t="shared" si="79"/>
        <v>1</v>
      </c>
      <c r="T642" s="186">
        <f t="shared" si="80"/>
        <v>2</v>
      </c>
      <c r="U642" s="179">
        <f t="shared" si="81"/>
        <v>1</v>
      </c>
      <c r="V642" s="1">
        <f t="shared" si="78"/>
        <v>25</v>
      </c>
      <c r="W642" s="8">
        <f t="shared" ref="W642:W705" si="82">IF(N642="won",V642*0.25,-V642)</f>
        <v>6.25</v>
      </c>
      <c r="X642" s="15">
        <f t="shared" si="77"/>
        <v>3412.5</v>
      </c>
    </row>
    <row r="643" spans="1:24">
      <c r="A643" t="s">
        <v>931</v>
      </c>
      <c r="B643" s="163" t="s">
        <v>406</v>
      </c>
      <c r="C643" s="2" t="s">
        <v>6</v>
      </c>
      <c r="D643" s="2" t="s">
        <v>62</v>
      </c>
      <c r="E643" s="3">
        <v>45396.6875</v>
      </c>
      <c r="F643" s="2" t="s">
        <v>73</v>
      </c>
      <c r="G643" s="2" t="s">
        <v>102</v>
      </c>
      <c r="H643" s="2">
        <v>1.31</v>
      </c>
      <c r="I643" s="2">
        <v>11</v>
      </c>
      <c r="J643" s="2">
        <v>3.5</v>
      </c>
      <c r="K643" s="2">
        <v>4</v>
      </c>
      <c r="L643" s="2">
        <v>3</v>
      </c>
      <c r="M643" s="2"/>
      <c r="N643" s="2" t="s">
        <v>95</v>
      </c>
      <c r="O643" s="10">
        <v>0</v>
      </c>
      <c r="P643" s="14">
        <v>0</v>
      </c>
      <c r="Q643" s="183">
        <v>0</v>
      </c>
      <c r="R643" s="181">
        <v>2</v>
      </c>
      <c r="S643" s="178">
        <f t="shared" si="79"/>
        <v>0</v>
      </c>
      <c r="T643" s="186">
        <f t="shared" si="80"/>
        <v>2</v>
      </c>
      <c r="U643" s="179">
        <f t="shared" si="81"/>
        <v>2</v>
      </c>
      <c r="V643" s="1">
        <f t="shared" si="78"/>
        <v>25</v>
      </c>
      <c r="W643" s="8">
        <f t="shared" si="82"/>
        <v>6.25</v>
      </c>
      <c r="X643" s="15">
        <f t="shared" si="77"/>
        <v>3418.75</v>
      </c>
    </row>
    <row r="644" spans="1:24">
      <c r="A644" t="s">
        <v>931</v>
      </c>
      <c r="B644" s="163" t="s">
        <v>406</v>
      </c>
      <c r="C644" s="2" t="s">
        <v>119</v>
      </c>
      <c r="D644" s="2" t="s">
        <v>120</v>
      </c>
      <c r="E644" s="3">
        <v>45401.833333333336</v>
      </c>
      <c r="F644" s="2" t="s">
        <v>384</v>
      </c>
      <c r="G644" s="2" t="s">
        <v>388</v>
      </c>
      <c r="H644" s="2">
        <v>1.28</v>
      </c>
      <c r="I644" s="2">
        <v>15</v>
      </c>
      <c r="J644" s="2">
        <v>2.75</v>
      </c>
      <c r="K644" s="2">
        <v>5</v>
      </c>
      <c r="L644" s="2">
        <v>2.7</v>
      </c>
      <c r="M644" s="2"/>
      <c r="N644" s="2" t="s">
        <v>95</v>
      </c>
      <c r="O644" s="10">
        <v>1</v>
      </c>
      <c r="P644" s="14">
        <v>1</v>
      </c>
      <c r="Q644" s="183">
        <v>1</v>
      </c>
      <c r="R644" s="181">
        <v>1</v>
      </c>
      <c r="S644" s="178">
        <f t="shared" si="79"/>
        <v>2</v>
      </c>
      <c r="T644" s="186">
        <f t="shared" si="80"/>
        <v>2</v>
      </c>
      <c r="U644" s="179">
        <f t="shared" si="81"/>
        <v>0</v>
      </c>
      <c r="V644" s="1">
        <f t="shared" si="78"/>
        <v>25</v>
      </c>
      <c r="W644" s="8">
        <f t="shared" si="82"/>
        <v>6.25</v>
      </c>
      <c r="X644" s="15">
        <f t="shared" si="77"/>
        <v>3425</v>
      </c>
    </row>
    <row r="645" spans="1:24">
      <c r="A645" t="s">
        <v>931</v>
      </c>
      <c r="B645" s="163" t="s">
        <v>406</v>
      </c>
      <c r="C645" s="2" t="s">
        <v>6</v>
      </c>
      <c r="D645" s="2" t="s">
        <v>14</v>
      </c>
      <c r="E645" s="3">
        <v>45409.625</v>
      </c>
      <c r="F645" s="2" t="s">
        <v>201</v>
      </c>
      <c r="G645" s="2" t="s">
        <v>262</v>
      </c>
      <c r="H645" s="2">
        <v>1.42</v>
      </c>
      <c r="I645" s="2">
        <v>10</v>
      </c>
      <c r="J645" s="2">
        <v>2.7</v>
      </c>
      <c r="K645" s="2">
        <v>6.2</v>
      </c>
      <c r="L645" s="2">
        <v>2.1800000000000002</v>
      </c>
      <c r="M645" s="2"/>
      <c r="N645" s="2" t="s">
        <v>95</v>
      </c>
      <c r="O645" s="10">
        <v>1</v>
      </c>
      <c r="P645" s="14">
        <v>0</v>
      </c>
      <c r="Q645" s="183">
        <v>2</v>
      </c>
      <c r="R645" s="181">
        <v>0</v>
      </c>
      <c r="S645" s="178">
        <f t="shared" si="79"/>
        <v>1</v>
      </c>
      <c r="T645" s="186">
        <f t="shared" si="80"/>
        <v>2</v>
      </c>
      <c r="U645" s="179">
        <f t="shared" si="81"/>
        <v>1</v>
      </c>
      <c r="V645" s="1">
        <f t="shared" si="78"/>
        <v>25</v>
      </c>
      <c r="W645" s="8">
        <f t="shared" si="82"/>
        <v>6.25</v>
      </c>
      <c r="X645" s="15">
        <f t="shared" si="77"/>
        <v>3431.25</v>
      </c>
    </row>
    <row r="646" spans="1:24">
      <c r="A646" t="s">
        <v>931</v>
      </c>
      <c r="B646" s="163" t="s">
        <v>406</v>
      </c>
      <c r="C646" s="2" t="s">
        <v>6</v>
      </c>
      <c r="D646" s="2" t="s">
        <v>14</v>
      </c>
      <c r="E646" s="3">
        <v>45416.520833333336</v>
      </c>
      <c r="F646" s="2" t="s">
        <v>291</v>
      </c>
      <c r="G646" s="2" t="s">
        <v>421</v>
      </c>
      <c r="H646" s="2">
        <v>1.26</v>
      </c>
      <c r="I646" s="2">
        <v>14</v>
      </c>
      <c r="J646" s="2">
        <v>3.3</v>
      </c>
      <c r="K646" s="2">
        <v>3.7</v>
      </c>
      <c r="L646" s="2">
        <v>2.4700000000000002</v>
      </c>
      <c r="M646" s="2"/>
      <c r="N646" s="2" t="s">
        <v>95</v>
      </c>
      <c r="O646" s="10">
        <v>1</v>
      </c>
      <c r="P646" s="14">
        <v>0</v>
      </c>
      <c r="Q646" s="183">
        <v>2</v>
      </c>
      <c r="R646" s="181">
        <v>0</v>
      </c>
      <c r="S646" s="178">
        <f t="shared" si="79"/>
        <v>1</v>
      </c>
      <c r="T646" s="186">
        <f t="shared" si="80"/>
        <v>2</v>
      </c>
      <c r="U646" s="179">
        <f t="shared" si="81"/>
        <v>1</v>
      </c>
      <c r="V646" s="1">
        <f t="shared" si="78"/>
        <v>25</v>
      </c>
      <c r="W646" s="8">
        <f t="shared" si="82"/>
        <v>6.25</v>
      </c>
      <c r="X646" s="15">
        <f t="shared" si="77"/>
        <v>3437.5</v>
      </c>
    </row>
    <row r="647" spans="1:24">
      <c r="A647" t="s">
        <v>931</v>
      </c>
      <c r="B647" s="163" t="s">
        <v>506</v>
      </c>
      <c r="C647" s="2" t="s">
        <v>13</v>
      </c>
      <c r="D647" s="2" t="s">
        <v>37</v>
      </c>
      <c r="E647" s="3">
        <v>45354.5</v>
      </c>
      <c r="F647" s="2" t="s">
        <v>305</v>
      </c>
      <c r="G647" s="2" t="s">
        <v>99</v>
      </c>
      <c r="H647" s="2">
        <v>55</v>
      </c>
      <c r="I647" s="2">
        <v>4.9000000000000004</v>
      </c>
      <c r="J647" s="2">
        <v>310</v>
      </c>
      <c r="K647" s="2">
        <v>20</v>
      </c>
      <c r="L647" s="2">
        <v>2.75</v>
      </c>
      <c r="M647" s="2"/>
      <c r="N647" s="2" t="s">
        <v>95</v>
      </c>
      <c r="O647" s="10">
        <v>1</v>
      </c>
      <c r="P647" s="14">
        <v>0</v>
      </c>
      <c r="Q647" s="183">
        <v>2</v>
      </c>
      <c r="R647" s="181">
        <v>0</v>
      </c>
      <c r="S647" s="178">
        <f t="shared" si="79"/>
        <v>1</v>
      </c>
      <c r="T647" s="186">
        <f t="shared" si="80"/>
        <v>2</v>
      </c>
      <c r="U647" s="179">
        <f t="shared" si="81"/>
        <v>1</v>
      </c>
      <c r="V647" s="1">
        <f t="shared" si="78"/>
        <v>25</v>
      </c>
      <c r="W647" s="8">
        <f t="shared" si="82"/>
        <v>6.25</v>
      </c>
      <c r="X647" s="15">
        <f t="shared" si="77"/>
        <v>3443.75</v>
      </c>
    </row>
    <row r="648" spans="1:24">
      <c r="A648" t="s">
        <v>931</v>
      </c>
      <c r="B648" s="163" t="s">
        <v>506</v>
      </c>
      <c r="C648" s="2" t="s">
        <v>77</v>
      </c>
      <c r="D648" s="2" t="s">
        <v>156</v>
      </c>
      <c r="E648" s="3">
        <v>45354.604166666664</v>
      </c>
      <c r="F648" s="2" t="s">
        <v>438</v>
      </c>
      <c r="G648" s="2" t="s">
        <v>325</v>
      </c>
      <c r="H648" s="2">
        <v>110</v>
      </c>
      <c r="I648" s="2">
        <v>6</v>
      </c>
      <c r="J648" s="2">
        <v>340</v>
      </c>
      <c r="K648" s="2">
        <v>20</v>
      </c>
      <c r="L648" s="2">
        <v>2.65</v>
      </c>
      <c r="M648" s="2"/>
      <c r="N648" s="2" t="s">
        <v>95</v>
      </c>
      <c r="O648" s="10">
        <v>0</v>
      </c>
      <c r="P648" s="14">
        <v>1</v>
      </c>
      <c r="Q648" s="183">
        <v>0</v>
      </c>
      <c r="R648" s="181">
        <v>2</v>
      </c>
      <c r="S648" s="178">
        <f t="shared" si="79"/>
        <v>1</v>
      </c>
      <c r="T648" s="186">
        <f t="shared" si="80"/>
        <v>2</v>
      </c>
      <c r="U648" s="179">
        <f t="shared" si="81"/>
        <v>1</v>
      </c>
      <c r="V648" s="1">
        <f t="shared" si="78"/>
        <v>25</v>
      </c>
      <c r="W648" s="8">
        <f t="shared" si="82"/>
        <v>6.25</v>
      </c>
      <c r="X648" s="15">
        <f t="shared" si="77"/>
        <v>3450</v>
      </c>
    </row>
    <row r="649" spans="1:24">
      <c r="A649" t="s">
        <v>931</v>
      </c>
      <c r="B649" s="163" t="s">
        <v>531</v>
      </c>
      <c r="C649" s="2" t="s">
        <v>149</v>
      </c>
      <c r="D649" s="2" t="s">
        <v>153</v>
      </c>
      <c r="E649" s="3">
        <v>45384.791666666664</v>
      </c>
      <c r="F649" s="2" t="s">
        <v>647</v>
      </c>
      <c r="G649" s="2" t="s">
        <v>188</v>
      </c>
      <c r="H649" s="2">
        <v>2.02</v>
      </c>
      <c r="I649" s="2">
        <v>27</v>
      </c>
      <c r="J649" s="2">
        <v>3.52</v>
      </c>
      <c r="K649" s="2">
        <v>31</v>
      </c>
      <c r="L649" s="2">
        <v>7</v>
      </c>
      <c r="M649" s="2">
        <v>14</v>
      </c>
      <c r="N649" s="2" t="s">
        <v>95</v>
      </c>
      <c r="O649" s="10">
        <v>0</v>
      </c>
      <c r="P649" s="14">
        <v>0</v>
      </c>
      <c r="Q649" s="183">
        <v>0</v>
      </c>
      <c r="R649" s="181">
        <v>2</v>
      </c>
      <c r="S649" s="178">
        <f t="shared" si="79"/>
        <v>0</v>
      </c>
      <c r="T649" s="186">
        <f t="shared" si="80"/>
        <v>2</v>
      </c>
      <c r="U649" s="179">
        <f t="shared" si="81"/>
        <v>2</v>
      </c>
      <c r="V649" s="1">
        <f t="shared" si="78"/>
        <v>25</v>
      </c>
      <c r="W649" s="8">
        <f t="shared" si="82"/>
        <v>6.25</v>
      </c>
      <c r="X649" s="15">
        <f t="shared" si="77"/>
        <v>3456.25</v>
      </c>
    </row>
    <row r="650" spans="1:24">
      <c r="A650" t="s">
        <v>931</v>
      </c>
      <c r="B650" s="163" t="s">
        <v>531</v>
      </c>
      <c r="C650" s="2" t="s">
        <v>44</v>
      </c>
      <c r="D650" s="2" t="s">
        <v>45</v>
      </c>
      <c r="E650" s="3">
        <v>45385.489583333336</v>
      </c>
      <c r="F650" s="2" t="s">
        <v>131</v>
      </c>
      <c r="G650" s="2" t="s">
        <v>46</v>
      </c>
      <c r="H650" s="2">
        <v>5.6</v>
      </c>
      <c r="I650" s="2">
        <v>22</v>
      </c>
      <c r="J650" s="2">
        <v>3.91</v>
      </c>
      <c r="K650" s="2">
        <v>18</v>
      </c>
      <c r="L650" s="2">
        <v>3</v>
      </c>
      <c r="M650" s="2">
        <v>11</v>
      </c>
      <c r="N650" s="2" t="s">
        <v>95</v>
      </c>
      <c r="O650" s="10">
        <v>1</v>
      </c>
      <c r="P650" s="14">
        <v>1</v>
      </c>
      <c r="Q650" s="183">
        <v>1</v>
      </c>
      <c r="R650" s="181">
        <v>1</v>
      </c>
      <c r="S650" s="178">
        <f t="shared" si="79"/>
        <v>2</v>
      </c>
      <c r="T650" s="186">
        <f t="shared" si="80"/>
        <v>2</v>
      </c>
      <c r="U650" s="179">
        <f t="shared" si="81"/>
        <v>0</v>
      </c>
      <c r="V650" s="1">
        <f t="shared" si="78"/>
        <v>25</v>
      </c>
      <c r="W650" s="8">
        <f t="shared" si="82"/>
        <v>6.25</v>
      </c>
      <c r="X650" s="15">
        <f t="shared" si="77"/>
        <v>3462.5</v>
      </c>
    </row>
    <row r="651" spans="1:24">
      <c r="A651" t="s">
        <v>931</v>
      </c>
      <c r="B651" s="163" t="s">
        <v>531</v>
      </c>
      <c r="C651" s="2" t="s">
        <v>149</v>
      </c>
      <c r="D651" s="2" t="s">
        <v>150</v>
      </c>
      <c r="E651" s="3">
        <v>45390.791666666664</v>
      </c>
      <c r="F651" s="2" t="s">
        <v>256</v>
      </c>
      <c r="G651" s="2" t="s">
        <v>236</v>
      </c>
      <c r="H651" s="2">
        <v>4.5999999999999996</v>
      </c>
      <c r="I651" s="2">
        <v>31</v>
      </c>
      <c r="J651" s="2">
        <v>2.35</v>
      </c>
      <c r="K651" s="2">
        <v>30</v>
      </c>
      <c r="L651" s="2">
        <v>3</v>
      </c>
      <c r="M651" s="2">
        <v>16</v>
      </c>
      <c r="N651" s="2" t="s">
        <v>95</v>
      </c>
      <c r="O651" s="10">
        <v>0</v>
      </c>
      <c r="P651" s="14">
        <v>0</v>
      </c>
      <c r="Q651" s="183">
        <v>1</v>
      </c>
      <c r="R651" s="181">
        <v>1</v>
      </c>
      <c r="S651" s="178">
        <f t="shared" si="79"/>
        <v>0</v>
      </c>
      <c r="T651" s="186">
        <f t="shared" si="80"/>
        <v>2</v>
      </c>
      <c r="U651" s="179">
        <f t="shared" si="81"/>
        <v>2</v>
      </c>
      <c r="V651" s="1">
        <f t="shared" si="78"/>
        <v>25</v>
      </c>
      <c r="W651" s="8">
        <f t="shared" si="82"/>
        <v>6.25</v>
      </c>
      <c r="X651" s="15">
        <f t="shared" si="77"/>
        <v>3468.75</v>
      </c>
    </row>
    <row r="652" spans="1:24">
      <c r="A652" t="s">
        <v>931</v>
      </c>
      <c r="B652" s="163" t="s">
        <v>531</v>
      </c>
      <c r="C652" s="2" t="s">
        <v>6</v>
      </c>
      <c r="D652" s="2" t="s">
        <v>62</v>
      </c>
      <c r="E652" s="3">
        <v>45402.8125</v>
      </c>
      <c r="F652" s="2" t="s">
        <v>64</v>
      </c>
      <c r="G652" s="2" t="s">
        <v>73</v>
      </c>
      <c r="H652" s="2">
        <v>5.0999999999999996</v>
      </c>
      <c r="I652" s="2">
        <v>31</v>
      </c>
      <c r="J652" s="2">
        <v>3.03</v>
      </c>
      <c r="K652" s="2">
        <v>29</v>
      </c>
      <c r="L652" s="2">
        <v>5</v>
      </c>
      <c r="M652" s="2">
        <v>16</v>
      </c>
      <c r="N652" s="2" t="s">
        <v>95</v>
      </c>
      <c r="O652" s="10">
        <v>0</v>
      </c>
      <c r="P652" s="14">
        <v>1</v>
      </c>
      <c r="Q652" s="183">
        <v>0</v>
      </c>
      <c r="R652" s="181">
        <v>2</v>
      </c>
      <c r="S652" s="178">
        <f t="shared" si="79"/>
        <v>1</v>
      </c>
      <c r="T652" s="186">
        <f t="shared" si="80"/>
        <v>2</v>
      </c>
      <c r="U652" s="179">
        <f t="shared" si="81"/>
        <v>1</v>
      </c>
      <c r="V652" s="1">
        <f t="shared" si="78"/>
        <v>25</v>
      </c>
      <c r="W652" s="8">
        <f t="shared" si="82"/>
        <v>6.25</v>
      </c>
      <c r="X652" s="15">
        <f t="shared" si="77"/>
        <v>3475</v>
      </c>
    </row>
    <row r="653" spans="1:24">
      <c r="A653" t="s">
        <v>931</v>
      </c>
      <c r="B653" s="163" t="s">
        <v>531</v>
      </c>
      <c r="C653" s="2" t="s">
        <v>133</v>
      </c>
      <c r="D653" s="2" t="s">
        <v>78</v>
      </c>
      <c r="E653" s="3">
        <v>45406.625</v>
      </c>
      <c r="F653" s="2" t="s">
        <v>394</v>
      </c>
      <c r="G653" s="2" t="s">
        <v>137</v>
      </c>
      <c r="H653" s="2">
        <v>4.2</v>
      </c>
      <c r="I653" s="2">
        <v>32</v>
      </c>
      <c r="J653" s="2">
        <v>3.5</v>
      </c>
      <c r="K653" s="2">
        <v>29</v>
      </c>
      <c r="L653" s="2">
        <v>4</v>
      </c>
      <c r="M653" s="2">
        <v>16</v>
      </c>
      <c r="N653" s="2" t="s">
        <v>95</v>
      </c>
      <c r="O653" s="10">
        <v>1</v>
      </c>
      <c r="P653" s="14">
        <v>0</v>
      </c>
      <c r="Q653" s="183">
        <v>1</v>
      </c>
      <c r="R653" s="181">
        <v>1</v>
      </c>
      <c r="S653" s="178">
        <f t="shared" si="79"/>
        <v>1</v>
      </c>
      <c r="T653" s="186">
        <f t="shared" si="80"/>
        <v>2</v>
      </c>
      <c r="U653" s="179">
        <f t="shared" si="81"/>
        <v>1</v>
      </c>
      <c r="V653" s="1">
        <f t="shared" si="78"/>
        <v>25</v>
      </c>
      <c r="W653" s="8">
        <f t="shared" si="82"/>
        <v>6.25</v>
      </c>
      <c r="X653" s="15">
        <f t="shared" si="77"/>
        <v>3481.25</v>
      </c>
    </row>
    <row r="654" spans="1:24">
      <c r="A654" t="s">
        <v>931</v>
      </c>
      <c r="B654" s="163" t="s">
        <v>531</v>
      </c>
      <c r="C654" s="2" t="s">
        <v>6</v>
      </c>
      <c r="D654" s="2" t="s">
        <v>62</v>
      </c>
      <c r="E654" s="3">
        <v>45406.833333333336</v>
      </c>
      <c r="F654" s="2" t="s">
        <v>71</v>
      </c>
      <c r="G654" s="2" t="s">
        <v>285</v>
      </c>
      <c r="H654" s="2">
        <v>5.0999999999999996</v>
      </c>
      <c r="I654" s="2">
        <v>32</v>
      </c>
      <c r="J654" s="2">
        <v>2.66</v>
      </c>
      <c r="K654" s="2">
        <v>38</v>
      </c>
      <c r="L654" s="2">
        <v>2</v>
      </c>
      <c r="M654" s="2">
        <v>16</v>
      </c>
      <c r="N654" s="2" t="s">
        <v>95</v>
      </c>
      <c r="O654" s="10">
        <v>1</v>
      </c>
      <c r="P654" s="14">
        <v>0</v>
      </c>
      <c r="Q654" s="183">
        <v>2</v>
      </c>
      <c r="R654" s="181">
        <v>0</v>
      </c>
      <c r="S654" s="178">
        <f t="shared" si="79"/>
        <v>1</v>
      </c>
      <c r="T654" s="186">
        <f t="shared" si="80"/>
        <v>2</v>
      </c>
      <c r="U654" s="179">
        <f t="shared" si="81"/>
        <v>1</v>
      </c>
      <c r="V654" s="1">
        <f t="shared" si="78"/>
        <v>25</v>
      </c>
      <c r="W654" s="8">
        <f t="shared" si="82"/>
        <v>6.25</v>
      </c>
      <c r="X654" s="15">
        <f t="shared" si="77"/>
        <v>3487.5</v>
      </c>
    </row>
    <row r="655" spans="1:24">
      <c r="A655" t="s">
        <v>931</v>
      </c>
      <c r="B655" s="163" t="s">
        <v>531</v>
      </c>
      <c r="C655" s="2" t="s">
        <v>77</v>
      </c>
      <c r="D655" s="2" t="s">
        <v>156</v>
      </c>
      <c r="E655" s="3">
        <v>45415.8125</v>
      </c>
      <c r="F655" s="2" t="s">
        <v>158</v>
      </c>
      <c r="G655" s="2" t="s">
        <v>181</v>
      </c>
      <c r="H655" s="2">
        <v>3.8</v>
      </c>
      <c r="I655" s="2">
        <v>30</v>
      </c>
      <c r="J655" s="2">
        <v>3.73</v>
      </c>
      <c r="K655" s="2">
        <v>32</v>
      </c>
      <c r="L655" s="2">
        <v>4</v>
      </c>
      <c r="M655" s="2">
        <v>15</v>
      </c>
      <c r="N655" s="2" t="s">
        <v>95</v>
      </c>
      <c r="O655" s="10">
        <v>0</v>
      </c>
      <c r="P655" s="14">
        <v>1</v>
      </c>
      <c r="Q655" s="183">
        <v>1</v>
      </c>
      <c r="R655" s="181">
        <v>1</v>
      </c>
      <c r="S655" s="178">
        <f t="shared" si="79"/>
        <v>1</v>
      </c>
      <c r="T655" s="186">
        <f t="shared" si="80"/>
        <v>2</v>
      </c>
      <c r="U655" s="179">
        <f t="shared" si="81"/>
        <v>1</v>
      </c>
      <c r="V655" s="1">
        <f t="shared" si="78"/>
        <v>25</v>
      </c>
      <c r="W655" s="8">
        <f t="shared" si="82"/>
        <v>6.25</v>
      </c>
      <c r="X655" s="15">
        <f t="shared" si="77"/>
        <v>3493.75</v>
      </c>
    </row>
    <row r="656" spans="1:24">
      <c r="A656" t="s">
        <v>931</v>
      </c>
      <c r="B656" s="163" t="s">
        <v>531</v>
      </c>
      <c r="C656" s="2" t="s">
        <v>58</v>
      </c>
      <c r="D656" s="2" t="s">
        <v>59</v>
      </c>
      <c r="E656" s="3">
        <v>45417.854166666664</v>
      </c>
      <c r="F656" s="2" t="s">
        <v>61</v>
      </c>
      <c r="G656" s="2" t="s">
        <v>60</v>
      </c>
      <c r="H656" s="2">
        <v>4.9000000000000004</v>
      </c>
      <c r="I656" s="2">
        <v>30</v>
      </c>
      <c r="J656" s="2">
        <v>2.77</v>
      </c>
      <c r="K656" s="2">
        <v>27</v>
      </c>
      <c r="L656" s="2">
        <v>2</v>
      </c>
      <c r="M656" s="2">
        <v>15</v>
      </c>
      <c r="N656" s="2" t="s">
        <v>95</v>
      </c>
      <c r="O656" s="10">
        <v>0</v>
      </c>
      <c r="P656" s="14">
        <v>0</v>
      </c>
      <c r="Q656" s="183">
        <v>2</v>
      </c>
      <c r="R656" s="181">
        <v>0</v>
      </c>
      <c r="S656" s="178">
        <f t="shared" si="79"/>
        <v>0</v>
      </c>
      <c r="T656" s="186">
        <f t="shared" si="80"/>
        <v>2</v>
      </c>
      <c r="U656" s="179">
        <f t="shared" si="81"/>
        <v>2</v>
      </c>
      <c r="V656" s="1">
        <f t="shared" si="78"/>
        <v>25</v>
      </c>
      <c r="W656" s="8">
        <f t="shared" si="82"/>
        <v>6.25</v>
      </c>
      <c r="X656" s="15">
        <f t="shared" si="77"/>
        <v>3500</v>
      </c>
    </row>
    <row r="657" spans="1:24">
      <c r="A657" t="s">
        <v>931</v>
      </c>
      <c r="B657" s="163" t="s">
        <v>531</v>
      </c>
      <c r="C657" s="2" t="s">
        <v>149</v>
      </c>
      <c r="D657" s="2" t="s">
        <v>153</v>
      </c>
      <c r="E657" s="3">
        <v>45424.5625</v>
      </c>
      <c r="F657" s="2" t="s">
        <v>249</v>
      </c>
      <c r="G657" s="2" t="s">
        <v>188</v>
      </c>
      <c r="H657" s="2">
        <v>3.2</v>
      </c>
      <c r="I657" s="2">
        <v>32</v>
      </c>
      <c r="J657" s="2">
        <v>3.44</v>
      </c>
      <c r="K657" s="2">
        <v>27</v>
      </c>
      <c r="L657" s="2">
        <v>8</v>
      </c>
      <c r="M657" s="2">
        <v>16</v>
      </c>
      <c r="N657" s="2" t="s">
        <v>95</v>
      </c>
      <c r="O657" s="10">
        <v>1</v>
      </c>
      <c r="P657" s="14">
        <v>0</v>
      </c>
      <c r="Q657" s="183">
        <v>1</v>
      </c>
      <c r="R657" s="181">
        <v>1</v>
      </c>
      <c r="S657" s="178">
        <f t="shared" si="79"/>
        <v>1</v>
      </c>
      <c r="T657" s="186">
        <f t="shared" si="80"/>
        <v>2</v>
      </c>
      <c r="U657" s="179">
        <f t="shared" si="81"/>
        <v>1</v>
      </c>
      <c r="V657" s="1">
        <f t="shared" si="78"/>
        <v>25</v>
      </c>
      <c r="W657" s="8">
        <f t="shared" si="82"/>
        <v>6.25</v>
      </c>
      <c r="X657" s="15">
        <f t="shared" si="77"/>
        <v>3506.25</v>
      </c>
    </row>
    <row r="658" spans="1:24">
      <c r="A658" t="s">
        <v>931</v>
      </c>
      <c r="B658" s="163" t="s">
        <v>531</v>
      </c>
      <c r="C658" s="2" t="s">
        <v>145</v>
      </c>
      <c r="D658" s="2" t="s">
        <v>190</v>
      </c>
      <c r="E658" s="3">
        <v>45424.833333333336</v>
      </c>
      <c r="F658" s="2" t="s">
        <v>390</v>
      </c>
      <c r="G658" s="2" t="s">
        <v>364</v>
      </c>
      <c r="H658" s="2">
        <v>5</v>
      </c>
      <c r="I658" s="2">
        <v>32</v>
      </c>
      <c r="J658" s="2">
        <v>3.28</v>
      </c>
      <c r="K658" s="2">
        <v>20</v>
      </c>
      <c r="L658" s="2">
        <v>3</v>
      </c>
      <c r="M658" s="2">
        <v>16</v>
      </c>
      <c r="N658" s="2" t="s">
        <v>95</v>
      </c>
      <c r="O658" s="10">
        <v>0</v>
      </c>
      <c r="P658" s="14">
        <v>0</v>
      </c>
      <c r="Q658" s="183">
        <v>0</v>
      </c>
      <c r="R658" s="181">
        <v>2</v>
      </c>
      <c r="S658" s="178">
        <f t="shared" si="79"/>
        <v>0</v>
      </c>
      <c r="T658" s="186">
        <f t="shared" si="80"/>
        <v>2</v>
      </c>
      <c r="U658" s="179">
        <f t="shared" si="81"/>
        <v>2</v>
      </c>
      <c r="V658" s="1">
        <f t="shared" si="78"/>
        <v>25</v>
      </c>
      <c r="W658" s="8">
        <f t="shared" si="82"/>
        <v>6.25</v>
      </c>
      <c r="X658" s="15">
        <f t="shared" si="77"/>
        <v>3512.5</v>
      </c>
    </row>
    <row r="659" spans="1:24">
      <c r="A659" t="s">
        <v>931</v>
      </c>
      <c r="B659" s="163" t="s">
        <v>531</v>
      </c>
      <c r="C659" s="2" t="s">
        <v>6</v>
      </c>
      <c r="D659" s="2" t="s">
        <v>62</v>
      </c>
      <c r="E659" s="3">
        <v>45426.833333333336</v>
      </c>
      <c r="F659" s="2" t="s">
        <v>116</v>
      </c>
      <c r="G659" s="2" t="s">
        <v>72</v>
      </c>
      <c r="H659" s="2">
        <v>3.4</v>
      </c>
      <c r="I659" s="2">
        <v>36</v>
      </c>
      <c r="J659" s="2">
        <v>3.44</v>
      </c>
      <c r="K659" s="2">
        <v>29</v>
      </c>
      <c r="L659" s="2">
        <v>4</v>
      </c>
      <c r="M659" s="2">
        <v>18</v>
      </c>
      <c r="N659" s="2" t="s">
        <v>95</v>
      </c>
      <c r="O659" s="10">
        <v>0</v>
      </c>
      <c r="P659" s="14">
        <v>0</v>
      </c>
      <c r="Q659" s="183">
        <v>0</v>
      </c>
      <c r="R659" s="181">
        <v>2</v>
      </c>
      <c r="S659" s="178">
        <f t="shared" si="79"/>
        <v>0</v>
      </c>
      <c r="T659" s="186">
        <f t="shared" si="80"/>
        <v>2</v>
      </c>
      <c r="U659" s="179">
        <f t="shared" si="81"/>
        <v>2</v>
      </c>
      <c r="V659" s="1">
        <f t="shared" si="78"/>
        <v>25</v>
      </c>
      <c r="W659" s="8">
        <f t="shared" si="82"/>
        <v>6.25</v>
      </c>
      <c r="X659" s="15">
        <f t="shared" si="77"/>
        <v>3518.75</v>
      </c>
    </row>
    <row r="660" spans="1:24">
      <c r="A660" t="s">
        <v>931</v>
      </c>
      <c r="B660" s="163" t="s">
        <v>531</v>
      </c>
      <c r="C660" s="2" t="s">
        <v>119</v>
      </c>
      <c r="D660" s="2" t="s">
        <v>120</v>
      </c>
      <c r="E660" s="3">
        <v>45428.854166666664</v>
      </c>
      <c r="F660" s="2" t="s">
        <v>480</v>
      </c>
      <c r="G660" s="2" t="s">
        <v>361</v>
      </c>
      <c r="H660" s="2">
        <v>3.65</v>
      </c>
      <c r="I660" s="2">
        <v>34</v>
      </c>
      <c r="J660" s="2">
        <v>3.03</v>
      </c>
      <c r="K660" s="2">
        <v>26</v>
      </c>
      <c r="L660" s="2">
        <v>3</v>
      </c>
      <c r="M660" s="2">
        <v>17</v>
      </c>
      <c r="N660" s="2" t="s">
        <v>95</v>
      </c>
      <c r="O660" s="10">
        <v>0</v>
      </c>
      <c r="P660" s="14">
        <v>1</v>
      </c>
      <c r="Q660" s="183">
        <v>0</v>
      </c>
      <c r="R660" s="181">
        <v>2</v>
      </c>
      <c r="S660" s="178">
        <f t="shared" si="79"/>
        <v>1</v>
      </c>
      <c r="T660" s="186">
        <f t="shared" si="80"/>
        <v>2</v>
      </c>
      <c r="U660" s="179">
        <f t="shared" si="81"/>
        <v>1</v>
      </c>
      <c r="V660" s="1">
        <f t="shared" si="78"/>
        <v>25</v>
      </c>
      <c r="W660" s="8">
        <f t="shared" si="82"/>
        <v>6.25</v>
      </c>
      <c r="X660" s="15">
        <f t="shared" si="77"/>
        <v>3525</v>
      </c>
    </row>
    <row r="661" spans="1:24">
      <c r="A661" t="s">
        <v>931</v>
      </c>
      <c r="B661" s="163" t="s">
        <v>531</v>
      </c>
      <c r="C661" s="2" t="s">
        <v>58</v>
      </c>
      <c r="D661" s="2" t="s">
        <v>59</v>
      </c>
      <c r="E661" s="3">
        <v>45429.864583333336</v>
      </c>
      <c r="F661" s="2" t="s">
        <v>127</v>
      </c>
      <c r="G661" s="2" t="s">
        <v>60</v>
      </c>
      <c r="H661" s="2">
        <v>4.3</v>
      </c>
      <c r="I661" s="2">
        <v>32</v>
      </c>
      <c r="J661" s="2">
        <v>2.84</v>
      </c>
      <c r="K661" s="2">
        <v>37</v>
      </c>
      <c r="L661" s="2">
        <v>2</v>
      </c>
      <c r="M661" s="2">
        <v>16</v>
      </c>
      <c r="N661" s="2" t="s">
        <v>95</v>
      </c>
      <c r="O661" s="10">
        <v>0</v>
      </c>
      <c r="P661" s="14">
        <v>1</v>
      </c>
      <c r="Q661" s="183">
        <v>1</v>
      </c>
      <c r="R661" s="181">
        <v>1</v>
      </c>
      <c r="S661" s="178">
        <f t="shared" si="79"/>
        <v>1</v>
      </c>
      <c r="T661" s="186">
        <f t="shared" si="80"/>
        <v>2</v>
      </c>
      <c r="U661" s="179">
        <f t="shared" si="81"/>
        <v>1</v>
      </c>
      <c r="V661" s="1">
        <f t="shared" si="78"/>
        <v>25</v>
      </c>
      <c r="W661" s="8">
        <f t="shared" si="82"/>
        <v>6.25</v>
      </c>
      <c r="X661" s="15">
        <f t="shared" si="77"/>
        <v>3531.25</v>
      </c>
    </row>
    <row r="662" spans="1:24">
      <c r="A662" t="s">
        <v>931</v>
      </c>
      <c r="B662" s="163" t="s">
        <v>531</v>
      </c>
      <c r="C662" s="2" t="s">
        <v>145</v>
      </c>
      <c r="D662" s="2" t="s">
        <v>190</v>
      </c>
      <c r="E662" s="3">
        <v>45431.833333333336</v>
      </c>
      <c r="F662" s="2" t="s">
        <v>853</v>
      </c>
      <c r="G662" s="2" t="s">
        <v>826</v>
      </c>
      <c r="H662" s="2">
        <v>5.4</v>
      </c>
      <c r="I662" s="2">
        <v>32</v>
      </c>
      <c r="J662" s="2">
        <v>2.81</v>
      </c>
      <c r="K662" s="2">
        <v>27</v>
      </c>
      <c r="L662" s="2">
        <v>3</v>
      </c>
      <c r="M662" s="2">
        <v>16</v>
      </c>
      <c r="N662" s="2" t="s">
        <v>95</v>
      </c>
      <c r="O662" s="10">
        <v>0</v>
      </c>
      <c r="P662" s="14">
        <v>2</v>
      </c>
      <c r="Q662" s="183">
        <v>0</v>
      </c>
      <c r="R662" s="181">
        <v>2</v>
      </c>
      <c r="S662" s="178">
        <f t="shared" si="79"/>
        <v>2</v>
      </c>
      <c r="T662" s="186">
        <f t="shared" si="80"/>
        <v>2</v>
      </c>
      <c r="U662" s="179">
        <f t="shared" si="81"/>
        <v>0</v>
      </c>
      <c r="V662" s="1">
        <f t="shared" si="78"/>
        <v>25</v>
      </c>
      <c r="W662" s="8">
        <f t="shared" si="82"/>
        <v>6.25</v>
      </c>
      <c r="X662" s="15">
        <f t="shared" si="77"/>
        <v>3537.5</v>
      </c>
    </row>
    <row r="663" spans="1:24">
      <c r="A663" t="s">
        <v>931</v>
      </c>
      <c r="B663" s="163" t="s">
        <v>512</v>
      </c>
      <c r="C663" s="2" t="s">
        <v>149</v>
      </c>
      <c r="D663" s="2" t="s">
        <v>150</v>
      </c>
      <c r="E663" s="3">
        <v>45362.791666666664</v>
      </c>
      <c r="F663" s="2" t="s">
        <v>179</v>
      </c>
      <c r="G663" s="2" t="s">
        <v>237</v>
      </c>
      <c r="H663" s="2">
        <v>4.5999999999999996</v>
      </c>
      <c r="I663" s="2">
        <v>20</v>
      </c>
      <c r="J663" s="2">
        <v>3.1</v>
      </c>
      <c r="K663" s="2">
        <v>22</v>
      </c>
      <c r="L663" s="2">
        <v>1</v>
      </c>
      <c r="M663" s="2">
        <v>10</v>
      </c>
      <c r="N663" s="2" t="s">
        <v>95</v>
      </c>
      <c r="O663" s="10">
        <v>0</v>
      </c>
      <c r="P663" s="14">
        <v>0</v>
      </c>
      <c r="Q663" s="183">
        <v>0</v>
      </c>
      <c r="R663" s="181">
        <v>2</v>
      </c>
      <c r="S663" s="178">
        <f t="shared" si="79"/>
        <v>0</v>
      </c>
      <c r="T663" s="186">
        <f t="shared" si="80"/>
        <v>2</v>
      </c>
      <c r="U663" s="179">
        <f t="shared" si="81"/>
        <v>2</v>
      </c>
      <c r="V663" s="1">
        <f t="shared" si="78"/>
        <v>25</v>
      </c>
      <c r="W663" s="8">
        <f t="shared" si="82"/>
        <v>6.25</v>
      </c>
      <c r="X663" s="15">
        <f t="shared" si="77"/>
        <v>3543.75</v>
      </c>
    </row>
    <row r="664" spans="1:24">
      <c r="A664" t="s">
        <v>931</v>
      </c>
      <c r="B664" s="163" t="s">
        <v>512</v>
      </c>
      <c r="C664" s="2" t="s">
        <v>6</v>
      </c>
      <c r="D664" s="2" t="s">
        <v>14</v>
      </c>
      <c r="E664" s="3">
        <v>45368.625</v>
      </c>
      <c r="F664" s="2" t="s">
        <v>280</v>
      </c>
      <c r="G664" s="2" t="s">
        <v>610</v>
      </c>
      <c r="H664" s="2">
        <v>5.6</v>
      </c>
      <c r="I664" s="2">
        <v>20</v>
      </c>
      <c r="J664" s="2">
        <v>2.6</v>
      </c>
      <c r="K664" s="2">
        <v>25</v>
      </c>
      <c r="L664" s="2">
        <v>1</v>
      </c>
      <c r="M664" s="2">
        <v>10</v>
      </c>
      <c r="N664" s="2" t="s">
        <v>95</v>
      </c>
      <c r="O664" s="10">
        <v>1</v>
      </c>
      <c r="P664" s="14">
        <v>0</v>
      </c>
      <c r="Q664" s="183">
        <v>2</v>
      </c>
      <c r="R664" s="181">
        <v>0</v>
      </c>
      <c r="S664" s="178">
        <f t="shared" si="79"/>
        <v>1</v>
      </c>
      <c r="T664" s="186">
        <f t="shared" si="80"/>
        <v>2</v>
      </c>
      <c r="U664" s="179">
        <f t="shared" si="81"/>
        <v>1</v>
      </c>
      <c r="V664" s="1">
        <f t="shared" si="78"/>
        <v>25</v>
      </c>
      <c r="W664" s="8">
        <f t="shared" si="82"/>
        <v>6.25</v>
      </c>
      <c r="X664" s="15">
        <f t="shared" si="77"/>
        <v>3550</v>
      </c>
    </row>
    <row r="665" spans="1:24">
      <c r="A665" t="s">
        <v>931</v>
      </c>
      <c r="B665" s="163" t="s">
        <v>512</v>
      </c>
      <c r="C665" s="2" t="s">
        <v>6</v>
      </c>
      <c r="D665" s="2" t="s">
        <v>7</v>
      </c>
      <c r="E665" s="3">
        <v>45374.520833333336</v>
      </c>
      <c r="F665" s="2" t="s">
        <v>307</v>
      </c>
      <c r="G665" s="2" t="s">
        <v>27</v>
      </c>
      <c r="H665" s="2">
        <v>4.7</v>
      </c>
      <c r="I665" s="2">
        <v>20</v>
      </c>
      <c r="J665" s="2">
        <v>3.25</v>
      </c>
      <c r="K665" s="2">
        <v>24</v>
      </c>
      <c r="L665" s="2">
        <v>2</v>
      </c>
      <c r="M665" s="1">
        <v>10</v>
      </c>
      <c r="N665" s="2" t="s">
        <v>95</v>
      </c>
      <c r="O665" s="10">
        <v>0</v>
      </c>
      <c r="P665" s="14">
        <v>1</v>
      </c>
      <c r="Q665" s="183">
        <v>1</v>
      </c>
      <c r="R665" s="181">
        <v>1</v>
      </c>
      <c r="S665" s="178">
        <f t="shared" si="79"/>
        <v>1</v>
      </c>
      <c r="T665" s="186">
        <f t="shared" si="80"/>
        <v>2</v>
      </c>
      <c r="U665" s="179">
        <f t="shared" si="81"/>
        <v>1</v>
      </c>
      <c r="V665" s="1">
        <f t="shared" si="78"/>
        <v>25</v>
      </c>
      <c r="W665" s="8">
        <f t="shared" si="82"/>
        <v>6.25</v>
      </c>
      <c r="X665" s="15">
        <f t="shared" ref="X665:X728" si="83">SUM(X664,W665)</f>
        <v>3556.25</v>
      </c>
    </row>
    <row r="666" spans="1:24">
      <c r="A666" t="s">
        <v>931</v>
      </c>
      <c r="B666" s="163" t="s">
        <v>512</v>
      </c>
      <c r="C666" s="2" t="s">
        <v>149</v>
      </c>
      <c r="D666" s="2" t="s">
        <v>150</v>
      </c>
      <c r="E666" s="3">
        <v>45374.791666666664</v>
      </c>
      <c r="F666" s="2" t="s">
        <v>236</v>
      </c>
      <c r="G666" s="2" t="s">
        <v>331</v>
      </c>
      <c r="H666" s="2">
        <v>5.6</v>
      </c>
      <c r="I666" s="2">
        <v>20</v>
      </c>
      <c r="J666" s="2">
        <v>2.9</v>
      </c>
      <c r="K666" s="2">
        <v>24</v>
      </c>
      <c r="L666" s="2">
        <v>1</v>
      </c>
      <c r="M666" s="2">
        <v>10</v>
      </c>
      <c r="N666" s="2" t="s">
        <v>95</v>
      </c>
      <c r="O666" s="10">
        <v>1</v>
      </c>
      <c r="P666" s="14">
        <v>0</v>
      </c>
      <c r="Q666" s="183">
        <v>2</v>
      </c>
      <c r="R666" s="181">
        <v>0</v>
      </c>
      <c r="S666" s="178">
        <f t="shared" si="79"/>
        <v>1</v>
      </c>
      <c r="T666" s="186">
        <f t="shared" si="80"/>
        <v>2</v>
      </c>
      <c r="U666" s="179">
        <f t="shared" si="81"/>
        <v>1</v>
      </c>
      <c r="V666" s="1">
        <f t="shared" si="78"/>
        <v>25</v>
      </c>
      <c r="W666" s="8">
        <f t="shared" si="82"/>
        <v>6.25</v>
      </c>
      <c r="X666" s="15">
        <f t="shared" si="83"/>
        <v>3562.5</v>
      </c>
    </row>
    <row r="667" spans="1:24">
      <c r="A667" t="s">
        <v>931</v>
      </c>
      <c r="B667" s="163" t="s">
        <v>623</v>
      </c>
      <c r="C667" s="2" t="s">
        <v>58</v>
      </c>
      <c r="D667" s="2" t="s">
        <v>289</v>
      </c>
      <c r="E667" s="3">
        <v>45380.583333333336</v>
      </c>
      <c r="F667" s="2" t="s">
        <v>624</v>
      </c>
      <c r="G667" s="2" t="s">
        <v>625</v>
      </c>
      <c r="H667" s="2">
        <v>5</v>
      </c>
      <c r="I667" s="2">
        <v>20</v>
      </c>
      <c r="J667" s="2">
        <v>1.95</v>
      </c>
      <c r="K667" s="2">
        <v>30</v>
      </c>
      <c r="L667" s="2">
        <v>0</v>
      </c>
      <c r="M667" s="2">
        <v>10</v>
      </c>
      <c r="N667" s="2" t="s">
        <v>95</v>
      </c>
      <c r="O667" s="10">
        <v>2</v>
      </c>
      <c r="P667" s="14">
        <v>0</v>
      </c>
      <c r="Q667" s="183">
        <v>2</v>
      </c>
      <c r="R667" s="181">
        <v>0</v>
      </c>
      <c r="S667" s="178">
        <f t="shared" si="79"/>
        <v>2</v>
      </c>
      <c r="T667" s="186">
        <f t="shared" si="80"/>
        <v>2</v>
      </c>
      <c r="U667" s="179">
        <f t="shared" si="81"/>
        <v>0</v>
      </c>
      <c r="V667" s="1">
        <f t="shared" si="78"/>
        <v>25</v>
      </c>
      <c r="W667" s="8">
        <f t="shared" si="82"/>
        <v>6.25</v>
      </c>
      <c r="X667" s="15">
        <f t="shared" si="83"/>
        <v>3568.75</v>
      </c>
    </row>
    <row r="668" spans="1:24">
      <c r="A668" t="s">
        <v>931</v>
      </c>
      <c r="B668" s="163" t="s">
        <v>623</v>
      </c>
      <c r="C668" s="2" t="s">
        <v>6</v>
      </c>
      <c r="D668" s="2" t="s">
        <v>14</v>
      </c>
      <c r="E668" s="3">
        <v>45380.625</v>
      </c>
      <c r="F668" s="2" t="s">
        <v>56</v>
      </c>
      <c r="G668" s="2" t="s">
        <v>17</v>
      </c>
      <c r="H668" s="2">
        <v>5.4</v>
      </c>
      <c r="I668" s="2">
        <v>20</v>
      </c>
      <c r="J668" s="2">
        <v>3.3</v>
      </c>
      <c r="K668" s="2">
        <v>31</v>
      </c>
      <c r="L668" s="2">
        <v>5</v>
      </c>
      <c r="M668" s="2">
        <v>10</v>
      </c>
      <c r="N668" s="2" t="s">
        <v>95</v>
      </c>
      <c r="O668" s="10">
        <v>1</v>
      </c>
      <c r="P668" s="14">
        <v>0</v>
      </c>
      <c r="Q668" s="183">
        <v>1</v>
      </c>
      <c r="R668" s="181">
        <v>1</v>
      </c>
      <c r="S668" s="178">
        <f t="shared" si="79"/>
        <v>1</v>
      </c>
      <c r="T668" s="186">
        <f t="shared" si="80"/>
        <v>2</v>
      </c>
      <c r="U668" s="179">
        <f t="shared" si="81"/>
        <v>1</v>
      </c>
      <c r="V668" s="1">
        <f t="shared" si="78"/>
        <v>25</v>
      </c>
      <c r="W668" s="8">
        <f t="shared" si="82"/>
        <v>6.25</v>
      </c>
      <c r="X668" s="15">
        <f t="shared" si="83"/>
        <v>3575</v>
      </c>
    </row>
    <row r="669" spans="1:24">
      <c r="A669" t="s">
        <v>931</v>
      </c>
      <c r="B669" s="163" t="s">
        <v>623</v>
      </c>
      <c r="C669" s="2" t="s">
        <v>77</v>
      </c>
      <c r="D669" s="2" t="s">
        <v>234</v>
      </c>
      <c r="E669" s="3">
        <v>45381.5</v>
      </c>
      <c r="F669" s="2" t="s">
        <v>235</v>
      </c>
      <c r="G669" s="2" t="s">
        <v>646</v>
      </c>
      <c r="H669" s="2">
        <v>5.7</v>
      </c>
      <c r="I669" s="2">
        <v>20</v>
      </c>
      <c r="J669" s="2">
        <v>2.8</v>
      </c>
      <c r="K669" s="2">
        <v>32</v>
      </c>
      <c r="L669" s="2">
        <v>2</v>
      </c>
      <c r="M669" s="2">
        <v>10</v>
      </c>
      <c r="N669" s="2" t="s">
        <v>95</v>
      </c>
      <c r="O669" s="10">
        <v>1</v>
      </c>
      <c r="P669" s="14">
        <v>0</v>
      </c>
      <c r="Q669" s="183">
        <v>2</v>
      </c>
      <c r="R669" s="181">
        <v>0</v>
      </c>
      <c r="S669" s="178">
        <f t="shared" si="79"/>
        <v>1</v>
      </c>
      <c r="T669" s="186">
        <f t="shared" si="80"/>
        <v>2</v>
      </c>
      <c r="U669" s="179">
        <f t="shared" si="81"/>
        <v>1</v>
      </c>
      <c r="V669" s="1">
        <f t="shared" si="78"/>
        <v>25</v>
      </c>
      <c r="W669" s="8">
        <f t="shared" si="82"/>
        <v>6.25</v>
      </c>
      <c r="X669" s="15">
        <f t="shared" si="83"/>
        <v>3581.25</v>
      </c>
    </row>
    <row r="670" spans="1:24">
      <c r="A670" t="s">
        <v>931</v>
      </c>
      <c r="B670" s="163" t="s">
        <v>623</v>
      </c>
      <c r="C670" s="2" t="s">
        <v>77</v>
      </c>
      <c r="D670" s="2" t="s">
        <v>156</v>
      </c>
      <c r="E670" s="3">
        <v>45381.729166666664</v>
      </c>
      <c r="F670" s="2" t="s">
        <v>157</v>
      </c>
      <c r="G670" s="2" t="s">
        <v>552</v>
      </c>
      <c r="H670" s="2">
        <v>2.98</v>
      </c>
      <c r="I670" s="2">
        <v>20</v>
      </c>
      <c r="J670" s="2">
        <v>3.4</v>
      </c>
      <c r="K670" s="2">
        <v>25</v>
      </c>
      <c r="L670" s="2">
        <v>3</v>
      </c>
      <c r="M670" s="2">
        <v>10</v>
      </c>
      <c r="N670" s="2" t="s">
        <v>95</v>
      </c>
      <c r="O670" s="10">
        <v>0</v>
      </c>
      <c r="P670" s="14">
        <v>1</v>
      </c>
      <c r="Q670" s="183">
        <v>0</v>
      </c>
      <c r="R670" s="181">
        <v>2</v>
      </c>
      <c r="S670" s="178">
        <f t="shared" si="79"/>
        <v>1</v>
      </c>
      <c r="T670" s="186">
        <f t="shared" si="80"/>
        <v>2</v>
      </c>
      <c r="U670" s="179">
        <f t="shared" si="81"/>
        <v>1</v>
      </c>
      <c r="V670" s="1">
        <f t="shared" si="78"/>
        <v>25</v>
      </c>
      <c r="W670" s="8">
        <f t="shared" si="82"/>
        <v>6.25</v>
      </c>
      <c r="X670" s="15">
        <f t="shared" si="83"/>
        <v>3587.5</v>
      </c>
    </row>
    <row r="671" spans="1:24">
      <c r="A671" t="s">
        <v>931</v>
      </c>
      <c r="B671" s="163" t="s">
        <v>623</v>
      </c>
      <c r="C671" s="2" t="s">
        <v>149</v>
      </c>
      <c r="D671" s="2" t="s">
        <v>153</v>
      </c>
      <c r="E671" s="3">
        <v>45386.833333333336</v>
      </c>
      <c r="F671" s="2" t="s">
        <v>363</v>
      </c>
      <c r="G671" s="2" t="s">
        <v>369</v>
      </c>
      <c r="H671" s="2">
        <v>5.2</v>
      </c>
      <c r="I671" s="2">
        <v>20</v>
      </c>
      <c r="J671" s="2">
        <v>2.8</v>
      </c>
      <c r="K671" s="2">
        <v>27</v>
      </c>
      <c r="L671" s="2">
        <v>3</v>
      </c>
      <c r="M671" s="2">
        <v>10</v>
      </c>
      <c r="N671" s="2" t="s">
        <v>95</v>
      </c>
      <c r="O671" s="10">
        <v>1</v>
      </c>
      <c r="P671" s="14">
        <v>0</v>
      </c>
      <c r="Q671" s="183">
        <v>1</v>
      </c>
      <c r="R671" s="181">
        <v>1</v>
      </c>
      <c r="S671" s="178">
        <f t="shared" si="79"/>
        <v>1</v>
      </c>
      <c r="T671" s="186">
        <f t="shared" si="80"/>
        <v>2</v>
      </c>
      <c r="U671" s="179">
        <f t="shared" si="81"/>
        <v>1</v>
      </c>
      <c r="V671" s="1">
        <f t="shared" si="78"/>
        <v>25</v>
      </c>
      <c r="W671" s="8">
        <f t="shared" si="82"/>
        <v>6.25</v>
      </c>
      <c r="X671" s="15">
        <f t="shared" si="83"/>
        <v>3593.75</v>
      </c>
    </row>
    <row r="672" spans="1:24">
      <c r="A672" t="s">
        <v>931</v>
      </c>
      <c r="B672" s="163" t="s">
        <v>623</v>
      </c>
      <c r="C672" s="2" t="s">
        <v>6</v>
      </c>
      <c r="D672" s="2" t="s">
        <v>7</v>
      </c>
      <c r="E672" s="3">
        <v>45388.625</v>
      </c>
      <c r="F672" s="2" t="s">
        <v>418</v>
      </c>
      <c r="G672" s="2" t="s">
        <v>163</v>
      </c>
      <c r="H672" s="2">
        <v>6</v>
      </c>
      <c r="I672" s="2">
        <v>20</v>
      </c>
      <c r="J672" s="2">
        <v>2.85</v>
      </c>
      <c r="K672" s="2">
        <v>28</v>
      </c>
      <c r="L672" s="2">
        <v>0</v>
      </c>
      <c r="M672" s="2">
        <v>10</v>
      </c>
      <c r="N672" s="2" t="s">
        <v>95</v>
      </c>
      <c r="O672" s="10">
        <v>0</v>
      </c>
      <c r="P672" s="14">
        <v>2</v>
      </c>
      <c r="Q672" s="183">
        <v>0</v>
      </c>
      <c r="R672" s="181">
        <v>2</v>
      </c>
      <c r="S672" s="178">
        <f t="shared" si="79"/>
        <v>2</v>
      </c>
      <c r="T672" s="186">
        <f t="shared" si="80"/>
        <v>2</v>
      </c>
      <c r="U672" s="179">
        <f t="shared" si="81"/>
        <v>0</v>
      </c>
      <c r="V672" s="1">
        <f t="shared" si="78"/>
        <v>25</v>
      </c>
      <c r="W672" s="8">
        <f t="shared" si="82"/>
        <v>6.25</v>
      </c>
      <c r="X672" s="15">
        <f t="shared" si="83"/>
        <v>3600</v>
      </c>
    </row>
    <row r="673" spans="1:24">
      <c r="A673" t="s">
        <v>931</v>
      </c>
      <c r="B673" s="163" t="s">
        <v>623</v>
      </c>
      <c r="C673" s="2" t="s">
        <v>145</v>
      </c>
      <c r="D673" s="2" t="s">
        <v>190</v>
      </c>
      <c r="E673" s="3">
        <v>45388.833333333336</v>
      </c>
      <c r="F673" s="2" t="s">
        <v>553</v>
      </c>
      <c r="G673" s="2" t="s">
        <v>611</v>
      </c>
      <c r="H673" s="2">
        <v>3.4</v>
      </c>
      <c r="I673" s="2">
        <v>20</v>
      </c>
      <c r="J673" s="2">
        <v>3.05</v>
      </c>
      <c r="K673" s="2">
        <v>21</v>
      </c>
      <c r="L673" s="2">
        <v>2</v>
      </c>
      <c r="M673" s="2">
        <v>10</v>
      </c>
      <c r="N673" s="2" t="s">
        <v>95</v>
      </c>
      <c r="O673" s="10">
        <v>0</v>
      </c>
      <c r="P673" s="14">
        <v>1</v>
      </c>
      <c r="Q673" s="183">
        <v>1</v>
      </c>
      <c r="R673" s="181">
        <v>1</v>
      </c>
      <c r="S673" s="178">
        <f t="shared" si="79"/>
        <v>1</v>
      </c>
      <c r="T673" s="186">
        <f t="shared" si="80"/>
        <v>2</v>
      </c>
      <c r="U673" s="179">
        <f t="shared" si="81"/>
        <v>1</v>
      </c>
      <c r="V673" s="1">
        <f t="shared" si="78"/>
        <v>25</v>
      </c>
      <c r="W673" s="8">
        <f t="shared" si="82"/>
        <v>6.25</v>
      </c>
      <c r="X673" s="15">
        <f t="shared" si="83"/>
        <v>3606.25</v>
      </c>
    </row>
    <row r="674" spans="1:24">
      <c r="A674" t="s">
        <v>931</v>
      </c>
      <c r="B674" s="163" t="s">
        <v>623</v>
      </c>
      <c r="C674" s="2" t="s">
        <v>441</v>
      </c>
      <c r="D674" s="2" t="s">
        <v>442</v>
      </c>
      <c r="E674" s="3">
        <v>45389.479166666664</v>
      </c>
      <c r="F674" s="2" t="s">
        <v>696</v>
      </c>
      <c r="G674" s="2" t="s">
        <v>697</v>
      </c>
      <c r="H674" s="2">
        <v>6</v>
      </c>
      <c r="I674" s="2">
        <v>20</v>
      </c>
      <c r="J674" s="2">
        <v>3.6</v>
      </c>
      <c r="K674" s="2">
        <v>16</v>
      </c>
      <c r="L674" s="2">
        <v>1</v>
      </c>
      <c r="M674" s="2">
        <v>10</v>
      </c>
      <c r="N674" s="2" t="s">
        <v>95</v>
      </c>
      <c r="O674" s="10">
        <v>0</v>
      </c>
      <c r="P674" s="14">
        <v>0</v>
      </c>
      <c r="Q674" s="183">
        <v>1</v>
      </c>
      <c r="R674" s="181">
        <v>1</v>
      </c>
      <c r="S674" s="178">
        <f t="shared" si="79"/>
        <v>0</v>
      </c>
      <c r="T674" s="186">
        <f t="shared" si="80"/>
        <v>2</v>
      </c>
      <c r="U674" s="179">
        <f t="shared" si="81"/>
        <v>2</v>
      </c>
      <c r="V674" s="1">
        <f t="shared" si="78"/>
        <v>25</v>
      </c>
      <c r="W674" s="8">
        <f t="shared" si="82"/>
        <v>6.25</v>
      </c>
      <c r="X674" s="15">
        <f t="shared" si="83"/>
        <v>3612.5</v>
      </c>
    </row>
    <row r="675" spans="1:24">
      <c r="A675" t="s">
        <v>931</v>
      </c>
      <c r="B675" s="163" t="s">
        <v>623</v>
      </c>
      <c r="C675" s="2" t="s">
        <v>434</v>
      </c>
      <c r="D675" s="2" t="s">
        <v>435</v>
      </c>
      <c r="E675" s="3">
        <v>45390.75</v>
      </c>
      <c r="F675" s="2" t="s">
        <v>436</v>
      </c>
      <c r="G675" s="2" t="s">
        <v>702</v>
      </c>
      <c r="H675" s="2">
        <v>6.4</v>
      </c>
      <c r="I675" s="2">
        <v>20</v>
      </c>
      <c r="J675" s="2">
        <v>3.05</v>
      </c>
      <c r="K675" s="2">
        <v>29</v>
      </c>
      <c r="L675" s="2">
        <v>2</v>
      </c>
      <c r="M675" s="2">
        <v>10</v>
      </c>
      <c r="N675" s="2" t="s">
        <v>95</v>
      </c>
      <c r="O675" s="10">
        <v>0</v>
      </c>
      <c r="P675" s="14">
        <v>0</v>
      </c>
      <c r="Q675" s="183">
        <v>1</v>
      </c>
      <c r="R675" s="181">
        <v>1</v>
      </c>
      <c r="S675" s="178">
        <f t="shared" si="79"/>
        <v>0</v>
      </c>
      <c r="T675" s="186">
        <f t="shared" si="80"/>
        <v>2</v>
      </c>
      <c r="U675" s="179">
        <f t="shared" si="81"/>
        <v>2</v>
      </c>
      <c r="V675" s="1">
        <f t="shared" si="78"/>
        <v>25</v>
      </c>
      <c r="W675" s="8">
        <f t="shared" si="82"/>
        <v>6.25</v>
      </c>
      <c r="X675" s="15">
        <f t="shared" si="83"/>
        <v>3618.75</v>
      </c>
    </row>
    <row r="676" spans="1:24">
      <c r="A676" t="s">
        <v>931</v>
      </c>
      <c r="B676" s="163" t="s">
        <v>623</v>
      </c>
      <c r="C676" s="2" t="s">
        <v>145</v>
      </c>
      <c r="D676" s="2" t="s">
        <v>268</v>
      </c>
      <c r="E676" s="3">
        <v>45390.822916666664</v>
      </c>
      <c r="F676" s="2" t="s">
        <v>703</v>
      </c>
      <c r="G676" s="2" t="s">
        <v>638</v>
      </c>
      <c r="H676" s="2">
        <v>6</v>
      </c>
      <c r="I676" s="2">
        <v>20</v>
      </c>
      <c r="J676" s="2">
        <v>2.25</v>
      </c>
      <c r="K676" s="2">
        <v>36</v>
      </c>
      <c r="L676" s="2">
        <v>1</v>
      </c>
      <c r="M676" s="2">
        <v>10</v>
      </c>
      <c r="N676" s="2" t="s">
        <v>95</v>
      </c>
      <c r="O676" s="10">
        <v>0</v>
      </c>
      <c r="P676" s="14">
        <v>0</v>
      </c>
      <c r="Q676" s="183">
        <v>2</v>
      </c>
      <c r="R676" s="181">
        <v>0</v>
      </c>
      <c r="S676" s="178">
        <f t="shared" si="79"/>
        <v>0</v>
      </c>
      <c r="T676" s="186">
        <f t="shared" si="80"/>
        <v>2</v>
      </c>
      <c r="U676" s="179">
        <f t="shared" si="81"/>
        <v>2</v>
      </c>
      <c r="V676" s="1">
        <f t="shared" si="78"/>
        <v>25</v>
      </c>
      <c r="W676" s="8">
        <f t="shared" si="82"/>
        <v>6.25</v>
      </c>
      <c r="X676" s="15">
        <f t="shared" si="83"/>
        <v>3625</v>
      </c>
    </row>
    <row r="677" spans="1:24">
      <c r="A677" t="s">
        <v>931</v>
      </c>
      <c r="B677" s="163" t="s">
        <v>623</v>
      </c>
      <c r="C677" s="2" t="s">
        <v>6</v>
      </c>
      <c r="D677" s="2" t="s">
        <v>14</v>
      </c>
      <c r="E677" s="3">
        <v>45392.833333333336</v>
      </c>
      <c r="F677" s="2" t="s">
        <v>414</v>
      </c>
      <c r="G677" s="2" t="s">
        <v>262</v>
      </c>
      <c r="H677" s="2">
        <v>4.7</v>
      </c>
      <c r="I677" s="2">
        <v>20</v>
      </c>
      <c r="J677" s="2">
        <v>3.15</v>
      </c>
      <c r="K677" s="2">
        <v>26</v>
      </c>
      <c r="L677" s="2">
        <v>1</v>
      </c>
      <c r="M677" s="2">
        <v>10</v>
      </c>
      <c r="N677" s="2" t="s">
        <v>95</v>
      </c>
      <c r="O677" s="9">
        <v>2</v>
      </c>
      <c r="P677" s="14">
        <v>0</v>
      </c>
      <c r="Q677" s="183">
        <v>2</v>
      </c>
      <c r="R677" s="181">
        <v>0</v>
      </c>
      <c r="S677" s="178">
        <f t="shared" si="79"/>
        <v>2</v>
      </c>
      <c r="T677" s="186">
        <f t="shared" si="80"/>
        <v>2</v>
      </c>
      <c r="U677" s="179">
        <f t="shared" si="81"/>
        <v>0</v>
      </c>
      <c r="V677" s="1">
        <f t="shared" si="78"/>
        <v>25</v>
      </c>
      <c r="W677" s="8">
        <f t="shared" si="82"/>
        <v>6.25</v>
      </c>
      <c r="X677" s="15">
        <f t="shared" si="83"/>
        <v>3631.25</v>
      </c>
    </row>
    <row r="678" spans="1:24">
      <c r="A678" t="s">
        <v>931</v>
      </c>
      <c r="B678" s="163" t="s">
        <v>623</v>
      </c>
      <c r="C678" s="2" t="s">
        <v>77</v>
      </c>
      <c r="D678" s="2" t="s">
        <v>156</v>
      </c>
      <c r="E678" s="3">
        <v>45395.604166666664</v>
      </c>
      <c r="F678" s="2" t="s">
        <v>157</v>
      </c>
      <c r="G678" s="2" t="s">
        <v>438</v>
      </c>
      <c r="H678" s="2">
        <v>2.88</v>
      </c>
      <c r="I678" s="2">
        <v>20</v>
      </c>
      <c r="J678" s="2">
        <v>3.35</v>
      </c>
      <c r="K678" s="2">
        <v>36</v>
      </c>
      <c r="L678" s="2">
        <v>3</v>
      </c>
      <c r="M678" s="2">
        <v>10</v>
      </c>
      <c r="N678" s="2" t="s">
        <v>95</v>
      </c>
      <c r="O678" s="10">
        <v>0</v>
      </c>
      <c r="P678" s="14">
        <v>0</v>
      </c>
      <c r="Q678" s="183">
        <v>2</v>
      </c>
      <c r="R678" s="181">
        <v>0</v>
      </c>
      <c r="S678" s="178">
        <f t="shared" si="79"/>
        <v>0</v>
      </c>
      <c r="T678" s="186">
        <f t="shared" si="80"/>
        <v>2</v>
      </c>
      <c r="U678" s="179">
        <f t="shared" si="81"/>
        <v>2</v>
      </c>
      <c r="V678" s="1">
        <f t="shared" si="78"/>
        <v>25</v>
      </c>
      <c r="W678" s="8">
        <f t="shared" si="82"/>
        <v>6.25</v>
      </c>
      <c r="X678" s="15">
        <f t="shared" si="83"/>
        <v>3637.5</v>
      </c>
    </row>
    <row r="679" spans="1:24">
      <c r="A679" t="s">
        <v>931</v>
      </c>
      <c r="B679" s="163" t="s">
        <v>623</v>
      </c>
      <c r="C679" s="2" t="s">
        <v>6</v>
      </c>
      <c r="D679" s="2" t="s">
        <v>62</v>
      </c>
      <c r="E679" s="3">
        <v>45395.625</v>
      </c>
      <c r="F679" s="2" t="s">
        <v>63</v>
      </c>
      <c r="G679" s="2" t="s">
        <v>85</v>
      </c>
      <c r="H679" s="2">
        <v>5.0999999999999996</v>
      </c>
      <c r="I679" s="2">
        <v>20</v>
      </c>
      <c r="J679" s="2">
        <v>3.2</v>
      </c>
      <c r="K679" s="2">
        <v>29</v>
      </c>
      <c r="L679" s="2">
        <v>2</v>
      </c>
      <c r="M679" s="2">
        <v>10</v>
      </c>
      <c r="N679" s="2" t="s">
        <v>95</v>
      </c>
      <c r="O679" s="10">
        <v>0</v>
      </c>
      <c r="P679" s="14">
        <v>0</v>
      </c>
      <c r="Q679" s="183">
        <v>2</v>
      </c>
      <c r="R679" s="181">
        <v>0</v>
      </c>
      <c r="S679" s="178">
        <f t="shared" si="79"/>
        <v>0</v>
      </c>
      <c r="T679" s="186">
        <f t="shared" si="80"/>
        <v>2</v>
      </c>
      <c r="U679" s="179">
        <f t="shared" si="81"/>
        <v>2</v>
      </c>
      <c r="V679" s="1">
        <f t="shared" si="78"/>
        <v>25</v>
      </c>
      <c r="W679" s="8">
        <f t="shared" si="82"/>
        <v>6.25</v>
      </c>
      <c r="X679" s="15">
        <f t="shared" si="83"/>
        <v>3643.75</v>
      </c>
    </row>
    <row r="680" spans="1:24">
      <c r="A680" t="s">
        <v>931</v>
      </c>
      <c r="B680" s="163" t="s">
        <v>623</v>
      </c>
      <c r="C680" s="2" t="s">
        <v>6</v>
      </c>
      <c r="D680" s="2" t="s">
        <v>62</v>
      </c>
      <c r="E680" s="3">
        <v>45396.6875</v>
      </c>
      <c r="F680" s="2" t="s">
        <v>73</v>
      </c>
      <c r="G680" s="2" t="s">
        <v>102</v>
      </c>
      <c r="H680" s="2">
        <v>4</v>
      </c>
      <c r="I680" s="2">
        <v>20</v>
      </c>
      <c r="J680" s="2">
        <v>3.5</v>
      </c>
      <c r="K680" s="2">
        <v>23</v>
      </c>
      <c r="L680" s="2">
        <v>3</v>
      </c>
      <c r="M680" s="2">
        <v>10</v>
      </c>
      <c r="N680" s="2" t="s">
        <v>95</v>
      </c>
      <c r="O680" s="10">
        <v>0</v>
      </c>
      <c r="P680" s="14">
        <v>0</v>
      </c>
      <c r="Q680" s="183">
        <v>0</v>
      </c>
      <c r="R680" s="181">
        <v>2</v>
      </c>
      <c r="S680" s="178">
        <f t="shared" si="79"/>
        <v>0</v>
      </c>
      <c r="T680" s="186">
        <f t="shared" si="80"/>
        <v>2</v>
      </c>
      <c r="U680" s="179">
        <f t="shared" si="81"/>
        <v>2</v>
      </c>
      <c r="V680" s="1">
        <f t="shared" si="78"/>
        <v>25</v>
      </c>
      <c r="W680" s="8">
        <f t="shared" si="82"/>
        <v>6.25</v>
      </c>
      <c r="X680" s="15">
        <f t="shared" si="83"/>
        <v>3650</v>
      </c>
    </row>
    <row r="681" spans="1:24">
      <c r="A681" t="s">
        <v>931</v>
      </c>
      <c r="B681" s="163" t="s">
        <v>623</v>
      </c>
      <c r="C681" s="2" t="s">
        <v>119</v>
      </c>
      <c r="D681" s="2" t="s">
        <v>120</v>
      </c>
      <c r="E681" s="3">
        <v>45401.833333333336</v>
      </c>
      <c r="F681" s="2" t="s">
        <v>384</v>
      </c>
      <c r="G681" s="2" t="s">
        <v>388</v>
      </c>
      <c r="H681" s="2">
        <v>5</v>
      </c>
      <c r="I681" s="2">
        <v>20</v>
      </c>
      <c r="J681" s="2">
        <v>2.75</v>
      </c>
      <c r="K681" s="2">
        <v>36</v>
      </c>
      <c r="L681" s="2">
        <v>3</v>
      </c>
      <c r="M681" s="2">
        <v>10</v>
      </c>
      <c r="N681" s="2" t="s">
        <v>95</v>
      </c>
      <c r="O681" s="10">
        <v>1</v>
      </c>
      <c r="P681" s="14">
        <v>1</v>
      </c>
      <c r="Q681" s="183">
        <v>1</v>
      </c>
      <c r="R681" s="181">
        <v>1</v>
      </c>
      <c r="S681" s="178">
        <f t="shared" si="79"/>
        <v>2</v>
      </c>
      <c r="T681" s="186">
        <f t="shared" si="80"/>
        <v>2</v>
      </c>
      <c r="U681" s="179">
        <f t="shared" si="81"/>
        <v>0</v>
      </c>
      <c r="V681" s="1">
        <f t="shared" si="78"/>
        <v>25</v>
      </c>
      <c r="W681" s="8">
        <f t="shared" si="82"/>
        <v>6.25</v>
      </c>
      <c r="X681" s="15">
        <f t="shared" si="83"/>
        <v>3656.25</v>
      </c>
    </row>
    <row r="682" spans="1:24">
      <c r="A682" t="s">
        <v>931</v>
      </c>
      <c r="B682" s="163" t="s">
        <v>623</v>
      </c>
      <c r="C682" s="2" t="s">
        <v>77</v>
      </c>
      <c r="D682" s="2" t="s">
        <v>156</v>
      </c>
      <c r="E682" s="3">
        <v>45402.604166666664</v>
      </c>
      <c r="F682" s="2" t="s">
        <v>438</v>
      </c>
      <c r="G682" s="2" t="s">
        <v>345</v>
      </c>
      <c r="H682" s="2">
        <v>6.2</v>
      </c>
      <c r="I682" s="2">
        <v>20</v>
      </c>
      <c r="J682" s="2">
        <v>2.85</v>
      </c>
      <c r="K682" s="2">
        <v>32</v>
      </c>
      <c r="L682" s="2">
        <v>2</v>
      </c>
      <c r="M682" s="2">
        <v>10</v>
      </c>
      <c r="N682" s="2" t="s">
        <v>95</v>
      </c>
      <c r="O682" s="10">
        <v>0</v>
      </c>
      <c r="P682" s="14">
        <v>0</v>
      </c>
      <c r="Q682" s="183">
        <v>0</v>
      </c>
      <c r="R682" s="181">
        <v>2</v>
      </c>
      <c r="S682" s="178">
        <f t="shared" si="79"/>
        <v>0</v>
      </c>
      <c r="T682" s="186">
        <f t="shared" si="80"/>
        <v>2</v>
      </c>
      <c r="U682" s="179">
        <f t="shared" si="81"/>
        <v>2</v>
      </c>
      <c r="V682" s="1">
        <f t="shared" si="78"/>
        <v>25</v>
      </c>
      <c r="W682" s="8">
        <f t="shared" si="82"/>
        <v>6.25</v>
      </c>
      <c r="X682" s="15">
        <f t="shared" si="83"/>
        <v>3662.5</v>
      </c>
    </row>
    <row r="683" spans="1:24">
      <c r="A683" t="s">
        <v>931</v>
      </c>
      <c r="B683" s="163" t="s">
        <v>623</v>
      </c>
      <c r="C683" s="2" t="s">
        <v>6</v>
      </c>
      <c r="D683" s="2" t="s">
        <v>11</v>
      </c>
      <c r="E683" s="3">
        <v>45402.625</v>
      </c>
      <c r="F683" s="2" t="s">
        <v>300</v>
      </c>
      <c r="G683" s="2" t="s">
        <v>710</v>
      </c>
      <c r="H683" s="2">
        <v>6</v>
      </c>
      <c r="I683" s="2">
        <v>20</v>
      </c>
      <c r="J683" s="2">
        <v>2.75</v>
      </c>
      <c r="K683" s="2">
        <v>31</v>
      </c>
      <c r="L683" s="2">
        <v>2</v>
      </c>
      <c r="M683" s="2">
        <v>10</v>
      </c>
      <c r="N683" s="2" t="s">
        <v>95</v>
      </c>
      <c r="O683" s="10">
        <v>0</v>
      </c>
      <c r="P683" s="14">
        <v>0</v>
      </c>
      <c r="Q683" s="183">
        <v>2</v>
      </c>
      <c r="R683" s="181">
        <v>0</v>
      </c>
      <c r="S683" s="178">
        <f t="shared" si="79"/>
        <v>0</v>
      </c>
      <c r="T683" s="186">
        <f t="shared" si="80"/>
        <v>2</v>
      </c>
      <c r="U683" s="179">
        <f t="shared" si="81"/>
        <v>2</v>
      </c>
      <c r="V683" s="1">
        <f t="shared" si="78"/>
        <v>25</v>
      </c>
      <c r="W683" s="8">
        <f t="shared" si="82"/>
        <v>6.25</v>
      </c>
      <c r="X683" s="15">
        <f t="shared" si="83"/>
        <v>3668.75</v>
      </c>
    </row>
    <row r="684" spans="1:24">
      <c r="A684" t="s">
        <v>931</v>
      </c>
      <c r="B684" s="163" t="s">
        <v>623</v>
      </c>
      <c r="C684" s="2" t="s">
        <v>6</v>
      </c>
      <c r="D684" s="2" t="s">
        <v>11</v>
      </c>
      <c r="E684" s="3">
        <v>45409.520833333336</v>
      </c>
      <c r="F684" s="2" t="s">
        <v>742</v>
      </c>
      <c r="G684" s="2" t="s">
        <v>286</v>
      </c>
      <c r="H684" s="2">
        <v>5.3</v>
      </c>
      <c r="I684" s="2">
        <v>20</v>
      </c>
      <c r="J684" s="2">
        <v>3.35</v>
      </c>
      <c r="K684" s="2">
        <v>22</v>
      </c>
      <c r="L684" s="2">
        <v>1</v>
      </c>
      <c r="M684" s="2">
        <v>10</v>
      </c>
      <c r="N684" s="2" t="s">
        <v>95</v>
      </c>
      <c r="O684" s="10">
        <v>1</v>
      </c>
      <c r="P684" s="14">
        <v>0</v>
      </c>
      <c r="Q684" s="183">
        <v>1</v>
      </c>
      <c r="R684" s="181">
        <v>1</v>
      </c>
      <c r="S684" s="178">
        <f t="shared" si="79"/>
        <v>1</v>
      </c>
      <c r="T684" s="186">
        <f t="shared" si="80"/>
        <v>2</v>
      </c>
      <c r="U684" s="179">
        <f t="shared" si="81"/>
        <v>1</v>
      </c>
      <c r="V684" s="1">
        <f t="shared" ref="V684:V742" si="84">SUM($X$1*0.05)</f>
        <v>25</v>
      </c>
      <c r="W684" s="8">
        <f t="shared" si="82"/>
        <v>6.25</v>
      </c>
      <c r="X684" s="15">
        <f t="shared" si="83"/>
        <v>3675</v>
      </c>
    </row>
    <row r="685" spans="1:24">
      <c r="A685" t="s">
        <v>931</v>
      </c>
      <c r="B685" s="163" t="s">
        <v>623</v>
      </c>
      <c r="C685" s="2" t="s">
        <v>6</v>
      </c>
      <c r="D685" s="2" t="s">
        <v>11</v>
      </c>
      <c r="E685" s="3">
        <v>45409.520833333336</v>
      </c>
      <c r="F685" s="2" t="s">
        <v>231</v>
      </c>
      <c r="G685" s="2" t="s">
        <v>585</v>
      </c>
      <c r="H685" s="2">
        <v>4.4000000000000004</v>
      </c>
      <c r="I685" s="2">
        <v>20</v>
      </c>
      <c r="J685" s="2">
        <v>2.65</v>
      </c>
      <c r="K685" s="2">
        <v>37</v>
      </c>
      <c r="L685" s="2">
        <v>0</v>
      </c>
      <c r="M685" s="2">
        <v>10</v>
      </c>
      <c r="N685" s="2" t="s">
        <v>95</v>
      </c>
      <c r="O685" s="10">
        <v>1</v>
      </c>
      <c r="P685" s="14">
        <v>0</v>
      </c>
      <c r="Q685" s="183">
        <v>2</v>
      </c>
      <c r="R685" s="181">
        <v>0</v>
      </c>
      <c r="S685" s="178">
        <f t="shared" si="79"/>
        <v>1</v>
      </c>
      <c r="T685" s="186">
        <f t="shared" si="80"/>
        <v>2</v>
      </c>
      <c r="U685" s="179">
        <f t="shared" si="81"/>
        <v>1</v>
      </c>
      <c r="V685" s="1">
        <f t="shared" si="84"/>
        <v>25</v>
      </c>
      <c r="W685" s="8">
        <f t="shared" si="82"/>
        <v>6.25</v>
      </c>
      <c r="X685" s="15">
        <f t="shared" si="83"/>
        <v>3681.25</v>
      </c>
    </row>
    <row r="686" spans="1:24">
      <c r="A686" t="s">
        <v>931</v>
      </c>
      <c r="B686" s="163" t="s">
        <v>623</v>
      </c>
      <c r="C686" s="2" t="s">
        <v>6</v>
      </c>
      <c r="D686" s="2" t="s">
        <v>14</v>
      </c>
      <c r="E686" s="3">
        <v>45409.625</v>
      </c>
      <c r="F686" s="2" t="s">
        <v>201</v>
      </c>
      <c r="G686" s="2" t="s">
        <v>262</v>
      </c>
      <c r="H686" s="2">
        <v>6.2</v>
      </c>
      <c r="I686" s="2">
        <v>20</v>
      </c>
      <c r="J686" s="2">
        <v>2.7</v>
      </c>
      <c r="K686" s="2">
        <v>39</v>
      </c>
      <c r="L686" s="2">
        <v>1</v>
      </c>
      <c r="M686" s="2">
        <v>10</v>
      </c>
      <c r="N686" s="2" t="s">
        <v>95</v>
      </c>
      <c r="O686" s="10">
        <v>1</v>
      </c>
      <c r="P686" s="14">
        <v>0</v>
      </c>
      <c r="Q686" s="183">
        <v>2</v>
      </c>
      <c r="R686" s="181">
        <v>0</v>
      </c>
      <c r="S686" s="178">
        <f t="shared" si="79"/>
        <v>1</v>
      </c>
      <c r="T686" s="186">
        <f t="shared" si="80"/>
        <v>2</v>
      </c>
      <c r="U686" s="179">
        <f t="shared" si="81"/>
        <v>1</v>
      </c>
      <c r="V686" s="1">
        <f t="shared" si="84"/>
        <v>25</v>
      </c>
      <c r="W686" s="8">
        <f t="shared" si="82"/>
        <v>6.25</v>
      </c>
      <c r="X686" s="15">
        <f t="shared" si="83"/>
        <v>3687.5</v>
      </c>
    </row>
    <row r="687" spans="1:24">
      <c r="A687" t="s">
        <v>931</v>
      </c>
      <c r="B687" s="163" t="s">
        <v>623</v>
      </c>
      <c r="C687" s="2" t="s">
        <v>6</v>
      </c>
      <c r="D687" s="2" t="s">
        <v>7</v>
      </c>
      <c r="E687" s="3">
        <v>45409.625</v>
      </c>
      <c r="F687" s="2" t="s">
        <v>55</v>
      </c>
      <c r="G687" s="2" t="s">
        <v>113</v>
      </c>
      <c r="H687" s="2">
        <v>6.4</v>
      </c>
      <c r="I687" s="2">
        <v>20</v>
      </c>
      <c r="J687" s="2">
        <v>2.25</v>
      </c>
      <c r="K687" s="2">
        <v>32</v>
      </c>
      <c r="L687" s="2">
        <v>0</v>
      </c>
      <c r="M687" s="2">
        <v>10</v>
      </c>
      <c r="N687" s="2" t="s">
        <v>95</v>
      </c>
      <c r="O687" s="10">
        <v>2</v>
      </c>
      <c r="P687" s="14">
        <v>0</v>
      </c>
      <c r="Q687" s="183">
        <v>2</v>
      </c>
      <c r="R687" s="181">
        <v>0</v>
      </c>
      <c r="S687" s="178">
        <f t="shared" si="79"/>
        <v>2</v>
      </c>
      <c r="T687" s="186">
        <f t="shared" si="80"/>
        <v>2</v>
      </c>
      <c r="U687" s="179">
        <f t="shared" si="81"/>
        <v>0</v>
      </c>
      <c r="V687" s="1">
        <f t="shared" si="84"/>
        <v>25</v>
      </c>
      <c r="W687" s="8">
        <f t="shared" si="82"/>
        <v>6.25</v>
      </c>
      <c r="X687" s="15">
        <f t="shared" si="83"/>
        <v>3693.75</v>
      </c>
    </row>
    <row r="688" spans="1:24">
      <c r="A688" t="s">
        <v>931</v>
      </c>
      <c r="B688" s="163" t="s">
        <v>623</v>
      </c>
      <c r="C688" s="2" t="s">
        <v>6</v>
      </c>
      <c r="D688" s="2" t="s">
        <v>62</v>
      </c>
      <c r="E688" s="3">
        <v>45409.625</v>
      </c>
      <c r="F688" s="2" t="s">
        <v>383</v>
      </c>
      <c r="G688" s="2" t="s">
        <v>103</v>
      </c>
      <c r="H688" s="2">
        <v>4.2</v>
      </c>
      <c r="I688" s="2">
        <v>20</v>
      </c>
      <c r="J688" s="2">
        <v>3.4</v>
      </c>
      <c r="K688" s="2">
        <v>32</v>
      </c>
      <c r="L688" s="2">
        <v>1</v>
      </c>
      <c r="M688" s="2">
        <v>10</v>
      </c>
      <c r="N688" s="2" t="s">
        <v>95</v>
      </c>
      <c r="O688" s="10">
        <v>0</v>
      </c>
      <c r="P688" s="14">
        <v>0</v>
      </c>
      <c r="Q688" s="183">
        <v>1</v>
      </c>
      <c r="R688" s="181">
        <v>1</v>
      </c>
      <c r="S688" s="178">
        <f t="shared" si="79"/>
        <v>0</v>
      </c>
      <c r="T688" s="186">
        <f t="shared" si="80"/>
        <v>2</v>
      </c>
      <c r="U688" s="179">
        <f t="shared" si="81"/>
        <v>2</v>
      </c>
      <c r="V688" s="1">
        <f t="shared" si="84"/>
        <v>25</v>
      </c>
      <c r="W688" s="8">
        <f t="shared" si="82"/>
        <v>6.25</v>
      </c>
      <c r="X688" s="15">
        <f t="shared" si="83"/>
        <v>3700</v>
      </c>
    </row>
    <row r="689" spans="1:24">
      <c r="A689" t="s">
        <v>931</v>
      </c>
      <c r="B689" s="163" t="s">
        <v>623</v>
      </c>
      <c r="C689" s="2" t="s">
        <v>44</v>
      </c>
      <c r="D689" s="2" t="s">
        <v>45</v>
      </c>
      <c r="E689" s="3">
        <v>45413.416666666664</v>
      </c>
      <c r="F689" s="2" t="s">
        <v>180</v>
      </c>
      <c r="G689" s="2" t="s">
        <v>124</v>
      </c>
      <c r="H689" s="2">
        <v>5.2</v>
      </c>
      <c r="I689" s="2">
        <v>20</v>
      </c>
      <c r="J689" s="2">
        <v>3.55</v>
      </c>
      <c r="K689" s="2">
        <v>33</v>
      </c>
      <c r="L689" s="2">
        <v>2</v>
      </c>
      <c r="M689" s="2">
        <v>10</v>
      </c>
      <c r="N689" s="2" t="s">
        <v>95</v>
      </c>
      <c r="O689" s="10">
        <v>1</v>
      </c>
      <c r="P689" s="14">
        <v>0</v>
      </c>
      <c r="Q689" s="183">
        <v>2</v>
      </c>
      <c r="R689" s="181">
        <v>0</v>
      </c>
      <c r="S689" s="178">
        <f t="shared" si="79"/>
        <v>1</v>
      </c>
      <c r="T689" s="186">
        <f t="shared" si="80"/>
        <v>2</v>
      </c>
      <c r="U689" s="179">
        <f t="shared" si="81"/>
        <v>1</v>
      </c>
      <c r="V689" s="1">
        <f t="shared" si="84"/>
        <v>25</v>
      </c>
      <c r="W689" s="8">
        <f t="shared" si="82"/>
        <v>6.25</v>
      </c>
      <c r="X689" s="15">
        <f t="shared" si="83"/>
        <v>3706.25</v>
      </c>
    </row>
    <row r="690" spans="1:24">
      <c r="A690" t="s">
        <v>931</v>
      </c>
      <c r="B690" s="163" t="s">
        <v>623</v>
      </c>
      <c r="C690" s="2" t="s">
        <v>145</v>
      </c>
      <c r="D690" s="2" t="s">
        <v>190</v>
      </c>
      <c r="E690" s="3">
        <v>45415.833333333336</v>
      </c>
      <c r="F690" s="2" t="s">
        <v>767</v>
      </c>
      <c r="G690" s="2" t="s">
        <v>227</v>
      </c>
      <c r="H690" s="2">
        <v>5.7</v>
      </c>
      <c r="I690" s="2">
        <v>20</v>
      </c>
      <c r="J690" s="2">
        <v>2.8</v>
      </c>
      <c r="K690" s="2">
        <v>34</v>
      </c>
      <c r="L690" s="2">
        <v>0</v>
      </c>
      <c r="M690" s="2">
        <v>10</v>
      </c>
      <c r="N690" s="2" t="s">
        <v>95</v>
      </c>
      <c r="O690" s="10">
        <v>0</v>
      </c>
      <c r="P690" s="14">
        <v>0</v>
      </c>
      <c r="Q690" s="183">
        <v>2</v>
      </c>
      <c r="R690" s="181">
        <v>0</v>
      </c>
      <c r="S690" s="178">
        <f t="shared" si="79"/>
        <v>0</v>
      </c>
      <c r="T690" s="186">
        <f t="shared" si="80"/>
        <v>2</v>
      </c>
      <c r="U690" s="179">
        <f t="shared" si="81"/>
        <v>2</v>
      </c>
      <c r="V690" s="1">
        <f t="shared" si="84"/>
        <v>25</v>
      </c>
      <c r="W690" s="8">
        <f t="shared" si="82"/>
        <v>6.25</v>
      </c>
      <c r="X690" s="15">
        <f t="shared" si="83"/>
        <v>3712.5</v>
      </c>
    </row>
    <row r="691" spans="1:24">
      <c r="A691" t="s">
        <v>931</v>
      </c>
      <c r="B691" s="163" t="s">
        <v>623</v>
      </c>
      <c r="C691" s="2" t="s">
        <v>6</v>
      </c>
      <c r="D691" s="2" t="s">
        <v>14</v>
      </c>
      <c r="E691" s="3">
        <v>45416.520833333336</v>
      </c>
      <c r="F691" s="2" t="s">
        <v>291</v>
      </c>
      <c r="G691" s="2" t="s">
        <v>421</v>
      </c>
      <c r="H691" s="2">
        <v>3.7</v>
      </c>
      <c r="I691" s="2">
        <v>20</v>
      </c>
      <c r="J691" s="2">
        <v>3.3</v>
      </c>
      <c r="K691" s="2">
        <v>35</v>
      </c>
      <c r="L691" s="2">
        <v>2</v>
      </c>
      <c r="M691" s="2">
        <v>10</v>
      </c>
      <c r="N691" s="2" t="s">
        <v>95</v>
      </c>
      <c r="O691" s="10">
        <v>1</v>
      </c>
      <c r="P691" s="14">
        <v>0</v>
      </c>
      <c r="Q691" s="183">
        <v>2</v>
      </c>
      <c r="R691" s="181">
        <v>0</v>
      </c>
      <c r="S691" s="178">
        <f t="shared" si="79"/>
        <v>1</v>
      </c>
      <c r="T691" s="186">
        <f t="shared" si="80"/>
        <v>2</v>
      </c>
      <c r="U691" s="179">
        <f t="shared" si="81"/>
        <v>1</v>
      </c>
      <c r="V691" s="1">
        <f t="shared" si="84"/>
        <v>25</v>
      </c>
      <c r="W691" s="8">
        <f t="shared" si="82"/>
        <v>6.25</v>
      </c>
      <c r="X691" s="15">
        <f t="shared" si="83"/>
        <v>3718.75</v>
      </c>
    </row>
    <row r="692" spans="1:24">
      <c r="A692" t="s">
        <v>931</v>
      </c>
      <c r="B692" s="163" t="s">
        <v>623</v>
      </c>
      <c r="C692" s="2" t="s">
        <v>6</v>
      </c>
      <c r="D692" s="2" t="s">
        <v>14</v>
      </c>
      <c r="E692" s="3">
        <v>45416.520833333336</v>
      </c>
      <c r="F692" s="2" t="s">
        <v>290</v>
      </c>
      <c r="G692" s="2" t="s">
        <v>428</v>
      </c>
      <c r="H692" s="2">
        <v>6</v>
      </c>
      <c r="I692" s="2">
        <v>20</v>
      </c>
      <c r="J692" s="2">
        <v>3.2</v>
      </c>
      <c r="K692" s="2">
        <v>27</v>
      </c>
      <c r="L692" s="2">
        <v>2</v>
      </c>
      <c r="M692" s="2">
        <v>10</v>
      </c>
      <c r="N692" s="2" t="s">
        <v>95</v>
      </c>
      <c r="O692" s="10">
        <v>0</v>
      </c>
      <c r="P692" s="14">
        <v>0</v>
      </c>
      <c r="Q692" s="183">
        <v>0</v>
      </c>
      <c r="R692" s="181">
        <v>2</v>
      </c>
      <c r="S692" s="178">
        <f t="shared" si="79"/>
        <v>0</v>
      </c>
      <c r="T692" s="186">
        <f t="shared" si="80"/>
        <v>2</v>
      </c>
      <c r="U692" s="179">
        <f t="shared" si="81"/>
        <v>2</v>
      </c>
      <c r="V692" s="1">
        <f t="shared" si="84"/>
        <v>25</v>
      </c>
      <c r="W692" s="8">
        <f t="shared" si="82"/>
        <v>6.25</v>
      </c>
      <c r="X692" s="15">
        <f t="shared" si="83"/>
        <v>3725</v>
      </c>
    </row>
    <row r="693" spans="1:24">
      <c r="A693" t="s">
        <v>931</v>
      </c>
      <c r="B693" s="163" t="s">
        <v>623</v>
      </c>
      <c r="C693" s="2" t="s">
        <v>20</v>
      </c>
      <c r="D693" s="2" t="s">
        <v>322</v>
      </c>
      <c r="E693" s="3">
        <v>45422.8125</v>
      </c>
      <c r="F693" s="2" t="s">
        <v>683</v>
      </c>
      <c r="G693" s="2" t="s">
        <v>579</v>
      </c>
      <c r="H693" s="2">
        <v>4.9000000000000004</v>
      </c>
      <c r="I693" s="2">
        <v>20</v>
      </c>
      <c r="J693" s="2">
        <v>2.5</v>
      </c>
      <c r="K693" s="2">
        <v>33</v>
      </c>
      <c r="L693" s="2">
        <v>1</v>
      </c>
      <c r="M693" s="2">
        <v>10</v>
      </c>
      <c r="N693" s="2" t="s">
        <v>95</v>
      </c>
      <c r="O693" s="10">
        <v>0</v>
      </c>
      <c r="P693" s="14">
        <v>1</v>
      </c>
      <c r="Q693" s="183">
        <v>1</v>
      </c>
      <c r="R693" s="181">
        <v>1</v>
      </c>
      <c r="S693" s="178">
        <f t="shared" si="79"/>
        <v>1</v>
      </c>
      <c r="T693" s="186">
        <f t="shared" si="80"/>
        <v>2</v>
      </c>
      <c r="U693" s="179">
        <f t="shared" si="81"/>
        <v>1</v>
      </c>
      <c r="V693" s="1">
        <f t="shared" si="84"/>
        <v>25</v>
      </c>
      <c r="W693" s="8">
        <f t="shared" si="82"/>
        <v>6.25</v>
      </c>
      <c r="X693" s="15">
        <f t="shared" si="83"/>
        <v>3731.25</v>
      </c>
    </row>
    <row r="694" spans="1:24">
      <c r="A694" t="s">
        <v>931</v>
      </c>
      <c r="B694" s="163" t="s">
        <v>623</v>
      </c>
      <c r="C694" s="2" t="s">
        <v>77</v>
      </c>
      <c r="D694" s="2" t="s">
        <v>156</v>
      </c>
      <c r="E694" s="3">
        <v>45423.604166666664</v>
      </c>
      <c r="F694" s="2" t="s">
        <v>181</v>
      </c>
      <c r="G694" s="2" t="s">
        <v>254</v>
      </c>
      <c r="H694" s="2">
        <v>3.3</v>
      </c>
      <c r="I694" s="2">
        <v>20</v>
      </c>
      <c r="J694" s="2">
        <v>2.6</v>
      </c>
      <c r="K694" s="2">
        <v>28</v>
      </c>
      <c r="L694" s="2">
        <v>1</v>
      </c>
      <c r="M694" s="2">
        <v>10</v>
      </c>
      <c r="N694" s="2" t="s">
        <v>95</v>
      </c>
      <c r="O694" s="10">
        <v>0</v>
      </c>
      <c r="P694" s="14">
        <v>1</v>
      </c>
      <c r="Q694" s="183">
        <v>1</v>
      </c>
      <c r="R694" s="181">
        <v>1</v>
      </c>
      <c r="S694" s="178">
        <f t="shared" si="79"/>
        <v>1</v>
      </c>
      <c r="T694" s="186">
        <f t="shared" si="80"/>
        <v>2</v>
      </c>
      <c r="U694" s="179">
        <f t="shared" si="81"/>
        <v>1</v>
      </c>
      <c r="V694" s="1">
        <f t="shared" si="84"/>
        <v>25</v>
      </c>
      <c r="W694" s="8">
        <f t="shared" si="82"/>
        <v>6.25</v>
      </c>
      <c r="X694" s="15">
        <f t="shared" si="83"/>
        <v>3737.5</v>
      </c>
    </row>
    <row r="695" spans="1:24">
      <c r="A695" t="s">
        <v>931</v>
      </c>
      <c r="B695" s="163" t="s">
        <v>623</v>
      </c>
      <c r="C695" s="2" t="s">
        <v>6</v>
      </c>
      <c r="D695" s="2" t="s">
        <v>62</v>
      </c>
      <c r="E695" s="3">
        <v>45423.625</v>
      </c>
      <c r="F695" s="2" t="s">
        <v>164</v>
      </c>
      <c r="G695" s="2" t="s">
        <v>267</v>
      </c>
      <c r="H695" s="2">
        <v>4.4000000000000004</v>
      </c>
      <c r="I695" s="2">
        <v>20</v>
      </c>
      <c r="J695" s="2">
        <v>3.55</v>
      </c>
      <c r="K695" s="2">
        <v>24</v>
      </c>
      <c r="L695" s="2">
        <v>4</v>
      </c>
      <c r="M695" s="2">
        <v>10</v>
      </c>
      <c r="N695" s="2" t="s">
        <v>95</v>
      </c>
      <c r="O695" s="10">
        <v>1</v>
      </c>
      <c r="P695" s="14">
        <v>1</v>
      </c>
      <c r="Q695" s="183">
        <v>1</v>
      </c>
      <c r="R695" s="181">
        <v>1</v>
      </c>
      <c r="S695" s="178">
        <f t="shared" si="79"/>
        <v>2</v>
      </c>
      <c r="T695" s="186">
        <f t="shared" si="80"/>
        <v>2</v>
      </c>
      <c r="U695" s="179">
        <f t="shared" si="81"/>
        <v>0</v>
      </c>
      <c r="V695" s="1">
        <f t="shared" si="84"/>
        <v>25</v>
      </c>
      <c r="W695" s="8">
        <f t="shared" si="82"/>
        <v>6.25</v>
      </c>
      <c r="X695" s="15">
        <f t="shared" si="83"/>
        <v>3743.75</v>
      </c>
    </row>
    <row r="696" spans="1:24">
      <c r="A696" t="s">
        <v>931</v>
      </c>
      <c r="B696" s="163" t="s">
        <v>623</v>
      </c>
      <c r="C696" s="2" t="s">
        <v>77</v>
      </c>
      <c r="D696" s="2" t="s">
        <v>156</v>
      </c>
      <c r="E696" s="3">
        <v>45424.6875</v>
      </c>
      <c r="F696" s="2" t="s">
        <v>157</v>
      </c>
      <c r="G696" s="2" t="s">
        <v>161</v>
      </c>
      <c r="H696" s="2">
        <v>4.2</v>
      </c>
      <c r="I696" s="2">
        <v>20</v>
      </c>
      <c r="J696" s="2">
        <v>2.75</v>
      </c>
      <c r="K696" s="2">
        <v>30</v>
      </c>
      <c r="L696" s="2">
        <v>1</v>
      </c>
      <c r="M696" s="2">
        <v>10</v>
      </c>
      <c r="N696" s="2" t="s">
        <v>95</v>
      </c>
      <c r="O696" s="10">
        <v>2</v>
      </c>
      <c r="P696" s="14">
        <v>0</v>
      </c>
      <c r="Q696" s="183">
        <v>2</v>
      </c>
      <c r="R696" s="181">
        <v>0</v>
      </c>
      <c r="S696" s="178">
        <f t="shared" si="79"/>
        <v>2</v>
      </c>
      <c r="T696" s="186">
        <f t="shared" si="80"/>
        <v>2</v>
      </c>
      <c r="U696" s="179">
        <f t="shared" si="81"/>
        <v>0</v>
      </c>
      <c r="V696" s="1">
        <f t="shared" si="84"/>
        <v>25</v>
      </c>
      <c r="W696" s="8">
        <f t="shared" si="82"/>
        <v>6.25</v>
      </c>
      <c r="X696" s="15">
        <f t="shared" si="83"/>
        <v>3750</v>
      </c>
    </row>
    <row r="697" spans="1:24">
      <c r="A697" t="s">
        <v>931</v>
      </c>
      <c r="B697" s="163" t="s">
        <v>623</v>
      </c>
      <c r="C697" s="2" t="s">
        <v>20</v>
      </c>
      <c r="D697" s="2" t="s">
        <v>21</v>
      </c>
      <c r="E697" s="3">
        <v>45424.708333333336</v>
      </c>
      <c r="F697" s="2" t="s">
        <v>358</v>
      </c>
      <c r="G697" s="2" t="s">
        <v>110</v>
      </c>
      <c r="H697" s="2">
        <v>3.15</v>
      </c>
      <c r="I697" s="2">
        <v>20</v>
      </c>
      <c r="J697" s="2">
        <v>2.5</v>
      </c>
      <c r="K697" s="2">
        <v>24</v>
      </c>
      <c r="L697" s="2">
        <v>0</v>
      </c>
      <c r="M697" s="2">
        <v>10</v>
      </c>
      <c r="N697" s="2" t="s">
        <v>95</v>
      </c>
      <c r="O697" s="10">
        <v>0</v>
      </c>
      <c r="P697" s="14">
        <v>1</v>
      </c>
      <c r="Q697" s="183">
        <v>1</v>
      </c>
      <c r="R697" s="181">
        <v>1</v>
      </c>
      <c r="S697" s="178">
        <f t="shared" si="79"/>
        <v>1</v>
      </c>
      <c r="T697" s="186">
        <f t="shared" si="80"/>
        <v>2</v>
      </c>
      <c r="U697" s="179">
        <f t="shared" si="81"/>
        <v>1</v>
      </c>
      <c r="V697" s="1">
        <f t="shared" si="84"/>
        <v>25</v>
      </c>
      <c r="W697" s="8">
        <f t="shared" si="82"/>
        <v>6.25</v>
      </c>
      <c r="X697" s="15">
        <f t="shared" si="83"/>
        <v>3756.25</v>
      </c>
    </row>
    <row r="698" spans="1:24">
      <c r="A698" t="s">
        <v>931</v>
      </c>
      <c r="B698" s="163" t="s">
        <v>623</v>
      </c>
      <c r="C698" s="2" t="s">
        <v>77</v>
      </c>
      <c r="D698" s="2" t="s">
        <v>251</v>
      </c>
      <c r="E698" s="3">
        <v>45430.520833333336</v>
      </c>
      <c r="F698" s="2" t="s">
        <v>252</v>
      </c>
      <c r="G698" s="2" t="s">
        <v>814</v>
      </c>
      <c r="H698" s="2">
        <v>3.35</v>
      </c>
      <c r="I698" s="2">
        <v>20</v>
      </c>
      <c r="J698" s="2">
        <v>2.95</v>
      </c>
      <c r="K698" s="2">
        <v>30</v>
      </c>
      <c r="L698" s="2">
        <v>1</v>
      </c>
      <c r="M698" s="2">
        <v>10</v>
      </c>
      <c r="N698" s="2" t="s">
        <v>95</v>
      </c>
      <c r="O698" s="10">
        <v>2</v>
      </c>
      <c r="P698" s="14">
        <v>0</v>
      </c>
      <c r="Q698" s="183">
        <v>2</v>
      </c>
      <c r="R698" s="181">
        <v>0</v>
      </c>
      <c r="S698" s="178">
        <f t="shared" si="79"/>
        <v>2</v>
      </c>
      <c r="T698" s="186">
        <f t="shared" si="80"/>
        <v>2</v>
      </c>
      <c r="U698" s="179">
        <f t="shared" si="81"/>
        <v>0</v>
      </c>
      <c r="V698" s="1">
        <f t="shared" si="84"/>
        <v>25</v>
      </c>
      <c r="W698" s="8">
        <f t="shared" si="82"/>
        <v>6.25</v>
      </c>
      <c r="X698" s="15">
        <f t="shared" si="83"/>
        <v>3762.5</v>
      </c>
    </row>
    <row r="699" spans="1:24">
      <c r="A699" t="s">
        <v>931</v>
      </c>
      <c r="B699" s="163" t="s">
        <v>623</v>
      </c>
      <c r="C699" s="2" t="s">
        <v>6</v>
      </c>
      <c r="D699" s="2" t="s">
        <v>62</v>
      </c>
      <c r="E699" s="3">
        <v>45431.666666666664</v>
      </c>
      <c r="F699" s="2" t="s">
        <v>285</v>
      </c>
      <c r="G699" s="2" t="s">
        <v>64</v>
      </c>
      <c r="H699" s="2">
        <v>2.12</v>
      </c>
      <c r="I699" s="2">
        <v>20</v>
      </c>
      <c r="J699" s="2">
        <v>3.6</v>
      </c>
      <c r="K699" s="2">
        <v>22</v>
      </c>
      <c r="L699" s="2">
        <v>4</v>
      </c>
      <c r="M699" s="2">
        <v>10</v>
      </c>
      <c r="N699" s="2" t="s">
        <v>95</v>
      </c>
      <c r="O699" s="10">
        <v>2</v>
      </c>
      <c r="P699" s="14">
        <v>0</v>
      </c>
      <c r="Q699" s="183">
        <v>2</v>
      </c>
      <c r="R699" s="181">
        <v>0</v>
      </c>
      <c r="S699" s="178">
        <f t="shared" si="79"/>
        <v>2</v>
      </c>
      <c r="T699" s="186">
        <f t="shared" si="80"/>
        <v>2</v>
      </c>
      <c r="U699" s="179">
        <f t="shared" si="81"/>
        <v>0</v>
      </c>
      <c r="V699" s="1">
        <f t="shared" si="84"/>
        <v>25</v>
      </c>
      <c r="W699" s="8">
        <f t="shared" si="82"/>
        <v>6.25</v>
      </c>
      <c r="X699" s="15">
        <f t="shared" si="83"/>
        <v>3768.75</v>
      </c>
    </row>
    <row r="700" spans="1:24">
      <c r="A700" t="s">
        <v>931</v>
      </c>
      <c r="B700" s="163" t="s">
        <v>623</v>
      </c>
      <c r="C700" s="2" t="s">
        <v>80</v>
      </c>
      <c r="D700" s="2" t="s">
        <v>81</v>
      </c>
      <c r="E700" s="3">
        <v>45436.75</v>
      </c>
      <c r="F700" s="2" t="s">
        <v>293</v>
      </c>
      <c r="G700" s="2" t="s">
        <v>253</v>
      </c>
      <c r="H700" s="2">
        <v>5.0999999999999996</v>
      </c>
      <c r="I700" s="2">
        <v>20</v>
      </c>
      <c r="J700" s="2">
        <v>3</v>
      </c>
      <c r="K700" s="2">
        <v>39</v>
      </c>
      <c r="L700" s="2">
        <v>2</v>
      </c>
      <c r="M700" s="2">
        <v>10</v>
      </c>
      <c r="N700" s="2" t="s">
        <v>95</v>
      </c>
      <c r="O700" s="10">
        <v>1</v>
      </c>
      <c r="P700" s="14">
        <v>0</v>
      </c>
      <c r="Q700" s="183">
        <v>1</v>
      </c>
      <c r="R700" s="181">
        <v>1</v>
      </c>
      <c r="S700" s="178">
        <f t="shared" si="79"/>
        <v>1</v>
      </c>
      <c r="T700" s="186">
        <f t="shared" si="80"/>
        <v>2</v>
      </c>
      <c r="U700" s="179">
        <f t="shared" si="81"/>
        <v>1</v>
      </c>
      <c r="V700" s="1">
        <f t="shared" si="84"/>
        <v>25</v>
      </c>
      <c r="W700" s="8">
        <f t="shared" si="82"/>
        <v>6.25</v>
      </c>
      <c r="X700" s="15">
        <f t="shared" si="83"/>
        <v>3775</v>
      </c>
    </row>
    <row r="701" spans="1:24">
      <c r="A701" t="s">
        <v>931</v>
      </c>
      <c r="B701" s="163" t="s">
        <v>623</v>
      </c>
      <c r="C701" s="2" t="s">
        <v>20</v>
      </c>
      <c r="D701" s="2" t="s">
        <v>21</v>
      </c>
      <c r="E701" s="3">
        <v>45437.708333333336</v>
      </c>
      <c r="F701" s="2" t="s">
        <v>358</v>
      </c>
      <c r="G701" s="2" t="s">
        <v>23</v>
      </c>
      <c r="H701" s="2">
        <v>5.0999999999999996</v>
      </c>
      <c r="I701" s="2">
        <v>20</v>
      </c>
      <c r="J701" s="2">
        <v>2</v>
      </c>
      <c r="K701" s="2">
        <v>28</v>
      </c>
      <c r="L701" s="2">
        <v>0</v>
      </c>
      <c r="M701" s="2">
        <v>10</v>
      </c>
      <c r="N701" s="2" t="s">
        <v>95</v>
      </c>
      <c r="O701" s="10">
        <v>2</v>
      </c>
      <c r="P701" s="14">
        <v>0</v>
      </c>
      <c r="Q701" s="183">
        <v>2</v>
      </c>
      <c r="R701" s="181">
        <v>0</v>
      </c>
      <c r="S701" s="178">
        <f t="shared" si="79"/>
        <v>2</v>
      </c>
      <c r="T701" s="186">
        <f t="shared" si="80"/>
        <v>2</v>
      </c>
      <c r="U701" s="179">
        <f t="shared" si="81"/>
        <v>0</v>
      </c>
      <c r="V701" s="1">
        <f t="shared" si="84"/>
        <v>25</v>
      </c>
      <c r="W701" s="8">
        <f t="shared" si="82"/>
        <v>6.25</v>
      </c>
      <c r="X701" s="15">
        <f t="shared" si="83"/>
        <v>3781.25</v>
      </c>
    </row>
    <row r="702" spans="1:24">
      <c r="A702" t="s">
        <v>931</v>
      </c>
      <c r="B702" s="163" t="s">
        <v>623</v>
      </c>
      <c r="C702" s="2" t="s">
        <v>80</v>
      </c>
      <c r="D702" s="2" t="s">
        <v>81</v>
      </c>
      <c r="E702" s="3">
        <v>45438.708333333336</v>
      </c>
      <c r="F702" s="2" t="s">
        <v>292</v>
      </c>
      <c r="G702" s="2" t="s">
        <v>530</v>
      </c>
      <c r="H702" s="2">
        <v>5.7</v>
      </c>
      <c r="I702" s="2">
        <v>20</v>
      </c>
      <c r="J702" s="2">
        <v>3.05</v>
      </c>
      <c r="K702" s="2">
        <v>27</v>
      </c>
      <c r="L702" s="2">
        <v>0</v>
      </c>
      <c r="M702" s="2">
        <v>10</v>
      </c>
      <c r="N702" s="2" t="s">
        <v>95</v>
      </c>
      <c r="O702" s="10">
        <v>1</v>
      </c>
      <c r="P702" s="14">
        <v>0</v>
      </c>
      <c r="Q702" s="183">
        <v>2</v>
      </c>
      <c r="R702" s="181">
        <v>0</v>
      </c>
      <c r="S702" s="178">
        <f t="shared" si="79"/>
        <v>1</v>
      </c>
      <c r="T702" s="186">
        <f t="shared" si="80"/>
        <v>2</v>
      </c>
      <c r="U702" s="179">
        <f t="shared" si="81"/>
        <v>1</v>
      </c>
      <c r="V702" s="1">
        <f t="shared" si="84"/>
        <v>25</v>
      </c>
      <c r="W702" s="8">
        <f t="shared" si="82"/>
        <v>6.25</v>
      </c>
      <c r="X702" s="15">
        <f t="shared" si="83"/>
        <v>3787.5</v>
      </c>
    </row>
    <row r="703" spans="1:24">
      <c r="A703" t="s">
        <v>931</v>
      </c>
      <c r="B703" s="163" t="s">
        <v>623</v>
      </c>
      <c r="C703" s="2" t="s">
        <v>67</v>
      </c>
      <c r="D703" s="2" t="s">
        <v>68</v>
      </c>
      <c r="E703" s="3">
        <v>45438.729166666664</v>
      </c>
      <c r="F703" s="2" t="s">
        <v>465</v>
      </c>
      <c r="G703" s="2" t="s">
        <v>343</v>
      </c>
      <c r="H703" s="2">
        <v>5.5</v>
      </c>
      <c r="I703" s="2">
        <v>20</v>
      </c>
      <c r="J703" s="2">
        <v>2.85</v>
      </c>
      <c r="K703" s="2">
        <v>35</v>
      </c>
      <c r="L703" s="2">
        <v>1</v>
      </c>
      <c r="M703" s="2">
        <v>10</v>
      </c>
      <c r="N703" s="2" t="s">
        <v>95</v>
      </c>
      <c r="O703" s="10">
        <v>1</v>
      </c>
      <c r="P703" s="14">
        <v>0</v>
      </c>
      <c r="Q703" s="183">
        <v>2</v>
      </c>
      <c r="R703" s="181">
        <v>0</v>
      </c>
      <c r="S703" s="178">
        <f t="shared" si="79"/>
        <v>1</v>
      </c>
      <c r="T703" s="186">
        <f t="shared" si="80"/>
        <v>2</v>
      </c>
      <c r="U703" s="179">
        <f t="shared" si="81"/>
        <v>1</v>
      </c>
      <c r="V703" s="1">
        <f t="shared" si="84"/>
        <v>25</v>
      </c>
      <c r="W703" s="8">
        <f t="shared" si="82"/>
        <v>6.25</v>
      </c>
      <c r="X703" s="15">
        <f t="shared" si="83"/>
        <v>3793.75</v>
      </c>
    </row>
    <row r="704" spans="1:24">
      <c r="A704" t="s">
        <v>931</v>
      </c>
      <c r="B704" s="163" t="s">
        <v>498</v>
      </c>
      <c r="C704" s="2" t="s">
        <v>296</v>
      </c>
      <c r="D704" s="2" t="s">
        <v>525</v>
      </c>
      <c r="E704" s="3">
        <v>45359.770833333336</v>
      </c>
      <c r="F704" s="2" t="s">
        <v>526</v>
      </c>
      <c r="G704" s="2" t="s">
        <v>527</v>
      </c>
      <c r="H704" s="2">
        <v>69</v>
      </c>
      <c r="I704" s="2">
        <v>85</v>
      </c>
      <c r="J704" s="2">
        <v>1.6</v>
      </c>
      <c r="K704" s="2">
        <v>20</v>
      </c>
      <c r="L704" s="2"/>
      <c r="M704" s="2"/>
      <c r="N704" s="2" t="s">
        <v>95</v>
      </c>
      <c r="O704" s="10">
        <v>1</v>
      </c>
      <c r="P704" s="14">
        <v>1</v>
      </c>
      <c r="Q704" s="183">
        <v>1</v>
      </c>
      <c r="R704" s="187">
        <v>1</v>
      </c>
      <c r="S704" s="178">
        <f t="shared" si="79"/>
        <v>2</v>
      </c>
      <c r="T704" s="186">
        <f t="shared" si="80"/>
        <v>2</v>
      </c>
      <c r="U704" s="179">
        <f t="shared" si="81"/>
        <v>0</v>
      </c>
      <c r="V704" s="1">
        <f t="shared" si="84"/>
        <v>25</v>
      </c>
      <c r="W704" s="8">
        <f t="shared" si="82"/>
        <v>6.25</v>
      </c>
      <c r="X704" s="15">
        <f t="shared" si="83"/>
        <v>3800</v>
      </c>
    </row>
    <row r="705" spans="1:24">
      <c r="A705" t="s">
        <v>931</v>
      </c>
      <c r="B705" s="163" t="s">
        <v>498</v>
      </c>
      <c r="C705" s="2" t="s">
        <v>77</v>
      </c>
      <c r="D705" s="2" t="s">
        <v>234</v>
      </c>
      <c r="E705" s="3">
        <v>45361.520833333336</v>
      </c>
      <c r="F705" s="2" t="s">
        <v>555</v>
      </c>
      <c r="G705" s="2" t="s">
        <v>475</v>
      </c>
      <c r="H705" s="2">
        <v>64</v>
      </c>
      <c r="I705" s="2">
        <v>85</v>
      </c>
      <c r="J705" s="2">
        <v>1.5</v>
      </c>
      <c r="K705" s="2">
        <v>20</v>
      </c>
      <c r="L705" s="2"/>
      <c r="M705" s="2"/>
      <c r="N705" s="2" t="s">
        <v>95</v>
      </c>
      <c r="O705" s="10">
        <v>2</v>
      </c>
      <c r="P705" s="14">
        <v>0</v>
      </c>
      <c r="Q705" s="183">
        <v>2</v>
      </c>
      <c r="R705" s="187">
        <v>0</v>
      </c>
      <c r="S705" s="178">
        <f t="shared" ref="S705:S768" si="85">SUM(O705:P705)</f>
        <v>2</v>
      </c>
      <c r="T705" s="186">
        <f t="shared" ref="T705:T768" si="86">SUM(Q705:R705)</f>
        <v>2</v>
      </c>
      <c r="U705" s="179">
        <f t="shared" ref="U705:U768" si="87">SUM(T705-S705)</f>
        <v>0</v>
      </c>
      <c r="V705" s="1">
        <f t="shared" si="84"/>
        <v>25</v>
      </c>
      <c r="W705" s="8">
        <f t="shared" si="82"/>
        <v>6.25</v>
      </c>
      <c r="X705" s="15">
        <f t="shared" si="83"/>
        <v>3806.25</v>
      </c>
    </row>
    <row r="706" spans="1:24">
      <c r="A706" t="s">
        <v>931</v>
      </c>
      <c r="B706" s="163" t="s">
        <v>498</v>
      </c>
      <c r="C706" s="2" t="s">
        <v>67</v>
      </c>
      <c r="D706" s="2" t="s">
        <v>68</v>
      </c>
      <c r="E706" s="3">
        <v>45361.729166666664</v>
      </c>
      <c r="F706" s="2" t="s">
        <v>465</v>
      </c>
      <c r="G706" s="2" t="s">
        <v>257</v>
      </c>
      <c r="H706" s="2">
        <v>70</v>
      </c>
      <c r="I706" s="2">
        <v>90</v>
      </c>
      <c r="J706" s="2">
        <v>1.65</v>
      </c>
      <c r="K706" s="2">
        <v>20</v>
      </c>
      <c r="L706" s="2"/>
      <c r="M706" s="2"/>
      <c r="N706" s="2" t="s">
        <v>95</v>
      </c>
      <c r="O706" s="10">
        <v>0</v>
      </c>
      <c r="P706" s="14">
        <v>0</v>
      </c>
      <c r="Q706" s="183">
        <v>1</v>
      </c>
      <c r="R706" s="187">
        <v>1</v>
      </c>
      <c r="S706" s="178">
        <f t="shared" si="85"/>
        <v>0</v>
      </c>
      <c r="T706" s="186">
        <f t="shared" si="86"/>
        <v>2</v>
      </c>
      <c r="U706" s="179">
        <f t="shared" si="87"/>
        <v>2</v>
      </c>
      <c r="V706" s="1">
        <f t="shared" si="84"/>
        <v>25</v>
      </c>
      <c r="W706" s="8">
        <f t="shared" ref="W706:W759" si="88">IF(N706="won",V706*0.25,-V706)</f>
        <v>6.25</v>
      </c>
      <c r="X706" s="15">
        <f t="shared" si="83"/>
        <v>3812.5</v>
      </c>
    </row>
    <row r="707" spans="1:24">
      <c r="A707" t="s">
        <v>931</v>
      </c>
      <c r="B707" s="163" t="s">
        <v>498</v>
      </c>
      <c r="C707" s="2" t="s">
        <v>77</v>
      </c>
      <c r="D707" s="2" t="s">
        <v>234</v>
      </c>
      <c r="E707" s="3">
        <v>45367.5</v>
      </c>
      <c r="F707" s="2" t="s">
        <v>499</v>
      </c>
      <c r="G707" s="2" t="s">
        <v>235</v>
      </c>
      <c r="H707" s="2">
        <v>69</v>
      </c>
      <c r="I707" s="2">
        <v>90</v>
      </c>
      <c r="J707" s="2">
        <v>1.55</v>
      </c>
      <c r="K707" s="2">
        <v>20</v>
      </c>
      <c r="L707" s="2"/>
      <c r="M707" s="2"/>
      <c r="N707" s="2" t="s">
        <v>95</v>
      </c>
      <c r="O707" s="10">
        <v>0</v>
      </c>
      <c r="P707" s="14">
        <v>1</v>
      </c>
      <c r="Q707" s="183">
        <v>0</v>
      </c>
      <c r="R707" s="187">
        <v>2</v>
      </c>
      <c r="S707" s="178">
        <f t="shared" si="85"/>
        <v>1</v>
      </c>
      <c r="T707" s="186">
        <f t="shared" si="86"/>
        <v>2</v>
      </c>
      <c r="U707" s="179">
        <f t="shared" si="87"/>
        <v>1</v>
      </c>
      <c r="V707" s="1">
        <f t="shared" si="84"/>
        <v>25</v>
      </c>
      <c r="W707" s="8">
        <f t="shared" si="88"/>
        <v>6.25</v>
      </c>
      <c r="X707" s="15">
        <f t="shared" si="83"/>
        <v>3818.75</v>
      </c>
    </row>
    <row r="708" spans="1:24">
      <c r="A708" t="s">
        <v>931</v>
      </c>
      <c r="B708" s="163" t="s">
        <v>498</v>
      </c>
      <c r="C708" s="2" t="s">
        <v>296</v>
      </c>
      <c r="D708" s="2" t="s">
        <v>525</v>
      </c>
      <c r="E708" s="3">
        <v>45367.708333333336</v>
      </c>
      <c r="F708" s="2" t="s">
        <v>527</v>
      </c>
      <c r="G708" s="2" t="s">
        <v>589</v>
      </c>
      <c r="H708" s="2">
        <v>65</v>
      </c>
      <c r="I708" s="2">
        <v>85</v>
      </c>
      <c r="J708" s="2">
        <v>1.55</v>
      </c>
      <c r="K708" s="2">
        <v>20</v>
      </c>
      <c r="L708" s="2"/>
      <c r="M708" s="2"/>
      <c r="N708" s="2" t="s">
        <v>95</v>
      </c>
      <c r="O708" s="10">
        <v>0</v>
      </c>
      <c r="P708" s="14">
        <v>0</v>
      </c>
      <c r="Q708" s="183">
        <v>2</v>
      </c>
      <c r="R708" s="187">
        <v>0</v>
      </c>
      <c r="S708" s="178">
        <f t="shared" si="85"/>
        <v>0</v>
      </c>
      <c r="T708" s="186">
        <f t="shared" si="86"/>
        <v>2</v>
      </c>
      <c r="U708" s="179">
        <f t="shared" si="87"/>
        <v>2</v>
      </c>
      <c r="V708" s="1">
        <f t="shared" si="84"/>
        <v>25</v>
      </c>
      <c r="W708" s="8">
        <f t="shared" si="88"/>
        <v>6.25</v>
      </c>
      <c r="X708" s="15">
        <f t="shared" si="83"/>
        <v>3825</v>
      </c>
    </row>
    <row r="709" spans="1:24">
      <c r="A709" t="s">
        <v>931</v>
      </c>
      <c r="B709" s="163" t="s">
        <v>498</v>
      </c>
      <c r="C709" s="2" t="s">
        <v>77</v>
      </c>
      <c r="D709" s="2" t="s">
        <v>234</v>
      </c>
      <c r="E709" s="3">
        <v>45389.520833333336</v>
      </c>
      <c r="F709" s="2" t="s">
        <v>632</v>
      </c>
      <c r="G709" s="2" t="s">
        <v>687</v>
      </c>
      <c r="H709" s="2">
        <v>69</v>
      </c>
      <c r="I709" s="2">
        <v>80</v>
      </c>
      <c r="J709" s="2">
        <v>1.5</v>
      </c>
      <c r="K709" s="2">
        <v>20</v>
      </c>
      <c r="L709" s="2"/>
      <c r="M709" s="2"/>
      <c r="N709" s="2" t="s">
        <v>95</v>
      </c>
      <c r="O709" s="10">
        <v>1</v>
      </c>
      <c r="P709" s="14">
        <v>0</v>
      </c>
      <c r="Q709" s="183">
        <v>2</v>
      </c>
      <c r="R709" s="187">
        <v>0</v>
      </c>
      <c r="S709" s="178">
        <f t="shared" si="85"/>
        <v>1</v>
      </c>
      <c r="T709" s="186">
        <f t="shared" si="86"/>
        <v>2</v>
      </c>
      <c r="U709" s="179">
        <f t="shared" si="87"/>
        <v>1</v>
      </c>
      <c r="V709" s="1">
        <f t="shared" si="84"/>
        <v>25</v>
      </c>
      <c r="W709" s="8">
        <f t="shared" si="88"/>
        <v>6.25</v>
      </c>
      <c r="X709" s="15">
        <f t="shared" si="83"/>
        <v>3831.25</v>
      </c>
    </row>
    <row r="710" spans="1:24">
      <c r="A710" t="s">
        <v>931</v>
      </c>
      <c r="B710" s="163" t="s">
        <v>498</v>
      </c>
      <c r="C710" s="2" t="s">
        <v>80</v>
      </c>
      <c r="D710" s="2" t="s">
        <v>81</v>
      </c>
      <c r="E710" s="3">
        <v>45395.479166666664</v>
      </c>
      <c r="F710" s="2" t="s">
        <v>609</v>
      </c>
      <c r="G710" s="2" t="s">
        <v>82</v>
      </c>
      <c r="H710" s="2">
        <v>65</v>
      </c>
      <c r="I710" s="2">
        <v>85</v>
      </c>
      <c r="J710" s="2">
        <v>1.5</v>
      </c>
      <c r="K710" s="2">
        <v>20</v>
      </c>
      <c r="L710" s="2"/>
      <c r="M710" s="2"/>
      <c r="N710" s="2" t="s">
        <v>95</v>
      </c>
      <c r="O710" s="10">
        <v>0</v>
      </c>
      <c r="P710" s="14">
        <v>1</v>
      </c>
      <c r="Q710" s="183">
        <v>0</v>
      </c>
      <c r="R710" s="187">
        <v>2</v>
      </c>
      <c r="S710" s="178">
        <f t="shared" si="85"/>
        <v>1</v>
      </c>
      <c r="T710" s="186">
        <f t="shared" si="86"/>
        <v>2</v>
      </c>
      <c r="U710" s="179">
        <f t="shared" si="87"/>
        <v>1</v>
      </c>
      <c r="V710" s="1">
        <f t="shared" si="84"/>
        <v>25</v>
      </c>
      <c r="W710" s="8">
        <f t="shared" si="88"/>
        <v>6.25</v>
      </c>
      <c r="X710" s="15">
        <f t="shared" si="83"/>
        <v>3837.5</v>
      </c>
    </row>
    <row r="711" spans="1:24">
      <c r="A711" t="s">
        <v>931</v>
      </c>
      <c r="B711" s="163" t="s">
        <v>498</v>
      </c>
      <c r="C711" s="2" t="s">
        <v>77</v>
      </c>
      <c r="D711" s="2" t="s">
        <v>234</v>
      </c>
      <c r="E711" s="3">
        <v>45395.5</v>
      </c>
      <c r="F711" s="2" t="s">
        <v>407</v>
      </c>
      <c r="G711" s="2" t="s">
        <v>632</v>
      </c>
      <c r="H711" s="2">
        <v>63</v>
      </c>
      <c r="I711" s="2">
        <v>85</v>
      </c>
      <c r="J711" s="2">
        <v>1.3</v>
      </c>
      <c r="K711" s="2">
        <v>20</v>
      </c>
      <c r="L711" s="2"/>
      <c r="M711" s="2"/>
      <c r="N711" s="2" t="s">
        <v>95</v>
      </c>
      <c r="O711" s="10">
        <v>0</v>
      </c>
      <c r="P711" s="14">
        <v>1</v>
      </c>
      <c r="Q711" s="183">
        <v>0</v>
      </c>
      <c r="R711" s="187">
        <v>2</v>
      </c>
      <c r="S711" s="178">
        <f t="shared" si="85"/>
        <v>1</v>
      </c>
      <c r="T711" s="186">
        <f t="shared" si="86"/>
        <v>2</v>
      </c>
      <c r="U711" s="179">
        <f t="shared" si="87"/>
        <v>1</v>
      </c>
      <c r="V711" s="1">
        <f t="shared" si="84"/>
        <v>25</v>
      </c>
      <c r="W711" s="8">
        <f t="shared" si="88"/>
        <v>6.25</v>
      </c>
      <c r="X711" s="15">
        <f t="shared" si="83"/>
        <v>3843.75</v>
      </c>
    </row>
    <row r="712" spans="1:24">
      <c r="A712" t="s">
        <v>931</v>
      </c>
      <c r="B712" s="163" t="s">
        <v>498</v>
      </c>
      <c r="C712" s="2" t="s">
        <v>6</v>
      </c>
      <c r="D712" s="2" t="s">
        <v>14</v>
      </c>
      <c r="E712" s="3">
        <v>45395.625</v>
      </c>
      <c r="F712" s="2" t="s">
        <v>202</v>
      </c>
      <c r="G712" s="2" t="s">
        <v>513</v>
      </c>
      <c r="H712" s="2">
        <v>63</v>
      </c>
      <c r="I712" s="2">
        <v>80</v>
      </c>
      <c r="J712" s="2">
        <v>1.25</v>
      </c>
      <c r="K712" s="2">
        <v>20</v>
      </c>
      <c r="L712" s="2"/>
      <c r="M712" s="2"/>
      <c r="N712" s="2" t="s">
        <v>95</v>
      </c>
      <c r="O712" s="10">
        <v>0</v>
      </c>
      <c r="P712" s="14">
        <v>0</v>
      </c>
      <c r="Q712" s="183">
        <v>1</v>
      </c>
      <c r="R712" s="187">
        <v>1</v>
      </c>
      <c r="S712" s="178">
        <f t="shared" si="85"/>
        <v>0</v>
      </c>
      <c r="T712" s="186">
        <f t="shared" si="86"/>
        <v>2</v>
      </c>
      <c r="U712" s="179">
        <f t="shared" si="87"/>
        <v>2</v>
      </c>
      <c r="V712" s="1">
        <f t="shared" si="84"/>
        <v>25</v>
      </c>
      <c r="W712" s="8">
        <f t="shared" si="88"/>
        <v>6.25</v>
      </c>
      <c r="X712" s="15">
        <f t="shared" si="83"/>
        <v>3850</v>
      </c>
    </row>
    <row r="713" spans="1:24">
      <c r="A713" t="s">
        <v>931</v>
      </c>
      <c r="B713" s="163" t="s">
        <v>498</v>
      </c>
      <c r="C713" s="2" t="s">
        <v>31</v>
      </c>
      <c r="D713" s="2" t="s">
        <v>32</v>
      </c>
      <c r="E713" s="3">
        <v>45398.822916666664</v>
      </c>
      <c r="F713" s="2" t="s">
        <v>584</v>
      </c>
      <c r="G713" s="2" t="s">
        <v>440</v>
      </c>
      <c r="H713" s="2">
        <v>65</v>
      </c>
      <c r="I713" s="2">
        <v>90</v>
      </c>
      <c r="J713" s="2">
        <v>1.7</v>
      </c>
      <c r="K713" s="2">
        <v>20</v>
      </c>
      <c r="L713" s="2"/>
      <c r="M713" s="2"/>
      <c r="N713" s="2" t="s">
        <v>95</v>
      </c>
      <c r="O713" s="10">
        <v>0</v>
      </c>
      <c r="P713" s="14">
        <v>0</v>
      </c>
      <c r="Q713" s="183">
        <v>2</v>
      </c>
      <c r="R713" s="187">
        <v>0</v>
      </c>
      <c r="S713" s="178">
        <f t="shared" si="85"/>
        <v>0</v>
      </c>
      <c r="T713" s="186">
        <f t="shared" si="86"/>
        <v>2</v>
      </c>
      <c r="U713" s="179">
        <f t="shared" si="87"/>
        <v>2</v>
      </c>
      <c r="V713" s="1">
        <f t="shared" si="84"/>
        <v>25</v>
      </c>
      <c r="W713" s="8">
        <f t="shared" si="88"/>
        <v>6.25</v>
      </c>
      <c r="X713" s="15">
        <f t="shared" si="83"/>
        <v>3856.25</v>
      </c>
    </row>
    <row r="714" spans="1:24">
      <c r="A714" t="s">
        <v>931</v>
      </c>
      <c r="B714" s="163" t="s">
        <v>498</v>
      </c>
      <c r="C714" s="2" t="s">
        <v>77</v>
      </c>
      <c r="D714" s="2" t="s">
        <v>234</v>
      </c>
      <c r="E714" s="3">
        <v>45401.729166666664</v>
      </c>
      <c r="F714" s="2" t="s">
        <v>499</v>
      </c>
      <c r="G714" s="2" t="s">
        <v>246</v>
      </c>
      <c r="H714" s="2">
        <v>65</v>
      </c>
      <c r="I714" s="2">
        <v>85</v>
      </c>
      <c r="J714" s="2">
        <v>1.55</v>
      </c>
      <c r="K714" s="2">
        <v>20</v>
      </c>
      <c r="L714" s="2"/>
      <c r="M714" s="2"/>
      <c r="N714" s="2" t="s">
        <v>95</v>
      </c>
      <c r="O714" s="10">
        <v>1</v>
      </c>
      <c r="P714" s="14">
        <v>0</v>
      </c>
      <c r="Q714" s="183">
        <v>1</v>
      </c>
      <c r="R714" s="187">
        <v>1</v>
      </c>
      <c r="S714" s="178">
        <f t="shared" si="85"/>
        <v>1</v>
      </c>
      <c r="T714" s="186">
        <f t="shared" si="86"/>
        <v>2</v>
      </c>
      <c r="U714" s="179">
        <f t="shared" si="87"/>
        <v>1</v>
      </c>
      <c r="V714" s="1">
        <f t="shared" si="84"/>
        <v>25</v>
      </c>
      <c r="W714" s="8">
        <f t="shared" si="88"/>
        <v>6.25</v>
      </c>
      <c r="X714" s="15">
        <f t="shared" si="83"/>
        <v>3862.5</v>
      </c>
    </row>
    <row r="715" spans="1:24">
      <c r="A715" t="s">
        <v>931</v>
      </c>
      <c r="B715" s="163" t="s">
        <v>498</v>
      </c>
      <c r="C715" s="2" t="s">
        <v>77</v>
      </c>
      <c r="D715" s="2" t="s">
        <v>234</v>
      </c>
      <c r="E715" s="3">
        <v>45401.729166666664</v>
      </c>
      <c r="F715" s="2" t="s">
        <v>328</v>
      </c>
      <c r="G715" s="2" t="s">
        <v>424</v>
      </c>
      <c r="H715" s="2">
        <v>69</v>
      </c>
      <c r="I715" s="2">
        <v>95</v>
      </c>
      <c r="J715" s="2">
        <v>1.55</v>
      </c>
      <c r="K715" s="2">
        <v>20</v>
      </c>
      <c r="L715" s="2"/>
      <c r="M715" s="2"/>
      <c r="N715" s="2" t="s">
        <v>95</v>
      </c>
      <c r="O715" s="10">
        <v>0</v>
      </c>
      <c r="P715" s="14">
        <v>1</v>
      </c>
      <c r="Q715" s="183">
        <v>0</v>
      </c>
      <c r="R715" s="187">
        <v>2</v>
      </c>
      <c r="S715" s="178">
        <f t="shared" si="85"/>
        <v>1</v>
      </c>
      <c r="T715" s="186">
        <f t="shared" si="86"/>
        <v>2</v>
      </c>
      <c r="U715" s="179">
        <f t="shared" si="87"/>
        <v>1</v>
      </c>
      <c r="V715" s="1">
        <f t="shared" si="84"/>
        <v>25</v>
      </c>
      <c r="W715" s="8">
        <f t="shared" si="88"/>
        <v>6.25</v>
      </c>
      <c r="X715" s="15">
        <f t="shared" si="83"/>
        <v>3868.75</v>
      </c>
    </row>
    <row r="716" spans="1:24">
      <c r="A716" t="s">
        <v>931</v>
      </c>
      <c r="B716" s="163" t="s">
        <v>498</v>
      </c>
      <c r="C716" s="2" t="s">
        <v>31</v>
      </c>
      <c r="D716" s="2" t="s">
        <v>32</v>
      </c>
      <c r="E716" s="3">
        <v>45402.625</v>
      </c>
      <c r="F716" s="2" t="s">
        <v>584</v>
      </c>
      <c r="G716" s="2" t="s">
        <v>186</v>
      </c>
      <c r="H716" s="2">
        <v>63</v>
      </c>
      <c r="I716" s="2">
        <v>90</v>
      </c>
      <c r="J716" s="2">
        <v>1.8</v>
      </c>
      <c r="K716" s="2">
        <v>20</v>
      </c>
      <c r="L716" s="2"/>
      <c r="M716" s="2"/>
      <c r="N716" s="2" t="s">
        <v>95</v>
      </c>
      <c r="O716" s="10">
        <v>1</v>
      </c>
      <c r="P716" s="14">
        <v>0</v>
      </c>
      <c r="Q716" s="183">
        <v>2</v>
      </c>
      <c r="R716" s="187">
        <v>0</v>
      </c>
      <c r="S716" s="178">
        <f t="shared" si="85"/>
        <v>1</v>
      </c>
      <c r="T716" s="186">
        <f t="shared" si="86"/>
        <v>2</v>
      </c>
      <c r="U716" s="179">
        <f t="shared" si="87"/>
        <v>1</v>
      </c>
      <c r="V716" s="1">
        <f t="shared" si="84"/>
        <v>25</v>
      </c>
      <c r="W716" s="8">
        <f t="shared" si="88"/>
        <v>6.25</v>
      </c>
      <c r="X716" s="15">
        <f t="shared" si="83"/>
        <v>3875</v>
      </c>
    </row>
    <row r="717" spans="1:24">
      <c r="A717" t="s">
        <v>931</v>
      </c>
      <c r="B717" s="163" t="s">
        <v>498</v>
      </c>
      <c r="C717" s="2" t="s">
        <v>13</v>
      </c>
      <c r="D717" s="2" t="s">
        <v>14</v>
      </c>
      <c r="E717" s="3">
        <v>45409.625</v>
      </c>
      <c r="F717" s="2" t="s">
        <v>130</v>
      </c>
      <c r="G717" s="2" t="s">
        <v>773</v>
      </c>
      <c r="H717" s="2">
        <v>64</v>
      </c>
      <c r="I717" s="2">
        <v>85</v>
      </c>
      <c r="J717" s="2">
        <v>1.3</v>
      </c>
      <c r="K717" s="2">
        <v>20</v>
      </c>
      <c r="L717" s="2"/>
      <c r="M717" s="2"/>
      <c r="N717" s="2" t="s">
        <v>95</v>
      </c>
      <c r="O717" s="10">
        <v>1</v>
      </c>
      <c r="P717" s="14">
        <v>0</v>
      </c>
      <c r="Q717" s="183">
        <v>1</v>
      </c>
      <c r="R717" s="187">
        <v>1</v>
      </c>
      <c r="S717" s="178">
        <f t="shared" si="85"/>
        <v>1</v>
      </c>
      <c r="T717" s="186">
        <f t="shared" si="86"/>
        <v>2</v>
      </c>
      <c r="U717" s="179">
        <f t="shared" si="87"/>
        <v>1</v>
      </c>
      <c r="V717" s="1">
        <f t="shared" si="84"/>
        <v>25</v>
      </c>
      <c r="W717" s="8">
        <f t="shared" si="88"/>
        <v>6.25</v>
      </c>
      <c r="X717" s="15">
        <f t="shared" si="83"/>
        <v>3881.25</v>
      </c>
    </row>
    <row r="718" spans="1:24">
      <c r="A718" t="s">
        <v>931</v>
      </c>
      <c r="B718" s="163" t="s">
        <v>498</v>
      </c>
      <c r="C718" s="2" t="s">
        <v>6</v>
      </c>
      <c r="D718" s="2" t="s">
        <v>62</v>
      </c>
      <c r="E718" s="3">
        <v>45431.666666666664</v>
      </c>
      <c r="F718" s="2" t="s">
        <v>285</v>
      </c>
      <c r="G718" s="2" t="s">
        <v>64</v>
      </c>
      <c r="H718" s="2">
        <v>64</v>
      </c>
      <c r="I718" s="2">
        <v>90</v>
      </c>
      <c r="J718" s="2">
        <v>1.7</v>
      </c>
      <c r="K718" s="2">
        <v>20</v>
      </c>
      <c r="L718" s="2"/>
      <c r="M718" s="2"/>
      <c r="N718" s="2" t="s">
        <v>95</v>
      </c>
      <c r="O718" s="10">
        <v>2</v>
      </c>
      <c r="P718" s="14">
        <v>0</v>
      </c>
      <c r="Q718" s="183">
        <v>2</v>
      </c>
      <c r="R718" s="187">
        <v>0</v>
      </c>
      <c r="S718" s="178">
        <f t="shared" si="85"/>
        <v>2</v>
      </c>
      <c r="T718" s="186">
        <f t="shared" si="86"/>
        <v>2</v>
      </c>
      <c r="U718" s="179">
        <f t="shared" si="87"/>
        <v>0</v>
      </c>
      <c r="V718" s="1">
        <f t="shared" si="84"/>
        <v>25</v>
      </c>
      <c r="W718" s="8">
        <f t="shared" si="88"/>
        <v>6.25</v>
      </c>
      <c r="X718" s="15">
        <f t="shared" si="83"/>
        <v>3887.5</v>
      </c>
    </row>
    <row r="719" spans="1:24">
      <c r="A719" t="s">
        <v>931</v>
      </c>
      <c r="B719" s="163" t="s">
        <v>473</v>
      </c>
      <c r="C719" s="2" t="s">
        <v>6</v>
      </c>
      <c r="D719" s="2" t="s">
        <v>36</v>
      </c>
      <c r="E719" s="3">
        <v>45350.822916666664</v>
      </c>
      <c r="F719" s="2" t="s">
        <v>469</v>
      </c>
      <c r="G719" s="2" t="s">
        <v>470</v>
      </c>
      <c r="H719" s="2">
        <v>64</v>
      </c>
      <c r="I719" s="2">
        <v>95</v>
      </c>
      <c r="J719" s="2">
        <v>20</v>
      </c>
      <c r="K719" s="2">
        <v>3.35</v>
      </c>
      <c r="L719" s="2"/>
      <c r="M719" s="2"/>
      <c r="N719" s="2" t="s">
        <v>95</v>
      </c>
      <c r="O719" s="10">
        <v>0</v>
      </c>
      <c r="P719" s="14">
        <v>1</v>
      </c>
      <c r="Q719" s="183">
        <v>1</v>
      </c>
      <c r="R719" s="187">
        <v>1</v>
      </c>
      <c r="S719" s="178">
        <f t="shared" si="85"/>
        <v>1</v>
      </c>
      <c r="T719" s="186">
        <f t="shared" si="86"/>
        <v>2</v>
      </c>
      <c r="U719" s="179">
        <f t="shared" si="87"/>
        <v>1</v>
      </c>
      <c r="V719" s="1">
        <f t="shared" si="84"/>
        <v>25</v>
      </c>
      <c r="W719" s="8">
        <f t="shared" si="88"/>
        <v>6.25</v>
      </c>
      <c r="X719" s="15">
        <f t="shared" si="83"/>
        <v>3893.75</v>
      </c>
    </row>
    <row r="720" spans="1:24">
      <c r="A720" t="s">
        <v>931</v>
      </c>
      <c r="B720" s="163" t="s">
        <v>473</v>
      </c>
      <c r="C720" s="2" t="s">
        <v>89</v>
      </c>
      <c r="D720" s="2" t="s">
        <v>90</v>
      </c>
      <c r="E720" s="3">
        <v>45360.604166666664</v>
      </c>
      <c r="F720" s="2" t="s">
        <v>478</v>
      </c>
      <c r="G720" s="2" t="s">
        <v>483</v>
      </c>
      <c r="H720" s="2">
        <v>65</v>
      </c>
      <c r="I720" s="2">
        <v>85</v>
      </c>
      <c r="J720" s="2">
        <v>20</v>
      </c>
      <c r="K720" s="2">
        <v>3.45</v>
      </c>
      <c r="L720" s="2"/>
      <c r="M720" s="2"/>
      <c r="N720" s="2" t="s">
        <v>95</v>
      </c>
      <c r="O720" s="10">
        <v>0</v>
      </c>
      <c r="P720" s="14">
        <v>0</v>
      </c>
      <c r="Q720" s="183">
        <v>2</v>
      </c>
      <c r="R720" s="187">
        <v>0</v>
      </c>
      <c r="S720" s="178">
        <f t="shared" si="85"/>
        <v>0</v>
      </c>
      <c r="T720" s="186">
        <f t="shared" si="86"/>
        <v>2</v>
      </c>
      <c r="U720" s="179">
        <f t="shared" si="87"/>
        <v>2</v>
      </c>
      <c r="V720" s="1">
        <f t="shared" si="84"/>
        <v>25</v>
      </c>
      <c r="W720" s="8">
        <f t="shared" si="88"/>
        <v>6.25</v>
      </c>
      <c r="X720" s="15">
        <f t="shared" si="83"/>
        <v>3900</v>
      </c>
    </row>
    <row r="721" spans="1:24">
      <c r="A721" t="s">
        <v>931</v>
      </c>
      <c r="B721" s="163" t="s">
        <v>473</v>
      </c>
      <c r="C721" s="2" t="s">
        <v>67</v>
      </c>
      <c r="D721" s="2" t="s">
        <v>68</v>
      </c>
      <c r="E721" s="3">
        <v>45361.729166666664</v>
      </c>
      <c r="F721" s="2" t="s">
        <v>465</v>
      </c>
      <c r="G721" s="2" t="s">
        <v>257</v>
      </c>
      <c r="H721" s="2">
        <v>68</v>
      </c>
      <c r="I721" s="2">
        <v>90</v>
      </c>
      <c r="J721" s="2">
        <v>20</v>
      </c>
      <c r="K721" s="2">
        <v>3.2</v>
      </c>
      <c r="L721" s="2"/>
      <c r="M721" s="2"/>
      <c r="N721" s="2" t="s">
        <v>95</v>
      </c>
      <c r="O721" s="10">
        <v>0</v>
      </c>
      <c r="P721" s="14">
        <v>0</v>
      </c>
      <c r="Q721" s="183">
        <v>1</v>
      </c>
      <c r="R721" s="187">
        <v>1</v>
      </c>
      <c r="S721" s="178">
        <f t="shared" si="85"/>
        <v>0</v>
      </c>
      <c r="T721" s="186">
        <f t="shared" si="86"/>
        <v>2</v>
      </c>
      <c r="U721" s="179">
        <f t="shared" si="87"/>
        <v>2</v>
      </c>
      <c r="V721" s="1">
        <f t="shared" si="84"/>
        <v>25</v>
      </c>
      <c r="W721" s="8">
        <f t="shared" si="88"/>
        <v>6.25</v>
      </c>
      <c r="X721" s="15">
        <f t="shared" si="83"/>
        <v>3906.25</v>
      </c>
    </row>
    <row r="722" spans="1:24">
      <c r="A722" t="s">
        <v>931</v>
      </c>
      <c r="B722" s="166" t="s">
        <v>473</v>
      </c>
      <c r="C722" s="41" t="s">
        <v>80</v>
      </c>
      <c r="D722" s="41" t="s">
        <v>81</v>
      </c>
      <c r="E722" s="42">
        <v>45366.729166666664</v>
      </c>
      <c r="F722" s="41" t="s">
        <v>551</v>
      </c>
      <c r="G722" s="41" t="s">
        <v>82</v>
      </c>
      <c r="H722" s="41">
        <v>65</v>
      </c>
      <c r="I722" s="41">
        <v>85</v>
      </c>
      <c r="J722" s="41">
        <v>20</v>
      </c>
      <c r="K722" s="41">
        <v>2.6</v>
      </c>
      <c r="L722" s="41"/>
      <c r="M722" s="2"/>
      <c r="N722" s="2" t="s">
        <v>95</v>
      </c>
      <c r="O722" s="10">
        <v>1</v>
      </c>
      <c r="P722" s="14">
        <v>1</v>
      </c>
      <c r="Q722" s="183">
        <v>1</v>
      </c>
      <c r="R722" s="187">
        <v>1</v>
      </c>
      <c r="S722" s="178">
        <f t="shared" si="85"/>
        <v>2</v>
      </c>
      <c r="T722" s="186">
        <f t="shared" si="86"/>
        <v>2</v>
      </c>
      <c r="U722" s="179">
        <f t="shared" si="87"/>
        <v>0</v>
      </c>
      <c r="V722" s="1">
        <f t="shared" si="84"/>
        <v>25</v>
      </c>
      <c r="W722" s="8">
        <f t="shared" si="88"/>
        <v>6.25</v>
      </c>
      <c r="X722" s="15">
        <f t="shared" si="83"/>
        <v>3912.5</v>
      </c>
    </row>
    <row r="723" spans="1:24">
      <c r="A723" t="s">
        <v>931</v>
      </c>
      <c r="B723" s="163" t="s">
        <v>473</v>
      </c>
      <c r="C723" s="2" t="s">
        <v>145</v>
      </c>
      <c r="D723" s="2" t="s">
        <v>190</v>
      </c>
      <c r="E723" s="3">
        <v>45382.822916666664</v>
      </c>
      <c r="F723" s="2" t="s">
        <v>191</v>
      </c>
      <c r="G723" s="2" t="s">
        <v>553</v>
      </c>
      <c r="H723" s="2">
        <v>66</v>
      </c>
      <c r="I723" s="2">
        <v>90</v>
      </c>
      <c r="J723" s="2">
        <v>20</v>
      </c>
      <c r="K723" s="2">
        <v>2.85</v>
      </c>
      <c r="L723" s="2"/>
      <c r="M723" s="2"/>
      <c r="N723" s="2" t="s">
        <v>95</v>
      </c>
      <c r="O723" s="10">
        <v>0</v>
      </c>
      <c r="P723" s="14">
        <v>0</v>
      </c>
      <c r="Q723" s="183">
        <v>0</v>
      </c>
      <c r="R723" s="187">
        <v>2</v>
      </c>
      <c r="S723" s="178">
        <f t="shared" si="85"/>
        <v>0</v>
      </c>
      <c r="T723" s="186">
        <f t="shared" si="86"/>
        <v>2</v>
      </c>
      <c r="U723" s="179">
        <f t="shared" si="87"/>
        <v>2</v>
      </c>
      <c r="V723" s="1">
        <f t="shared" si="84"/>
        <v>25</v>
      </c>
      <c r="W723" s="8">
        <f t="shared" si="88"/>
        <v>6.25</v>
      </c>
      <c r="X723" s="15">
        <f t="shared" si="83"/>
        <v>3918.75</v>
      </c>
    </row>
    <row r="724" spans="1:24">
      <c r="A724" t="s">
        <v>931</v>
      </c>
      <c r="B724" s="163" t="s">
        <v>473</v>
      </c>
      <c r="C724" s="2" t="s">
        <v>640</v>
      </c>
      <c r="D724" s="2" t="s">
        <v>641</v>
      </c>
      <c r="E724" s="3">
        <v>45383.5625</v>
      </c>
      <c r="F724" s="2" t="s">
        <v>642</v>
      </c>
      <c r="G724" s="2" t="s">
        <v>643</v>
      </c>
      <c r="H724" s="2">
        <v>66</v>
      </c>
      <c r="I724" s="2">
        <v>90</v>
      </c>
      <c r="J724" s="2">
        <v>20</v>
      </c>
      <c r="K724" s="2">
        <v>3.65</v>
      </c>
      <c r="L724" s="2"/>
      <c r="M724" s="2"/>
      <c r="N724" s="2" t="s">
        <v>95</v>
      </c>
      <c r="O724" s="10">
        <v>0</v>
      </c>
      <c r="P724" s="14">
        <v>0</v>
      </c>
      <c r="Q724" s="183">
        <v>0</v>
      </c>
      <c r="R724" s="187">
        <v>2</v>
      </c>
      <c r="S724" s="178">
        <f t="shared" si="85"/>
        <v>0</v>
      </c>
      <c r="T724" s="186">
        <f t="shared" si="86"/>
        <v>2</v>
      </c>
      <c r="U724" s="179">
        <f t="shared" si="87"/>
        <v>2</v>
      </c>
      <c r="V724" s="1">
        <f t="shared" si="84"/>
        <v>25</v>
      </c>
      <c r="W724" s="8">
        <f t="shared" si="88"/>
        <v>6.25</v>
      </c>
      <c r="X724" s="15">
        <f t="shared" si="83"/>
        <v>3925</v>
      </c>
    </row>
    <row r="725" spans="1:24">
      <c r="A725" t="s">
        <v>931</v>
      </c>
      <c r="B725" s="163" t="s">
        <v>473</v>
      </c>
      <c r="C725" s="2" t="s">
        <v>133</v>
      </c>
      <c r="D725" s="2" t="s">
        <v>78</v>
      </c>
      <c r="E725" s="3">
        <v>45389.729166666664</v>
      </c>
      <c r="F725" s="2" t="s">
        <v>136</v>
      </c>
      <c r="G725" s="2" t="s">
        <v>466</v>
      </c>
      <c r="H725" s="2">
        <v>66</v>
      </c>
      <c r="I725" s="2">
        <v>90</v>
      </c>
      <c r="J725" s="2">
        <v>20</v>
      </c>
      <c r="K725" s="2">
        <v>3.15</v>
      </c>
      <c r="L725" s="2"/>
      <c r="M725" s="2"/>
      <c r="N725" s="2" t="s">
        <v>95</v>
      </c>
      <c r="O725" s="10">
        <v>0</v>
      </c>
      <c r="P725" s="14">
        <v>0</v>
      </c>
      <c r="Q725" s="183">
        <v>0</v>
      </c>
      <c r="R725" s="187">
        <v>2</v>
      </c>
      <c r="S725" s="178">
        <f t="shared" si="85"/>
        <v>0</v>
      </c>
      <c r="T725" s="186">
        <f t="shared" si="86"/>
        <v>2</v>
      </c>
      <c r="U725" s="179">
        <f t="shared" si="87"/>
        <v>2</v>
      </c>
      <c r="V725" s="1">
        <f t="shared" si="84"/>
        <v>25</v>
      </c>
      <c r="W725" s="8">
        <f t="shared" si="88"/>
        <v>6.25</v>
      </c>
      <c r="X725" s="15">
        <f t="shared" si="83"/>
        <v>3931.25</v>
      </c>
    </row>
    <row r="726" spans="1:24">
      <c r="A726" t="s">
        <v>931</v>
      </c>
      <c r="B726" s="163" t="s">
        <v>473</v>
      </c>
      <c r="C726" s="2" t="s">
        <v>119</v>
      </c>
      <c r="D726" s="2" t="s">
        <v>120</v>
      </c>
      <c r="E726" s="3">
        <v>45396.729166666664</v>
      </c>
      <c r="F726" s="2" t="s">
        <v>384</v>
      </c>
      <c r="G726" s="2" t="s">
        <v>362</v>
      </c>
      <c r="H726" s="2">
        <v>66</v>
      </c>
      <c r="I726" s="2">
        <v>90</v>
      </c>
      <c r="J726" s="2">
        <v>20</v>
      </c>
      <c r="K726" s="2">
        <v>3.7</v>
      </c>
      <c r="L726" s="2"/>
      <c r="M726" s="2"/>
      <c r="N726" s="2" t="s">
        <v>95</v>
      </c>
      <c r="O726" s="10">
        <v>0</v>
      </c>
      <c r="P726" s="14">
        <v>0</v>
      </c>
      <c r="Q726" s="183">
        <v>1</v>
      </c>
      <c r="R726" s="187">
        <v>1</v>
      </c>
      <c r="S726" s="178">
        <f t="shared" si="85"/>
        <v>0</v>
      </c>
      <c r="T726" s="186">
        <f t="shared" si="86"/>
        <v>2</v>
      </c>
      <c r="U726" s="179">
        <f t="shared" si="87"/>
        <v>2</v>
      </c>
      <c r="V726" s="1">
        <f t="shared" si="84"/>
        <v>25</v>
      </c>
      <c r="W726" s="8">
        <f t="shared" si="88"/>
        <v>6.25</v>
      </c>
      <c r="X726" s="15">
        <f t="shared" si="83"/>
        <v>3937.5</v>
      </c>
    </row>
    <row r="727" spans="1:24">
      <c r="A727" t="s">
        <v>931</v>
      </c>
      <c r="B727" s="163" t="s">
        <v>473</v>
      </c>
      <c r="C727" s="2" t="s">
        <v>586</v>
      </c>
      <c r="D727" s="2" t="s">
        <v>62</v>
      </c>
      <c r="E727" s="3">
        <v>45403.416666666664</v>
      </c>
      <c r="F727" s="2" t="s">
        <v>759</v>
      </c>
      <c r="G727" s="2" t="s">
        <v>760</v>
      </c>
      <c r="H727" s="2">
        <v>64</v>
      </c>
      <c r="I727" s="2">
        <v>80</v>
      </c>
      <c r="J727" s="2">
        <v>20</v>
      </c>
      <c r="K727" s="2">
        <v>2.5499999999999998</v>
      </c>
      <c r="L727" s="2"/>
      <c r="M727" s="2"/>
      <c r="N727" s="2" t="s">
        <v>95</v>
      </c>
      <c r="O727" s="10">
        <v>1</v>
      </c>
      <c r="P727" s="14">
        <v>0</v>
      </c>
      <c r="Q727" s="183">
        <v>2</v>
      </c>
      <c r="R727" s="187">
        <v>0</v>
      </c>
      <c r="S727" s="178">
        <f t="shared" si="85"/>
        <v>1</v>
      </c>
      <c r="T727" s="186">
        <f t="shared" si="86"/>
        <v>2</v>
      </c>
      <c r="U727" s="179">
        <f t="shared" si="87"/>
        <v>1</v>
      </c>
      <c r="V727" s="1">
        <f t="shared" si="84"/>
        <v>25</v>
      </c>
      <c r="W727" s="8">
        <f t="shared" si="88"/>
        <v>6.25</v>
      </c>
      <c r="X727" s="15">
        <f t="shared" si="83"/>
        <v>3943.75</v>
      </c>
    </row>
    <row r="728" spans="1:24">
      <c r="A728" t="s">
        <v>931</v>
      </c>
      <c r="B728" s="163" t="s">
        <v>473</v>
      </c>
      <c r="C728" s="2" t="s">
        <v>13</v>
      </c>
      <c r="D728" s="2" t="s">
        <v>11</v>
      </c>
      <c r="E728" s="3">
        <v>45409.625</v>
      </c>
      <c r="F728" s="2" t="s">
        <v>104</v>
      </c>
      <c r="G728" s="2" t="s">
        <v>138</v>
      </c>
      <c r="H728" s="2">
        <v>65</v>
      </c>
      <c r="I728" s="2">
        <v>95</v>
      </c>
      <c r="J728" s="2">
        <v>20</v>
      </c>
      <c r="K728" s="2">
        <v>3.5</v>
      </c>
      <c r="L728" s="2"/>
      <c r="M728" s="2"/>
      <c r="N728" s="2" t="s">
        <v>95</v>
      </c>
      <c r="O728" s="10">
        <v>2</v>
      </c>
      <c r="P728" s="14">
        <v>0</v>
      </c>
      <c r="Q728" s="183">
        <v>2</v>
      </c>
      <c r="R728" s="187">
        <v>0</v>
      </c>
      <c r="S728" s="178">
        <f t="shared" si="85"/>
        <v>2</v>
      </c>
      <c r="T728" s="186">
        <f t="shared" si="86"/>
        <v>2</v>
      </c>
      <c r="U728" s="179">
        <f t="shared" si="87"/>
        <v>0</v>
      </c>
      <c r="V728" s="1">
        <f t="shared" si="84"/>
        <v>25</v>
      </c>
      <c r="W728" s="8">
        <f t="shared" si="88"/>
        <v>6.25</v>
      </c>
      <c r="X728" s="15">
        <f t="shared" si="83"/>
        <v>3950</v>
      </c>
    </row>
    <row r="729" spans="1:24">
      <c r="A729" t="s">
        <v>931</v>
      </c>
      <c r="B729" s="163" t="s">
        <v>473</v>
      </c>
      <c r="C729" s="2" t="s">
        <v>434</v>
      </c>
      <c r="D729" s="2" t="s">
        <v>435</v>
      </c>
      <c r="E729" s="3">
        <v>45438.666666666664</v>
      </c>
      <c r="F729" s="2" t="s">
        <v>476</v>
      </c>
      <c r="G729" s="2" t="s">
        <v>533</v>
      </c>
      <c r="H729" s="2">
        <v>67</v>
      </c>
      <c r="I729" s="2">
        <v>85</v>
      </c>
      <c r="J729" s="2">
        <v>20</v>
      </c>
      <c r="K729" s="2">
        <v>2.7</v>
      </c>
      <c r="L729" s="2"/>
      <c r="M729" s="2"/>
      <c r="N729" s="2" t="s">
        <v>95</v>
      </c>
      <c r="O729" s="10">
        <v>1</v>
      </c>
      <c r="P729" s="14">
        <v>0</v>
      </c>
      <c r="Q729" s="183">
        <v>1</v>
      </c>
      <c r="R729" s="187">
        <v>1</v>
      </c>
      <c r="S729" s="178">
        <f t="shared" si="85"/>
        <v>1</v>
      </c>
      <c r="T729" s="186">
        <f t="shared" si="86"/>
        <v>2</v>
      </c>
      <c r="U729" s="179">
        <f t="shared" si="87"/>
        <v>1</v>
      </c>
      <c r="V729" s="1">
        <f t="shared" si="84"/>
        <v>25</v>
      </c>
      <c r="W729" s="8">
        <f t="shared" si="88"/>
        <v>6.25</v>
      </c>
      <c r="X729" s="15">
        <f t="shared" ref="X729:X759" si="89">SUM(X728,W729)</f>
        <v>3956.25</v>
      </c>
    </row>
    <row r="730" spans="1:24">
      <c r="A730" t="s">
        <v>931</v>
      </c>
      <c r="B730" s="163" t="s">
        <v>474</v>
      </c>
      <c r="C730" s="2" t="s">
        <v>149</v>
      </c>
      <c r="D730" s="2" t="s">
        <v>150</v>
      </c>
      <c r="E730" s="3">
        <v>45359.791666666664</v>
      </c>
      <c r="F730" s="2" t="s">
        <v>331</v>
      </c>
      <c r="G730" s="2" t="s">
        <v>329</v>
      </c>
      <c r="H730" s="2">
        <v>50</v>
      </c>
      <c r="I730" s="2">
        <v>3.2</v>
      </c>
      <c r="J730" s="2">
        <v>20</v>
      </c>
      <c r="K730" s="2">
        <v>80</v>
      </c>
      <c r="L730" s="2">
        <v>90</v>
      </c>
      <c r="M730" s="2"/>
      <c r="N730" s="2" t="s">
        <v>95</v>
      </c>
      <c r="O730" s="10">
        <v>0</v>
      </c>
      <c r="P730" s="14">
        <v>0</v>
      </c>
      <c r="Q730" s="183">
        <v>2</v>
      </c>
      <c r="R730" s="187">
        <v>0</v>
      </c>
      <c r="S730" s="178">
        <f t="shared" si="85"/>
        <v>0</v>
      </c>
      <c r="T730" s="186">
        <f t="shared" si="86"/>
        <v>2</v>
      </c>
      <c r="U730" s="179">
        <f t="shared" si="87"/>
        <v>2</v>
      </c>
      <c r="V730" s="1">
        <f t="shared" si="84"/>
        <v>25</v>
      </c>
      <c r="W730" s="8">
        <f t="shared" si="88"/>
        <v>6.25</v>
      </c>
      <c r="X730" s="15">
        <f t="shared" si="89"/>
        <v>3962.5</v>
      </c>
    </row>
    <row r="731" spans="1:24">
      <c r="A731" t="s">
        <v>931</v>
      </c>
      <c r="B731" s="163" t="s">
        <v>474</v>
      </c>
      <c r="C731" s="2" t="s">
        <v>89</v>
      </c>
      <c r="D731" s="2" t="s">
        <v>90</v>
      </c>
      <c r="E731" s="3">
        <v>45360.604166666664</v>
      </c>
      <c r="F731" s="2" t="s">
        <v>478</v>
      </c>
      <c r="G731" s="2" t="s">
        <v>483</v>
      </c>
      <c r="H731" s="2">
        <v>52</v>
      </c>
      <c r="I731" s="2">
        <v>3.45</v>
      </c>
      <c r="J731" s="2">
        <v>20</v>
      </c>
      <c r="K731" s="2">
        <v>60</v>
      </c>
      <c r="L731" s="2">
        <v>85</v>
      </c>
      <c r="M731" s="2"/>
      <c r="N731" s="2" t="s">
        <v>95</v>
      </c>
      <c r="O731" s="10">
        <v>0</v>
      </c>
      <c r="P731" s="14">
        <v>0</v>
      </c>
      <c r="Q731" s="183">
        <v>2</v>
      </c>
      <c r="R731" s="187">
        <v>0</v>
      </c>
      <c r="S731" s="178">
        <f t="shared" si="85"/>
        <v>0</v>
      </c>
      <c r="T731" s="186">
        <f t="shared" si="86"/>
        <v>2</v>
      </c>
      <c r="U731" s="179">
        <f t="shared" si="87"/>
        <v>2</v>
      </c>
      <c r="V731" s="1">
        <f t="shared" si="84"/>
        <v>25</v>
      </c>
      <c r="W731" s="8">
        <f t="shared" si="88"/>
        <v>6.25</v>
      </c>
      <c r="X731" s="15">
        <f t="shared" si="89"/>
        <v>3968.75</v>
      </c>
    </row>
    <row r="732" spans="1:24">
      <c r="A732" t="s">
        <v>931</v>
      </c>
      <c r="B732" s="163" t="s">
        <v>474</v>
      </c>
      <c r="C732" s="2" t="s">
        <v>67</v>
      </c>
      <c r="D732" s="2" t="s">
        <v>68</v>
      </c>
      <c r="E732" s="3">
        <v>45361.729166666664</v>
      </c>
      <c r="F732" s="2" t="s">
        <v>465</v>
      </c>
      <c r="G732" s="2" t="s">
        <v>257</v>
      </c>
      <c r="H732" s="2">
        <v>55</v>
      </c>
      <c r="I732" s="2">
        <v>3.2</v>
      </c>
      <c r="J732" s="2">
        <v>20</v>
      </c>
      <c r="K732" s="2">
        <v>65</v>
      </c>
      <c r="L732" s="2">
        <v>90</v>
      </c>
      <c r="M732" s="2"/>
      <c r="N732" s="2" t="s">
        <v>95</v>
      </c>
      <c r="O732" s="10">
        <v>0</v>
      </c>
      <c r="P732" s="14">
        <v>0</v>
      </c>
      <c r="Q732" s="183">
        <v>1</v>
      </c>
      <c r="R732" s="187">
        <v>1</v>
      </c>
      <c r="S732" s="178">
        <f t="shared" si="85"/>
        <v>0</v>
      </c>
      <c r="T732" s="186">
        <f t="shared" si="86"/>
        <v>2</v>
      </c>
      <c r="U732" s="179">
        <f t="shared" si="87"/>
        <v>2</v>
      </c>
      <c r="V732" s="1">
        <f t="shared" si="84"/>
        <v>25</v>
      </c>
      <c r="W732" s="8">
        <f t="shared" si="88"/>
        <v>6.25</v>
      </c>
      <c r="X732" s="15">
        <f t="shared" si="89"/>
        <v>3975</v>
      </c>
    </row>
    <row r="733" spans="1:24">
      <c r="A733" t="s">
        <v>931</v>
      </c>
      <c r="B733" s="163" t="s">
        <v>474</v>
      </c>
      <c r="C733" s="2" t="s">
        <v>77</v>
      </c>
      <c r="D733" s="2" t="s">
        <v>234</v>
      </c>
      <c r="E733" s="3">
        <v>45367.5</v>
      </c>
      <c r="F733" s="2" t="s">
        <v>499</v>
      </c>
      <c r="G733" s="2" t="s">
        <v>235</v>
      </c>
      <c r="H733" s="2">
        <v>52</v>
      </c>
      <c r="I733" s="2">
        <v>3.05</v>
      </c>
      <c r="J733" s="2">
        <v>20</v>
      </c>
      <c r="K733" s="2">
        <v>65</v>
      </c>
      <c r="L733" s="2">
        <v>90</v>
      </c>
      <c r="M733" s="2"/>
      <c r="N733" s="2" t="s">
        <v>95</v>
      </c>
      <c r="O733" s="10">
        <v>0</v>
      </c>
      <c r="P733" s="14">
        <v>1</v>
      </c>
      <c r="Q733" s="183">
        <v>0</v>
      </c>
      <c r="R733" s="187">
        <v>2</v>
      </c>
      <c r="S733" s="178">
        <f t="shared" si="85"/>
        <v>1</v>
      </c>
      <c r="T733" s="186">
        <f t="shared" si="86"/>
        <v>2</v>
      </c>
      <c r="U733" s="179">
        <f t="shared" si="87"/>
        <v>1</v>
      </c>
      <c r="V733" s="1">
        <f t="shared" si="84"/>
        <v>25</v>
      </c>
      <c r="W733" s="8">
        <f t="shared" si="88"/>
        <v>6.25</v>
      </c>
      <c r="X733" s="15">
        <f t="shared" si="89"/>
        <v>3981.25</v>
      </c>
    </row>
    <row r="734" spans="1:24">
      <c r="A734" t="s">
        <v>931</v>
      </c>
      <c r="B734" s="163" t="s">
        <v>474</v>
      </c>
      <c r="C734" s="2" t="s">
        <v>133</v>
      </c>
      <c r="D734" s="2" t="s">
        <v>78</v>
      </c>
      <c r="E734" s="3">
        <v>45389.729166666664</v>
      </c>
      <c r="F734" s="2" t="s">
        <v>136</v>
      </c>
      <c r="G734" s="2" t="s">
        <v>466</v>
      </c>
      <c r="H734" s="2">
        <v>58</v>
      </c>
      <c r="I734" s="2">
        <v>3.15</v>
      </c>
      <c r="J734" s="2">
        <v>20</v>
      </c>
      <c r="K734" s="2">
        <v>70</v>
      </c>
      <c r="L734" s="2">
        <v>90</v>
      </c>
      <c r="M734" s="2"/>
      <c r="N734" s="2" t="s">
        <v>95</v>
      </c>
      <c r="O734" s="10">
        <v>0</v>
      </c>
      <c r="P734" s="14">
        <v>0</v>
      </c>
      <c r="Q734" s="183">
        <v>0</v>
      </c>
      <c r="R734" s="187">
        <v>2</v>
      </c>
      <c r="S734" s="178">
        <f t="shared" si="85"/>
        <v>0</v>
      </c>
      <c r="T734" s="186">
        <f t="shared" si="86"/>
        <v>2</v>
      </c>
      <c r="U734" s="179">
        <f t="shared" si="87"/>
        <v>2</v>
      </c>
      <c r="V734" s="1">
        <f t="shared" si="84"/>
        <v>25</v>
      </c>
      <c r="W734" s="8">
        <f t="shared" si="88"/>
        <v>6.25</v>
      </c>
      <c r="X734" s="15">
        <f t="shared" si="89"/>
        <v>3987.5</v>
      </c>
    </row>
    <row r="735" spans="1:24">
      <c r="A735" t="s">
        <v>931</v>
      </c>
      <c r="B735" s="163" t="s">
        <v>474</v>
      </c>
      <c r="C735" s="2" t="s">
        <v>13</v>
      </c>
      <c r="D735" s="2" t="s">
        <v>11</v>
      </c>
      <c r="E735" s="3">
        <v>45395.625</v>
      </c>
      <c r="F735" s="2" t="s">
        <v>104</v>
      </c>
      <c r="G735" s="2" t="s">
        <v>400</v>
      </c>
      <c r="H735" s="2">
        <v>50</v>
      </c>
      <c r="I735" s="2">
        <v>3.8</v>
      </c>
      <c r="J735" s="2">
        <v>20</v>
      </c>
      <c r="K735" s="2">
        <v>80</v>
      </c>
      <c r="L735" s="2">
        <v>95</v>
      </c>
      <c r="M735" s="2"/>
      <c r="N735" s="2" t="s">
        <v>95</v>
      </c>
      <c r="O735" s="10">
        <v>0</v>
      </c>
      <c r="P735" s="14">
        <v>0</v>
      </c>
      <c r="Q735" s="183">
        <v>2</v>
      </c>
      <c r="R735" s="187">
        <v>0</v>
      </c>
      <c r="S735" s="178">
        <f t="shared" si="85"/>
        <v>0</v>
      </c>
      <c r="T735" s="186">
        <f t="shared" si="86"/>
        <v>2</v>
      </c>
      <c r="U735" s="179">
        <f t="shared" si="87"/>
        <v>2</v>
      </c>
      <c r="V735" s="1">
        <f t="shared" si="84"/>
        <v>25</v>
      </c>
      <c r="W735" s="8">
        <f t="shared" si="88"/>
        <v>6.25</v>
      </c>
      <c r="X735" s="15">
        <f t="shared" si="89"/>
        <v>3993.75</v>
      </c>
    </row>
    <row r="736" spans="1:24">
      <c r="A736" t="s">
        <v>931</v>
      </c>
      <c r="B736" s="163" t="s">
        <v>474</v>
      </c>
      <c r="C736" s="2" t="s">
        <v>6</v>
      </c>
      <c r="D736" s="2" t="s">
        <v>7</v>
      </c>
      <c r="E736" s="3">
        <v>45398.822916666664</v>
      </c>
      <c r="F736" s="2" t="s">
        <v>55</v>
      </c>
      <c r="G736" s="2" t="s">
        <v>418</v>
      </c>
      <c r="H736" s="2">
        <v>50</v>
      </c>
      <c r="I736" s="2">
        <v>3.15</v>
      </c>
      <c r="J736" s="2">
        <v>20</v>
      </c>
      <c r="K736" s="2">
        <v>60</v>
      </c>
      <c r="L736" s="2">
        <v>95</v>
      </c>
      <c r="M736" s="2"/>
      <c r="N736" s="2" t="s">
        <v>95</v>
      </c>
      <c r="O736" s="10">
        <v>0</v>
      </c>
      <c r="P736" s="14">
        <v>1</v>
      </c>
      <c r="Q736" s="183">
        <v>1</v>
      </c>
      <c r="R736" s="187">
        <v>1</v>
      </c>
      <c r="S736" s="178">
        <f t="shared" si="85"/>
        <v>1</v>
      </c>
      <c r="T736" s="186">
        <f t="shared" si="86"/>
        <v>2</v>
      </c>
      <c r="U736" s="179">
        <f t="shared" si="87"/>
        <v>1</v>
      </c>
      <c r="V736" s="1">
        <f t="shared" si="84"/>
        <v>25</v>
      </c>
      <c r="W736" s="8">
        <f t="shared" si="88"/>
        <v>6.25</v>
      </c>
      <c r="X736" s="15">
        <f t="shared" si="89"/>
        <v>4000</v>
      </c>
    </row>
    <row r="737" spans="1:24">
      <c r="A737" t="s">
        <v>931</v>
      </c>
      <c r="B737" s="163" t="s">
        <v>474</v>
      </c>
      <c r="C737" s="2" t="s">
        <v>77</v>
      </c>
      <c r="D737" s="2" t="s">
        <v>251</v>
      </c>
      <c r="E737" s="3">
        <v>45403.520833333336</v>
      </c>
      <c r="F737" s="2" t="s">
        <v>259</v>
      </c>
      <c r="G737" s="2" t="s">
        <v>294</v>
      </c>
      <c r="H737" s="2">
        <v>52</v>
      </c>
      <c r="I737" s="2">
        <v>2.9</v>
      </c>
      <c r="J737" s="2">
        <v>20</v>
      </c>
      <c r="K737" s="2">
        <v>60</v>
      </c>
      <c r="L737" s="2">
        <v>90</v>
      </c>
      <c r="M737" s="2"/>
      <c r="N737" s="2" t="s">
        <v>95</v>
      </c>
      <c r="O737" s="10">
        <v>0</v>
      </c>
      <c r="P737" s="14">
        <v>1</v>
      </c>
      <c r="Q737" s="183">
        <v>0</v>
      </c>
      <c r="R737" s="187">
        <v>2</v>
      </c>
      <c r="S737" s="178">
        <f t="shared" si="85"/>
        <v>1</v>
      </c>
      <c r="T737" s="186">
        <f t="shared" si="86"/>
        <v>2</v>
      </c>
      <c r="U737" s="179">
        <f t="shared" si="87"/>
        <v>1</v>
      </c>
      <c r="V737" s="1">
        <f t="shared" si="84"/>
        <v>25</v>
      </c>
      <c r="W737" s="8">
        <f t="shared" si="88"/>
        <v>6.25</v>
      </c>
      <c r="X737" s="15">
        <f t="shared" si="89"/>
        <v>4006.25</v>
      </c>
    </row>
    <row r="738" spans="1:24">
      <c r="A738" t="s">
        <v>931</v>
      </c>
      <c r="B738" s="163" t="s">
        <v>474</v>
      </c>
      <c r="C738" s="2" t="s">
        <v>89</v>
      </c>
      <c r="D738" s="2" t="s">
        <v>90</v>
      </c>
      <c r="E738" s="3">
        <v>45403.59375</v>
      </c>
      <c r="F738" s="2" t="s">
        <v>91</v>
      </c>
      <c r="G738" s="2" t="s">
        <v>679</v>
      </c>
      <c r="H738" s="2">
        <v>50</v>
      </c>
      <c r="I738" s="2">
        <v>3.85</v>
      </c>
      <c r="J738" s="2">
        <v>20</v>
      </c>
      <c r="K738" s="2">
        <v>80</v>
      </c>
      <c r="L738" s="2">
        <v>90</v>
      </c>
      <c r="M738" s="2"/>
      <c r="N738" s="2" t="s">
        <v>95</v>
      </c>
      <c r="O738" s="10">
        <v>0</v>
      </c>
      <c r="P738" s="14">
        <v>0</v>
      </c>
      <c r="Q738" s="183">
        <v>2</v>
      </c>
      <c r="R738" s="187">
        <v>0</v>
      </c>
      <c r="S738" s="178">
        <f t="shared" si="85"/>
        <v>0</v>
      </c>
      <c r="T738" s="186">
        <f t="shared" si="86"/>
        <v>2</v>
      </c>
      <c r="U738" s="179">
        <f t="shared" si="87"/>
        <v>2</v>
      </c>
      <c r="V738" s="1">
        <f t="shared" si="84"/>
        <v>25</v>
      </c>
      <c r="W738" s="8">
        <f t="shared" si="88"/>
        <v>6.25</v>
      </c>
      <c r="X738" s="15">
        <f t="shared" si="89"/>
        <v>4012.5</v>
      </c>
    </row>
    <row r="739" spans="1:24">
      <c r="A739" t="s">
        <v>931</v>
      </c>
      <c r="B739" s="163" t="s">
        <v>474</v>
      </c>
      <c r="C739" s="2" t="s">
        <v>6</v>
      </c>
      <c r="D739" s="2" t="s">
        <v>62</v>
      </c>
      <c r="E739" s="3">
        <v>45409.625</v>
      </c>
      <c r="F739" s="2" t="s">
        <v>383</v>
      </c>
      <c r="G739" s="2" t="s">
        <v>103</v>
      </c>
      <c r="H739" s="2">
        <v>50</v>
      </c>
      <c r="I739" s="2">
        <v>3.4</v>
      </c>
      <c r="J739" s="2">
        <v>20</v>
      </c>
      <c r="K739" s="2">
        <v>75</v>
      </c>
      <c r="L739" s="2">
        <v>90</v>
      </c>
      <c r="M739" s="2"/>
      <c r="N739" s="2" t="s">
        <v>95</v>
      </c>
      <c r="O739" s="10">
        <v>0</v>
      </c>
      <c r="P739" s="14">
        <v>0</v>
      </c>
      <c r="Q739" s="183">
        <v>1</v>
      </c>
      <c r="R739" s="187">
        <v>1</v>
      </c>
      <c r="S739" s="178">
        <f t="shared" si="85"/>
        <v>0</v>
      </c>
      <c r="T739" s="186">
        <f t="shared" si="86"/>
        <v>2</v>
      </c>
      <c r="U739" s="179">
        <f t="shared" si="87"/>
        <v>2</v>
      </c>
      <c r="V739" s="1">
        <f t="shared" si="84"/>
        <v>25</v>
      </c>
      <c r="W739" s="8">
        <f t="shared" si="88"/>
        <v>6.25</v>
      </c>
      <c r="X739" s="15">
        <f t="shared" si="89"/>
        <v>4018.75</v>
      </c>
    </row>
    <row r="740" spans="1:24">
      <c r="A740" t="s">
        <v>931</v>
      </c>
      <c r="B740" s="163" t="s">
        <v>474</v>
      </c>
      <c r="C740" s="2" t="s">
        <v>13</v>
      </c>
      <c r="D740" s="2" t="s">
        <v>11</v>
      </c>
      <c r="E740" s="3">
        <v>45409.625</v>
      </c>
      <c r="F740" s="2" t="s">
        <v>104</v>
      </c>
      <c r="G740" s="2" t="s">
        <v>138</v>
      </c>
      <c r="H740" s="2">
        <v>56</v>
      </c>
      <c r="I740" s="2">
        <v>3.5</v>
      </c>
      <c r="J740" s="2">
        <v>20</v>
      </c>
      <c r="K740" s="2">
        <v>65</v>
      </c>
      <c r="L740" s="2">
        <v>95</v>
      </c>
      <c r="M740" s="2"/>
      <c r="N740" s="2" t="s">
        <v>95</v>
      </c>
      <c r="O740" s="10">
        <v>2</v>
      </c>
      <c r="P740" s="14">
        <v>0</v>
      </c>
      <c r="Q740" s="183">
        <v>2</v>
      </c>
      <c r="R740" s="187">
        <v>0</v>
      </c>
      <c r="S740" s="178">
        <f t="shared" si="85"/>
        <v>2</v>
      </c>
      <c r="T740" s="186">
        <f t="shared" si="86"/>
        <v>2</v>
      </c>
      <c r="U740" s="179">
        <f t="shared" si="87"/>
        <v>0</v>
      </c>
      <c r="V740" s="1">
        <f t="shared" si="84"/>
        <v>25</v>
      </c>
      <c r="W740" s="8">
        <f t="shared" si="88"/>
        <v>6.25</v>
      </c>
      <c r="X740" s="15">
        <f t="shared" si="89"/>
        <v>4025</v>
      </c>
    </row>
    <row r="741" spans="1:24">
      <c r="A741" t="s">
        <v>931</v>
      </c>
      <c r="B741" s="163" t="s">
        <v>474</v>
      </c>
      <c r="C741" s="2" t="s">
        <v>149</v>
      </c>
      <c r="D741" s="2" t="s">
        <v>150</v>
      </c>
      <c r="E741" s="3">
        <v>45415.791666666664</v>
      </c>
      <c r="F741" s="2" t="s">
        <v>331</v>
      </c>
      <c r="G741" s="2" t="s">
        <v>237</v>
      </c>
      <c r="H741" s="2">
        <v>50</v>
      </c>
      <c r="I741" s="2">
        <v>3.35</v>
      </c>
      <c r="J741" s="2">
        <v>20</v>
      </c>
      <c r="K741" s="2">
        <v>70</v>
      </c>
      <c r="L741" s="2">
        <v>90</v>
      </c>
      <c r="M741" s="2"/>
      <c r="N741" s="2" t="s">
        <v>95</v>
      </c>
      <c r="O741" s="10">
        <v>0</v>
      </c>
      <c r="P741" s="14">
        <v>0</v>
      </c>
      <c r="Q741" s="183">
        <v>2</v>
      </c>
      <c r="R741" s="187">
        <v>0</v>
      </c>
      <c r="S741" s="178">
        <f t="shared" si="85"/>
        <v>0</v>
      </c>
      <c r="T741" s="186">
        <f t="shared" si="86"/>
        <v>2</v>
      </c>
      <c r="U741" s="179">
        <f t="shared" si="87"/>
        <v>2</v>
      </c>
      <c r="V741" s="1">
        <f t="shared" si="84"/>
        <v>25</v>
      </c>
      <c r="W741" s="8">
        <f t="shared" si="88"/>
        <v>6.25</v>
      </c>
      <c r="X741" s="15">
        <f t="shared" si="89"/>
        <v>4031.25</v>
      </c>
    </row>
    <row r="742" spans="1:24">
      <c r="A742" t="s">
        <v>931</v>
      </c>
      <c r="B742" s="163" t="s">
        <v>474</v>
      </c>
      <c r="C742" s="2" t="s">
        <v>77</v>
      </c>
      <c r="D742" s="2" t="s">
        <v>156</v>
      </c>
      <c r="E742" s="3">
        <v>45415.8125</v>
      </c>
      <c r="F742" s="2" t="s">
        <v>158</v>
      </c>
      <c r="G742" s="2" t="s">
        <v>181</v>
      </c>
      <c r="H742" s="2">
        <v>51</v>
      </c>
      <c r="I742" s="2">
        <v>3.85</v>
      </c>
      <c r="J742" s="2">
        <v>20</v>
      </c>
      <c r="K742" s="2">
        <v>75</v>
      </c>
      <c r="L742" s="2">
        <v>95</v>
      </c>
      <c r="M742" s="2"/>
      <c r="N742" s="2" t="s">
        <v>95</v>
      </c>
      <c r="O742" s="10">
        <v>0</v>
      </c>
      <c r="P742" s="14">
        <v>1</v>
      </c>
      <c r="Q742" s="183">
        <v>1</v>
      </c>
      <c r="R742" s="187">
        <v>1</v>
      </c>
      <c r="S742" s="178">
        <f t="shared" si="85"/>
        <v>1</v>
      </c>
      <c r="T742" s="186">
        <f t="shared" si="86"/>
        <v>2</v>
      </c>
      <c r="U742" s="179">
        <f t="shared" si="87"/>
        <v>1</v>
      </c>
      <c r="V742" s="1">
        <f t="shared" si="84"/>
        <v>25</v>
      </c>
      <c r="W742" s="8">
        <f t="shared" si="88"/>
        <v>6.25</v>
      </c>
      <c r="X742" s="15">
        <f t="shared" si="89"/>
        <v>4037.5</v>
      </c>
    </row>
    <row r="743" spans="1:24">
      <c r="A743" t="s">
        <v>931</v>
      </c>
      <c r="B743" s="163" t="s">
        <v>474</v>
      </c>
      <c r="C743" s="2" t="s">
        <v>133</v>
      </c>
      <c r="D743" s="2" t="s">
        <v>78</v>
      </c>
      <c r="E743" s="3">
        <v>45423.75</v>
      </c>
      <c r="F743" s="2" t="s">
        <v>789</v>
      </c>
      <c r="G743" s="2" t="s">
        <v>427</v>
      </c>
      <c r="H743" s="2">
        <v>50</v>
      </c>
      <c r="I743" s="2">
        <v>3</v>
      </c>
      <c r="J743" s="2">
        <v>20</v>
      </c>
      <c r="K743" s="2">
        <v>65</v>
      </c>
      <c r="L743" s="2">
        <v>95</v>
      </c>
      <c r="M743" s="2"/>
      <c r="N743" s="2" t="s">
        <v>95</v>
      </c>
      <c r="O743" s="10">
        <v>0</v>
      </c>
      <c r="P743" s="14">
        <v>0</v>
      </c>
      <c r="Q743" s="183">
        <v>2</v>
      </c>
      <c r="R743" s="187">
        <v>0</v>
      </c>
      <c r="S743" s="178">
        <f t="shared" si="85"/>
        <v>0</v>
      </c>
      <c r="T743" s="186">
        <f t="shared" si="86"/>
        <v>2</v>
      </c>
      <c r="U743" s="179">
        <f t="shared" si="87"/>
        <v>2</v>
      </c>
      <c r="V743" s="1">
        <f t="shared" ref="V743:V806" si="90">SUM($X$1*0.05)</f>
        <v>25</v>
      </c>
      <c r="W743" s="8">
        <f t="shared" si="88"/>
        <v>6.25</v>
      </c>
      <c r="X743" s="15">
        <f t="shared" si="89"/>
        <v>4043.75</v>
      </c>
    </row>
    <row r="744" spans="1:24">
      <c r="A744" t="s">
        <v>931</v>
      </c>
      <c r="B744" s="163" t="s">
        <v>474</v>
      </c>
      <c r="C744" s="2" t="s">
        <v>149</v>
      </c>
      <c r="D744" s="2" t="s">
        <v>153</v>
      </c>
      <c r="E744" s="3">
        <v>45424.5625</v>
      </c>
      <c r="F744" s="2" t="s">
        <v>154</v>
      </c>
      <c r="G744" s="2" t="s">
        <v>205</v>
      </c>
      <c r="H744" s="2">
        <v>54</v>
      </c>
      <c r="I744" s="2">
        <v>3.25</v>
      </c>
      <c r="J744" s="2">
        <v>20</v>
      </c>
      <c r="K744" s="2">
        <v>60</v>
      </c>
      <c r="L744" s="2">
        <v>90</v>
      </c>
      <c r="M744" s="2"/>
      <c r="N744" s="2" t="s">
        <v>95</v>
      </c>
      <c r="O744" s="10">
        <v>0</v>
      </c>
      <c r="P744" s="14">
        <v>0</v>
      </c>
      <c r="Q744" s="183">
        <v>1</v>
      </c>
      <c r="R744" s="187">
        <v>1</v>
      </c>
      <c r="S744" s="178">
        <f t="shared" si="85"/>
        <v>0</v>
      </c>
      <c r="T744" s="186">
        <f t="shared" si="86"/>
        <v>2</v>
      </c>
      <c r="U744" s="179">
        <f t="shared" si="87"/>
        <v>2</v>
      </c>
      <c r="V744" s="1">
        <f t="shared" si="90"/>
        <v>25</v>
      </c>
      <c r="W744" s="8">
        <f t="shared" si="88"/>
        <v>6.25</v>
      </c>
      <c r="X744" s="15">
        <f t="shared" si="89"/>
        <v>4050</v>
      </c>
    </row>
    <row r="745" spans="1:24">
      <c r="A745" t="s">
        <v>931</v>
      </c>
      <c r="B745" s="163" t="s">
        <v>474</v>
      </c>
      <c r="C745" s="2" t="s">
        <v>133</v>
      </c>
      <c r="D745" s="2" t="s">
        <v>78</v>
      </c>
      <c r="E745" s="3">
        <v>45427.75</v>
      </c>
      <c r="F745" s="2" t="s">
        <v>488</v>
      </c>
      <c r="G745" s="2" t="s">
        <v>447</v>
      </c>
      <c r="H745" s="2">
        <v>53</v>
      </c>
      <c r="I745" s="2">
        <v>3.75</v>
      </c>
      <c r="J745" s="2">
        <v>20</v>
      </c>
      <c r="K745" s="2">
        <v>95</v>
      </c>
      <c r="L745" s="2">
        <v>100</v>
      </c>
      <c r="M745" s="2"/>
      <c r="N745" s="2" t="s">
        <v>95</v>
      </c>
      <c r="O745" s="10">
        <v>0</v>
      </c>
      <c r="P745" s="14">
        <v>0</v>
      </c>
      <c r="Q745" s="183">
        <v>2</v>
      </c>
      <c r="R745" s="187">
        <v>0</v>
      </c>
      <c r="S745" s="178">
        <f t="shared" si="85"/>
        <v>0</v>
      </c>
      <c r="T745" s="186">
        <f t="shared" si="86"/>
        <v>2</v>
      </c>
      <c r="U745" s="179">
        <f t="shared" si="87"/>
        <v>2</v>
      </c>
      <c r="V745" s="1">
        <f t="shared" si="90"/>
        <v>25</v>
      </c>
      <c r="W745" s="8">
        <f t="shared" si="88"/>
        <v>6.25</v>
      </c>
      <c r="X745" s="15">
        <f t="shared" si="89"/>
        <v>4056.25</v>
      </c>
    </row>
    <row r="746" spans="1:24">
      <c r="A746" t="s">
        <v>931</v>
      </c>
      <c r="B746" s="163" t="s">
        <v>177</v>
      </c>
      <c r="C746" s="2" t="s">
        <v>67</v>
      </c>
      <c r="D746" s="2" t="s">
        <v>68</v>
      </c>
      <c r="E746" s="3">
        <v>45347.729166666664</v>
      </c>
      <c r="F746" s="2" t="s">
        <v>465</v>
      </c>
      <c r="G746" s="2" t="s">
        <v>338</v>
      </c>
      <c r="H746" s="2">
        <v>3.4</v>
      </c>
      <c r="I746" s="2">
        <v>95</v>
      </c>
      <c r="J746" s="2">
        <v>80</v>
      </c>
      <c r="K746" s="2">
        <v>28</v>
      </c>
      <c r="L746" s="2">
        <v>65</v>
      </c>
      <c r="M746" s="2">
        <v>2.2000000000000002</v>
      </c>
      <c r="N746" s="2" t="s">
        <v>95</v>
      </c>
      <c r="O746" s="10">
        <v>2</v>
      </c>
      <c r="P746" s="14">
        <v>0</v>
      </c>
      <c r="Q746" s="183">
        <v>2</v>
      </c>
      <c r="R746" s="181">
        <v>1</v>
      </c>
      <c r="S746" s="178">
        <f t="shared" si="85"/>
        <v>2</v>
      </c>
      <c r="T746" s="186">
        <f t="shared" si="86"/>
        <v>3</v>
      </c>
      <c r="U746" s="179">
        <f t="shared" si="87"/>
        <v>1</v>
      </c>
      <c r="V746" s="1">
        <f t="shared" si="90"/>
        <v>25</v>
      </c>
      <c r="W746" s="8">
        <f t="shared" si="88"/>
        <v>6.25</v>
      </c>
      <c r="X746" s="15">
        <f t="shared" si="89"/>
        <v>4062.5</v>
      </c>
    </row>
    <row r="747" spans="1:24">
      <c r="A747" t="s">
        <v>931</v>
      </c>
      <c r="B747" s="163" t="s">
        <v>177</v>
      </c>
      <c r="C747" s="2" t="s">
        <v>6</v>
      </c>
      <c r="D747" s="2" t="s">
        <v>62</v>
      </c>
      <c r="E747" s="3">
        <v>45431.666666666664</v>
      </c>
      <c r="F747" s="2" t="s">
        <v>85</v>
      </c>
      <c r="G747" s="2" t="s">
        <v>116</v>
      </c>
      <c r="H747" s="2">
        <v>4.0999999999999996</v>
      </c>
      <c r="I747" s="2">
        <v>95</v>
      </c>
      <c r="J747" s="2">
        <v>80</v>
      </c>
      <c r="K747" s="2">
        <v>24</v>
      </c>
      <c r="L747" s="2">
        <v>65</v>
      </c>
      <c r="M747" s="2">
        <v>3.4</v>
      </c>
      <c r="N747" s="2" t="s">
        <v>95</v>
      </c>
      <c r="O747" s="10">
        <v>0</v>
      </c>
      <c r="P747" s="14">
        <v>1</v>
      </c>
      <c r="Q747" s="183">
        <v>0</v>
      </c>
      <c r="R747" s="181">
        <v>3</v>
      </c>
      <c r="S747" s="178">
        <f t="shared" si="85"/>
        <v>1</v>
      </c>
      <c r="T747" s="186">
        <f t="shared" si="86"/>
        <v>3</v>
      </c>
      <c r="U747" s="179">
        <f t="shared" si="87"/>
        <v>2</v>
      </c>
      <c r="V747" s="1">
        <f t="shared" si="90"/>
        <v>25</v>
      </c>
      <c r="W747" s="8">
        <f t="shared" si="88"/>
        <v>6.25</v>
      </c>
      <c r="X747" s="15">
        <f t="shared" si="89"/>
        <v>4068.75</v>
      </c>
    </row>
    <row r="748" spans="1:24">
      <c r="A748" t="s">
        <v>931</v>
      </c>
      <c r="B748" s="163" t="s">
        <v>406</v>
      </c>
      <c r="C748" s="2" t="s">
        <v>80</v>
      </c>
      <c r="D748" s="2" t="s">
        <v>81</v>
      </c>
      <c r="E748" s="3">
        <v>45298.666666666664</v>
      </c>
      <c r="F748" s="2" t="s">
        <v>144</v>
      </c>
      <c r="G748" s="2" t="s">
        <v>82</v>
      </c>
      <c r="H748" s="2">
        <v>1.34</v>
      </c>
      <c r="I748" s="2">
        <v>11</v>
      </c>
      <c r="J748" s="2">
        <v>2.94</v>
      </c>
      <c r="K748" s="2">
        <v>5.4</v>
      </c>
      <c r="L748" s="2"/>
      <c r="M748" s="2"/>
      <c r="N748" s="2" t="s">
        <v>95</v>
      </c>
      <c r="O748" s="10">
        <v>0</v>
      </c>
      <c r="P748" s="13">
        <v>0</v>
      </c>
      <c r="Q748" s="183">
        <v>3</v>
      </c>
      <c r="R748" s="181">
        <v>0</v>
      </c>
      <c r="S748" s="178">
        <f t="shared" si="85"/>
        <v>0</v>
      </c>
      <c r="T748" s="186">
        <f t="shared" si="86"/>
        <v>3</v>
      </c>
      <c r="U748" s="179">
        <f t="shared" si="87"/>
        <v>3</v>
      </c>
      <c r="V748" s="1">
        <f t="shared" si="90"/>
        <v>25</v>
      </c>
      <c r="W748" s="8">
        <f t="shared" si="88"/>
        <v>6.25</v>
      </c>
      <c r="X748" s="15">
        <f t="shared" si="89"/>
        <v>4075</v>
      </c>
    </row>
    <row r="749" spans="1:24">
      <c r="A749" t="s">
        <v>931</v>
      </c>
      <c r="B749" s="163" t="s">
        <v>406</v>
      </c>
      <c r="C749" s="2" t="s">
        <v>20</v>
      </c>
      <c r="D749" s="2" t="s">
        <v>21</v>
      </c>
      <c r="E749" s="3">
        <v>45304.583333333336</v>
      </c>
      <c r="F749" s="2" t="s">
        <v>22</v>
      </c>
      <c r="G749" s="2" t="s">
        <v>110</v>
      </c>
      <c r="H749" s="2">
        <v>1.35</v>
      </c>
      <c r="I749" s="2">
        <v>11.5</v>
      </c>
      <c r="J749" s="2">
        <v>2.72</v>
      </c>
      <c r="K749" s="2">
        <v>4.7</v>
      </c>
      <c r="L749" s="2"/>
      <c r="M749" s="2"/>
      <c r="N749" s="2" t="s">
        <v>95</v>
      </c>
      <c r="O749" s="10">
        <v>1</v>
      </c>
      <c r="P749" s="13">
        <v>1</v>
      </c>
      <c r="Q749" s="183">
        <v>2</v>
      </c>
      <c r="R749" s="181">
        <v>1</v>
      </c>
      <c r="S749" s="178">
        <f t="shared" si="85"/>
        <v>2</v>
      </c>
      <c r="T749" s="186">
        <f t="shared" si="86"/>
        <v>3</v>
      </c>
      <c r="U749" s="179">
        <f t="shared" si="87"/>
        <v>1</v>
      </c>
      <c r="V749" s="1">
        <f t="shared" si="90"/>
        <v>25</v>
      </c>
      <c r="W749" s="8">
        <f t="shared" si="88"/>
        <v>6.25</v>
      </c>
      <c r="X749" s="15">
        <f t="shared" si="89"/>
        <v>4081.25</v>
      </c>
    </row>
    <row r="750" spans="1:24">
      <c r="A750" t="s">
        <v>931</v>
      </c>
      <c r="B750" s="163" t="s">
        <v>406</v>
      </c>
      <c r="C750" s="2" t="s">
        <v>145</v>
      </c>
      <c r="D750" s="2" t="s">
        <v>190</v>
      </c>
      <c r="E750" s="3">
        <v>45305.5</v>
      </c>
      <c r="F750" s="2" t="s">
        <v>226</v>
      </c>
      <c r="G750" s="2" t="s">
        <v>227</v>
      </c>
      <c r="H750" s="2">
        <v>1.29</v>
      </c>
      <c r="I750" s="2">
        <v>13.5</v>
      </c>
      <c r="J750" s="2">
        <v>2.5</v>
      </c>
      <c r="K750" s="2">
        <v>5.0999999999999996</v>
      </c>
      <c r="L750" s="2"/>
      <c r="M750" s="2"/>
      <c r="N750" s="2" t="s">
        <v>95</v>
      </c>
      <c r="O750" s="10">
        <v>1</v>
      </c>
      <c r="P750" s="13">
        <v>0</v>
      </c>
      <c r="Q750" s="183">
        <v>3</v>
      </c>
      <c r="R750" s="181">
        <v>0</v>
      </c>
      <c r="S750" s="178">
        <f t="shared" si="85"/>
        <v>1</v>
      </c>
      <c r="T750" s="186">
        <f t="shared" si="86"/>
        <v>3</v>
      </c>
      <c r="U750" s="179">
        <f t="shared" si="87"/>
        <v>2</v>
      </c>
      <c r="V750" s="1">
        <f t="shared" si="90"/>
        <v>25</v>
      </c>
      <c r="W750" s="8">
        <f t="shared" si="88"/>
        <v>6.25</v>
      </c>
      <c r="X750" s="15">
        <f t="shared" si="89"/>
        <v>4087.5</v>
      </c>
    </row>
    <row r="751" spans="1:24">
      <c r="A751" t="s">
        <v>931</v>
      </c>
      <c r="B751" s="163" t="s">
        <v>406</v>
      </c>
      <c r="C751" s="2" t="s">
        <v>80</v>
      </c>
      <c r="D751" s="2" t="s">
        <v>81</v>
      </c>
      <c r="E751" s="3">
        <v>45306.708333333336</v>
      </c>
      <c r="F751" s="2" t="s">
        <v>144</v>
      </c>
      <c r="G751" s="2" t="s">
        <v>83</v>
      </c>
      <c r="H751" s="2">
        <v>1.27</v>
      </c>
      <c r="I751" s="2">
        <v>13</v>
      </c>
      <c r="J751" s="2">
        <v>3.17</v>
      </c>
      <c r="K751" s="2">
        <v>3.4</v>
      </c>
      <c r="L751" s="2"/>
      <c r="M751" s="2"/>
      <c r="N751" s="2" t="s">
        <v>95</v>
      </c>
      <c r="O751" s="10">
        <v>1</v>
      </c>
      <c r="P751" s="13">
        <v>0</v>
      </c>
      <c r="Q751" s="183">
        <v>2</v>
      </c>
      <c r="R751" s="181">
        <v>1</v>
      </c>
      <c r="S751" s="178">
        <f t="shared" si="85"/>
        <v>1</v>
      </c>
      <c r="T751" s="186">
        <f t="shared" si="86"/>
        <v>3</v>
      </c>
      <c r="U751" s="179">
        <f t="shared" si="87"/>
        <v>2</v>
      </c>
      <c r="V751" s="1">
        <f t="shared" si="90"/>
        <v>25</v>
      </c>
      <c r="W751" s="8">
        <f t="shared" si="88"/>
        <v>6.25</v>
      </c>
      <c r="X751" s="15">
        <f t="shared" si="89"/>
        <v>4093.75</v>
      </c>
    </row>
    <row r="752" spans="1:24">
      <c r="A752" t="s">
        <v>931</v>
      </c>
      <c r="B752" s="163" t="s">
        <v>406</v>
      </c>
      <c r="C752" s="2" t="s">
        <v>6</v>
      </c>
      <c r="D752" s="2" t="s">
        <v>11</v>
      </c>
      <c r="E752" s="3">
        <v>45311.625</v>
      </c>
      <c r="F752" s="2" t="s">
        <v>12</v>
      </c>
      <c r="G752" s="2" t="s">
        <v>263</v>
      </c>
      <c r="H752" s="2">
        <v>1.33</v>
      </c>
      <c r="I752" s="2">
        <v>12</v>
      </c>
      <c r="J752" s="2">
        <v>2.6</v>
      </c>
      <c r="K752" s="2">
        <v>5.5</v>
      </c>
      <c r="L752" s="2"/>
      <c r="M752" s="2"/>
      <c r="N752" s="2" t="s">
        <v>95</v>
      </c>
      <c r="O752" s="10">
        <v>0</v>
      </c>
      <c r="P752" s="13">
        <v>1</v>
      </c>
      <c r="Q752" s="183">
        <v>2</v>
      </c>
      <c r="R752" s="181">
        <v>1</v>
      </c>
      <c r="S752" s="178">
        <f t="shared" si="85"/>
        <v>1</v>
      </c>
      <c r="T752" s="186">
        <f t="shared" si="86"/>
        <v>3</v>
      </c>
      <c r="U752" s="179">
        <f t="shared" si="87"/>
        <v>2</v>
      </c>
      <c r="V752" s="1">
        <f t="shared" si="90"/>
        <v>25</v>
      </c>
      <c r="W752" s="8">
        <f t="shared" si="88"/>
        <v>6.25</v>
      </c>
      <c r="X752" s="15">
        <f t="shared" si="89"/>
        <v>4100</v>
      </c>
    </row>
    <row r="753" spans="1:24">
      <c r="A753" t="s">
        <v>931</v>
      </c>
      <c r="B753" s="163" t="s">
        <v>406</v>
      </c>
      <c r="C753" s="2" t="s">
        <v>67</v>
      </c>
      <c r="D753" s="2" t="s">
        <v>68</v>
      </c>
      <c r="E753" s="3">
        <v>45311.822916666664</v>
      </c>
      <c r="F753" s="2" t="s">
        <v>265</v>
      </c>
      <c r="G753" s="2" t="s">
        <v>266</v>
      </c>
      <c r="H753" s="2">
        <v>1.26</v>
      </c>
      <c r="I753" s="2">
        <v>14</v>
      </c>
      <c r="J753" s="2">
        <v>3.05</v>
      </c>
      <c r="K753" s="2">
        <v>3.8</v>
      </c>
      <c r="L753" s="2"/>
      <c r="M753" s="2"/>
      <c r="N753" s="2" t="s">
        <v>95</v>
      </c>
      <c r="O753" s="10">
        <v>1</v>
      </c>
      <c r="P753" s="13">
        <v>0</v>
      </c>
      <c r="Q753" s="183">
        <v>3</v>
      </c>
      <c r="R753" s="181">
        <v>0</v>
      </c>
      <c r="S753" s="178">
        <f t="shared" si="85"/>
        <v>1</v>
      </c>
      <c r="T753" s="186">
        <f t="shared" si="86"/>
        <v>3</v>
      </c>
      <c r="U753" s="179">
        <f t="shared" si="87"/>
        <v>2</v>
      </c>
      <c r="V753" s="1">
        <f t="shared" si="90"/>
        <v>25</v>
      </c>
      <c r="W753" s="8">
        <f t="shared" si="88"/>
        <v>6.25</v>
      </c>
      <c r="X753" s="15">
        <f t="shared" si="89"/>
        <v>4106.25</v>
      </c>
    </row>
    <row r="754" spans="1:24">
      <c r="A754" t="s">
        <v>931</v>
      </c>
      <c r="B754" s="163" t="s">
        <v>406</v>
      </c>
      <c r="C754" s="2" t="s">
        <v>6</v>
      </c>
      <c r="D754" s="2" t="s">
        <v>14</v>
      </c>
      <c r="E754" s="3">
        <v>45312.5</v>
      </c>
      <c r="F754" s="2" t="s">
        <v>280</v>
      </c>
      <c r="G754" s="2" t="s">
        <v>200</v>
      </c>
      <c r="H754" s="2">
        <v>1.31</v>
      </c>
      <c r="I754" s="2">
        <v>13</v>
      </c>
      <c r="J754" s="2">
        <v>3.05</v>
      </c>
      <c r="K754" s="2">
        <v>5</v>
      </c>
      <c r="L754" s="2"/>
      <c r="M754" s="2"/>
      <c r="N754" s="2" t="s">
        <v>95</v>
      </c>
      <c r="O754" s="10">
        <v>1</v>
      </c>
      <c r="P754" s="13">
        <v>1</v>
      </c>
      <c r="Q754" s="183">
        <v>2</v>
      </c>
      <c r="R754" s="181">
        <v>1</v>
      </c>
      <c r="S754" s="178">
        <f t="shared" si="85"/>
        <v>2</v>
      </c>
      <c r="T754" s="186">
        <f t="shared" si="86"/>
        <v>3</v>
      </c>
      <c r="U754" s="179">
        <f t="shared" si="87"/>
        <v>1</v>
      </c>
      <c r="V754" s="1">
        <f t="shared" si="90"/>
        <v>25</v>
      </c>
      <c r="W754" s="8">
        <f t="shared" si="88"/>
        <v>6.25</v>
      </c>
      <c r="X754" s="15">
        <f t="shared" si="89"/>
        <v>4112.5</v>
      </c>
    </row>
    <row r="755" spans="1:24">
      <c r="A755" t="s">
        <v>931</v>
      </c>
      <c r="B755" s="163" t="s">
        <v>406</v>
      </c>
      <c r="C755" s="2" t="s">
        <v>13</v>
      </c>
      <c r="D755" s="2" t="s">
        <v>37</v>
      </c>
      <c r="E755" s="3">
        <v>45328.833333333336</v>
      </c>
      <c r="F755" s="2" t="s">
        <v>79</v>
      </c>
      <c r="G755" s="2" t="s">
        <v>319</v>
      </c>
      <c r="H755" s="2">
        <v>1.25</v>
      </c>
      <c r="I755" s="2">
        <v>16</v>
      </c>
      <c r="J755" s="2">
        <v>3.05</v>
      </c>
      <c r="K755" s="2">
        <v>4</v>
      </c>
      <c r="L755" s="2">
        <v>2.84</v>
      </c>
      <c r="M755" s="2"/>
      <c r="N755" s="2" t="s">
        <v>95</v>
      </c>
      <c r="O755" s="10">
        <v>1</v>
      </c>
      <c r="P755" s="13">
        <v>1</v>
      </c>
      <c r="Q755" s="183">
        <v>2</v>
      </c>
      <c r="R755" s="181">
        <v>1</v>
      </c>
      <c r="S755" s="178">
        <f t="shared" si="85"/>
        <v>2</v>
      </c>
      <c r="T755" s="186">
        <f t="shared" si="86"/>
        <v>3</v>
      </c>
      <c r="U755" s="179">
        <f t="shared" si="87"/>
        <v>1</v>
      </c>
      <c r="V755" s="1">
        <f t="shared" si="90"/>
        <v>25</v>
      </c>
      <c r="W755" s="8">
        <f t="shared" si="88"/>
        <v>6.25</v>
      </c>
      <c r="X755" s="15">
        <f t="shared" si="89"/>
        <v>4118.75</v>
      </c>
    </row>
    <row r="756" spans="1:24">
      <c r="A756" t="s">
        <v>931</v>
      </c>
      <c r="B756" s="163" t="s">
        <v>406</v>
      </c>
      <c r="C756" s="2" t="s">
        <v>20</v>
      </c>
      <c r="D756" s="2" t="s">
        <v>21</v>
      </c>
      <c r="E756" s="3">
        <v>45339.822916666664</v>
      </c>
      <c r="F756" s="2" t="s">
        <v>97</v>
      </c>
      <c r="G756" s="2" t="s">
        <v>370</v>
      </c>
      <c r="H756" s="2">
        <v>1.35</v>
      </c>
      <c r="I756" s="2">
        <v>9.8000000000000007</v>
      </c>
      <c r="J756" s="2">
        <v>3.15</v>
      </c>
      <c r="K756" s="2">
        <v>4.3</v>
      </c>
      <c r="L756" s="2">
        <v>2.5499999999999998</v>
      </c>
      <c r="M756" s="2"/>
      <c r="N756" s="2" t="s">
        <v>95</v>
      </c>
      <c r="O756" s="10">
        <v>1</v>
      </c>
      <c r="P756" s="14">
        <v>0</v>
      </c>
      <c r="Q756" s="183">
        <v>3</v>
      </c>
      <c r="R756" s="181">
        <v>0</v>
      </c>
      <c r="S756" s="178">
        <f t="shared" si="85"/>
        <v>1</v>
      </c>
      <c r="T756" s="186">
        <f t="shared" si="86"/>
        <v>3</v>
      </c>
      <c r="U756" s="179">
        <f t="shared" si="87"/>
        <v>2</v>
      </c>
      <c r="V756" s="1">
        <f t="shared" si="90"/>
        <v>25</v>
      </c>
      <c r="W756" s="8">
        <f t="shared" si="88"/>
        <v>6.25</v>
      </c>
      <c r="X756" s="15">
        <f t="shared" si="89"/>
        <v>4125</v>
      </c>
    </row>
    <row r="757" spans="1:24">
      <c r="A757" t="s">
        <v>931</v>
      </c>
      <c r="B757" s="163" t="s">
        <v>406</v>
      </c>
      <c r="C757" s="2" t="s">
        <v>77</v>
      </c>
      <c r="D757" s="2" t="s">
        <v>156</v>
      </c>
      <c r="E757" s="3">
        <v>45345.8125</v>
      </c>
      <c r="F757" s="2" t="s">
        <v>325</v>
      </c>
      <c r="G757" s="2" t="s">
        <v>160</v>
      </c>
      <c r="H757" s="2">
        <v>1.26</v>
      </c>
      <c r="I757" s="2">
        <v>15.5</v>
      </c>
      <c r="J757" s="2">
        <v>2.85</v>
      </c>
      <c r="K757" s="2">
        <v>4.7</v>
      </c>
      <c r="L757" s="2">
        <v>3.12</v>
      </c>
      <c r="M757" s="2"/>
      <c r="N757" s="2" t="s">
        <v>95</v>
      </c>
      <c r="O757" s="10">
        <v>1</v>
      </c>
      <c r="P757" s="14">
        <v>1</v>
      </c>
      <c r="Q757" s="183">
        <v>2</v>
      </c>
      <c r="R757" s="181">
        <v>1</v>
      </c>
      <c r="S757" s="178">
        <f t="shared" si="85"/>
        <v>2</v>
      </c>
      <c r="T757" s="186">
        <f t="shared" si="86"/>
        <v>3</v>
      </c>
      <c r="U757" s="179">
        <f t="shared" si="87"/>
        <v>1</v>
      </c>
      <c r="V757" s="1">
        <f t="shared" si="90"/>
        <v>25</v>
      </c>
      <c r="W757" s="8">
        <f t="shared" si="88"/>
        <v>6.25</v>
      </c>
      <c r="X757" s="15">
        <f t="shared" si="89"/>
        <v>4131.25</v>
      </c>
    </row>
    <row r="758" spans="1:24">
      <c r="A758" t="s">
        <v>931</v>
      </c>
      <c r="B758" s="163" t="s">
        <v>406</v>
      </c>
      <c r="C758" s="2" t="s">
        <v>80</v>
      </c>
      <c r="D758" s="2" t="s">
        <v>81</v>
      </c>
      <c r="E758" s="3">
        <v>45348.708333333336</v>
      </c>
      <c r="F758" s="2" t="s">
        <v>144</v>
      </c>
      <c r="G758" s="2" t="s">
        <v>253</v>
      </c>
      <c r="H758" s="2">
        <v>1.34</v>
      </c>
      <c r="I758" s="2">
        <v>10.5</v>
      </c>
      <c r="J758" s="2">
        <v>2.95</v>
      </c>
      <c r="K758" s="2">
        <v>4.0999999999999996</v>
      </c>
      <c r="L758" s="2">
        <v>2.16</v>
      </c>
      <c r="M758" s="2"/>
      <c r="N758" s="2" t="s">
        <v>95</v>
      </c>
      <c r="O758" s="10">
        <v>2</v>
      </c>
      <c r="P758" s="14">
        <v>1</v>
      </c>
      <c r="Q758" s="183">
        <v>2</v>
      </c>
      <c r="R758" s="181">
        <v>1</v>
      </c>
      <c r="S758" s="178">
        <f t="shared" si="85"/>
        <v>3</v>
      </c>
      <c r="T758" s="186">
        <f t="shared" si="86"/>
        <v>3</v>
      </c>
      <c r="U758" s="179">
        <f t="shared" si="87"/>
        <v>0</v>
      </c>
      <c r="V758" s="1">
        <f t="shared" si="90"/>
        <v>25</v>
      </c>
      <c r="W758" s="8">
        <f t="shared" si="88"/>
        <v>6.25</v>
      </c>
      <c r="X758" s="15">
        <f t="shared" si="89"/>
        <v>4137.5</v>
      </c>
    </row>
    <row r="759" spans="1:24">
      <c r="A759" t="s">
        <v>931</v>
      </c>
      <c r="B759" s="163" t="s">
        <v>406</v>
      </c>
      <c r="C759" s="2" t="s">
        <v>20</v>
      </c>
      <c r="D759" s="2" t="s">
        <v>21</v>
      </c>
      <c r="E759" s="3">
        <v>45355.822916666664</v>
      </c>
      <c r="F759" s="2" t="s">
        <v>25</v>
      </c>
      <c r="G759" s="2" t="s">
        <v>24</v>
      </c>
      <c r="H759" s="2">
        <v>1.27</v>
      </c>
      <c r="I759" s="2">
        <v>16</v>
      </c>
      <c r="J759" s="2">
        <v>2.5499999999999998</v>
      </c>
      <c r="K759" s="2">
        <v>5.2</v>
      </c>
      <c r="L759" s="2">
        <v>2.36</v>
      </c>
      <c r="M759" s="2"/>
      <c r="N759" s="2" t="s">
        <v>95</v>
      </c>
      <c r="O759" s="10">
        <v>2</v>
      </c>
      <c r="P759" s="14">
        <v>0</v>
      </c>
      <c r="Q759" s="183">
        <v>2</v>
      </c>
      <c r="R759" s="181">
        <v>1</v>
      </c>
      <c r="S759" s="178">
        <f t="shared" si="85"/>
        <v>2</v>
      </c>
      <c r="T759" s="186">
        <f t="shared" si="86"/>
        <v>3</v>
      </c>
      <c r="U759" s="179">
        <f t="shared" si="87"/>
        <v>1</v>
      </c>
      <c r="V759" s="1">
        <f t="shared" si="90"/>
        <v>25</v>
      </c>
      <c r="W759" s="8">
        <f t="shared" si="88"/>
        <v>6.25</v>
      </c>
      <c r="X759" s="15">
        <f t="shared" si="89"/>
        <v>4143.75</v>
      </c>
    </row>
    <row r="760" spans="1:24">
      <c r="A760" t="s">
        <v>931</v>
      </c>
      <c r="B760" s="163" t="s">
        <v>406</v>
      </c>
      <c r="C760" s="2" t="s">
        <v>6</v>
      </c>
      <c r="D760" s="2" t="s">
        <v>62</v>
      </c>
      <c r="E760" s="3">
        <v>45382.583333333336</v>
      </c>
      <c r="F760" s="2" t="s">
        <v>285</v>
      </c>
      <c r="G760" s="2" t="s">
        <v>267</v>
      </c>
      <c r="H760" s="2">
        <v>1.33</v>
      </c>
      <c r="I760" s="2">
        <v>9.8000000000000007</v>
      </c>
      <c r="J760" s="2">
        <v>3.4</v>
      </c>
      <c r="K760" s="2">
        <v>3.25</v>
      </c>
      <c r="L760" s="2">
        <v>3.25</v>
      </c>
      <c r="M760" s="2"/>
      <c r="N760" s="2" t="s">
        <v>95</v>
      </c>
      <c r="O760" s="10">
        <v>1</v>
      </c>
      <c r="P760" s="14">
        <v>1</v>
      </c>
      <c r="Q760" s="183">
        <v>2</v>
      </c>
      <c r="R760" s="181">
        <v>1</v>
      </c>
      <c r="S760" s="178">
        <f t="shared" si="85"/>
        <v>2</v>
      </c>
      <c r="T760" s="186">
        <f t="shared" si="86"/>
        <v>3</v>
      </c>
      <c r="U760" s="179">
        <f t="shared" si="87"/>
        <v>1</v>
      </c>
      <c r="V760" s="1">
        <f t="shared" si="90"/>
        <v>25</v>
      </c>
      <c r="W760" s="8">
        <f t="shared" ref="W760:W823" si="91">IF(N760="won",V760*0.25,-V760)</f>
        <v>6.25</v>
      </c>
      <c r="X760" s="15">
        <f t="shared" ref="X760:X823" si="92">SUM(X759,W760)</f>
        <v>4150</v>
      </c>
    </row>
    <row r="761" spans="1:24">
      <c r="A761" t="s">
        <v>931</v>
      </c>
      <c r="B761" s="163" t="s">
        <v>406</v>
      </c>
      <c r="C761" s="2" t="s">
        <v>20</v>
      </c>
      <c r="D761" s="2" t="s">
        <v>21</v>
      </c>
      <c r="E761" s="3">
        <v>45383.479166666664</v>
      </c>
      <c r="F761" s="2" t="s">
        <v>101</v>
      </c>
      <c r="G761" s="2" t="s">
        <v>110</v>
      </c>
      <c r="H761" s="2">
        <v>1.3</v>
      </c>
      <c r="I761" s="2">
        <v>14.5</v>
      </c>
      <c r="J761" s="2">
        <v>2.6</v>
      </c>
      <c r="K761" s="2">
        <v>5.2</v>
      </c>
      <c r="L761" s="2">
        <v>2.27</v>
      </c>
      <c r="M761" s="2"/>
      <c r="N761" s="2" t="s">
        <v>95</v>
      </c>
      <c r="O761" s="10">
        <v>2</v>
      </c>
      <c r="P761" s="14">
        <v>0</v>
      </c>
      <c r="Q761" s="183">
        <v>3</v>
      </c>
      <c r="R761" s="181">
        <v>0</v>
      </c>
      <c r="S761" s="178">
        <f t="shared" si="85"/>
        <v>2</v>
      </c>
      <c r="T761" s="186">
        <f t="shared" si="86"/>
        <v>3</v>
      </c>
      <c r="U761" s="179">
        <f t="shared" si="87"/>
        <v>1</v>
      </c>
      <c r="V761" s="1">
        <f t="shared" si="90"/>
        <v>25</v>
      </c>
      <c r="W761" s="8">
        <f t="shared" si="91"/>
        <v>6.25</v>
      </c>
      <c r="X761" s="15">
        <f t="shared" si="92"/>
        <v>4156.25</v>
      </c>
    </row>
    <row r="762" spans="1:24">
      <c r="A762" t="s">
        <v>931</v>
      </c>
      <c r="B762" s="163" t="s">
        <v>406</v>
      </c>
      <c r="C762" s="2" t="s">
        <v>296</v>
      </c>
      <c r="D762" s="2" t="s">
        <v>78</v>
      </c>
      <c r="E762" s="3">
        <v>45385.8125</v>
      </c>
      <c r="F762" s="2" t="s">
        <v>298</v>
      </c>
      <c r="G762" s="2" t="s">
        <v>360</v>
      </c>
      <c r="H762" s="2">
        <v>1.27</v>
      </c>
      <c r="I762" s="2">
        <v>14</v>
      </c>
      <c r="J762" s="2">
        <v>3.15</v>
      </c>
      <c r="K762" s="2">
        <v>3.8</v>
      </c>
      <c r="L762" s="2">
        <v>2.52</v>
      </c>
      <c r="M762" s="2"/>
      <c r="N762" s="2" t="s">
        <v>95</v>
      </c>
      <c r="O762" s="10">
        <v>0</v>
      </c>
      <c r="P762" s="14">
        <v>1</v>
      </c>
      <c r="Q762" s="183">
        <v>1</v>
      </c>
      <c r="R762" s="181">
        <v>2</v>
      </c>
      <c r="S762" s="178">
        <f t="shared" si="85"/>
        <v>1</v>
      </c>
      <c r="T762" s="186">
        <f t="shared" si="86"/>
        <v>3</v>
      </c>
      <c r="U762" s="179">
        <f t="shared" si="87"/>
        <v>2</v>
      </c>
      <c r="V762" s="1">
        <f t="shared" si="90"/>
        <v>25</v>
      </c>
      <c r="W762" s="8">
        <f t="shared" si="91"/>
        <v>6.25</v>
      </c>
      <c r="X762" s="15">
        <f t="shared" si="92"/>
        <v>4162.5</v>
      </c>
    </row>
    <row r="763" spans="1:24">
      <c r="A763" t="s">
        <v>931</v>
      </c>
      <c r="B763" s="163" t="s">
        <v>406</v>
      </c>
      <c r="C763" s="2" t="s">
        <v>6</v>
      </c>
      <c r="D763" s="2" t="s">
        <v>14</v>
      </c>
      <c r="E763" s="3">
        <v>45388.625</v>
      </c>
      <c r="F763" s="2" t="s">
        <v>290</v>
      </c>
      <c r="G763" s="2" t="s">
        <v>680</v>
      </c>
      <c r="H763" s="2">
        <v>1.34</v>
      </c>
      <c r="I763" s="2">
        <v>10</v>
      </c>
      <c r="J763" s="2">
        <v>3.05</v>
      </c>
      <c r="K763" s="2">
        <v>4.4000000000000004</v>
      </c>
      <c r="L763" s="2">
        <v>2.71</v>
      </c>
      <c r="M763" s="2"/>
      <c r="N763" s="2" t="s">
        <v>95</v>
      </c>
      <c r="O763" s="10">
        <v>1</v>
      </c>
      <c r="P763" s="14">
        <v>1</v>
      </c>
      <c r="Q763" s="183">
        <v>2</v>
      </c>
      <c r="R763" s="181">
        <v>1</v>
      </c>
      <c r="S763" s="178">
        <f t="shared" si="85"/>
        <v>2</v>
      </c>
      <c r="T763" s="186">
        <f t="shared" si="86"/>
        <v>3</v>
      </c>
      <c r="U763" s="179">
        <f t="shared" si="87"/>
        <v>1</v>
      </c>
      <c r="V763" s="1">
        <f t="shared" si="90"/>
        <v>25</v>
      </c>
      <c r="W763" s="8">
        <f t="shared" si="91"/>
        <v>6.25</v>
      </c>
      <c r="X763" s="15">
        <f t="shared" si="92"/>
        <v>4168.75</v>
      </c>
    </row>
    <row r="764" spans="1:24">
      <c r="A764" t="s">
        <v>931</v>
      </c>
      <c r="B764" s="163" t="s">
        <v>406</v>
      </c>
      <c r="C764" s="2" t="s">
        <v>77</v>
      </c>
      <c r="D764" s="2" t="s">
        <v>156</v>
      </c>
      <c r="E764" s="3">
        <v>45395.604166666664</v>
      </c>
      <c r="F764" s="2" t="s">
        <v>181</v>
      </c>
      <c r="G764" s="2" t="s">
        <v>161</v>
      </c>
      <c r="H764" s="2">
        <v>1.37</v>
      </c>
      <c r="I764" s="2">
        <v>9.8000000000000007</v>
      </c>
      <c r="J764" s="2">
        <v>2.8</v>
      </c>
      <c r="K764" s="2">
        <v>4.2</v>
      </c>
      <c r="L764" s="2">
        <v>2.99</v>
      </c>
      <c r="M764" s="2"/>
      <c r="N764" s="2" t="s">
        <v>95</v>
      </c>
      <c r="O764" s="10">
        <v>1</v>
      </c>
      <c r="P764" s="14">
        <v>0</v>
      </c>
      <c r="Q764" s="183">
        <v>3</v>
      </c>
      <c r="R764" s="181">
        <v>0</v>
      </c>
      <c r="S764" s="178">
        <f t="shared" si="85"/>
        <v>1</v>
      </c>
      <c r="T764" s="186">
        <f t="shared" si="86"/>
        <v>3</v>
      </c>
      <c r="U764" s="179">
        <f t="shared" si="87"/>
        <v>2</v>
      </c>
      <c r="V764" s="1">
        <f t="shared" si="90"/>
        <v>25</v>
      </c>
      <c r="W764" s="8">
        <f t="shared" si="91"/>
        <v>6.25</v>
      </c>
      <c r="X764" s="15">
        <f t="shared" si="92"/>
        <v>4175</v>
      </c>
    </row>
    <row r="765" spans="1:24">
      <c r="A765" t="s">
        <v>931</v>
      </c>
      <c r="B765" s="163" t="s">
        <v>406</v>
      </c>
      <c r="C765" s="2" t="s">
        <v>640</v>
      </c>
      <c r="D765" s="2" t="s">
        <v>641</v>
      </c>
      <c r="E765" s="3">
        <v>45410.666666666664</v>
      </c>
      <c r="F765" s="2" t="s">
        <v>745</v>
      </c>
      <c r="G765" s="2" t="s">
        <v>721</v>
      </c>
      <c r="H765" s="2">
        <v>1.29</v>
      </c>
      <c r="I765" s="2">
        <v>13.5</v>
      </c>
      <c r="J765" s="2">
        <v>2.6</v>
      </c>
      <c r="K765" s="2">
        <v>4.4000000000000004</v>
      </c>
      <c r="L765" s="2">
        <v>2.85</v>
      </c>
      <c r="M765" s="2"/>
      <c r="N765" s="2" t="s">
        <v>95</v>
      </c>
      <c r="O765" s="10">
        <v>2</v>
      </c>
      <c r="P765" s="14">
        <v>0</v>
      </c>
      <c r="Q765" s="183">
        <v>2</v>
      </c>
      <c r="R765" s="181">
        <v>1</v>
      </c>
      <c r="S765" s="178">
        <f t="shared" si="85"/>
        <v>2</v>
      </c>
      <c r="T765" s="186">
        <f t="shared" si="86"/>
        <v>3</v>
      </c>
      <c r="U765" s="179">
        <f t="shared" si="87"/>
        <v>1</v>
      </c>
      <c r="V765" s="1">
        <f t="shared" si="90"/>
        <v>25</v>
      </c>
      <c r="W765" s="8">
        <f t="shared" si="91"/>
        <v>6.25</v>
      </c>
      <c r="X765" s="15">
        <f t="shared" si="92"/>
        <v>4181.25</v>
      </c>
    </row>
    <row r="766" spans="1:24">
      <c r="A766" t="s">
        <v>931</v>
      </c>
      <c r="B766" s="163" t="s">
        <v>406</v>
      </c>
      <c r="C766" s="2" t="s">
        <v>13</v>
      </c>
      <c r="D766" s="2" t="s">
        <v>37</v>
      </c>
      <c r="E766" s="3">
        <v>45416.625</v>
      </c>
      <c r="F766" s="2" t="s">
        <v>99</v>
      </c>
      <c r="G766" s="2" t="s">
        <v>305</v>
      </c>
      <c r="H766" s="2">
        <v>1.26</v>
      </c>
      <c r="I766" s="2">
        <v>12.5</v>
      </c>
      <c r="J766" s="2">
        <v>2.9</v>
      </c>
      <c r="K766" s="2">
        <v>3.25</v>
      </c>
      <c r="L766" s="2">
        <v>2.77</v>
      </c>
      <c r="M766" s="2"/>
      <c r="N766" s="2" t="s">
        <v>95</v>
      </c>
      <c r="O766" s="10">
        <v>2</v>
      </c>
      <c r="P766" s="14">
        <v>0</v>
      </c>
      <c r="Q766" s="183">
        <v>3</v>
      </c>
      <c r="R766" s="181">
        <v>0</v>
      </c>
      <c r="S766" s="178">
        <f t="shared" si="85"/>
        <v>2</v>
      </c>
      <c r="T766" s="186">
        <f t="shared" si="86"/>
        <v>3</v>
      </c>
      <c r="U766" s="179">
        <f t="shared" si="87"/>
        <v>1</v>
      </c>
      <c r="V766" s="1">
        <f t="shared" si="90"/>
        <v>25</v>
      </c>
      <c r="W766" s="8">
        <f t="shared" si="91"/>
        <v>6.25</v>
      </c>
      <c r="X766" s="15">
        <f t="shared" si="92"/>
        <v>4187.5</v>
      </c>
    </row>
    <row r="767" spans="1:24">
      <c r="A767" t="s">
        <v>931</v>
      </c>
      <c r="B767" s="163" t="s">
        <v>406</v>
      </c>
      <c r="C767" s="2" t="s">
        <v>119</v>
      </c>
      <c r="D767" s="2" t="s">
        <v>120</v>
      </c>
      <c r="E767" s="3">
        <v>45416.635416666664</v>
      </c>
      <c r="F767" s="2" t="s">
        <v>122</v>
      </c>
      <c r="G767" s="2" t="s">
        <v>569</v>
      </c>
      <c r="H767" s="2">
        <v>1.38</v>
      </c>
      <c r="I767" s="2">
        <v>10</v>
      </c>
      <c r="J767" s="2">
        <v>2.5499999999999998</v>
      </c>
      <c r="K767" s="2">
        <v>5.7</v>
      </c>
      <c r="L767" s="2">
        <v>2.4900000000000002</v>
      </c>
      <c r="M767" s="2"/>
      <c r="N767" s="2" t="s">
        <v>95</v>
      </c>
      <c r="O767" s="10">
        <v>0</v>
      </c>
      <c r="P767" s="14">
        <v>0</v>
      </c>
      <c r="Q767" s="183">
        <v>3</v>
      </c>
      <c r="R767" s="181">
        <v>0</v>
      </c>
      <c r="S767" s="178">
        <f t="shared" si="85"/>
        <v>0</v>
      </c>
      <c r="T767" s="186">
        <f t="shared" si="86"/>
        <v>3</v>
      </c>
      <c r="U767" s="179">
        <f t="shared" si="87"/>
        <v>3</v>
      </c>
      <c r="V767" s="1">
        <f t="shared" si="90"/>
        <v>25</v>
      </c>
      <c r="W767" s="8">
        <f t="shared" si="91"/>
        <v>6.25</v>
      </c>
      <c r="X767" s="15">
        <f t="shared" si="92"/>
        <v>4193.75</v>
      </c>
    </row>
    <row r="768" spans="1:24">
      <c r="A768" t="s">
        <v>931</v>
      </c>
      <c r="B768" s="163" t="s">
        <v>406</v>
      </c>
      <c r="C768" s="2" t="s">
        <v>77</v>
      </c>
      <c r="D768" s="2" t="s">
        <v>156</v>
      </c>
      <c r="E768" s="3">
        <v>45430.604166666664</v>
      </c>
      <c r="F768" s="2" t="s">
        <v>325</v>
      </c>
      <c r="G768" s="2" t="s">
        <v>284</v>
      </c>
      <c r="H768" s="2">
        <v>1.29</v>
      </c>
      <c r="I768" s="2">
        <v>13</v>
      </c>
      <c r="J768" s="2">
        <v>3.2</v>
      </c>
      <c r="K768" s="2">
        <v>2.78</v>
      </c>
      <c r="L768" s="2">
        <v>3.42</v>
      </c>
      <c r="M768" s="2"/>
      <c r="N768" s="2" t="s">
        <v>95</v>
      </c>
      <c r="O768" s="10">
        <v>2</v>
      </c>
      <c r="P768" s="14">
        <v>0</v>
      </c>
      <c r="Q768" s="183">
        <v>2</v>
      </c>
      <c r="R768" s="181">
        <v>1</v>
      </c>
      <c r="S768" s="178">
        <f t="shared" si="85"/>
        <v>2</v>
      </c>
      <c r="T768" s="186">
        <f t="shared" si="86"/>
        <v>3</v>
      </c>
      <c r="U768" s="179">
        <f t="shared" si="87"/>
        <v>1</v>
      </c>
      <c r="V768" s="1">
        <f t="shared" si="90"/>
        <v>25</v>
      </c>
      <c r="W768" s="8">
        <f t="shared" si="91"/>
        <v>6.25</v>
      </c>
      <c r="X768" s="15">
        <f t="shared" si="92"/>
        <v>4200</v>
      </c>
    </row>
    <row r="769" spans="1:24">
      <c r="A769" t="s">
        <v>931</v>
      </c>
      <c r="B769" s="163" t="s">
        <v>406</v>
      </c>
      <c r="C769" s="2" t="s">
        <v>119</v>
      </c>
      <c r="D769" s="2" t="s">
        <v>120</v>
      </c>
      <c r="E769" s="3">
        <v>45431.75</v>
      </c>
      <c r="F769" s="2" t="s">
        <v>361</v>
      </c>
      <c r="G769" s="2" t="s">
        <v>852</v>
      </c>
      <c r="H769" s="2">
        <v>1.34</v>
      </c>
      <c r="I769" s="2">
        <v>11</v>
      </c>
      <c r="J769" s="2">
        <v>2.8</v>
      </c>
      <c r="K769" s="2">
        <v>4.5</v>
      </c>
      <c r="L769" s="2">
        <v>2.63</v>
      </c>
      <c r="M769" s="2"/>
      <c r="N769" s="2" t="s">
        <v>95</v>
      </c>
      <c r="O769" s="10">
        <v>1</v>
      </c>
      <c r="P769" s="14">
        <v>0</v>
      </c>
      <c r="Q769" s="183">
        <v>3</v>
      </c>
      <c r="R769" s="181">
        <v>0</v>
      </c>
      <c r="S769" s="178">
        <f t="shared" ref="S769:S832" si="93">SUM(O769:P769)</f>
        <v>1</v>
      </c>
      <c r="T769" s="186">
        <f t="shared" ref="T769:T832" si="94">SUM(Q769:R769)</f>
        <v>3</v>
      </c>
      <c r="U769" s="179">
        <f t="shared" ref="U769:U832" si="95">SUM(T769-S769)</f>
        <v>2</v>
      </c>
      <c r="V769" s="1">
        <f t="shared" si="90"/>
        <v>25</v>
      </c>
      <c r="W769" s="8">
        <f t="shared" si="91"/>
        <v>6.25</v>
      </c>
      <c r="X769" s="15">
        <f t="shared" si="92"/>
        <v>4206.25</v>
      </c>
    </row>
    <row r="770" spans="1:24">
      <c r="A770" t="s">
        <v>931</v>
      </c>
      <c r="B770" s="163" t="s">
        <v>531</v>
      </c>
      <c r="C770" s="2" t="s">
        <v>434</v>
      </c>
      <c r="D770" s="2" t="s">
        <v>435</v>
      </c>
      <c r="E770" s="3">
        <v>45359.75</v>
      </c>
      <c r="F770" s="2" t="s">
        <v>532</v>
      </c>
      <c r="G770" s="2" t="s">
        <v>533</v>
      </c>
      <c r="H770" s="2">
        <v>3.95</v>
      </c>
      <c r="I770" s="2">
        <v>20</v>
      </c>
      <c r="J770" s="2">
        <v>2.8</v>
      </c>
      <c r="K770" s="2">
        <v>31</v>
      </c>
      <c r="L770" s="2">
        <v>1</v>
      </c>
      <c r="M770" s="2">
        <v>10</v>
      </c>
      <c r="N770" s="2" t="s">
        <v>95</v>
      </c>
      <c r="O770" s="10">
        <v>0</v>
      </c>
      <c r="P770" s="14">
        <v>1</v>
      </c>
      <c r="Q770" s="183">
        <v>1</v>
      </c>
      <c r="R770" s="181">
        <v>2</v>
      </c>
      <c r="S770" s="178">
        <f t="shared" si="93"/>
        <v>1</v>
      </c>
      <c r="T770" s="186">
        <f t="shared" si="94"/>
        <v>3</v>
      </c>
      <c r="U770" s="179">
        <f t="shared" si="95"/>
        <v>2</v>
      </c>
      <c r="V770" s="1">
        <f t="shared" si="90"/>
        <v>25</v>
      </c>
      <c r="W770" s="8">
        <f t="shared" si="91"/>
        <v>6.25</v>
      </c>
      <c r="X770" s="15">
        <f t="shared" si="92"/>
        <v>4212.5</v>
      </c>
    </row>
    <row r="771" spans="1:24">
      <c r="A771" t="s">
        <v>931</v>
      </c>
      <c r="B771" s="163" t="s">
        <v>531</v>
      </c>
      <c r="C771" s="2" t="s">
        <v>77</v>
      </c>
      <c r="D771" s="2" t="s">
        <v>156</v>
      </c>
      <c r="E771" s="3">
        <v>45367.729166666664</v>
      </c>
      <c r="F771" s="2" t="s">
        <v>158</v>
      </c>
      <c r="G771" s="2" t="s">
        <v>168</v>
      </c>
      <c r="H771" s="2">
        <v>6.4</v>
      </c>
      <c r="I771" s="2">
        <v>24</v>
      </c>
      <c r="J771" s="2">
        <v>3.33</v>
      </c>
      <c r="K771" s="2">
        <v>30</v>
      </c>
      <c r="L771" s="2">
        <v>1</v>
      </c>
      <c r="M771" s="2">
        <v>12</v>
      </c>
      <c r="N771" s="2" t="s">
        <v>95</v>
      </c>
      <c r="O771" s="10">
        <v>0</v>
      </c>
      <c r="P771" s="14">
        <v>2</v>
      </c>
      <c r="Q771" s="183">
        <v>0</v>
      </c>
      <c r="R771" s="181">
        <v>3</v>
      </c>
      <c r="S771" s="178">
        <f t="shared" si="93"/>
        <v>2</v>
      </c>
      <c r="T771" s="186">
        <f t="shared" si="94"/>
        <v>3</v>
      </c>
      <c r="U771" s="179">
        <f t="shared" si="95"/>
        <v>1</v>
      </c>
      <c r="V771" s="1">
        <f t="shared" si="90"/>
        <v>25</v>
      </c>
      <c r="W771" s="8">
        <f t="shared" si="91"/>
        <v>6.25</v>
      </c>
      <c r="X771" s="15">
        <f t="shared" si="92"/>
        <v>4218.75</v>
      </c>
    </row>
    <row r="772" spans="1:24">
      <c r="A772" t="s">
        <v>931</v>
      </c>
      <c r="B772" s="163" t="s">
        <v>531</v>
      </c>
      <c r="C772" s="2" t="s">
        <v>6</v>
      </c>
      <c r="D772" s="2" t="s">
        <v>7</v>
      </c>
      <c r="E772" s="3">
        <v>45380.625</v>
      </c>
      <c r="F772" s="2" t="s">
        <v>386</v>
      </c>
      <c r="G772" s="2" t="s">
        <v>18</v>
      </c>
      <c r="H772" s="2">
        <v>3.55</v>
      </c>
      <c r="I772" s="2">
        <v>38</v>
      </c>
      <c r="J772" s="2">
        <v>2.89</v>
      </c>
      <c r="K772" s="2">
        <v>27</v>
      </c>
      <c r="L772" s="2">
        <v>3</v>
      </c>
      <c r="M772" s="2">
        <v>18</v>
      </c>
      <c r="N772" s="2" t="s">
        <v>95</v>
      </c>
      <c r="O772" s="10">
        <v>0</v>
      </c>
      <c r="P772" s="14">
        <v>2</v>
      </c>
      <c r="Q772" s="183">
        <v>0</v>
      </c>
      <c r="R772" s="181">
        <v>3</v>
      </c>
      <c r="S772" s="178">
        <f t="shared" si="93"/>
        <v>2</v>
      </c>
      <c r="T772" s="186">
        <f t="shared" si="94"/>
        <v>3</v>
      </c>
      <c r="U772" s="179">
        <f t="shared" si="95"/>
        <v>1</v>
      </c>
      <c r="V772" s="1">
        <f t="shared" si="90"/>
        <v>25</v>
      </c>
      <c r="W772" s="8">
        <f t="shared" si="91"/>
        <v>6.25</v>
      </c>
      <c r="X772" s="15">
        <f t="shared" si="92"/>
        <v>4225</v>
      </c>
    </row>
    <row r="773" spans="1:24">
      <c r="A773" t="s">
        <v>931</v>
      </c>
      <c r="B773" s="163" t="s">
        <v>531</v>
      </c>
      <c r="C773" s="2" t="s">
        <v>13</v>
      </c>
      <c r="D773" s="2" t="s">
        <v>37</v>
      </c>
      <c r="E773" s="3">
        <v>45382.5</v>
      </c>
      <c r="F773" s="2" t="s">
        <v>39</v>
      </c>
      <c r="G773" s="2" t="s">
        <v>99</v>
      </c>
      <c r="H773" s="2">
        <v>3.45</v>
      </c>
      <c r="I773" s="2">
        <v>29</v>
      </c>
      <c r="J773" s="2">
        <v>2.48</v>
      </c>
      <c r="K773" s="2">
        <v>37</v>
      </c>
      <c r="L773" s="2">
        <v>1</v>
      </c>
      <c r="M773" s="2">
        <v>15</v>
      </c>
      <c r="N773" s="2" t="s">
        <v>95</v>
      </c>
      <c r="O773" s="10">
        <v>0</v>
      </c>
      <c r="P773" s="14">
        <v>0</v>
      </c>
      <c r="Q773" s="183">
        <v>0</v>
      </c>
      <c r="R773" s="181">
        <v>3</v>
      </c>
      <c r="S773" s="178">
        <f t="shared" si="93"/>
        <v>0</v>
      </c>
      <c r="T773" s="186">
        <f t="shared" si="94"/>
        <v>3</v>
      </c>
      <c r="U773" s="179">
        <f t="shared" si="95"/>
        <v>3</v>
      </c>
      <c r="V773" s="1">
        <f t="shared" si="90"/>
        <v>25</v>
      </c>
      <c r="W773" s="8">
        <f t="shared" si="91"/>
        <v>6.25</v>
      </c>
      <c r="X773" s="15">
        <f t="shared" si="92"/>
        <v>4231.25</v>
      </c>
    </row>
    <row r="774" spans="1:24">
      <c r="A774" t="s">
        <v>931</v>
      </c>
      <c r="B774" s="163" t="s">
        <v>531</v>
      </c>
      <c r="C774" s="2" t="s">
        <v>6</v>
      </c>
      <c r="D774" s="2" t="s">
        <v>7</v>
      </c>
      <c r="E774" s="3">
        <v>45391.822916666664</v>
      </c>
      <c r="F774" s="2" t="s">
        <v>27</v>
      </c>
      <c r="G774" s="2" t="s">
        <v>18</v>
      </c>
      <c r="H774" s="2">
        <v>5</v>
      </c>
      <c r="I774" s="2">
        <v>39</v>
      </c>
      <c r="J774" s="2">
        <v>3.31</v>
      </c>
      <c r="K774" s="2">
        <v>31</v>
      </c>
      <c r="L774" s="2">
        <v>3</v>
      </c>
      <c r="M774" s="2">
        <v>20</v>
      </c>
      <c r="N774" s="2" t="s">
        <v>95</v>
      </c>
      <c r="O774" s="10">
        <v>1</v>
      </c>
      <c r="P774" s="14">
        <v>1</v>
      </c>
      <c r="Q774" s="183">
        <v>1</v>
      </c>
      <c r="R774" s="181">
        <v>2</v>
      </c>
      <c r="S774" s="178">
        <f t="shared" si="93"/>
        <v>2</v>
      </c>
      <c r="T774" s="186">
        <f t="shared" si="94"/>
        <v>3</v>
      </c>
      <c r="U774" s="179">
        <f t="shared" si="95"/>
        <v>1</v>
      </c>
      <c r="V774" s="1">
        <f t="shared" si="90"/>
        <v>25</v>
      </c>
      <c r="W774" s="8">
        <f t="shared" si="91"/>
        <v>6.25</v>
      </c>
      <c r="X774" s="15">
        <f t="shared" si="92"/>
        <v>4237.5</v>
      </c>
    </row>
    <row r="775" spans="1:24">
      <c r="A775" t="s">
        <v>931</v>
      </c>
      <c r="B775" s="163" t="s">
        <v>531</v>
      </c>
      <c r="C775" s="2" t="s">
        <v>80</v>
      </c>
      <c r="D775" s="2" t="s">
        <v>81</v>
      </c>
      <c r="E775" s="3">
        <v>45396.708333333336</v>
      </c>
      <c r="F775" s="2" t="s">
        <v>551</v>
      </c>
      <c r="G775" s="2" t="s">
        <v>314</v>
      </c>
      <c r="H775" s="2">
        <v>5.7</v>
      </c>
      <c r="I775" s="2">
        <v>30</v>
      </c>
      <c r="J775" s="2">
        <v>2.63</v>
      </c>
      <c r="K775" s="2">
        <v>37</v>
      </c>
      <c r="L775" s="2">
        <v>3</v>
      </c>
      <c r="M775" s="2">
        <v>15</v>
      </c>
      <c r="N775" s="2" t="s">
        <v>95</v>
      </c>
      <c r="O775" s="10">
        <v>1</v>
      </c>
      <c r="P775" s="14">
        <v>0</v>
      </c>
      <c r="Q775" s="183">
        <v>1</v>
      </c>
      <c r="R775" s="181">
        <v>2</v>
      </c>
      <c r="S775" s="178">
        <f t="shared" si="93"/>
        <v>1</v>
      </c>
      <c r="T775" s="186">
        <f t="shared" si="94"/>
        <v>3</v>
      </c>
      <c r="U775" s="179">
        <f t="shared" si="95"/>
        <v>2</v>
      </c>
      <c r="V775" s="1">
        <f t="shared" si="90"/>
        <v>25</v>
      </c>
      <c r="W775" s="8">
        <f t="shared" si="91"/>
        <v>6.25</v>
      </c>
      <c r="X775" s="15">
        <f t="shared" si="92"/>
        <v>4243.75</v>
      </c>
    </row>
    <row r="776" spans="1:24">
      <c r="A776" t="s">
        <v>931</v>
      </c>
      <c r="B776" s="163" t="s">
        <v>531</v>
      </c>
      <c r="C776" s="2" t="s">
        <v>77</v>
      </c>
      <c r="D776" s="2" t="s">
        <v>156</v>
      </c>
      <c r="E776" s="3">
        <v>45402.604166666664</v>
      </c>
      <c r="F776" s="2" t="s">
        <v>260</v>
      </c>
      <c r="G776" s="2" t="s">
        <v>181</v>
      </c>
      <c r="H776" s="2">
        <v>5.0999999999999996</v>
      </c>
      <c r="I776" s="2">
        <v>28</v>
      </c>
      <c r="J776" s="2">
        <v>3.61</v>
      </c>
      <c r="K776" s="2">
        <v>32</v>
      </c>
      <c r="L776" s="2">
        <v>4</v>
      </c>
      <c r="M776" s="2">
        <v>14</v>
      </c>
      <c r="N776" s="2" t="s">
        <v>95</v>
      </c>
      <c r="O776" s="10">
        <v>0</v>
      </c>
      <c r="P776" s="14">
        <v>1</v>
      </c>
      <c r="Q776" s="183">
        <v>1</v>
      </c>
      <c r="R776" s="181">
        <v>2</v>
      </c>
      <c r="S776" s="178">
        <f t="shared" si="93"/>
        <v>1</v>
      </c>
      <c r="T776" s="186">
        <f t="shared" si="94"/>
        <v>3</v>
      </c>
      <c r="U776" s="179">
        <f t="shared" si="95"/>
        <v>2</v>
      </c>
      <c r="V776" s="1">
        <f t="shared" si="90"/>
        <v>25</v>
      </c>
      <c r="W776" s="8">
        <f t="shared" si="91"/>
        <v>6.25</v>
      </c>
      <c r="X776" s="15">
        <f t="shared" si="92"/>
        <v>4250</v>
      </c>
    </row>
    <row r="777" spans="1:24">
      <c r="A777" t="s">
        <v>931</v>
      </c>
      <c r="B777" s="163" t="s">
        <v>531</v>
      </c>
      <c r="C777" s="2" t="s">
        <v>6</v>
      </c>
      <c r="D777" s="2" t="s">
        <v>14</v>
      </c>
      <c r="E777" s="3">
        <v>45402.625</v>
      </c>
      <c r="F777" s="2" t="s">
        <v>755</v>
      </c>
      <c r="G777" s="2" t="s">
        <v>56</v>
      </c>
      <c r="H777" s="2">
        <v>5.0999999999999996</v>
      </c>
      <c r="I777" s="2">
        <v>40</v>
      </c>
      <c r="J777" s="2">
        <v>2.6</v>
      </c>
      <c r="K777" s="2">
        <v>34</v>
      </c>
      <c r="L777" s="2">
        <v>2</v>
      </c>
      <c r="M777" s="2">
        <v>20</v>
      </c>
      <c r="N777" s="2" t="s">
        <v>95</v>
      </c>
      <c r="O777" s="10">
        <v>0</v>
      </c>
      <c r="P777" s="14">
        <v>1</v>
      </c>
      <c r="Q777" s="183">
        <v>2</v>
      </c>
      <c r="R777" s="181">
        <v>1</v>
      </c>
      <c r="S777" s="178">
        <f t="shared" si="93"/>
        <v>1</v>
      </c>
      <c r="T777" s="186">
        <f t="shared" si="94"/>
        <v>3</v>
      </c>
      <c r="U777" s="179">
        <f t="shared" si="95"/>
        <v>2</v>
      </c>
      <c r="V777" s="1">
        <f t="shared" si="90"/>
        <v>25</v>
      </c>
      <c r="W777" s="8">
        <f t="shared" si="91"/>
        <v>6.25</v>
      </c>
      <c r="X777" s="15">
        <f t="shared" si="92"/>
        <v>4256.25</v>
      </c>
    </row>
    <row r="778" spans="1:24">
      <c r="A778" t="s">
        <v>931</v>
      </c>
      <c r="B778" s="163" t="s">
        <v>531</v>
      </c>
      <c r="C778" s="2" t="s">
        <v>77</v>
      </c>
      <c r="D778" s="2" t="s">
        <v>156</v>
      </c>
      <c r="E778" s="3">
        <v>45403.604166666664</v>
      </c>
      <c r="F778" s="2" t="s">
        <v>254</v>
      </c>
      <c r="G778" s="2" t="s">
        <v>168</v>
      </c>
      <c r="H778" s="2">
        <v>6.2</v>
      </c>
      <c r="I778" s="2">
        <v>28</v>
      </c>
      <c r="J778" s="2">
        <v>3.11</v>
      </c>
      <c r="K778" s="2">
        <v>26</v>
      </c>
      <c r="L778" s="2">
        <v>1</v>
      </c>
      <c r="M778" s="2">
        <v>14</v>
      </c>
      <c r="N778" s="2" t="s">
        <v>95</v>
      </c>
      <c r="O778" s="10">
        <v>1</v>
      </c>
      <c r="P778" s="14">
        <v>0</v>
      </c>
      <c r="Q778" s="183">
        <v>2</v>
      </c>
      <c r="R778" s="181">
        <v>1</v>
      </c>
      <c r="S778" s="178">
        <f t="shared" si="93"/>
        <v>1</v>
      </c>
      <c r="T778" s="186">
        <f t="shared" si="94"/>
        <v>3</v>
      </c>
      <c r="U778" s="179">
        <f t="shared" si="95"/>
        <v>2</v>
      </c>
      <c r="V778" s="1">
        <f t="shared" si="90"/>
        <v>25</v>
      </c>
      <c r="W778" s="8">
        <f t="shared" si="91"/>
        <v>6.25</v>
      </c>
      <c r="X778" s="15">
        <f t="shared" si="92"/>
        <v>4262.5</v>
      </c>
    </row>
    <row r="779" spans="1:24">
      <c r="A779" t="s">
        <v>931</v>
      </c>
      <c r="B779" s="163" t="s">
        <v>531</v>
      </c>
      <c r="C779" s="2" t="s">
        <v>58</v>
      </c>
      <c r="D779" s="2" t="s">
        <v>59</v>
      </c>
      <c r="E779" s="3">
        <v>45403.75</v>
      </c>
      <c r="F779" s="2" t="s">
        <v>111</v>
      </c>
      <c r="G779" s="2" t="s">
        <v>172</v>
      </c>
      <c r="H779" s="2">
        <v>6</v>
      </c>
      <c r="I779" s="2">
        <v>28</v>
      </c>
      <c r="J779" s="2">
        <v>1.96</v>
      </c>
      <c r="K779" s="2">
        <v>39</v>
      </c>
      <c r="L779" s="2">
        <v>0</v>
      </c>
      <c r="M779" s="2">
        <v>14</v>
      </c>
      <c r="N779" s="2" t="s">
        <v>95</v>
      </c>
      <c r="O779" s="10">
        <v>1</v>
      </c>
      <c r="P779" s="14">
        <v>1</v>
      </c>
      <c r="Q779" s="183">
        <v>1</v>
      </c>
      <c r="R779" s="181">
        <v>2</v>
      </c>
      <c r="S779" s="178">
        <f t="shared" si="93"/>
        <v>2</v>
      </c>
      <c r="T779" s="186">
        <f t="shared" si="94"/>
        <v>3</v>
      </c>
      <c r="U779" s="179">
        <f t="shared" si="95"/>
        <v>1</v>
      </c>
      <c r="V779" s="1">
        <f t="shared" si="90"/>
        <v>25</v>
      </c>
      <c r="W779" s="8">
        <f t="shared" si="91"/>
        <v>6.25</v>
      </c>
      <c r="X779" s="15">
        <f t="shared" si="92"/>
        <v>4268.75</v>
      </c>
    </row>
    <row r="780" spans="1:24">
      <c r="A780" t="s">
        <v>931</v>
      </c>
      <c r="B780" s="163" t="s">
        <v>531</v>
      </c>
      <c r="C780" s="2" t="s">
        <v>80</v>
      </c>
      <c r="D780" s="2" t="s">
        <v>81</v>
      </c>
      <c r="E780" s="3">
        <v>45408.75</v>
      </c>
      <c r="F780" s="2" t="s">
        <v>676</v>
      </c>
      <c r="G780" s="2" t="s">
        <v>144</v>
      </c>
      <c r="H780" s="2">
        <v>4.7</v>
      </c>
      <c r="I780" s="2">
        <v>32</v>
      </c>
      <c r="J780" s="2">
        <v>2.66</v>
      </c>
      <c r="K780" s="2">
        <v>30</v>
      </c>
      <c r="L780" s="2">
        <v>3</v>
      </c>
      <c r="M780" s="2">
        <v>16</v>
      </c>
      <c r="N780" s="2" t="s">
        <v>95</v>
      </c>
      <c r="O780" s="10">
        <v>0</v>
      </c>
      <c r="P780" s="14">
        <v>0</v>
      </c>
      <c r="Q780" s="183">
        <v>0</v>
      </c>
      <c r="R780" s="181">
        <v>3</v>
      </c>
      <c r="S780" s="178">
        <f t="shared" si="93"/>
        <v>0</v>
      </c>
      <c r="T780" s="186">
        <f t="shared" si="94"/>
        <v>3</v>
      </c>
      <c r="U780" s="179">
        <f t="shared" si="95"/>
        <v>3</v>
      </c>
      <c r="V780" s="1">
        <f t="shared" si="90"/>
        <v>25</v>
      </c>
      <c r="W780" s="8">
        <f t="shared" si="91"/>
        <v>6.25</v>
      </c>
      <c r="X780" s="15">
        <f t="shared" si="92"/>
        <v>4275</v>
      </c>
    </row>
    <row r="781" spans="1:24">
      <c r="A781" t="s">
        <v>931</v>
      </c>
      <c r="B781" s="163" t="s">
        <v>531</v>
      </c>
      <c r="C781" s="2" t="s">
        <v>13</v>
      </c>
      <c r="D781" s="2" t="s">
        <v>37</v>
      </c>
      <c r="E781" s="3">
        <v>45410.520833333336</v>
      </c>
      <c r="F781" s="2" t="s">
        <v>351</v>
      </c>
      <c r="G781" s="2" t="s">
        <v>79</v>
      </c>
      <c r="H781" s="2">
        <v>6</v>
      </c>
      <c r="I781" s="2">
        <v>32</v>
      </c>
      <c r="J781" s="2">
        <v>2.34</v>
      </c>
      <c r="K781" s="2">
        <v>25</v>
      </c>
      <c r="L781" s="2">
        <v>1</v>
      </c>
      <c r="M781" s="2">
        <v>16</v>
      </c>
      <c r="N781" s="2" t="s">
        <v>95</v>
      </c>
      <c r="O781" s="10">
        <v>1</v>
      </c>
      <c r="P781" s="14">
        <v>1</v>
      </c>
      <c r="Q781" s="183">
        <v>1</v>
      </c>
      <c r="R781" s="181">
        <v>2</v>
      </c>
      <c r="S781" s="178">
        <f t="shared" si="93"/>
        <v>2</v>
      </c>
      <c r="T781" s="186">
        <f t="shared" si="94"/>
        <v>3</v>
      </c>
      <c r="U781" s="179">
        <f t="shared" si="95"/>
        <v>1</v>
      </c>
      <c r="V781" s="1">
        <f t="shared" si="90"/>
        <v>25</v>
      </c>
      <c r="W781" s="8">
        <f t="shared" si="91"/>
        <v>6.25</v>
      </c>
      <c r="X781" s="15">
        <f t="shared" si="92"/>
        <v>4281.25</v>
      </c>
    </row>
    <row r="782" spans="1:24">
      <c r="A782" t="s">
        <v>931</v>
      </c>
      <c r="B782" s="163" t="s">
        <v>531</v>
      </c>
      <c r="C782" s="2" t="s">
        <v>13</v>
      </c>
      <c r="D782" s="2" t="s">
        <v>37</v>
      </c>
      <c r="E782" s="3">
        <v>45410.625</v>
      </c>
      <c r="F782" s="2" t="s">
        <v>306</v>
      </c>
      <c r="G782" s="2" t="s">
        <v>99</v>
      </c>
      <c r="H782" s="2">
        <v>3.45</v>
      </c>
      <c r="I782" s="2">
        <v>33</v>
      </c>
      <c r="J782" s="2">
        <v>2.88</v>
      </c>
      <c r="K782" s="2">
        <v>33</v>
      </c>
      <c r="L782" s="2">
        <v>1</v>
      </c>
      <c r="M782" s="2">
        <v>17</v>
      </c>
      <c r="N782" s="2" t="s">
        <v>95</v>
      </c>
      <c r="O782" s="10">
        <v>0</v>
      </c>
      <c r="P782" s="14">
        <v>1</v>
      </c>
      <c r="Q782" s="183">
        <v>1</v>
      </c>
      <c r="R782" s="181">
        <v>2</v>
      </c>
      <c r="S782" s="178">
        <f t="shared" si="93"/>
        <v>1</v>
      </c>
      <c r="T782" s="186">
        <f t="shared" si="94"/>
        <v>3</v>
      </c>
      <c r="U782" s="179">
        <f t="shared" si="95"/>
        <v>2</v>
      </c>
      <c r="V782" s="1">
        <f t="shared" si="90"/>
        <v>25</v>
      </c>
      <c r="W782" s="8">
        <f t="shared" si="91"/>
        <v>6.25</v>
      </c>
      <c r="X782" s="15">
        <f t="shared" si="92"/>
        <v>4287.5</v>
      </c>
    </row>
    <row r="783" spans="1:24">
      <c r="A783" t="s">
        <v>931</v>
      </c>
      <c r="B783" s="163" t="s">
        <v>531</v>
      </c>
      <c r="C783" s="2" t="s">
        <v>58</v>
      </c>
      <c r="D783" s="2" t="s">
        <v>59</v>
      </c>
      <c r="E783" s="3">
        <v>45416.854166666664</v>
      </c>
      <c r="F783" s="2" t="s">
        <v>165</v>
      </c>
      <c r="G783" s="2" t="s">
        <v>172</v>
      </c>
      <c r="H783" s="2">
        <v>3.75</v>
      </c>
      <c r="I783" s="2">
        <v>30</v>
      </c>
      <c r="J783" s="2">
        <v>3.07</v>
      </c>
      <c r="K783" s="2">
        <v>29</v>
      </c>
      <c r="L783" s="2">
        <v>0</v>
      </c>
      <c r="M783" s="2">
        <v>15</v>
      </c>
      <c r="N783" s="2" t="s">
        <v>95</v>
      </c>
      <c r="O783" s="10">
        <v>0</v>
      </c>
      <c r="P783" s="14">
        <v>2</v>
      </c>
      <c r="Q783" s="183">
        <v>0</v>
      </c>
      <c r="R783" s="181">
        <v>3</v>
      </c>
      <c r="S783" s="178">
        <f t="shared" si="93"/>
        <v>2</v>
      </c>
      <c r="T783" s="186">
        <f t="shared" si="94"/>
        <v>3</v>
      </c>
      <c r="U783" s="179">
        <f t="shared" si="95"/>
        <v>1</v>
      </c>
      <c r="V783" s="1">
        <f t="shared" si="90"/>
        <v>25</v>
      </c>
      <c r="W783" s="8">
        <f t="shared" si="91"/>
        <v>6.25</v>
      </c>
      <c r="X783" s="15">
        <f t="shared" si="92"/>
        <v>4293.75</v>
      </c>
    </row>
    <row r="784" spans="1:24">
      <c r="A784" t="s">
        <v>931</v>
      </c>
      <c r="B784" s="163" t="s">
        <v>531</v>
      </c>
      <c r="C784" s="2" t="s">
        <v>20</v>
      </c>
      <c r="D784" s="2" t="s">
        <v>21</v>
      </c>
      <c r="E784" s="3">
        <v>45418.708333333336</v>
      </c>
      <c r="F784" s="2" t="s">
        <v>110</v>
      </c>
      <c r="G784" s="2" t="s">
        <v>97</v>
      </c>
      <c r="H784" s="2">
        <v>4.5</v>
      </c>
      <c r="I784" s="2">
        <v>34</v>
      </c>
      <c r="J784" s="2">
        <v>2.94</v>
      </c>
      <c r="K784" s="2">
        <v>32</v>
      </c>
      <c r="L784" s="2">
        <v>2</v>
      </c>
      <c r="M784" s="2">
        <v>17</v>
      </c>
      <c r="N784" s="2" t="s">
        <v>95</v>
      </c>
      <c r="O784" s="10">
        <v>1</v>
      </c>
      <c r="P784" s="14">
        <v>0</v>
      </c>
      <c r="Q784" s="183">
        <v>1</v>
      </c>
      <c r="R784" s="181">
        <v>2</v>
      </c>
      <c r="S784" s="178">
        <f t="shared" si="93"/>
        <v>1</v>
      </c>
      <c r="T784" s="186">
        <f t="shared" si="94"/>
        <v>3</v>
      </c>
      <c r="U784" s="179">
        <f t="shared" si="95"/>
        <v>2</v>
      </c>
      <c r="V784" s="1">
        <f t="shared" si="90"/>
        <v>25</v>
      </c>
      <c r="W784" s="8">
        <f t="shared" si="91"/>
        <v>6.25</v>
      </c>
      <c r="X784" s="15">
        <f t="shared" si="92"/>
        <v>4300</v>
      </c>
    </row>
    <row r="785" spans="1:24">
      <c r="A785" t="s">
        <v>931</v>
      </c>
      <c r="B785" s="163" t="s">
        <v>531</v>
      </c>
      <c r="C785" s="2" t="s">
        <v>145</v>
      </c>
      <c r="D785" s="2" t="s">
        <v>268</v>
      </c>
      <c r="E785" s="3">
        <v>45429.822916666664</v>
      </c>
      <c r="F785" s="2" t="s">
        <v>848</v>
      </c>
      <c r="G785" s="2" t="s">
        <v>849</v>
      </c>
      <c r="H785" s="2">
        <v>5.3</v>
      </c>
      <c r="I785" s="2">
        <v>36</v>
      </c>
      <c r="J785" s="2">
        <v>2.39</v>
      </c>
      <c r="K785" s="2">
        <v>35</v>
      </c>
      <c r="L785" s="2">
        <v>2</v>
      </c>
      <c r="M785" s="2">
        <v>18</v>
      </c>
      <c r="N785" s="2" t="s">
        <v>95</v>
      </c>
      <c r="O785" s="10">
        <v>0</v>
      </c>
      <c r="P785" s="14">
        <v>0</v>
      </c>
      <c r="Q785" s="183">
        <v>2</v>
      </c>
      <c r="R785" s="181">
        <v>1</v>
      </c>
      <c r="S785" s="178">
        <f t="shared" si="93"/>
        <v>0</v>
      </c>
      <c r="T785" s="186">
        <f t="shared" si="94"/>
        <v>3</v>
      </c>
      <c r="U785" s="179">
        <f t="shared" si="95"/>
        <v>3</v>
      </c>
      <c r="V785" s="1">
        <f t="shared" si="90"/>
        <v>25</v>
      </c>
      <c r="W785" s="8">
        <f t="shared" si="91"/>
        <v>6.25</v>
      </c>
      <c r="X785" s="15">
        <f t="shared" si="92"/>
        <v>4306.25</v>
      </c>
    </row>
    <row r="786" spans="1:24">
      <c r="A786" t="s">
        <v>931</v>
      </c>
      <c r="B786" s="163" t="s">
        <v>531</v>
      </c>
      <c r="C786" s="2" t="s">
        <v>149</v>
      </c>
      <c r="D786" s="2" t="s">
        <v>153</v>
      </c>
      <c r="E786" s="3">
        <v>45431.5625</v>
      </c>
      <c r="F786" s="2" t="s">
        <v>244</v>
      </c>
      <c r="G786" s="2" t="s">
        <v>369</v>
      </c>
      <c r="H786" s="2">
        <v>3.95</v>
      </c>
      <c r="I786" s="2">
        <v>32</v>
      </c>
      <c r="J786" s="2">
        <v>2.91</v>
      </c>
      <c r="K786" s="2">
        <v>28</v>
      </c>
      <c r="L786" s="2">
        <v>1</v>
      </c>
      <c r="M786" s="2">
        <v>16</v>
      </c>
      <c r="N786" s="2" t="s">
        <v>95</v>
      </c>
      <c r="O786" s="10">
        <v>1</v>
      </c>
      <c r="P786" s="14">
        <v>1</v>
      </c>
      <c r="Q786" s="183">
        <v>1</v>
      </c>
      <c r="R786" s="181">
        <v>2</v>
      </c>
      <c r="S786" s="178">
        <f t="shared" si="93"/>
        <v>2</v>
      </c>
      <c r="T786" s="186">
        <f t="shared" si="94"/>
        <v>3</v>
      </c>
      <c r="U786" s="179">
        <f t="shared" si="95"/>
        <v>1</v>
      </c>
      <c r="V786" s="1">
        <f t="shared" si="90"/>
        <v>25</v>
      </c>
      <c r="W786" s="8">
        <f t="shared" si="91"/>
        <v>6.25</v>
      </c>
      <c r="X786" s="15">
        <f t="shared" si="92"/>
        <v>4312.5</v>
      </c>
    </row>
    <row r="787" spans="1:24">
      <c r="A787" t="s">
        <v>931</v>
      </c>
      <c r="B787" s="163" t="s">
        <v>531</v>
      </c>
      <c r="C787" s="2" t="s">
        <v>149</v>
      </c>
      <c r="D787" s="2" t="s">
        <v>153</v>
      </c>
      <c r="E787" s="3">
        <v>45431.5625</v>
      </c>
      <c r="F787" s="2" t="s">
        <v>205</v>
      </c>
      <c r="G787" s="2" t="s">
        <v>242</v>
      </c>
      <c r="H787" s="2">
        <v>3.35</v>
      </c>
      <c r="I787" s="2">
        <v>32</v>
      </c>
      <c r="J787" s="2">
        <v>2.88</v>
      </c>
      <c r="K787" s="2">
        <v>31</v>
      </c>
      <c r="L787" s="2">
        <v>1</v>
      </c>
      <c r="M787" s="2">
        <v>16</v>
      </c>
      <c r="N787" s="2" t="s">
        <v>95</v>
      </c>
      <c r="O787" s="10">
        <v>0</v>
      </c>
      <c r="P787" s="14">
        <v>0</v>
      </c>
      <c r="Q787" s="183">
        <v>1</v>
      </c>
      <c r="R787" s="181">
        <v>2</v>
      </c>
      <c r="S787" s="178">
        <f t="shared" si="93"/>
        <v>0</v>
      </c>
      <c r="T787" s="186">
        <f t="shared" si="94"/>
        <v>3</v>
      </c>
      <c r="U787" s="179">
        <f t="shared" si="95"/>
        <v>3</v>
      </c>
      <c r="V787" s="1">
        <f t="shared" si="90"/>
        <v>25</v>
      </c>
      <c r="W787" s="8">
        <f t="shared" si="91"/>
        <v>6.25</v>
      </c>
      <c r="X787" s="15">
        <f t="shared" si="92"/>
        <v>4318.75</v>
      </c>
    </row>
    <row r="788" spans="1:24">
      <c r="A788" t="s">
        <v>931</v>
      </c>
      <c r="B788" s="163" t="s">
        <v>531</v>
      </c>
      <c r="C788" s="2" t="s">
        <v>6</v>
      </c>
      <c r="D788" s="2" t="s">
        <v>62</v>
      </c>
      <c r="E788" s="3">
        <v>45431.666666666664</v>
      </c>
      <c r="F788" s="2" t="s">
        <v>85</v>
      </c>
      <c r="G788" s="2" t="s">
        <v>116</v>
      </c>
      <c r="H788" s="2">
        <v>3.05</v>
      </c>
      <c r="I788" s="2">
        <v>36</v>
      </c>
      <c r="J788" s="2">
        <v>3.89</v>
      </c>
      <c r="K788" s="2">
        <v>26</v>
      </c>
      <c r="L788" s="2">
        <v>5</v>
      </c>
      <c r="M788" s="2">
        <v>18</v>
      </c>
      <c r="N788" s="2" t="s">
        <v>95</v>
      </c>
      <c r="O788" s="10">
        <v>0</v>
      </c>
      <c r="P788" s="14">
        <v>1</v>
      </c>
      <c r="Q788" s="183">
        <v>0</v>
      </c>
      <c r="R788" s="181">
        <v>3</v>
      </c>
      <c r="S788" s="178">
        <f t="shared" si="93"/>
        <v>1</v>
      </c>
      <c r="T788" s="186">
        <f t="shared" si="94"/>
        <v>3</v>
      </c>
      <c r="U788" s="179">
        <f t="shared" si="95"/>
        <v>2</v>
      </c>
      <c r="V788" s="1">
        <f t="shared" si="90"/>
        <v>25</v>
      </c>
      <c r="W788" s="8">
        <f t="shared" si="91"/>
        <v>6.25</v>
      </c>
      <c r="X788" s="15">
        <f t="shared" si="92"/>
        <v>4325</v>
      </c>
    </row>
    <row r="789" spans="1:24">
      <c r="A789" t="s">
        <v>931</v>
      </c>
      <c r="B789" s="163" t="s">
        <v>512</v>
      </c>
      <c r="C789" s="2" t="s">
        <v>494</v>
      </c>
      <c r="D789" s="2" t="s">
        <v>495</v>
      </c>
      <c r="E789" s="3">
        <v>45354.520833333336</v>
      </c>
      <c r="F789" s="2" t="s">
        <v>496</v>
      </c>
      <c r="G789" s="2" t="s">
        <v>497</v>
      </c>
      <c r="H789" s="2">
        <v>6</v>
      </c>
      <c r="I789" s="2">
        <v>0</v>
      </c>
      <c r="J789" s="2">
        <v>980</v>
      </c>
      <c r="K789" s="2">
        <v>20</v>
      </c>
      <c r="L789" s="2">
        <v>2.25</v>
      </c>
      <c r="M789" s="2"/>
      <c r="N789" s="2" t="s">
        <v>95</v>
      </c>
      <c r="O789" s="10">
        <v>2</v>
      </c>
      <c r="P789" s="14">
        <v>0</v>
      </c>
      <c r="Q789" s="183">
        <v>3</v>
      </c>
      <c r="R789" s="181">
        <v>0</v>
      </c>
      <c r="S789" s="178">
        <f t="shared" si="93"/>
        <v>2</v>
      </c>
      <c r="T789" s="186">
        <f t="shared" si="94"/>
        <v>3</v>
      </c>
      <c r="U789" s="179">
        <f t="shared" si="95"/>
        <v>1</v>
      </c>
      <c r="V789" s="1">
        <f t="shared" si="90"/>
        <v>25</v>
      </c>
      <c r="W789" s="8">
        <f t="shared" si="91"/>
        <v>6.25</v>
      </c>
      <c r="X789" s="15">
        <f t="shared" si="92"/>
        <v>4331.25</v>
      </c>
    </row>
    <row r="790" spans="1:24">
      <c r="A790" t="s">
        <v>931</v>
      </c>
      <c r="B790" s="163" t="s">
        <v>512</v>
      </c>
      <c r="C790" s="2" t="s">
        <v>20</v>
      </c>
      <c r="D790" s="2" t="s">
        <v>21</v>
      </c>
      <c r="E790" s="3">
        <v>45355.822916666664</v>
      </c>
      <c r="F790" s="2" t="s">
        <v>25</v>
      </c>
      <c r="G790" s="2" t="s">
        <v>24</v>
      </c>
      <c r="H790" s="2">
        <v>5.2</v>
      </c>
      <c r="I790" s="2">
        <v>20</v>
      </c>
      <c r="J790" s="2">
        <v>2.5499999999999998</v>
      </c>
      <c r="K790" s="2">
        <v>3</v>
      </c>
      <c r="L790" s="2">
        <v>37</v>
      </c>
      <c r="M790" s="2"/>
      <c r="N790" s="2" t="s">
        <v>95</v>
      </c>
      <c r="O790" s="10">
        <v>2</v>
      </c>
      <c r="P790" s="14">
        <v>0</v>
      </c>
      <c r="Q790" s="183">
        <v>2</v>
      </c>
      <c r="R790" s="181">
        <v>1</v>
      </c>
      <c r="S790" s="178">
        <f t="shared" si="93"/>
        <v>2</v>
      </c>
      <c r="T790" s="186">
        <f t="shared" si="94"/>
        <v>3</v>
      </c>
      <c r="U790" s="179">
        <f t="shared" si="95"/>
        <v>1</v>
      </c>
      <c r="V790" s="1">
        <f t="shared" si="90"/>
        <v>25</v>
      </c>
      <c r="W790" s="8">
        <f t="shared" si="91"/>
        <v>6.25</v>
      </c>
      <c r="X790" s="15">
        <f t="shared" si="92"/>
        <v>4337.5</v>
      </c>
    </row>
    <row r="791" spans="1:24">
      <c r="A791" t="s">
        <v>931</v>
      </c>
      <c r="B791" s="163" t="s">
        <v>512</v>
      </c>
      <c r="C791" s="2" t="s">
        <v>6</v>
      </c>
      <c r="D791" s="2" t="s">
        <v>62</v>
      </c>
      <c r="E791" s="3">
        <v>45360.729166666664</v>
      </c>
      <c r="F791" s="2" t="s">
        <v>73</v>
      </c>
      <c r="G791" s="2" t="s">
        <v>63</v>
      </c>
      <c r="H791" s="2">
        <v>3.55</v>
      </c>
      <c r="I791" s="2">
        <v>20</v>
      </c>
      <c r="J791" s="2">
        <v>3.25</v>
      </c>
      <c r="K791" s="2">
        <v>31</v>
      </c>
      <c r="L791" s="2">
        <v>3</v>
      </c>
      <c r="M791" s="2"/>
      <c r="N791" s="2" t="s">
        <v>95</v>
      </c>
      <c r="O791" s="10">
        <v>1</v>
      </c>
      <c r="P791" s="14">
        <v>1</v>
      </c>
      <c r="Q791" s="183">
        <v>2</v>
      </c>
      <c r="R791" s="181">
        <v>1</v>
      </c>
      <c r="S791" s="178">
        <f t="shared" si="93"/>
        <v>2</v>
      </c>
      <c r="T791" s="186">
        <f t="shared" si="94"/>
        <v>3</v>
      </c>
      <c r="U791" s="179">
        <f t="shared" si="95"/>
        <v>1</v>
      </c>
      <c r="V791" s="1">
        <f t="shared" si="90"/>
        <v>25</v>
      </c>
      <c r="W791" s="8">
        <f t="shared" si="91"/>
        <v>6.25</v>
      </c>
      <c r="X791" s="15">
        <f t="shared" si="92"/>
        <v>4343.75</v>
      </c>
    </row>
    <row r="792" spans="1:24">
      <c r="A792" t="s">
        <v>931</v>
      </c>
      <c r="B792" s="163" t="s">
        <v>512</v>
      </c>
      <c r="C792" s="2" t="s">
        <v>149</v>
      </c>
      <c r="D792" s="2" t="s">
        <v>153</v>
      </c>
      <c r="E792" s="3">
        <v>45360.739583333336</v>
      </c>
      <c r="F792" s="2" t="s">
        <v>242</v>
      </c>
      <c r="G792" s="2" t="s">
        <v>395</v>
      </c>
      <c r="H792" s="2">
        <v>5.5</v>
      </c>
      <c r="I792" s="2">
        <v>20</v>
      </c>
      <c r="J792" s="2">
        <v>2.6</v>
      </c>
      <c r="K792" s="2">
        <v>32</v>
      </c>
      <c r="L792" s="2">
        <v>1</v>
      </c>
      <c r="M792" s="2"/>
      <c r="N792" s="2" t="s">
        <v>95</v>
      </c>
      <c r="O792" s="10">
        <v>1</v>
      </c>
      <c r="P792" s="14">
        <v>0</v>
      </c>
      <c r="Q792" s="183">
        <v>2</v>
      </c>
      <c r="R792" s="181">
        <v>1</v>
      </c>
      <c r="S792" s="178">
        <f t="shared" si="93"/>
        <v>1</v>
      </c>
      <c r="T792" s="186">
        <f t="shared" si="94"/>
        <v>3</v>
      </c>
      <c r="U792" s="179">
        <f t="shared" si="95"/>
        <v>2</v>
      </c>
      <c r="V792" s="1">
        <f t="shared" si="90"/>
        <v>25</v>
      </c>
      <c r="W792" s="8">
        <f t="shared" si="91"/>
        <v>6.25</v>
      </c>
      <c r="X792" s="15">
        <f t="shared" si="92"/>
        <v>4350</v>
      </c>
    </row>
    <row r="793" spans="1:24">
      <c r="A793" t="s">
        <v>931</v>
      </c>
      <c r="B793" s="163" t="s">
        <v>512</v>
      </c>
      <c r="C793" s="2" t="s">
        <v>149</v>
      </c>
      <c r="D793" s="2" t="s">
        <v>153</v>
      </c>
      <c r="E793" s="3">
        <v>45361.791666666664</v>
      </c>
      <c r="F793" s="2" t="s">
        <v>282</v>
      </c>
      <c r="G793" s="2" t="s">
        <v>155</v>
      </c>
      <c r="H793" s="2">
        <v>2.2999999999999998</v>
      </c>
      <c r="I793" s="2">
        <v>20</v>
      </c>
      <c r="J793" s="2">
        <v>3.05</v>
      </c>
      <c r="K793" s="2">
        <v>28</v>
      </c>
      <c r="L793" s="2">
        <v>2</v>
      </c>
      <c r="M793" s="2">
        <v>10</v>
      </c>
      <c r="N793" s="2" t="s">
        <v>95</v>
      </c>
      <c r="O793" s="10">
        <v>2</v>
      </c>
      <c r="P793" s="14">
        <v>0</v>
      </c>
      <c r="Q793" s="183">
        <v>3</v>
      </c>
      <c r="R793" s="181">
        <v>0</v>
      </c>
      <c r="S793" s="178">
        <f t="shared" si="93"/>
        <v>2</v>
      </c>
      <c r="T793" s="186">
        <f t="shared" si="94"/>
        <v>3</v>
      </c>
      <c r="U793" s="179">
        <f t="shared" si="95"/>
        <v>1</v>
      </c>
      <c r="V793" s="1">
        <f t="shared" si="90"/>
        <v>25</v>
      </c>
      <c r="W793" s="8">
        <f t="shared" si="91"/>
        <v>6.25</v>
      </c>
      <c r="X793" s="15">
        <f t="shared" si="92"/>
        <v>4356.25</v>
      </c>
    </row>
    <row r="794" spans="1:24">
      <c r="A794" t="s">
        <v>931</v>
      </c>
      <c r="B794" s="163" t="s">
        <v>512</v>
      </c>
      <c r="C794" s="2" t="s">
        <v>13</v>
      </c>
      <c r="D794" s="2" t="s">
        <v>11</v>
      </c>
      <c r="E794" s="3">
        <v>45367.625</v>
      </c>
      <c r="F794" s="2" t="s">
        <v>543</v>
      </c>
      <c r="G794" s="2" t="s">
        <v>604</v>
      </c>
      <c r="H794" s="2">
        <v>5.6</v>
      </c>
      <c r="I794" s="2">
        <v>20</v>
      </c>
      <c r="J794" s="2">
        <v>3</v>
      </c>
      <c r="K794" s="2">
        <v>33</v>
      </c>
      <c r="L794" s="2">
        <v>2</v>
      </c>
      <c r="M794" s="2">
        <v>10</v>
      </c>
      <c r="N794" s="2" t="s">
        <v>95</v>
      </c>
      <c r="O794" s="10">
        <v>1</v>
      </c>
      <c r="P794" s="14">
        <v>0</v>
      </c>
      <c r="Q794" s="183">
        <v>3</v>
      </c>
      <c r="R794" s="181">
        <v>0</v>
      </c>
      <c r="S794" s="178">
        <f t="shared" si="93"/>
        <v>1</v>
      </c>
      <c r="T794" s="186">
        <f t="shared" si="94"/>
        <v>3</v>
      </c>
      <c r="U794" s="179">
        <f t="shared" si="95"/>
        <v>2</v>
      </c>
      <c r="V794" s="1">
        <f t="shared" si="90"/>
        <v>25</v>
      </c>
      <c r="W794" s="8">
        <f t="shared" si="91"/>
        <v>6.25</v>
      </c>
      <c r="X794" s="15">
        <f t="shared" si="92"/>
        <v>4362.5</v>
      </c>
    </row>
    <row r="795" spans="1:24">
      <c r="A795" t="s">
        <v>931</v>
      </c>
      <c r="B795" s="163" t="s">
        <v>512</v>
      </c>
      <c r="C795" s="2" t="s">
        <v>77</v>
      </c>
      <c r="D795" s="2" t="s">
        <v>234</v>
      </c>
      <c r="E795" s="3">
        <v>45368.520833333336</v>
      </c>
      <c r="F795" s="2" t="s">
        <v>247</v>
      </c>
      <c r="G795" s="2" t="s">
        <v>407</v>
      </c>
      <c r="H795" s="2">
        <v>4.7</v>
      </c>
      <c r="I795" s="2">
        <v>20</v>
      </c>
      <c r="J795" s="2">
        <v>2.85</v>
      </c>
      <c r="K795" s="2">
        <v>30</v>
      </c>
      <c r="L795" s="2">
        <v>2</v>
      </c>
      <c r="M795" s="2">
        <v>10</v>
      </c>
      <c r="N795" s="2" t="s">
        <v>95</v>
      </c>
      <c r="O795" s="10">
        <v>1</v>
      </c>
      <c r="P795" s="14">
        <v>0</v>
      </c>
      <c r="Q795" s="183">
        <v>3</v>
      </c>
      <c r="R795" s="181">
        <v>0</v>
      </c>
      <c r="S795" s="178">
        <f t="shared" si="93"/>
        <v>1</v>
      </c>
      <c r="T795" s="186">
        <f t="shared" si="94"/>
        <v>3</v>
      </c>
      <c r="U795" s="179">
        <f t="shared" si="95"/>
        <v>2</v>
      </c>
      <c r="V795" s="1">
        <f t="shared" si="90"/>
        <v>25</v>
      </c>
      <c r="W795" s="8">
        <f t="shared" si="91"/>
        <v>6.25</v>
      </c>
      <c r="X795" s="15">
        <f t="shared" si="92"/>
        <v>4368.75</v>
      </c>
    </row>
    <row r="796" spans="1:24">
      <c r="A796" t="s">
        <v>931</v>
      </c>
      <c r="B796" s="163" t="s">
        <v>623</v>
      </c>
      <c r="C796" s="2" t="s">
        <v>6</v>
      </c>
      <c r="D796" s="2" t="s">
        <v>14</v>
      </c>
      <c r="E796" s="3">
        <v>45380.625</v>
      </c>
      <c r="F796" s="2" t="s">
        <v>317</v>
      </c>
      <c r="G796" s="2" t="s">
        <v>57</v>
      </c>
      <c r="H796" s="2">
        <v>6</v>
      </c>
      <c r="I796" s="2">
        <v>20</v>
      </c>
      <c r="J796" s="2">
        <v>2.65</v>
      </c>
      <c r="K796" s="2">
        <v>31</v>
      </c>
      <c r="L796" s="2">
        <v>3</v>
      </c>
      <c r="M796" s="2">
        <v>10</v>
      </c>
      <c r="N796" s="2" t="s">
        <v>95</v>
      </c>
      <c r="O796" s="10">
        <v>0</v>
      </c>
      <c r="P796" s="14">
        <v>1</v>
      </c>
      <c r="Q796" s="183">
        <v>2</v>
      </c>
      <c r="R796" s="181">
        <v>1</v>
      </c>
      <c r="S796" s="178">
        <f t="shared" si="93"/>
        <v>1</v>
      </c>
      <c r="T796" s="186">
        <f t="shared" si="94"/>
        <v>3</v>
      </c>
      <c r="U796" s="179">
        <f t="shared" si="95"/>
        <v>2</v>
      </c>
      <c r="V796" s="1">
        <f t="shared" si="90"/>
        <v>25</v>
      </c>
      <c r="W796" s="8">
        <f t="shared" si="91"/>
        <v>6.25</v>
      </c>
      <c r="X796" s="15">
        <f t="shared" si="92"/>
        <v>4375</v>
      </c>
    </row>
    <row r="797" spans="1:24">
      <c r="A797" t="s">
        <v>931</v>
      </c>
      <c r="B797" s="163" t="s">
        <v>623</v>
      </c>
      <c r="C797" s="2" t="s">
        <v>77</v>
      </c>
      <c r="D797" s="2" t="s">
        <v>156</v>
      </c>
      <c r="E797" s="3">
        <v>45381.604166666664</v>
      </c>
      <c r="F797" s="2" t="s">
        <v>325</v>
      </c>
      <c r="G797" s="2" t="s">
        <v>158</v>
      </c>
      <c r="H797" s="2">
        <v>2.78</v>
      </c>
      <c r="I797" s="2">
        <v>20</v>
      </c>
      <c r="J797" s="2">
        <v>3.35</v>
      </c>
      <c r="K797" s="2">
        <v>20</v>
      </c>
      <c r="L797" s="2">
        <v>2</v>
      </c>
      <c r="M797" s="2">
        <v>10</v>
      </c>
      <c r="N797" s="2" t="s">
        <v>95</v>
      </c>
      <c r="O797" s="10">
        <v>0</v>
      </c>
      <c r="P797" s="14">
        <v>1</v>
      </c>
      <c r="Q797" s="183">
        <v>2</v>
      </c>
      <c r="R797" s="181">
        <v>1</v>
      </c>
      <c r="S797" s="178">
        <f t="shared" si="93"/>
        <v>1</v>
      </c>
      <c r="T797" s="186">
        <f t="shared" si="94"/>
        <v>3</v>
      </c>
      <c r="U797" s="179">
        <f t="shared" si="95"/>
        <v>2</v>
      </c>
      <c r="V797" s="1">
        <f t="shared" si="90"/>
        <v>25</v>
      </c>
      <c r="W797" s="8">
        <f t="shared" si="91"/>
        <v>6.25</v>
      </c>
      <c r="X797" s="15">
        <f t="shared" si="92"/>
        <v>4381.25</v>
      </c>
    </row>
    <row r="798" spans="1:24">
      <c r="A798" t="s">
        <v>931</v>
      </c>
      <c r="B798" s="163" t="s">
        <v>623</v>
      </c>
      <c r="C798" s="2" t="s">
        <v>149</v>
      </c>
      <c r="D798" s="2" t="s">
        <v>153</v>
      </c>
      <c r="E798" s="3">
        <v>45381.791666666664</v>
      </c>
      <c r="F798" s="2" t="s">
        <v>369</v>
      </c>
      <c r="G798" s="2" t="s">
        <v>647</v>
      </c>
      <c r="H798" s="2">
        <v>5.9</v>
      </c>
      <c r="I798" s="2">
        <v>20</v>
      </c>
      <c r="J798" s="2">
        <v>3.55</v>
      </c>
      <c r="K798" s="2">
        <v>27</v>
      </c>
      <c r="L798" s="2">
        <v>2</v>
      </c>
      <c r="M798" s="2">
        <v>10</v>
      </c>
      <c r="N798" s="2" t="s">
        <v>95</v>
      </c>
      <c r="O798" s="10">
        <v>1</v>
      </c>
      <c r="P798" s="14">
        <v>0</v>
      </c>
      <c r="Q798" s="183">
        <v>3</v>
      </c>
      <c r="R798" s="181">
        <v>0</v>
      </c>
      <c r="S798" s="178">
        <f t="shared" si="93"/>
        <v>1</v>
      </c>
      <c r="T798" s="186">
        <f t="shared" si="94"/>
        <v>3</v>
      </c>
      <c r="U798" s="179">
        <f t="shared" si="95"/>
        <v>2</v>
      </c>
      <c r="V798" s="1">
        <f t="shared" si="90"/>
        <v>25</v>
      </c>
      <c r="W798" s="8">
        <f t="shared" si="91"/>
        <v>6.25</v>
      </c>
      <c r="X798" s="15">
        <f t="shared" si="92"/>
        <v>4387.5</v>
      </c>
    </row>
    <row r="799" spans="1:24">
      <c r="A799" t="s">
        <v>931</v>
      </c>
      <c r="B799" s="163" t="s">
        <v>623</v>
      </c>
      <c r="C799" s="2" t="s">
        <v>441</v>
      </c>
      <c r="D799" s="2" t="s">
        <v>442</v>
      </c>
      <c r="E799" s="3">
        <v>45382.479166666664</v>
      </c>
      <c r="F799" s="2" t="s">
        <v>648</v>
      </c>
      <c r="G799" s="2" t="s">
        <v>649</v>
      </c>
      <c r="H799" s="2">
        <v>4.8</v>
      </c>
      <c r="I799" s="2">
        <v>20</v>
      </c>
      <c r="J799" s="2">
        <v>2.95</v>
      </c>
      <c r="K799" s="2">
        <v>24</v>
      </c>
      <c r="L799" s="2">
        <v>5</v>
      </c>
      <c r="M799" s="2">
        <v>10</v>
      </c>
      <c r="N799" s="2" t="s">
        <v>95</v>
      </c>
      <c r="O799" s="10">
        <v>1</v>
      </c>
      <c r="P799" s="14">
        <v>1</v>
      </c>
      <c r="Q799" s="183">
        <v>2</v>
      </c>
      <c r="R799" s="181">
        <v>1</v>
      </c>
      <c r="S799" s="178">
        <f t="shared" si="93"/>
        <v>2</v>
      </c>
      <c r="T799" s="186">
        <f t="shared" si="94"/>
        <v>3</v>
      </c>
      <c r="U799" s="179">
        <f t="shared" si="95"/>
        <v>1</v>
      </c>
      <c r="V799" s="1">
        <f t="shared" si="90"/>
        <v>25</v>
      </c>
      <c r="W799" s="8">
        <f t="shared" si="91"/>
        <v>6.25</v>
      </c>
      <c r="X799" s="15">
        <f t="shared" si="92"/>
        <v>4393.75</v>
      </c>
    </row>
    <row r="800" spans="1:24">
      <c r="A800" t="s">
        <v>931</v>
      </c>
      <c r="B800" s="163" t="s">
        <v>623</v>
      </c>
      <c r="C800" s="2" t="s">
        <v>6</v>
      </c>
      <c r="D800" s="2" t="s">
        <v>62</v>
      </c>
      <c r="E800" s="3">
        <v>45382.583333333336</v>
      </c>
      <c r="F800" s="2" t="s">
        <v>285</v>
      </c>
      <c r="G800" s="2" t="s">
        <v>267</v>
      </c>
      <c r="H800" s="2">
        <v>3.25</v>
      </c>
      <c r="I800" s="2">
        <v>20</v>
      </c>
      <c r="J800" s="2">
        <v>3.4</v>
      </c>
      <c r="K800" s="2">
        <v>23</v>
      </c>
      <c r="L800" s="2">
        <v>4</v>
      </c>
      <c r="M800" s="2">
        <v>10</v>
      </c>
      <c r="N800" s="2" t="s">
        <v>95</v>
      </c>
      <c r="O800" s="10">
        <v>1</v>
      </c>
      <c r="P800" s="14">
        <v>1</v>
      </c>
      <c r="Q800" s="183">
        <v>2</v>
      </c>
      <c r="R800" s="181">
        <v>1</v>
      </c>
      <c r="S800" s="178">
        <f t="shared" si="93"/>
        <v>2</v>
      </c>
      <c r="T800" s="186">
        <f t="shared" si="94"/>
        <v>3</v>
      </c>
      <c r="U800" s="179">
        <f t="shared" si="95"/>
        <v>1</v>
      </c>
      <c r="V800" s="1">
        <f t="shared" si="90"/>
        <v>25</v>
      </c>
      <c r="W800" s="8">
        <f t="shared" si="91"/>
        <v>6.25</v>
      </c>
      <c r="X800" s="15">
        <f t="shared" si="92"/>
        <v>4400</v>
      </c>
    </row>
    <row r="801" spans="1:24">
      <c r="A801" t="s">
        <v>931</v>
      </c>
      <c r="B801" s="163" t="s">
        <v>623</v>
      </c>
      <c r="C801" s="2" t="s">
        <v>20</v>
      </c>
      <c r="D801" s="2" t="s">
        <v>21</v>
      </c>
      <c r="E801" s="3">
        <v>45383.479166666664</v>
      </c>
      <c r="F801" s="2" t="s">
        <v>101</v>
      </c>
      <c r="G801" s="2" t="s">
        <v>110</v>
      </c>
      <c r="H801" s="2">
        <v>5.2</v>
      </c>
      <c r="I801" s="2">
        <v>20</v>
      </c>
      <c r="J801" s="2">
        <v>2.6</v>
      </c>
      <c r="K801" s="2">
        <v>27</v>
      </c>
      <c r="L801" s="2">
        <v>2</v>
      </c>
      <c r="M801" s="2">
        <v>10</v>
      </c>
      <c r="N801" s="2" t="s">
        <v>95</v>
      </c>
      <c r="O801" s="10">
        <v>2</v>
      </c>
      <c r="P801" s="14">
        <v>0</v>
      </c>
      <c r="Q801" s="183">
        <v>3</v>
      </c>
      <c r="R801" s="181">
        <v>0</v>
      </c>
      <c r="S801" s="178">
        <f t="shared" si="93"/>
        <v>2</v>
      </c>
      <c r="T801" s="186">
        <f t="shared" si="94"/>
        <v>3</v>
      </c>
      <c r="U801" s="179">
        <f t="shared" si="95"/>
        <v>1</v>
      </c>
      <c r="V801" s="1">
        <f t="shared" si="90"/>
        <v>25</v>
      </c>
      <c r="W801" s="8">
        <f t="shared" si="91"/>
        <v>6.25</v>
      </c>
      <c r="X801" s="15">
        <f t="shared" si="92"/>
        <v>4406.25</v>
      </c>
    </row>
    <row r="802" spans="1:24">
      <c r="A802" t="s">
        <v>931</v>
      </c>
      <c r="B802" s="163" t="s">
        <v>623</v>
      </c>
      <c r="C802" s="2" t="s">
        <v>133</v>
      </c>
      <c r="D802" s="2" t="s">
        <v>78</v>
      </c>
      <c r="E802" s="3">
        <v>45385.708333333336</v>
      </c>
      <c r="F802" s="2" t="s">
        <v>488</v>
      </c>
      <c r="G802" s="2" t="s">
        <v>136</v>
      </c>
      <c r="H802" s="2">
        <v>5.3</v>
      </c>
      <c r="I802" s="2">
        <v>20</v>
      </c>
      <c r="J802" s="2">
        <v>2.9</v>
      </c>
      <c r="K802" s="2">
        <v>30</v>
      </c>
      <c r="L802" s="2">
        <v>3</v>
      </c>
      <c r="M802" s="2">
        <v>10</v>
      </c>
      <c r="N802" s="2" t="s">
        <v>95</v>
      </c>
      <c r="O802" s="10">
        <v>1</v>
      </c>
      <c r="P802" s="14">
        <v>0</v>
      </c>
      <c r="Q802" s="183">
        <v>3</v>
      </c>
      <c r="R802" s="181">
        <v>0</v>
      </c>
      <c r="S802" s="178">
        <f t="shared" si="93"/>
        <v>1</v>
      </c>
      <c r="T802" s="186">
        <f t="shared" si="94"/>
        <v>3</v>
      </c>
      <c r="U802" s="179">
        <f t="shared" si="95"/>
        <v>2</v>
      </c>
      <c r="V802" s="1">
        <f t="shared" si="90"/>
        <v>25</v>
      </c>
      <c r="W802" s="8">
        <f t="shared" si="91"/>
        <v>6.25</v>
      </c>
      <c r="X802" s="15">
        <f t="shared" si="92"/>
        <v>4412.5</v>
      </c>
    </row>
    <row r="803" spans="1:24">
      <c r="A803" t="s">
        <v>931</v>
      </c>
      <c r="B803" s="163" t="s">
        <v>623</v>
      </c>
      <c r="C803" s="2" t="s">
        <v>77</v>
      </c>
      <c r="D803" s="2" t="s">
        <v>234</v>
      </c>
      <c r="E803" s="3">
        <v>45388.5</v>
      </c>
      <c r="F803" s="2" t="s">
        <v>247</v>
      </c>
      <c r="G803" s="2" t="s">
        <v>631</v>
      </c>
      <c r="H803" s="2">
        <v>5.9</v>
      </c>
      <c r="I803" s="2">
        <v>20</v>
      </c>
      <c r="J803" s="2">
        <v>3.3</v>
      </c>
      <c r="K803" s="2">
        <v>25</v>
      </c>
      <c r="L803" s="2">
        <v>2</v>
      </c>
      <c r="M803" s="2">
        <v>10</v>
      </c>
      <c r="N803" s="2" t="s">
        <v>95</v>
      </c>
      <c r="O803" s="10">
        <v>1</v>
      </c>
      <c r="P803" s="14">
        <v>1</v>
      </c>
      <c r="Q803" s="183">
        <v>2</v>
      </c>
      <c r="R803" s="181">
        <v>1</v>
      </c>
      <c r="S803" s="178">
        <f t="shared" si="93"/>
        <v>2</v>
      </c>
      <c r="T803" s="186">
        <f t="shared" si="94"/>
        <v>3</v>
      </c>
      <c r="U803" s="179">
        <f t="shared" si="95"/>
        <v>1</v>
      </c>
      <c r="V803" s="1">
        <f t="shared" si="90"/>
        <v>25</v>
      </c>
      <c r="W803" s="8">
        <f t="shared" si="91"/>
        <v>6.25</v>
      </c>
      <c r="X803" s="15">
        <f t="shared" si="92"/>
        <v>4418.75</v>
      </c>
    </row>
    <row r="804" spans="1:24">
      <c r="A804" t="s">
        <v>931</v>
      </c>
      <c r="B804" s="163" t="s">
        <v>623</v>
      </c>
      <c r="C804" s="2" t="s">
        <v>20</v>
      </c>
      <c r="D804" s="2" t="s">
        <v>21</v>
      </c>
      <c r="E804" s="3">
        <v>45388.583333333336</v>
      </c>
      <c r="F804" s="2" t="s">
        <v>109</v>
      </c>
      <c r="G804" s="2" t="s">
        <v>98</v>
      </c>
      <c r="H804" s="2">
        <v>5.4</v>
      </c>
      <c r="I804" s="2">
        <v>20</v>
      </c>
      <c r="J804" s="2">
        <v>2.2000000000000002</v>
      </c>
      <c r="K804" s="2">
        <v>36</v>
      </c>
      <c r="L804" s="2">
        <v>0</v>
      </c>
      <c r="M804" s="2">
        <v>10</v>
      </c>
      <c r="N804" s="2" t="s">
        <v>95</v>
      </c>
      <c r="O804" s="10">
        <v>2</v>
      </c>
      <c r="P804" s="14">
        <v>0</v>
      </c>
      <c r="Q804" s="183">
        <v>3</v>
      </c>
      <c r="R804" s="181">
        <v>0</v>
      </c>
      <c r="S804" s="178">
        <f t="shared" si="93"/>
        <v>2</v>
      </c>
      <c r="T804" s="186">
        <f t="shared" si="94"/>
        <v>3</v>
      </c>
      <c r="U804" s="179">
        <f t="shared" si="95"/>
        <v>1</v>
      </c>
      <c r="V804" s="1">
        <f t="shared" si="90"/>
        <v>25</v>
      </c>
      <c r="W804" s="8">
        <f t="shared" si="91"/>
        <v>6.25</v>
      </c>
      <c r="X804" s="15">
        <f t="shared" si="92"/>
        <v>4425</v>
      </c>
    </row>
    <row r="805" spans="1:24">
      <c r="A805" t="s">
        <v>931</v>
      </c>
      <c r="B805" s="163" t="s">
        <v>623</v>
      </c>
      <c r="C805" s="2" t="s">
        <v>6</v>
      </c>
      <c r="D805" s="2" t="s">
        <v>14</v>
      </c>
      <c r="E805" s="3">
        <v>45388.625</v>
      </c>
      <c r="F805" s="2" t="s">
        <v>290</v>
      </c>
      <c r="G805" s="2" t="s">
        <v>680</v>
      </c>
      <c r="H805" s="2">
        <v>4.4000000000000004</v>
      </c>
      <c r="I805" s="2">
        <v>20</v>
      </c>
      <c r="J805" s="2">
        <v>3.05</v>
      </c>
      <c r="K805" s="2">
        <v>33</v>
      </c>
      <c r="L805" s="2">
        <v>2</v>
      </c>
      <c r="M805" s="2">
        <v>10</v>
      </c>
      <c r="N805" s="2" t="s">
        <v>95</v>
      </c>
      <c r="O805" s="10">
        <v>1</v>
      </c>
      <c r="P805" s="14">
        <v>1</v>
      </c>
      <c r="Q805" s="183">
        <v>2</v>
      </c>
      <c r="R805" s="181">
        <v>1</v>
      </c>
      <c r="S805" s="178">
        <f t="shared" si="93"/>
        <v>2</v>
      </c>
      <c r="T805" s="186">
        <f t="shared" si="94"/>
        <v>3</v>
      </c>
      <c r="U805" s="179">
        <f t="shared" si="95"/>
        <v>1</v>
      </c>
      <c r="V805" s="1">
        <f t="shared" si="90"/>
        <v>25</v>
      </c>
      <c r="W805" s="8">
        <f t="shared" si="91"/>
        <v>6.25</v>
      </c>
      <c r="X805" s="15">
        <f t="shared" si="92"/>
        <v>4431.25</v>
      </c>
    </row>
    <row r="806" spans="1:24">
      <c r="A806" t="s">
        <v>931</v>
      </c>
      <c r="B806" s="163" t="s">
        <v>623</v>
      </c>
      <c r="C806" s="2" t="s">
        <v>149</v>
      </c>
      <c r="D806" s="2" t="s">
        <v>153</v>
      </c>
      <c r="E806" s="3">
        <v>45388.645833333336</v>
      </c>
      <c r="F806" s="2" t="s">
        <v>395</v>
      </c>
      <c r="G806" s="2" t="s">
        <v>155</v>
      </c>
      <c r="H806" s="2">
        <v>6.4</v>
      </c>
      <c r="I806" s="2">
        <v>20</v>
      </c>
      <c r="J806" s="2">
        <v>3.05</v>
      </c>
      <c r="K806" s="2">
        <v>25</v>
      </c>
      <c r="L806" s="2">
        <v>2</v>
      </c>
      <c r="M806" s="2">
        <v>10</v>
      </c>
      <c r="N806" s="2" t="s">
        <v>95</v>
      </c>
      <c r="O806" s="10">
        <v>1</v>
      </c>
      <c r="P806" s="14">
        <v>0</v>
      </c>
      <c r="Q806" s="183">
        <v>1</v>
      </c>
      <c r="R806" s="181">
        <v>2</v>
      </c>
      <c r="S806" s="178">
        <f t="shared" si="93"/>
        <v>1</v>
      </c>
      <c r="T806" s="186">
        <f t="shared" si="94"/>
        <v>3</v>
      </c>
      <c r="U806" s="179">
        <f t="shared" si="95"/>
        <v>2</v>
      </c>
      <c r="V806" s="1">
        <f t="shared" si="90"/>
        <v>25</v>
      </c>
      <c r="W806" s="8">
        <f t="shared" si="91"/>
        <v>6.25</v>
      </c>
      <c r="X806" s="15">
        <f t="shared" si="92"/>
        <v>4437.5</v>
      </c>
    </row>
    <row r="807" spans="1:24">
      <c r="A807" t="s">
        <v>931</v>
      </c>
      <c r="B807" s="163" t="s">
        <v>623</v>
      </c>
      <c r="C807" s="2" t="s">
        <v>6</v>
      </c>
      <c r="D807" s="2" t="s">
        <v>14</v>
      </c>
      <c r="E807" s="3">
        <v>45391.822916666664</v>
      </c>
      <c r="F807" s="2" t="s">
        <v>56</v>
      </c>
      <c r="G807" s="2" t="s">
        <v>376</v>
      </c>
      <c r="H807" s="2">
        <v>6.4</v>
      </c>
      <c r="I807" s="2">
        <v>20</v>
      </c>
      <c r="J807" s="2">
        <v>3.5</v>
      </c>
      <c r="K807" s="2">
        <v>30</v>
      </c>
      <c r="L807" s="2">
        <v>5</v>
      </c>
      <c r="M807" s="2">
        <v>10</v>
      </c>
      <c r="N807" s="2" t="s">
        <v>95</v>
      </c>
      <c r="O807" s="9">
        <v>2</v>
      </c>
      <c r="P807" s="14">
        <v>0</v>
      </c>
      <c r="Q807" s="183">
        <v>2</v>
      </c>
      <c r="R807" s="181">
        <v>1</v>
      </c>
      <c r="S807" s="178">
        <f t="shared" si="93"/>
        <v>2</v>
      </c>
      <c r="T807" s="186">
        <f t="shared" si="94"/>
        <v>3</v>
      </c>
      <c r="U807" s="179">
        <f t="shared" si="95"/>
        <v>1</v>
      </c>
      <c r="V807" s="1">
        <f t="shared" ref="V807:V870" si="96">SUM($X$1*0.05)</f>
        <v>25</v>
      </c>
      <c r="W807" s="8">
        <f t="shared" si="91"/>
        <v>6.25</v>
      </c>
      <c r="X807" s="15">
        <f t="shared" si="92"/>
        <v>4443.75</v>
      </c>
    </row>
    <row r="808" spans="1:24">
      <c r="A808" t="s">
        <v>931</v>
      </c>
      <c r="B808" s="163" t="s">
        <v>623</v>
      </c>
      <c r="C808" s="2" t="s">
        <v>6</v>
      </c>
      <c r="D808" s="2" t="s">
        <v>11</v>
      </c>
      <c r="E808" s="3">
        <v>45392.822916666664</v>
      </c>
      <c r="F808" s="2" t="s">
        <v>12</v>
      </c>
      <c r="G808" s="2" t="s">
        <v>710</v>
      </c>
      <c r="H808" s="2">
        <v>5.2</v>
      </c>
      <c r="I808" s="2">
        <v>20</v>
      </c>
      <c r="J808" s="2">
        <v>2.8</v>
      </c>
      <c r="K808" s="2">
        <v>35</v>
      </c>
      <c r="L808" s="2">
        <v>1</v>
      </c>
      <c r="M808" s="2">
        <v>10</v>
      </c>
      <c r="N808" s="2" t="s">
        <v>95</v>
      </c>
      <c r="O808" s="159">
        <v>1</v>
      </c>
      <c r="P808" s="14">
        <v>0</v>
      </c>
      <c r="Q808" s="183">
        <v>3</v>
      </c>
      <c r="R808" s="181">
        <v>0</v>
      </c>
      <c r="S808" s="178">
        <f t="shared" si="93"/>
        <v>1</v>
      </c>
      <c r="T808" s="186">
        <f t="shared" si="94"/>
        <v>3</v>
      </c>
      <c r="U808" s="179">
        <f t="shared" si="95"/>
        <v>2</v>
      </c>
      <c r="V808" s="1">
        <f t="shared" si="96"/>
        <v>25</v>
      </c>
      <c r="W808" s="8">
        <f t="shared" si="91"/>
        <v>6.25</v>
      </c>
      <c r="X808" s="15">
        <f t="shared" si="92"/>
        <v>4450</v>
      </c>
    </row>
    <row r="809" spans="1:24">
      <c r="A809" t="s">
        <v>931</v>
      </c>
      <c r="B809" s="163" t="s">
        <v>623</v>
      </c>
      <c r="C809" s="2" t="s">
        <v>44</v>
      </c>
      <c r="D809" s="2" t="s">
        <v>45</v>
      </c>
      <c r="E809" s="3">
        <v>45395.447916666664</v>
      </c>
      <c r="F809" s="2" t="s">
        <v>46</v>
      </c>
      <c r="G809" s="2" t="s">
        <v>321</v>
      </c>
      <c r="H809" s="2">
        <v>5.7</v>
      </c>
      <c r="I809" s="2">
        <v>20</v>
      </c>
      <c r="J809" s="2">
        <v>3.2</v>
      </c>
      <c r="K809" s="2">
        <v>38</v>
      </c>
      <c r="L809" s="2">
        <v>2</v>
      </c>
      <c r="M809" s="2">
        <v>10</v>
      </c>
      <c r="N809" s="2" t="s">
        <v>95</v>
      </c>
      <c r="O809" s="10">
        <v>0</v>
      </c>
      <c r="P809" s="14">
        <v>0</v>
      </c>
      <c r="Q809" s="183">
        <v>2</v>
      </c>
      <c r="R809" s="181">
        <v>1</v>
      </c>
      <c r="S809" s="178">
        <f t="shared" si="93"/>
        <v>0</v>
      </c>
      <c r="T809" s="186">
        <f t="shared" si="94"/>
        <v>3</v>
      </c>
      <c r="U809" s="179">
        <f t="shared" si="95"/>
        <v>3</v>
      </c>
      <c r="V809" s="1">
        <f t="shared" si="96"/>
        <v>25</v>
      </c>
      <c r="W809" s="8">
        <f t="shared" si="91"/>
        <v>6.25</v>
      </c>
      <c r="X809" s="15">
        <f t="shared" si="92"/>
        <v>4456.25</v>
      </c>
    </row>
    <row r="810" spans="1:24">
      <c r="A810" t="s">
        <v>931</v>
      </c>
      <c r="B810" s="163" t="s">
        <v>623</v>
      </c>
      <c r="C810" s="2" t="s">
        <v>77</v>
      </c>
      <c r="D810" s="2" t="s">
        <v>156</v>
      </c>
      <c r="E810" s="3">
        <v>45395.604166666664</v>
      </c>
      <c r="F810" s="2" t="s">
        <v>181</v>
      </c>
      <c r="G810" s="2" t="s">
        <v>161</v>
      </c>
      <c r="H810" s="2">
        <v>4.2</v>
      </c>
      <c r="I810" s="2">
        <v>20</v>
      </c>
      <c r="J810" s="2">
        <v>2.8</v>
      </c>
      <c r="K810" s="2">
        <v>20</v>
      </c>
      <c r="L810" s="2">
        <v>1</v>
      </c>
      <c r="M810" s="2">
        <v>10</v>
      </c>
      <c r="N810" s="2" t="s">
        <v>95</v>
      </c>
      <c r="O810" s="10">
        <v>1</v>
      </c>
      <c r="P810" s="14">
        <v>0</v>
      </c>
      <c r="Q810" s="183">
        <v>3</v>
      </c>
      <c r="R810" s="181">
        <v>0</v>
      </c>
      <c r="S810" s="178">
        <f t="shared" si="93"/>
        <v>1</v>
      </c>
      <c r="T810" s="186">
        <f t="shared" si="94"/>
        <v>3</v>
      </c>
      <c r="U810" s="179">
        <f t="shared" si="95"/>
        <v>2</v>
      </c>
      <c r="V810" s="1">
        <f t="shared" si="96"/>
        <v>25</v>
      </c>
      <c r="W810" s="8">
        <f t="shared" si="91"/>
        <v>6.25</v>
      </c>
      <c r="X810" s="15">
        <f t="shared" si="92"/>
        <v>4462.5</v>
      </c>
    </row>
    <row r="811" spans="1:24">
      <c r="A811" t="s">
        <v>931</v>
      </c>
      <c r="B811" s="163" t="s">
        <v>623</v>
      </c>
      <c r="C811" s="2" t="s">
        <v>13</v>
      </c>
      <c r="D811" s="2" t="s">
        <v>37</v>
      </c>
      <c r="E811" s="3">
        <v>45395.625</v>
      </c>
      <c r="F811" s="2" t="s">
        <v>99</v>
      </c>
      <c r="G811" s="2" t="s">
        <v>351</v>
      </c>
      <c r="H811" s="2">
        <v>2.82</v>
      </c>
      <c r="I811" s="2">
        <v>20</v>
      </c>
      <c r="J811" s="2">
        <v>2.95</v>
      </c>
      <c r="K811" s="2">
        <v>32</v>
      </c>
      <c r="L811" s="2">
        <v>3</v>
      </c>
      <c r="M811" s="2">
        <v>10</v>
      </c>
      <c r="N811" s="2" t="s">
        <v>95</v>
      </c>
      <c r="O811" s="10">
        <v>0</v>
      </c>
      <c r="P811" s="14">
        <v>0</v>
      </c>
      <c r="Q811" s="183">
        <v>3</v>
      </c>
      <c r="R811" s="181">
        <v>0</v>
      </c>
      <c r="S811" s="178">
        <f t="shared" si="93"/>
        <v>0</v>
      </c>
      <c r="T811" s="186">
        <f t="shared" si="94"/>
        <v>3</v>
      </c>
      <c r="U811" s="179">
        <f t="shared" si="95"/>
        <v>3</v>
      </c>
      <c r="V811" s="1">
        <f t="shared" si="96"/>
        <v>25</v>
      </c>
      <c r="W811" s="8">
        <f t="shared" si="91"/>
        <v>6.25</v>
      </c>
      <c r="X811" s="15">
        <f t="shared" si="92"/>
        <v>4468.75</v>
      </c>
    </row>
    <row r="812" spans="1:24">
      <c r="A812" t="s">
        <v>931</v>
      </c>
      <c r="B812" s="163" t="s">
        <v>623</v>
      </c>
      <c r="C812" s="2" t="s">
        <v>77</v>
      </c>
      <c r="D812" s="2" t="s">
        <v>156</v>
      </c>
      <c r="E812" s="3">
        <v>45395.729166666664</v>
      </c>
      <c r="F812" s="2" t="s">
        <v>168</v>
      </c>
      <c r="G812" s="2" t="s">
        <v>182</v>
      </c>
      <c r="H812" s="2">
        <v>5.6</v>
      </c>
      <c r="I812" s="2">
        <v>20</v>
      </c>
      <c r="J812" s="2">
        <v>3.45</v>
      </c>
      <c r="K812" s="2">
        <v>29</v>
      </c>
      <c r="L812" s="2">
        <v>1</v>
      </c>
      <c r="M812" s="2">
        <v>10</v>
      </c>
      <c r="N812" s="2" t="s">
        <v>95</v>
      </c>
      <c r="O812" s="10">
        <v>3</v>
      </c>
      <c r="P812" s="14">
        <v>0</v>
      </c>
      <c r="Q812" s="183">
        <v>3</v>
      </c>
      <c r="R812" s="181">
        <v>0</v>
      </c>
      <c r="S812" s="178">
        <f t="shared" si="93"/>
        <v>3</v>
      </c>
      <c r="T812" s="186">
        <f t="shared" si="94"/>
        <v>3</v>
      </c>
      <c r="U812" s="179">
        <f t="shared" si="95"/>
        <v>0</v>
      </c>
      <c r="V812" s="1">
        <f t="shared" si="96"/>
        <v>25</v>
      </c>
      <c r="W812" s="8">
        <f t="shared" si="91"/>
        <v>6.25</v>
      </c>
      <c r="X812" s="15">
        <f t="shared" si="92"/>
        <v>4475</v>
      </c>
    </row>
    <row r="813" spans="1:24">
      <c r="A813" t="s">
        <v>931</v>
      </c>
      <c r="B813" s="163" t="s">
        <v>623</v>
      </c>
      <c r="C813" s="2" t="s">
        <v>626</v>
      </c>
      <c r="D813" s="2" t="s">
        <v>627</v>
      </c>
      <c r="E813" s="3">
        <v>45396.666666666664</v>
      </c>
      <c r="F813" s="2" t="s">
        <v>720</v>
      </c>
      <c r="G813" s="2" t="s">
        <v>629</v>
      </c>
      <c r="H813" s="2">
        <v>2.2400000000000002</v>
      </c>
      <c r="I813" s="2">
        <v>20</v>
      </c>
      <c r="J813" s="2">
        <v>3.1</v>
      </c>
      <c r="K813" s="2">
        <v>29</v>
      </c>
      <c r="L813" s="2">
        <v>1</v>
      </c>
      <c r="M813" s="2">
        <v>10</v>
      </c>
      <c r="N813" s="2" t="s">
        <v>95</v>
      </c>
      <c r="O813" s="10">
        <v>1</v>
      </c>
      <c r="P813" s="14">
        <v>0</v>
      </c>
      <c r="Q813" s="183">
        <v>3</v>
      </c>
      <c r="R813" s="181">
        <v>0</v>
      </c>
      <c r="S813" s="178">
        <f t="shared" si="93"/>
        <v>1</v>
      </c>
      <c r="T813" s="186">
        <f t="shared" si="94"/>
        <v>3</v>
      </c>
      <c r="U813" s="179">
        <f t="shared" si="95"/>
        <v>2</v>
      </c>
      <c r="V813" s="1">
        <f t="shared" si="96"/>
        <v>25</v>
      </c>
      <c r="W813" s="8">
        <f t="shared" si="91"/>
        <v>6.25</v>
      </c>
      <c r="X813" s="15">
        <f t="shared" si="92"/>
        <v>4481.25</v>
      </c>
    </row>
    <row r="814" spans="1:24">
      <c r="A814" t="s">
        <v>931</v>
      </c>
      <c r="B814" s="163" t="s">
        <v>623</v>
      </c>
      <c r="C814" s="2" t="s">
        <v>6</v>
      </c>
      <c r="D814" s="2" t="s">
        <v>14</v>
      </c>
      <c r="E814" s="3">
        <v>45398.833333333336</v>
      </c>
      <c r="F814" s="2" t="s">
        <v>56</v>
      </c>
      <c r="G814" s="2" t="s">
        <v>200</v>
      </c>
      <c r="H814" s="2">
        <v>4.9000000000000004</v>
      </c>
      <c r="I814" s="2">
        <v>20</v>
      </c>
      <c r="J814" s="2">
        <v>3.15</v>
      </c>
      <c r="K814" s="2">
        <v>22</v>
      </c>
      <c r="L814" s="2">
        <v>4</v>
      </c>
      <c r="M814" s="2">
        <v>10</v>
      </c>
      <c r="N814" s="2" t="s">
        <v>95</v>
      </c>
      <c r="O814" s="10">
        <v>3</v>
      </c>
      <c r="P814" s="14">
        <v>0</v>
      </c>
      <c r="Q814" s="183">
        <v>3</v>
      </c>
      <c r="R814" s="181">
        <v>0</v>
      </c>
      <c r="S814" s="178">
        <f t="shared" si="93"/>
        <v>3</v>
      </c>
      <c r="T814" s="186">
        <f t="shared" si="94"/>
        <v>3</v>
      </c>
      <c r="U814" s="179">
        <f t="shared" si="95"/>
        <v>0</v>
      </c>
      <c r="V814" s="1">
        <f t="shared" si="96"/>
        <v>25</v>
      </c>
      <c r="W814" s="8">
        <f t="shared" si="91"/>
        <v>6.25</v>
      </c>
      <c r="X814" s="15">
        <f t="shared" si="92"/>
        <v>4487.5</v>
      </c>
    </row>
    <row r="815" spans="1:24">
      <c r="A815" t="s">
        <v>931</v>
      </c>
      <c r="B815" s="163" t="s">
        <v>623</v>
      </c>
      <c r="C815" s="2" t="s">
        <v>67</v>
      </c>
      <c r="D815" s="2" t="s">
        <v>169</v>
      </c>
      <c r="E815" s="3">
        <v>45401.791666666664</v>
      </c>
      <c r="F815" s="2" t="s">
        <v>733</v>
      </c>
      <c r="G815" s="2" t="s">
        <v>283</v>
      </c>
      <c r="H815" s="2">
        <v>4.0999999999999996</v>
      </c>
      <c r="I815" s="2">
        <v>20</v>
      </c>
      <c r="J815" s="2">
        <v>2.5499999999999998</v>
      </c>
      <c r="K815" s="2">
        <v>31</v>
      </c>
      <c r="L815" s="2">
        <v>1</v>
      </c>
      <c r="M815" s="2">
        <v>10</v>
      </c>
      <c r="N815" s="2" t="s">
        <v>95</v>
      </c>
      <c r="O815" s="10">
        <v>1</v>
      </c>
      <c r="P815" s="14">
        <v>0</v>
      </c>
      <c r="Q815" s="183">
        <v>2</v>
      </c>
      <c r="R815" s="181">
        <v>1</v>
      </c>
      <c r="S815" s="178">
        <f t="shared" si="93"/>
        <v>1</v>
      </c>
      <c r="T815" s="186">
        <f t="shared" si="94"/>
        <v>3</v>
      </c>
      <c r="U815" s="179">
        <f t="shared" si="95"/>
        <v>2</v>
      </c>
      <c r="V815" s="1">
        <f t="shared" si="96"/>
        <v>25</v>
      </c>
      <c r="W815" s="8">
        <f t="shared" si="91"/>
        <v>6.25</v>
      </c>
      <c r="X815" s="15">
        <f t="shared" si="92"/>
        <v>4493.75</v>
      </c>
    </row>
    <row r="816" spans="1:24">
      <c r="A816" t="s">
        <v>931</v>
      </c>
      <c r="B816" s="163" t="s">
        <v>623</v>
      </c>
      <c r="C816" s="2" t="s">
        <v>20</v>
      </c>
      <c r="D816" s="2" t="s">
        <v>21</v>
      </c>
      <c r="E816" s="3">
        <v>45408.822916666664</v>
      </c>
      <c r="F816" s="2" t="s">
        <v>402</v>
      </c>
      <c r="G816" s="2" t="s">
        <v>110</v>
      </c>
      <c r="H816" s="2">
        <v>5.5</v>
      </c>
      <c r="I816" s="2">
        <v>20</v>
      </c>
      <c r="J816" s="2">
        <v>3.1</v>
      </c>
      <c r="K816" s="2">
        <v>21</v>
      </c>
      <c r="L816" s="2">
        <v>0</v>
      </c>
      <c r="M816" s="2">
        <v>10</v>
      </c>
      <c r="N816" s="2" t="s">
        <v>95</v>
      </c>
      <c r="O816" s="10">
        <v>2</v>
      </c>
      <c r="P816" s="14">
        <v>0</v>
      </c>
      <c r="Q816" s="183">
        <v>3</v>
      </c>
      <c r="R816" s="181">
        <v>0</v>
      </c>
      <c r="S816" s="178">
        <f t="shared" si="93"/>
        <v>2</v>
      </c>
      <c r="T816" s="186">
        <f t="shared" si="94"/>
        <v>3</v>
      </c>
      <c r="U816" s="179">
        <f t="shared" si="95"/>
        <v>1</v>
      </c>
      <c r="V816" s="1">
        <f t="shared" si="96"/>
        <v>25</v>
      </c>
      <c r="W816" s="8">
        <f t="shared" si="91"/>
        <v>6.25</v>
      </c>
      <c r="X816" s="15">
        <f t="shared" si="92"/>
        <v>4500</v>
      </c>
    </row>
    <row r="817" spans="1:24">
      <c r="A817" t="s">
        <v>931</v>
      </c>
      <c r="B817" s="163" t="s">
        <v>623</v>
      </c>
      <c r="C817" s="2" t="s">
        <v>77</v>
      </c>
      <c r="D817" s="2" t="s">
        <v>156</v>
      </c>
      <c r="E817" s="3">
        <v>45409.604166666664</v>
      </c>
      <c r="F817" s="2" t="s">
        <v>157</v>
      </c>
      <c r="G817" s="2" t="s">
        <v>182</v>
      </c>
      <c r="H817" s="2">
        <v>4.4000000000000004</v>
      </c>
      <c r="I817" s="2">
        <v>20</v>
      </c>
      <c r="J817" s="2">
        <v>3.35</v>
      </c>
      <c r="K817" s="2">
        <v>31</v>
      </c>
      <c r="L817" s="2">
        <v>2</v>
      </c>
      <c r="M817" s="2">
        <v>10</v>
      </c>
      <c r="N817" s="2" t="s">
        <v>95</v>
      </c>
      <c r="O817" s="10">
        <v>1</v>
      </c>
      <c r="P817" s="14">
        <v>1</v>
      </c>
      <c r="Q817" s="183">
        <v>2</v>
      </c>
      <c r="R817" s="181">
        <v>1</v>
      </c>
      <c r="S817" s="178">
        <f t="shared" si="93"/>
        <v>2</v>
      </c>
      <c r="T817" s="186">
        <f t="shared" si="94"/>
        <v>3</v>
      </c>
      <c r="U817" s="179">
        <f t="shared" si="95"/>
        <v>1</v>
      </c>
      <c r="V817" s="1">
        <f t="shared" si="96"/>
        <v>25</v>
      </c>
      <c r="W817" s="8">
        <f t="shared" si="91"/>
        <v>6.25</v>
      </c>
      <c r="X817" s="15">
        <f t="shared" si="92"/>
        <v>4506.25</v>
      </c>
    </row>
    <row r="818" spans="1:24">
      <c r="A818" t="s">
        <v>931</v>
      </c>
      <c r="B818" s="163" t="s">
        <v>623</v>
      </c>
      <c r="C818" s="2" t="s">
        <v>77</v>
      </c>
      <c r="D818" s="2" t="s">
        <v>156</v>
      </c>
      <c r="E818" s="3">
        <v>45409.604166666664</v>
      </c>
      <c r="F818" s="2" t="s">
        <v>284</v>
      </c>
      <c r="G818" s="2" t="s">
        <v>254</v>
      </c>
      <c r="H818" s="2">
        <v>6</v>
      </c>
      <c r="I818" s="2">
        <v>20</v>
      </c>
      <c r="J818" s="2">
        <v>2.4500000000000002</v>
      </c>
      <c r="K818" s="2">
        <v>35</v>
      </c>
      <c r="L818" s="2">
        <v>0</v>
      </c>
      <c r="M818" s="2">
        <v>10</v>
      </c>
      <c r="N818" s="2" t="s">
        <v>95</v>
      </c>
      <c r="O818" s="10">
        <v>0</v>
      </c>
      <c r="P818" s="14">
        <v>0</v>
      </c>
      <c r="Q818" s="183">
        <v>0</v>
      </c>
      <c r="R818" s="181">
        <v>3</v>
      </c>
      <c r="S818" s="178">
        <f t="shared" si="93"/>
        <v>0</v>
      </c>
      <c r="T818" s="186">
        <f t="shared" si="94"/>
        <v>3</v>
      </c>
      <c r="U818" s="179">
        <f t="shared" si="95"/>
        <v>3</v>
      </c>
      <c r="V818" s="1">
        <f t="shared" si="96"/>
        <v>25</v>
      </c>
      <c r="W818" s="8">
        <f t="shared" si="91"/>
        <v>6.25</v>
      </c>
      <c r="X818" s="15">
        <f t="shared" si="92"/>
        <v>4512.5</v>
      </c>
    </row>
    <row r="819" spans="1:24">
      <c r="A819" t="s">
        <v>931</v>
      </c>
      <c r="B819" s="163" t="s">
        <v>623</v>
      </c>
      <c r="C819" s="2" t="s">
        <v>80</v>
      </c>
      <c r="D819" s="2" t="s">
        <v>81</v>
      </c>
      <c r="E819" s="3">
        <v>45409.708333333336</v>
      </c>
      <c r="F819" s="2" t="s">
        <v>314</v>
      </c>
      <c r="G819" s="2" t="s">
        <v>129</v>
      </c>
      <c r="H819" s="2">
        <v>5.7</v>
      </c>
      <c r="I819" s="2">
        <v>20</v>
      </c>
      <c r="J819" s="2">
        <v>3.1</v>
      </c>
      <c r="K819" s="2">
        <v>19</v>
      </c>
      <c r="L819" s="2">
        <v>4</v>
      </c>
      <c r="M819" s="2">
        <v>10</v>
      </c>
      <c r="N819" s="2" t="s">
        <v>95</v>
      </c>
      <c r="O819" s="10">
        <v>1</v>
      </c>
      <c r="P819" s="14">
        <v>0</v>
      </c>
      <c r="Q819" s="183">
        <v>2</v>
      </c>
      <c r="R819" s="181">
        <v>1</v>
      </c>
      <c r="S819" s="178">
        <f t="shared" si="93"/>
        <v>1</v>
      </c>
      <c r="T819" s="186">
        <f t="shared" si="94"/>
        <v>3</v>
      </c>
      <c r="U819" s="179">
        <f t="shared" si="95"/>
        <v>2</v>
      </c>
      <c r="V819" s="1">
        <f t="shared" si="96"/>
        <v>25</v>
      </c>
      <c r="W819" s="8">
        <f t="shared" si="91"/>
        <v>6.25</v>
      </c>
      <c r="X819" s="15">
        <f t="shared" si="92"/>
        <v>4518.75</v>
      </c>
    </row>
    <row r="820" spans="1:24">
      <c r="A820" t="s">
        <v>931</v>
      </c>
      <c r="B820" s="163" t="s">
        <v>623</v>
      </c>
      <c r="C820" s="2" t="s">
        <v>626</v>
      </c>
      <c r="D820" s="2" t="s">
        <v>627</v>
      </c>
      <c r="E820" s="3">
        <v>45414.75</v>
      </c>
      <c r="F820" s="2" t="s">
        <v>720</v>
      </c>
      <c r="G820" s="2" t="s">
        <v>798</v>
      </c>
      <c r="H820" s="2">
        <v>5.2</v>
      </c>
      <c r="I820" s="2">
        <v>20</v>
      </c>
      <c r="J820" s="2">
        <v>3.45</v>
      </c>
      <c r="K820" s="2">
        <v>20</v>
      </c>
      <c r="L820" s="2">
        <v>1</v>
      </c>
      <c r="M820" s="2">
        <v>10</v>
      </c>
      <c r="N820" s="2" t="s">
        <v>95</v>
      </c>
      <c r="O820" s="10">
        <v>0</v>
      </c>
      <c r="P820" s="14">
        <v>0</v>
      </c>
      <c r="Q820" s="183">
        <v>2</v>
      </c>
      <c r="R820" s="181">
        <v>1</v>
      </c>
      <c r="S820" s="178">
        <f t="shared" si="93"/>
        <v>0</v>
      </c>
      <c r="T820" s="186">
        <f t="shared" si="94"/>
        <v>3</v>
      </c>
      <c r="U820" s="179">
        <f t="shared" si="95"/>
        <v>3</v>
      </c>
      <c r="V820" s="1">
        <f t="shared" si="96"/>
        <v>25</v>
      </c>
      <c r="W820" s="8">
        <f t="shared" si="91"/>
        <v>6.25</v>
      </c>
      <c r="X820" s="15">
        <f t="shared" si="92"/>
        <v>4525</v>
      </c>
    </row>
    <row r="821" spans="1:24">
      <c r="A821" t="s">
        <v>931</v>
      </c>
      <c r="B821" s="163" t="s">
        <v>623</v>
      </c>
      <c r="C821" s="2" t="s">
        <v>6</v>
      </c>
      <c r="D821" s="2" t="s">
        <v>62</v>
      </c>
      <c r="E821" s="3">
        <v>45416.520833333336</v>
      </c>
      <c r="F821" s="2" t="s">
        <v>73</v>
      </c>
      <c r="G821" s="2" t="s">
        <v>117</v>
      </c>
      <c r="H821" s="2">
        <v>3.15</v>
      </c>
      <c r="I821" s="2">
        <v>20</v>
      </c>
      <c r="J821" s="2">
        <v>3.25</v>
      </c>
      <c r="K821" s="2">
        <v>25</v>
      </c>
      <c r="L821" s="2">
        <v>3</v>
      </c>
      <c r="M821" s="2">
        <v>10</v>
      </c>
      <c r="N821" s="2" t="s">
        <v>95</v>
      </c>
      <c r="O821" s="10">
        <v>1</v>
      </c>
      <c r="P821" s="14">
        <v>0</v>
      </c>
      <c r="Q821" s="183">
        <v>3</v>
      </c>
      <c r="R821" s="181">
        <v>0</v>
      </c>
      <c r="S821" s="178">
        <f t="shared" si="93"/>
        <v>1</v>
      </c>
      <c r="T821" s="186">
        <f t="shared" si="94"/>
        <v>3</v>
      </c>
      <c r="U821" s="179">
        <f t="shared" si="95"/>
        <v>2</v>
      </c>
      <c r="V821" s="1">
        <f t="shared" si="96"/>
        <v>25</v>
      </c>
      <c r="W821" s="8">
        <f t="shared" si="91"/>
        <v>6.25</v>
      </c>
      <c r="X821" s="15">
        <f t="shared" si="92"/>
        <v>4531.25</v>
      </c>
    </row>
    <row r="822" spans="1:24">
      <c r="A822" t="s">
        <v>931</v>
      </c>
      <c r="B822" s="163" t="s">
        <v>623</v>
      </c>
      <c r="C822" s="2" t="s">
        <v>6</v>
      </c>
      <c r="D822" s="2" t="s">
        <v>14</v>
      </c>
      <c r="E822" s="3">
        <v>45416.520833333336</v>
      </c>
      <c r="F822" s="2" t="s">
        <v>280</v>
      </c>
      <c r="G822" s="2" t="s">
        <v>56</v>
      </c>
      <c r="H822" s="2">
        <v>5.8</v>
      </c>
      <c r="I822" s="2">
        <v>20</v>
      </c>
      <c r="J822" s="2">
        <v>2.8</v>
      </c>
      <c r="K822" s="2">
        <v>24</v>
      </c>
      <c r="L822" s="2">
        <v>0</v>
      </c>
      <c r="M822" s="2">
        <v>10</v>
      </c>
      <c r="N822" s="2" t="s">
        <v>95</v>
      </c>
      <c r="O822" s="10">
        <v>1</v>
      </c>
      <c r="P822" s="14">
        <v>2</v>
      </c>
      <c r="Q822" s="183">
        <v>1</v>
      </c>
      <c r="R822" s="181">
        <v>2</v>
      </c>
      <c r="S822" s="178">
        <f t="shared" si="93"/>
        <v>3</v>
      </c>
      <c r="T822" s="186">
        <f t="shared" si="94"/>
        <v>3</v>
      </c>
      <c r="U822" s="179">
        <f t="shared" si="95"/>
        <v>0</v>
      </c>
      <c r="V822" s="1">
        <f t="shared" si="96"/>
        <v>25</v>
      </c>
      <c r="W822" s="8">
        <f t="shared" si="91"/>
        <v>6.25</v>
      </c>
      <c r="X822" s="15">
        <f t="shared" si="92"/>
        <v>4537.5</v>
      </c>
    </row>
    <row r="823" spans="1:24">
      <c r="A823" t="s">
        <v>931</v>
      </c>
      <c r="B823" s="163" t="s">
        <v>623</v>
      </c>
      <c r="C823" s="2" t="s">
        <v>77</v>
      </c>
      <c r="D823" s="2" t="s">
        <v>156</v>
      </c>
      <c r="E823" s="3">
        <v>45416.604166666664</v>
      </c>
      <c r="F823" s="2" t="s">
        <v>161</v>
      </c>
      <c r="G823" s="2" t="s">
        <v>345</v>
      </c>
      <c r="H823" s="2">
        <v>5.3</v>
      </c>
      <c r="I823" s="2">
        <v>20</v>
      </c>
      <c r="J823" s="2">
        <v>2.85</v>
      </c>
      <c r="K823" s="2">
        <v>27</v>
      </c>
      <c r="L823" s="2">
        <v>0</v>
      </c>
      <c r="M823" s="2">
        <v>10</v>
      </c>
      <c r="N823" s="2" t="s">
        <v>95</v>
      </c>
      <c r="O823" s="10">
        <v>2</v>
      </c>
      <c r="P823" s="14">
        <v>0</v>
      </c>
      <c r="Q823" s="183">
        <v>3</v>
      </c>
      <c r="R823" s="181">
        <v>0</v>
      </c>
      <c r="S823" s="178">
        <f t="shared" si="93"/>
        <v>2</v>
      </c>
      <c r="T823" s="186">
        <f t="shared" si="94"/>
        <v>3</v>
      </c>
      <c r="U823" s="179">
        <f t="shared" si="95"/>
        <v>1</v>
      </c>
      <c r="V823" s="1">
        <f t="shared" si="96"/>
        <v>25</v>
      </c>
      <c r="W823" s="8">
        <f t="shared" si="91"/>
        <v>6.25</v>
      </c>
      <c r="X823" s="15">
        <f t="shared" si="92"/>
        <v>4543.75</v>
      </c>
    </row>
    <row r="824" spans="1:24">
      <c r="A824" t="s">
        <v>931</v>
      </c>
      <c r="B824" s="163" t="s">
        <v>623</v>
      </c>
      <c r="C824" s="2" t="s">
        <v>13</v>
      </c>
      <c r="D824" s="2" t="s">
        <v>37</v>
      </c>
      <c r="E824" s="3">
        <v>45416.625</v>
      </c>
      <c r="F824" s="2" t="s">
        <v>99</v>
      </c>
      <c r="G824" s="2" t="s">
        <v>305</v>
      </c>
      <c r="H824" s="2">
        <v>3.25</v>
      </c>
      <c r="I824" s="2">
        <v>20</v>
      </c>
      <c r="J824" s="2">
        <v>2.9</v>
      </c>
      <c r="K824" s="2">
        <v>34</v>
      </c>
      <c r="L824" s="2">
        <v>2</v>
      </c>
      <c r="M824" s="2">
        <v>10</v>
      </c>
      <c r="N824" s="2" t="s">
        <v>95</v>
      </c>
      <c r="O824" s="10">
        <v>2</v>
      </c>
      <c r="P824" s="14">
        <v>0</v>
      </c>
      <c r="Q824" s="183">
        <v>3</v>
      </c>
      <c r="R824" s="181">
        <v>0</v>
      </c>
      <c r="S824" s="178">
        <f t="shared" si="93"/>
        <v>2</v>
      </c>
      <c r="T824" s="186">
        <f t="shared" si="94"/>
        <v>3</v>
      </c>
      <c r="U824" s="179">
        <f t="shared" si="95"/>
        <v>1</v>
      </c>
      <c r="V824" s="1">
        <f t="shared" si="96"/>
        <v>25</v>
      </c>
      <c r="W824" s="8">
        <f t="shared" ref="W824:W875" si="97">IF(N824="won",V824*0.25,-V824)</f>
        <v>6.25</v>
      </c>
      <c r="X824" s="15">
        <f t="shared" ref="X824:X876" si="98">SUM(X823,W824)</f>
        <v>4550</v>
      </c>
    </row>
    <row r="825" spans="1:24">
      <c r="A825" t="s">
        <v>931</v>
      </c>
      <c r="B825" s="163" t="s">
        <v>623</v>
      </c>
      <c r="C825" s="2" t="s">
        <v>119</v>
      </c>
      <c r="D825" s="2" t="s">
        <v>120</v>
      </c>
      <c r="E825" s="3">
        <v>45416.635416666664</v>
      </c>
      <c r="F825" s="2" t="s">
        <v>122</v>
      </c>
      <c r="G825" s="2" t="s">
        <v>569</v>
      </c>
      <c r="H825" s="2">
        <v>5.7</v>
      </c>
      <c r="I825" s="2">
        <v>20</v>
      </c>
      <c r="J825" s="2">
        <v>2.5499999999999998</v>
      </c>
      <c r="K825" s="2">
        <v>30</v>
      </c>
      <c r="L825" s="2">
        <v>3</v>
      </c>
      <c r="M825" s="2">
        <v>10</v>
      </c>
      <c r="N825" s="2" t="s">
        <v>95</v>
      </c>
      <c r="O825" s="10">
        <v>0</v>
      </c>
      <c r="P825" s="14">
        <v>0</v>
      </c>
      <c r="Q825" s="183">
        <v>3</v>
      </c>
      <c r="R825" s="181">
        <v>0</v>
      </c>
      <c r="S825" s="178">
        <f t="shared" si="93"/>
        <v>0</v>
      </c>
      <c r="T825" s="186">
        <f t="shared" si="94"/>
        <v>3</v>
      </c>
      <c r="U825" s="179">
        <f t="shared" si="95"/>
        <v>3</v>
      </c>
      <c r="V825" s="1">
        <f t="shared" si="96"/>
        <v>25</v>
      </c>
      <c r="W825" s="8">
        <f t="shared" si="97"/>
        <v>6.25</v>
      </c>
      <c r="X825" s="15">
        <f t="shared" si="98"/>
        <v>4556.25</v>
      </c>
    </row>
    <row r="826" spans="1:24">
      <c r="A826" t="s">
        <v>931</v>
      </c>
      <c r="B826" s="163" t="s">
        <v>623</v>
      </c>
      <c r="C826" s="2" t="s">
        <v>149</v>
      </c>
      <c r="D826" s="2" t="s">
        <v>153</v>
      </c>
      <c r="E826" s="3">
        <v>45424.5625</v>
      </c>
      <c r="F826" s="2" t="s">
        <v>363</v>
      </c>
      <c r="G826" s="2" t="s">
        <v>248</v>
      </c>
      <c r="H826" s="2">
        <v>3.35</v>
      </c>
      <c r="I826" s="2">
        <v>20</v>
      </c>
      <c r="J826" s="2">
        <v>2.85</v>
      </c>
      <c r="K826" s="2">
        <v>22</v>
      </c>
      <c r="L826" s="2">
        <v>1</v>
      </c>
      <c r="M826" s="2">
        <v>10</v>
      </c>
      <c r="N826" s="2" t="s">
        <v>95</v>
      </c>
      <c r="O826" s="10">
        <v>3</v>
      </c>
      <c r="P826" s="14">
        <v>0</v>
      </c>
      <c r="Q826" s="183">
        <v>3</v>
      </c>
      <c r="R826" s="181">
        <v>0</v>
      </c>
      <c r="S826" s="178">
        <f t="shared" si="93"/>
        <v>3</v>
      </c>
      <c r="T826" s="186">
        <f t="shared" si="94"/>
        <v>3</v>
      </c>
      <c r="U826" s="179">
        <f t="shared" si="95"/>
        <v>0</v>
      </c>
      <c r="V826" s="1">
        <f t="shared" si="96"/>
        <v>25</v>
      </c>
      <c r="W826" s="8">
        <f t="shared" si="97"/>
        <v>6.25</v>
      </c>
      <c r="X826" s="15">
        <f t="shared" si="98"/>
        <v>4562.5</v>
      </c>
    </row>
    <row r="827" spans="1:24">
      <c r="A827" t="s">
        <v>931</v>
      </c>
      <c r="B827" s="163" t="s">
        <v>623</v>
      </c>
      <c r="C827" s="2" t="s">
        <v>145</v>
      </c>
      <c r="D827" s="2" t="s">
        <v>268</v>
      </c>
      <c r="E827" s="3">
        <v>45429.822916666664</v>
      </c>
      <c r="F827" s="2" t="s">
        <v>485</v>
      </c>
      <c r="G827" s="2" t="s">
        <v>847</v>
      </c>
      <c r="H827" s="2">
        <v>4.3</v>
      </c>
      <c r="I827" s="2">
        <v>20</v>
      </c>
      <c r="J827" s="2">
        <v>1.95</v>
      </c>
      <c r="K827" s="2">
        <v>37</v>
      </c>
      <c r="L827" s="2">
        <v>0</v>
      </c>
      <c r="M827" s="2">
        <v>10</v>
      </c>
      <c r="N827" s="2" t="s">
        <v>95</v>
      </c>
      <c r="O827" s="10">
        <v>1</v>
      </c>
      <c r="P827" s="14">
        <v>0</v>
      </c>
      <c r="Q827" s="183">
        <v>3</v>
      </c>
      <c r="R827" s="181">
        <v>0</v>
      </c>
      <c r="S827" s="178">
        <f t="shared" si="93"/>
        <v>1</v>
      </c>
      <c r="T827" s="186">
        <f t="shared" si="94"/>
        <v>3</v>
      </c>
      <c r="U827" s="179">
        <f t="shared" si="95"/>
        <v>2</v>
      </c>
      <c r="V827" s="1">
        <f t="shared" si="96"/>
        <v>25</v>
      </c>
      <c r="W827" s="8">
        <f t="shared" si="97"/>
        <v>6.25</v>
      </c>
      <c r="X827" s="15">
        <f t="shared" si="98"/>
        <v>4568.75</v>
      </c>
    </row>
    <row r="828" spans="1:24">
      <c r="A828" t="s">
        <v>931</v>
      </c>
      <c r="B828" s="163" t="s">
        <v>623</v>
      </c>
      <c r="C828" s="2" t="s">
        <v>77</v>
      </c>
      <c r="D828" s="2" t="s">
        <v>156</v>
      </c>
      <c r="E828" s="3">
        <v>45430.604166666664</v>
      </c>
      <c r="F828" s="2" t="s">
        <v>325</v>
      </c>
      <c r="G828" s="2" t="s">
        <v>284</v>
      </c>
      <c r="H828" s="2">
        <v>2.78</v>
      </c>
      <c r="I828" s="2">
        <v>20</v>
      </c>
      <c r="J828" s="2">
        <v>3.2</v>
      </c>
      <c r="K828" s="2">
        <v>22</v>
      </c>
      <c r="L828" s="2">
        <v>2</v>
      </c>
      <c r="M828" s="2">
        <v>10</v>
      </c>
      <c r="N828" s="2" t="s">
        <v>95</v>
      </c>
      <c r="O828" s="10">
        <v>2</v>
      </c>
      <c r="P828" s="14">
        <v>0</v>
      </c>
      <c r="Q828" s="183">
        <v>2</v>
      </c>
      <c r="R828" s="181">
        <v>1</v>
      </c>
      <c r="S828" s="178">
        <f t="shared" si="93"/>
        <v>2</v>
      </c>
      <c r="T828" s="186">
        <f t="shared" si="94"/>
        <v>3</v>
      </c>
      <c r="U828" s="179">
        <f t="shared" si="95"/>
        <v>1</v>
      </c>
      <c r="V828" s="1">
        <f t="shared" si="96"/>
        <v>25</v>
      </c>
      <c r="W828" s="8">
        <f t="shared" si="97"/>
        <v>6.25</v>
      </c>
      <c r="X828" s="15">
        <f t="shared" si="98"/>
        <v>4575</v>
      </c>
    </row>
    <row r="829" spans="1:24">
      <c r="A829" t="s">
        <v>931</v>
      </c>
      <c r="B829" s="163" t="s">
        <v>623</v>
      </c>
      <c r="C829" s="2" t="s">
        <v>149</v>
      </c>
      <c r="D829" s="2" t="s">
        <v>153</v>
      </c>
      <c r="E829" s="3">
        <v>45431.5625</v>
      </c>
      <c r="F829" s="2" t="s">
        <v>395</v>
      </c>
      <c r="G829" s="2" t="s">
        <v>206</v>
      </c>
      <c r="H829" s="2">
        <v>6.4</v>
      </c>
      <c r="I829" s="2">
        <v>20</v>
      </c>
      <c r="J829" s="2">
        <v>3.1</v>
      </c>
      <c r="K829" s="2">
        <v>28</v>
      </c>
      <c r="L829" s="2">
        <v>2</v>
      </c>
      <c r="M829" s="2">
        <v>10</v>
      </c>
      <c r="N829" s="2" t="s">
        <v>95</v>
      </c>
      <c r="O829" s="10">
        <v>0</v>
      </c>
      <c r="P829" s="14">
        <v>0</v>
      </c>
      <c r="Q829" s="183">
        <v>2</v>
      </c>
      <c r="R829" s="181">
        <v>1</v>
      </c>
      <c r="S829" s="178">
        <f t="shared" si="93"/>
        <v>0</v>
      </c>
      <c r="T829" s="186">
        <f t="shared" si="94"/>
        <v>3</v>
      </c>
      <c r="U829" s="179">
        <f t="shared" si="95"/>
        <v>3</v>
      </c>
      <c r="V829" s="1">
        <f t="shared" si="96"/>
        <v>25</v>
      </c>
      <c r="W829" s="8">
        <f t="shared" si="97"/>
        <v>6.25</v>
      </c>
      <c r="X829" s="15">
        <f t="shared" si="98"/>
        <v>4581.25</v>
      </c>
    </row>
    <row r="830" spans="1:24">
      <c r="A830" t="s">
        <v>931</v>
      </c>
      <c r="B830" s="163" t="s">
        <v>623</v>
      </c>
      <c r="C830" s="2" t="s">
        <v>6</v>
      </c>
      <c r="D830" s="2" t="s">
        <v>62</v>
      </c>
      <c r="E830" s="3">
        <v>45431.666666666664</v>
      </c>
      <c r="F830" s="2" t="s">
        <v>73</v>
      </c>
      <c r="G830" s="2" t="s">
        <v>71</v>
      </c>
      <c r="H830" s="2">
        <v>2.74</v>
      </c>
      <c r="I830" s="2">
        <v>20</v>
      </c>
      <c r="J830" s="2">
        <v>2.9</v>
      </c>
      <c r="K830" s="2">
        <v>31</v>
      </c>
      <c r="L830" s="2">
        <v>3</v>
      </c>
      <c r="M830" s="2">
        <v>10</v>
      </c>
      <c r="N830" s="2" t="s">
        <v>95</v>
      </c>
      <c r="O830" s="10">
        <v>1</v>
      </c>
      <c r="P830" s="14">
        <v>1</v>
      </c>
      <c r="Q830" s="183">
        <v>2</v>
      </c>
      <c r="R830" s="181">
        <v>1</v>
      </c>
      <c r="S830" s="178">
        <f t="shared" si="93"/>
        <v>2</v>
      </c>
      <c r="T830" s="186">
        <f t="shared" si="94"/>
        <v>3</v>
      </c>
      <c r="U830" s="179">
        <f t="shared" si="95"/>
        <v>1</v>
      </c>
      <c r="V830" s="1">
        <f t="shared" si="96"/>
        <v>25</v>
      </c>
      <c r="W830" s="8">
        <f t="shared" si="97"/>
        <v>6.25</v>
      </c>
      <c r="X830" s="15">
        <f t="shared" si="98"/>
        <v>4587.5</v>
      </c>
    </row>
    <row r="831" spans="1:24">
      <c r="A831" t="s">
        <v>931</v>
      </c>
      <c r="B831" s="163" t="s">
        <v>623</v>
      </c>
      <c r="C831" s="2" t="s">
        <v>119</v>
      </c>
      <c r="D831" s="2" t="s">
        <v>120</v>
      </c>
      <c r="E831" s="3">
        <v>45431.75</v>
      </c>
      <c r="F831" s="2" t="s">
        <v>361</v>
      </c>
      <c r="G831" s="2" t="s">
        <v>852</v>
      </c>
      <c r="H831" s="2">
        <v>4.5</v>
      </c>
      <c r="I831" s="2">
        <v>20</v>
      </c>
      <c r="J831" s="2">
        <v>2.8</v>
      </c>
      <c r="K831" s="2">
        <v>42</v>
      </c>
      <c r="L831" s="2">
        <v>4</v>
      </c>
      <c r="M831" s="2">
        <v>10</v>
      </c>
      <c r="N831" s="2" t="s">
        <v>95</v>
      </c>
      <c r="O831" s="10">
        <v>1</v>
      </c>
      <c r="P831" s="14">
        <v>0</v>
      </c>
      <c r="Q831" s="183">
        <v>3</v>
      </c>
      <c r="R831" s="181">
        <v>0</v>
      </c>
      <c r="S831" s="178">
        <f t="shared" si="93"/>
        <v>1</v>
      </c>
      <c r="T831" s="186">
        <f t="shared" si="94"/>
        <v>3</v>
      </c>
      <c r="U831" s="179">
        <f t="shared" si="95"/>
        <v>2</v>
      </c>
      <c r="V831" s="1">
        <f t="shared" si="96"/>
        <v>25</v>
      </c>
      <c r="W831" s="8">
        <f t="shared" si="97"/>
        <v>6.25</v>
      </c>
      <c r="X831" s="15">
        <f t="shared" si="98"/>
        <v>4593.75</v>
      </c>
    </row>
    <row r="832" spans="1:24">
      <c r="A832" t="s">
        <v>931</v>
      </c>
      <c r="B832" s="163" t="s">
        <v>623</v>
      </c>
      <c r="C832" s="2" t="s">
        <v>145</v>
      </c>
      <c r="D832" s="2" t="s">
        <v>190</v>
      </c>
      <c r="E832" s="3">
        <v>45431.833333333336</v>
      </c>
      <c r="F832" s="2" t="s">
        <v>571</v>
      </c>
      <c r="G832" s="2" t="s">
        <v>192</v>
      </c>
      <c r="H832" s="2">
        <v>4.5999999999999996</v>
      </c>
      <c r="I832" s="2">
        <v>20</v>
      </c>
      <c r="J832" s="2">
        <v>2.8</v>
      </c>
      <c r="K832" s="2">
        <v>26</v>
      </c>
      <c r="L832" s="2">
        <v>1</v>
      </c>
      <c r="M832" s="2">
        <v>10</v>
      </c>
      <c r="N832" s="2" t="s">
        <v>95</v>
      </c>
      <c r="O832" s="10">
        <v>1</v>
      </c>
      <c r="P832" s="14">
        <v>0</v>
      </c>
      <c r="Q832" s="183">
        <v>2</v>
      </c>
      <c r="R832" s="181">
        <v>1</v>
      </c>
      <c r="S832" s="178">
        <f t="shared" si="93"/>
        <v>1</v>
      </c>
      <c r="T832" s="186">
        <f t="shared" si="94"/>
        <v>3</v>
      </c>
      <c r="U832" s="179">
        <f t="shared" si="95"/>
        <v>2</v>
      </c>
      <c r="V832" s="1">
        <f t="shared" si="96"/>
        <v>25</v>
      </c>
      <c r="W832" s="8">
        <f t="shared" si="97"/>
        <v>6.25</v>
      </c>
      <c r="X832" s="15">
        <f t="shared" si="98"/>
        <v>4600</v>
      </c>
    </row>
    <row r="833" spans="1:24">
      <c r="A833" t="s">
        <v>931</v>
      </c>
      <c r="B833" s="163" t="s">
        <v>498</v>
      </c>
      <c r="C833" s="2" t="s">
        <v>77</v>
      </c>
      <c r="D833" s="2" t="s">
        <v>234</v>
      </c>
      <c r="E833" s="3">
        <v>45354.520833333336</v>
      </c>
      <c r="F833" s="2" t="s">
        <v>499</v>
      </c>
      <c r="G833" s="2" t="s">
        <v>407</v>
      </c>
      <c r="H833" s="2">
        <v>66</v>
      </c>
      <c r="I833" s="2">
        <v>85</v>
      </c>
      <c r="J833" s="2">
        <v>1.4</v>
      </c>
      <c r="K833" s="2">
        <v>20</v>
      </c>
      <c r="L833" s="2"/>
      <c r="M833" s="2"/>
      <c r="N833" s="2" t="s">
        <v>95</v>
      </c>
      <c r="O833" s="10">
        <v>0</v>
      </c>
      <c r="P833" s="14">
        <v>1</v>
      </c>
      <c r="Q833" s="183">
        <v>0</v>
      </c>
      <c r="R833" s="187">
        <v>3</v>
      </c>
      <c r="S833" s="178">
        <f t="shared" ref="S833:S896" si="99">SUM(O833:P833)</f>
        <v>1</v>
      </c>
      <c r="T833" s="186">
        <f t="shared" ref="T833:T896" si="100">SUM(Q833:R833)</f>
        <v>3</v>
      </c>
      <c r="U833" s="179">
        <f t="shared" ref="U833:U896" si="101">SUM(T833-S833)</f>
        <v>2</v>
      </c>
      <c r="V833" s="1">
        <f t="shared" si="96"/>
        <v>25</v>
      </c>
      <c r="W833" s="8">
        <f t="shared" si="97"/>
        <v>6.25</v>
      </c>
      <c r="X833" s="15">
        <f t="shared" si="98"/>
        <v>4606.25</v>
      </c>
    </row>
    <row r="834" spans="1:24">
      <c r="A834" t="s">
        <v>931</v>
      </c>
      <c r="B834" s="163" t="s">
        <v>498</v>
      </c>
      <c r="C834" s="2" t="s">
        <v>20</v>
      </c>
      <c r="D834" s="2" t="s">
        <v>21</v>
      </c>
      <c r="E834" s="3">
        <v>45355.822916666664</v>
      </c>
      <c r="F834" s="2" t="s">
        <v>25</v>
      </c>
      <c r="G834" s="2" t="s">
        <v>24</v>
      </c>
      <c r="H834" s="2">
        <v>64</v>
      </c>
      <c r="I834" s="2">
        <v>80</v>
      </c>
      <c r="J834" s="2">
        <v>1.25</v>
      </c>
      <c r="K834" s="2">
        <v>20</v>
      </c>
      <c r="L834" s="2"/>
      <c r="M834" s="2"/>
      <c r="N834" s="2" t="s">
        <v>95</v>
      </c>
      <c r="O834" s="10">
        <v>2</v>
      </c>
      <c r="P834" s="14">
        <v>0</v>
      </c>
      <c r="Q834" s="183">
        <v>2</v>
      </c>
      <c r="R834" s="187">
        <v>1</v>
      </c>
      <c r="S834" s="178">
        <f t="shared" si="99"/>
        <v>2</v>
      </c>
      <c r="T834" s="186">
        <f t="shared" si="100"/>
        <v>3</v>
      </c>
      <c r="U834" s="179">
        <f t="shared" si="101"/>
        <v>1</v>
      </c>
      <c r="V834" s="1">
        <f t="shared" si="96"/>
        <v>25</v>
      </c>
      <c r="W834" s="8">
        <f t="shared" si="97"/>
        <v>6.25</v>
      </c>
      <c r="X834" s="15">
        <f t="shared" si="98"/>
        <v>4612.5</v>
      </c>
    </row>
    <row r="835" spans="1:24">
      <c r="A835" t="s">
        <v>931</v>
      </c>
      <c r="B835" s="163" t="s">
        <v>498</v>
      </c>
      <c r="C835" s="2" t="s">
        <v>6</v>
      </c>
      <c r="D835" s="2" t="s">
        <v>7</v>
      </c>
      <c r="E835" s="3">
        <v>45374.625</v>
      </c>
      <c r="F835" s="2" t="s">
        <v>8</v>
      </c>
      <c r="G835" s="2" t="s">
        <v>302</v>
      </c>
      <c r="H835" s="2">
        <v>63</v>
      </c>
      <c r="I835" s="2">
        <v>90</v>
      </c>
      <c r="J835" s="2">
        <v>2.1</v>
      </c>
      <c r="K835" s="2">
        <v>20</v>
      </c>
      <c r="L835" s="2"/>
      <c r="M835" s="2"/>
      <c r="N835" s="2" t="s">
        <v>95</v>
      </c>
      <c r="O835" s="10">
        <v>0</v>
      </c>
      <c r="P835" s="14">
        <v>1</v>
      </c>
      <c r="Q835" s="183">
        <v>1</v>
      </c>
      <c r="R835" s="187">
        <v>2</v>
      </c>
      <c r="S835" s="178">
        <f t="shared" si="99"/>
        <v>1</v>
      </c>
      <c r="T835" s="186">
        <f t="shared" si="100"/>
        <v>3</v>
      </c>
      <c r="U835" s="179">
        <f t="shared" si="101"/>
        <v>2</v>
      </c>
      <c r="V835" s="1">
        <f t="shared" si="96"/>
        <v>25</v>
      </c>
      <c r="W835" s="8">
        <f t="shared" si="97"/>
        <v>6.25</v>
      </c>
      <c r="X835" s="15">
        <f t="shared" si="98"/>
        <v>4618.75</v>
      </c>
    </row>
    <row r="836" spans="1:24">
      <c r="A836" t="s">
        <v>931</v>
      </c>
      <c r="B836" s="163" t="s">
        <v>498</v>
      </c>
      <c r="C836" s="2" t="s">
        <v>77</v>
      </c>
      <c r="D836" s="2" t="s">
        <v>234</v>
      </c>
      <c r="E836" s="3">
        <v>45382.520833333336</v>
      </c>
      <c r="F836" s="2" t="s">
        <v>555</v>
      </c>
      <c r="G836" s="2" t="s">
        <v>424</v>
      </c>
      <c r="H836" s="2">
        <v>67</v>
      </c>
      <c r="I836" s="2">
        <v>85</v>
      </c>
      <c r="J836" s="2">
        <v>1.45</v>
      </c>
      <c r="K836" s="2">
        <v>20</v>
      </c>
      <c r="L836" s="2"/>
      <c r="M836" s="2"/>
      <c r="N836" s="2" t="s">
        <v>95</v>
      </c>
      <c r="O836" s="10">
        <v>1</v>
      </c>
      <c r="P836" s="14">
        <v>0</v>
      </c>
      <c r="Q836" s="183">
        <v>2</v>
      </c>
      <c r="R836" s="187">
        <v>1</v>
      </c>
      <c r="S836" s="178">
        <f t="shared" si="99"/>
        <v>1</v>
      </c>
      <c r="T836" s="186">
        <f t="shared" si="100"/>
        <v>3</v>
      </c>
      <c r="U836" s="179">
        <f t="shared" si="101"/>
        <v>2</v>
      </c>
      <c r="V836" s="1">
        <f t="shared" si="96"/>
        <v>25</v>
      </c>
      <c r="W836" s="8">
        <f t="shared" si="97"/>
        <v>6.25</v>
      </c>
      <c r="X836" s="15">
        <f t="shared" si="98"/>
        <v>4625</v>
      </c>
    </row>
    <row r="837" spans="1:24">
      <c r="A837" t="s">
        <v>931</v>
      </c>
      <c r="B837" s="163" t="s">
        <v>498</v>
      </c>
      <c r="C837" s="2" t="s">
        <v>516</v>
      </c>
      <c r="D837" s="2" t="s">
        <v>78</v>
      </c>
      <c r="E837" s="3">
        <v>45387.354166666664</v>
      </c>
      <c r="F837" s="2" t="s">
        <v>518</v>
      </c>
      <c r="G837" s="2" t="s">
        <v>673</v>
      </c>
      <c r="H837" s="2">
        <v>67</v>
      </c>
      <c r="I837" s="2">
        <v>85</v>
      </c>
      <c r="J837" s="2">
        <v>1.75</v>
      </c>
      <c r="K837" s="2">
        <v>20</v>
      </c>
      <c r="L837" s="2"/>
      <c r="M837" s="2"/>
      <c r="N837" s="2" t="s">
        <v>95</v>
      </c>
      <c r="O837" s="10">
        <v>1</v>
      </c>
      <c r="P837" s="14">
        <v>1</v>
      </c>
      <c r="Q837" s="183">
        <v>1</v>
      </c>
      <c r="R837" s="187">
        <v>2</v>
      </c>
      <c r="S837" s="178">
        <f t="shared" si="99"/>
        <v>2</v>
      </c>
      <c r="T837" s="186">
        <f t="shared" si="100"/>
        <v>3</v>
      </c>
      <c r="U837" s="179">
        <f t="shared" si="101"/>
        <v>1</v>
      </c>
      <c r="V837" s="1">
        <f t="shared" si="96"/>
        <v>25</v>
      </c>
      <c r="W837" s="8">
        <f t="shared" si="97"/>
        <v>6.25</v>
      </c>
      <c r="X837" s="15">
        <f t="shared" si="98"/>
        <v>4631.25</v>
      </c>
    </row>
    <row r="838" spans="1:24">
      <c r="A838" t="s">
        <v>931</v>
      </c>
      <c r="B838" s="163" t="s">
        <v>498</v>
      </c>
      <c r="C838" s="2" t="s">
        <v>20</v>
      </c>
      <c r="D838" s="2" t="s">
        <v>322</v>
      </c>
      <c r="E838" s="3">
        <v>45388.635416666664</v>
      </c>
      <c r="F838" s="2" t="s">
        <v>333</v>
      </c>
      <c r="G838" s="2" t="s">
        <v>683</v>
      </c>
      <c r="H838" s="2">
        <v>63</v>
      </c>
      <c r="I838" s="2">
        <v>80</v>
      </c>
      <c r="J838" s="2">
        <v>1.4</v>
      </c>
      <c r="K838" s="2">
        <v>20</v>
      </c>
      <c r="L838" s="2"/>
      <c r="M838" s="2"/>
      <c r="N838" s="2" t="s">
        <v>95</v>
      </c>
      <c r="O838" s="10">
        <v>1</v>
      </c>
      <c r="P838" s="14">
        <v>0</v>
      </c>
      <c r="Q838" s="183">
        <v>1</v>
      </c>
      <c r="R838" s="187">
        <v>2</v>
      </c>
      <c r="S838" s="178">
        <f t="shared" si="99"/>
        <v>1</v>
      </c>
      <c r="T838" s="186">
        <f t="shared" si="100"/>
        <v>3</v>
      </c>
      <c r="U838" s="179">
        <f t="shared" si="101"/>
        <v>2</v>
      </c>
      <c r="V838" s="1">
        <f t="shared" si="96"/>
        <v>25</v>
      </c>
      <c r="W838" s="8">
        <f t="shared" si="97"/>
        <v>6.25</v>
      </c>
      <c r="X838" s="15">
        <f t="shared" si="98"/>
        <v>4637.5</v>
      </c>
    </row>
    <row r="839" spans="1:24">
      <c r="A839" t="s">
        <v>931</v>
      </c>
      <c r="B839" s="163" t="s">
        <v>498</v>
      </c>
      <c r="C839" s="2" t="s">
        <v>20</v>
      </c>
      <c r="D839" s="2" t="s">
        <v>21</v>
      </c>
      <c r="E839" s="3">
        <v>45390.822916666664</v>
      </c>
      <c r="F839" s="2" t="s">
        <v>100</v>
      </c>
      <c r="G839" s="2" t="s">
        <v>25</v>
      </c>
      <c r="H839" s="2">
        <v>64</v>
      </c>
      <c r="I839" s="2">
        <v>85</v>
      </c>
      <c r="J839" s="2">
        <v>1.45</v>
      </c>
      <c r="K839" s="2">
        <v>20</v>
      </c>
      <c r="L839" s="2"/>
      <c r="M839" s="2"/>
      <c r="N839" s="2" t="s">
        <v>95</v>
      </c>
      <c r="O839" s="10">
        <v>1</v>
      </c>
      <c r="P839" s="14">
        <v>0</v>
      </c>
      <c r="Q839" s="183">
        <v>1</v>
      </c>
      <c r="R839" s="187">
        <v>2</v>
      </c>
      <c r="S839" s="178">
        <f t="shared" si="99"/>
        <v>1</v>
      </c>
      <c r="T839" s="186">
        <f t="shared" si="100"/>
        <v>3</v>
      </c>
      <c r="U839" s="179">
        <f t="shared" si="101"/>
        <v>2</v>
      </c>
      <c r="V839" s="1">
        <f t="shared" si="96"/>
        <v>25</v>
      </c>
      <c r="W839" s="8">
        <f t="shared" si="97"/>
        <v>6.25</v>
      </c>
      <c r="X839" s="15">
        <f t="shared" si="98"/>
        <v>4643.75</v>
      </c>
    </row>
    <row r="840" spans="1:24">
      <c r="A840" t="s">
        <v>931</v>
      </c>
      <c r="B840" s="163" t="s">
        <v>498</v>
      </c>
      <c r="C840" s="2" t="s">
        <v>6</v>
      </c>
      <c r="D840" s="2" t="s">
        <v>14</v>
      </c>
      <c r="E840" s="3">
        <v>45402.625</v>
      </c>
      <c r="F840" s="2" t="s">
        <v>755</v>
      </c>
      <c r="G840" s="2" t="s">
        <v>56</v>
      </c>
      <c r="H840" s="2">
        <v>63</v>
      </c>
      <c r="I840" s="2">
        <v>80</v>
      </c>
      <c r="J840" s="2">
        <v>1.45</v>
      </c>
      <c r="K840" s="2">
        <v>20</v>
      </c>
      <c r="L840" s="2"/>
      <c r="M840" s="2"/>
      <c r="N840" s="2" t="s">
        <v>95</v>
      </c>
      <c r="O840" s="10">
        <v>0</v>
      </c>
      <c r="P840" s="14">
        <v>1</v>
      </c>
      <c r="Q840" s="183">
        <v>2</v>
      </c>
      <c r="R840" s="187">
        <v>1</v>
      </c>
      <c r="S840" s="178">
        <f t="shared" si="99"/>
        <v>1</v>
      </c>
      <c r="T840" s="186">
        <f t="shared" si="100"/>
        <v>3</v>
      </c>
      <c r="U840" s="179">
        <f t="shared" si="101"/>
        <v>2</v>
      </c>
      <c r="V840" s="1">
        <f t="shared" si="96"/>
        <v>25</v>
      </c>
      <c r="W840" s="8">
        <f t="shared" si="97"/>
        <v>6.25</v>
      </c>
      <c r="X840" s="15">
        <f t="shared" si="98"/>
        <v>4650</v>
      </c>
    </row>
    <row r="841" spans="1:24">
      <c r="A841" t="s">
        <v>931</v>
      </c>
      <c r="B841" s="163" t="s">
        <v>498</v>
      </c>
      <c r="C841" s="2" t="s">
        <v>58</v>
      </c>
      <c r="D841" s="2" t="s">
        <v>59</v>
      </c>
      <c r="E841" s="3">
        <v>45416.854166666664</v>
      </c>
      <c r="F841" s="2" t="s">
        <v>165</v>
      </c>
      <c r="G841" s="2" t="s">
        <v>172</v>
      </c>
      <c r="H841" s="2">
        <v>66</v>
      </c>
      <c r="I841" s="2">
        <v>90</v>
      </c>
      <c r="J841" s="2">
        <v>1.55</v>
      </c>
      <c r="K841" s="2">
        <v>20</v>
      </c>
      <c r="L841" s="2"/>
      <c r="M841" s="2"/>
      <c r="N841" s="2" t="s">
        <v>95</v>
      </c>
      <c r="O841" s="10">
        <v>0</v>
      </c>
      <c r="P841" s="14">
        <v>2</v>
      </c>
      <c r="Q841" s="183">
        <v>0</v>
      </c>
      <c r="R841" s="187">
        <v>3</v>
      </c>
      <c r="S841" s="178">
        <f t="shared" si="99"/>
        <v>2</v>
      </c>
      <c r="T841" s="186">
        <f t="shared" si="100"/>
        <v>3</v>
      </c>
      <c r="U841" s="179">
        <f t="shared" si="101"/>
        <v>1</v>
      </c>
      <c r="V841" s="1">
        <f t="shared" si="96"/>
        <v>25</v>
      </c>
      <c r="W841" s="8">
        <f t="shared" si="97"/>
        <v>6.25</v>
      </c>
      <c r="X841" s="15">
        <f t="shared" si="98"/>
        <v>4656.25</v>
      </c>
    </row>
    <row r="842" spans="1:24">
      <c r="A842" t="s">
        <v>931</v>
      </c>
      <c r="B842" s="163" t="s">
        <v>498</v>
      </c>
      <c r="C842" s="2" t="s">
        <v>13</v>
      </c>
      <c r="D842" s="2" t="s">
        <v>37</v>
      </c>
      <c r="E842" s="3">
        <v>45423.520833333336</v>
      </c>
      <c r="F842" s="2" t="s">
        <v>99</v>
      </c>
      <c r="G842" s="2" t="s">
        <v>79</v>
      </c>
      <c r="H842" s="2">
        <v>64</v>
      </c>
      <c r="I842" s="2">
        <v>80</v>
      </c>
      <c r="J842" s="2">
        <v>1.4</v>
      </c>
      <c r="K842" s="2">
        <v>20</v>
      </c>
      <c r="L842" s="2"/>
      <c r="M842" s="2"/>
      <c r="N842" s="2" t="s">
        <v>95</v>
      </c>
      <c r="O842" s="10">
        <v>2</v>
      </c>
      <c r="P842" s="14">
        <v>1</v>
      </c>
      <c r="Q842" s="183">
        <v>2</v>
      </c>
      <c r="R842" s="187">
        <v>1</v>
      </c>
      <c r="S842" s="178">
        <f t="shared" si="99"/>
        <v>3</v>
      </c>
      <c r="T842" s="186">
        <f t="shared" si="100"/>
        <v>3</v>
      </c>
      <c r="U842" s="179">
        <f t="shared" si="101"/>
        <v>0</v>
      </c>
      <c r="V842" s="1">
        <f t="shared" si="96"/>
        <v>25</v>
      </c>
      <c r="W842" s="8">
        <f t="shared" si="97"/>
        <v>6.25</v>
      </c>
      <c r="X842" s="15">
        <f t="shared" si="98"/>
        <v>4662.5</v>
      </c>
    </row>
    <row r="843" spans="1:24">
      <c r="A843" t="s">
        <v>931</v>
      </c>
      <c r="B843" s="163" t="s">
        <v>473</v>
      </c>
      <c r="C843" s="2" t="s">
        <v>6</v>
      </c>
      <c r="D843" s="2" t="s">
        <v>7</v>
      </c>
      <c r="E843" s="3">
        <v>45374.541666666664</v>
      </c>
      <c r="F843" s="2" t="s">
        <v>378</v>
      </c>
      <c r="G843" s="2" t="s">
        <v>619</v>
      </c>
      <c r="H843" s="2">
        <v>64</v>
      </c>
      <c r="I843" s="2">
        <v>85</v>
      </c>
      <c r="J843" s="2">
        <v>20</v>
      </c>
      <c r="K843" s="2">
        <v>2.85</v>
      </c>
      <c r="L843" s="2"/>
      <c r="M843" s="2"/>
      <c r="N843" s="2" t="s">
        <v>95</v>
      </c>
      <c r="O843" s="10">
        <v>1</v>
      </c>
      <c r="P843" s="14">
        <v>0</v>
      </c>
      <c r="Q843" s="183">
        <v>3</v>
      </c>
      <c r="R843" s="187">
        <v>0</v>
      </c>
      <c r="S843" s="178">
        <f t="shared" si="99"/>
        <v>1</v>
      </c>
      <c r="T843" s="186">
        <f t="shared" si="100"/>
        <v>3</v>
      </c>
      <c r="U843" s="179">
        <f t="shared" si="101"/>
        <v>2</v>
      </c>
      <c r="V843" s="1">
        <f t="shared" si="96"/>
        <v>25</v>
      </c>
      <c r="W843" s="8">
        <f t="shared" si="97"/>
        <v>6.25</v>
      </c>
      <c r="X843" s="15">
        <f t="shared" si="98"/>
        <v>4668.75</v>
      </c>
    </row>
    <row r="844" spans="1:24">
      <c r="A844" t="s">
        <v>931</v>
      </c>
      <c r="B844" s="163" t="s">
        <v>473</v>
      </c>
      <c r="C844" s="2" t="s">
        <v>516</v>
      </c>
      <c r="D844" s="2" t="s">
        <v>78</v>
      </c>
      <c r="E844" s="3">
        <v>45387.354166666664</v>
      </c>
      <c r="F844" s="2" t="s">
        <v>518</v>
      </c>
      <c r="G844" s="2" t="s">
        <v>673</v>
      </c>
      <c r="H844" s="2">
        <v>69</v>
      </c>
      <c r="I844" s="2">
        <v>85</v>
      </c>
      <c r="J844" s="2">
        <v>20</v>
      </c>
      <c r="K844" s="2">
        <v>2.75</v>
      </c>
      <c r="L844" s="2"/>
      <c r="M844" s="2"/>
      <c r="N844" s="2" t="s">
        <v>95</v>
      </c>
      <c r="O844" s="10">
        <v>1</v>
      </c>
      <c r="P844" s="14">
        <v>1</v>
      </c>
      <c r="Q844" s="183">
        <v>1</v>
      </c>
      <c r="R844" s="187">
        <v>2</v>
      </c>
      <c r="S844" s="178">
        <f t="shared" si="99"/>
        <v>2</v>
      </c>
      <c r="T844" s="186">
        <f t="shared" si="100"/>
        <v>3</v>
      </c>
      <c r="U844" s="179">
        <f t="shared" si="101"/>
        <v>1</v>
      </c>
      <c r="V844" s="1">
        <f t="shared" si="96"/>
        <v>25</v>
      </c>
      <c r="W844" s="8">
        <f t="shared" si="97"/>
        <v>6.25</v>
      </c>
      <c r="X844" s="15">
        <f t="shared" si="98"/>
        <v>4675</v>
      </c>
    </row>
    <row r="845" spans="1:24">
      <c r="A845" t="s">
        <v>931</v>
      </c>
      <c r="B845" s="163" t="s">
        <v>473</v>
      </c>
      <c r="C845" s="2" t="s">
        <v>13</v>
      </c>
      <c r="D845" s="2" t="s">
        <v>14</v>
      </c>
      <c r="E845" s="3">
        <v>45388.625</v>
      </c>
      <c r="F845" s="2" t="s">
        <v>29</v>
      </c>
      <c r="G845" s="2" t="s">
        <v>682</v>
      </c>
      <c r="H845" s="2">
        <v>64</v>
      </c>
      <c r="I845" s="2">
        <v>80</v>
      </c>
      <c r="J845" s="2">
        <v>20</v>
      </c>
      <c r="K845" s="2">
        <v>3.4</v>
      </c>
      <c r="L845" s="2"/>
      <c r="M845" s="2"/>
      <c r="N845" s="2" t="s">
        <v>95</v>
      </c>
      <c r="O845" s="10">
        <v>1</v>
      </c>
      <c r="P845" s="14">
        <v>0</v>
      </c>
      <c r="Q845" s="183">
        <v>2</v>
      </c>
      <c r="R845" s="187">
        <v>1</v>
      </c>
      <c r="S845" s="178">
        <f t="shared" si="99"/>
        <v>1</v>
      </c>
      <c r="T845" s="186">
        <f t="shared" si="100"/>
        <v>3</v>
      </c>
      <c r="U845" s="179">
        <f t="shared" si="101"/>
        <v>2</v>
      </c>
      <c r="V845" s="1">
        <f t="shared" si="96"/>
        <v>25</v>
      </c>
      <c r="W845" s="8">
        <f t="shared" si="97"/>
        <v>6.25</v>
      </c>
      <c r="X845" s="15">
        <f t="shared" si="98"/>
        <v>4681.25</v>
      </c>
    </row>
    <row r="846" spans="1:24">
      <c r="A846" t="s">
        <v>931</v>
      </c>
      <c r="B846" s="163" t="s">
        <v>473</v>
      </c>
      <c r="C846" s="2" t="s">
        <v>20</v>
      </c>
      <c r="D846" s="2" t="s">
        <v>21</v>
      </c>
      <c r="E846" s="3">
        <v>45389.708333333336</v>
      </c>
      <c r="F846" s="2" t="s">
        <v>335</v>
      </c>
      <c r="G846" s="2" t="s">
        <v>97</v>
      </c>
      <c r="H846" s="2">
        <v>66</v>
      </c>
      <c r="I846" s="2">
        <v>90</v>
      </c>
      <c r="J846" s="2">
        <v>20</v>
      </c>
      <c r="K846" s="2">
        <v>2.85</v>
      </c>
      <c r="L846" s="2"/>
      <c r="M846" s="2"/>
      <c r="N846" s="2" t="s">
        <v>95</v>
      </c>
      <c r="O846" s="10">
        <v>1</v>
      </c>
      <c r="P846" s="14">
        <v>1</v>
      </c>
      <c r="Q846" s="183">
        <v>2</v>
      </c>
      <c r="R846" s="187">
        <v>1</v>
      </c>
      <c r="S846" s="178">
        <f t="shared" si="99"/>
        <v>2</v>
      </c>
      <c r="T846" s="186">
        <f t="shared" si="100"/>
        <v>3</v>
      </c>
      <c r="U846" s="179">
        <f t="shared" si="101"/>
        <v>1</v>
      </c>
      <c r="V846" s="1">
        <f t="shared" si="96"/>
        <v>25</v>
      </c>
      <c r="W846" s="8">
        <f t="shared" si="97"/>
        <v>6.25</v>
      </c>
      <c r="X846" s="15">
        <f t="shared" si="98"/>
        <v>4687.5</v>
      </c>
    </row>
    <row r="847" spans="1:24">
      <c r="A847" t="s">
        <v>931</v>
      </c>
      <c r="B847" s="163" t="s">
        <v>473</v>
      </c>
      <c r="C847" s="2" t="s">
        <v>6</v>
      </c>
      <c r="D847" s="2" t="s">
        <v>7</v>
      </c>
      <c r="E847" s="3">
        <v>45391.822916666664</v>
      </c>
      <c r="F847" s="2" t="s">
        <v>705</v>
      </c>
      <c r="G847" s="2" t="s">
        <v>114</v>
      </c>
      <c r="H847" s="2">
        <v>65</v>
      </c>
      <c r="I847" s="2">
        <v>85</v>
      </c>
      <c r="J847" s="2">
        <v>20</v>
      </c>
      <c r="K847" s="2">
        <v>3.05</v>
      </c>
      <c r="L847" s="2"/>
      <c r="M847" s="2"/>
      <c r="N847" s="2" t="s">
        <v>95</v>
      </c>
      <c r="O847" s="10">
        <v>1</v>
      </c>
      <c r="P847" s="14">
        <v>0</v>
      </c>
      <c r="Q847" s="183">
        <v>2</v>
      </c>
      <c r="R847" s="187">
        <v>1</v>
      </c>
      <c r="S847" s="178">
        <f t="shared" si="99"/>
        <v>1</v>
      </c>
      <c r="T847" s="186">
        <f t="shared" si="100"/>
        <v>3</v>
      </c>
      <c r="U847" s="179">
        <f t="shared" si="101"/>
        <v>2</v>
      </c>
      <c r="V847" s="1">
        <f t="shared" si="96"/>
        <v>25</v>
      </c>
      <c r="W847" s="8">
        <f t="shared" si="97"/>
        <v>6.25</v>
      </c>
      <c r="X847" s="15">
        <f t="shared" si="98"/>
        <v>4693.75</v>
      </c>
    </row>
    <row r="848" spans="1:24">
      <c r="A848" t="s">
        <v>931</v>
      </c>
      <c r="B848" s="163" t="s">
        <v>473</v>
      </c>
      <c r="C848" s="2" t="s">
        <v>434</v>
      </c>
      <c r="D848" s="2" t="s">
        <v>435</v>
      </c>
      <c r="E848" s="3">
        <v>45428.791666666664</v>
      </c>
      <c r="F848" s="2" t="s">
        <v>476</v>
      </c>
      <c r="G848" s="2" t="s">
        <v>437</v>
      </c>
      <c r="H848" s="2">
        <v>64</v>
      </c>
      <c r="I848" s="2">
        <v>80</v>
      </c>
      <c r="J848" s="2">
        <v>20</v>
      </c>
      <c r="K848" s="2">
        <v>2.85</v>
      </c>
      <c r="L848" s="2"/>
      <c r="M848" s="2"/>
      <c r="N848" s="2" t="s">
        <v>95</v>
      </c>
      <c r="O848" s="10">
        <v>0</v>
      </c>
      <c r="P848" s="14">
        <v>2</v>
      </c>
      <c r="Q848" s="183">
        <v>1</v>
      </c>
      <c r="R848" s="187">
        <v>2</v>
      </c>
      <c r="S848" s="178">
        <f t="shared" si="99"/>
        <v>2</v>
      </c>
      <c r="T848" s="186">
        <f t="shared" si="100"/>
        <v>3</v>
      </c>
      <c r="U848" s="179">
        <f t="shared" si="101"/>
        <v>1</v>
      </c>
      <c r="V848" s="1">
        <f t="shared" si="96"/>
        <v>25</v>
      </c>
      <c r="W848" s="8">
        <f t="shared" si="97"/>
        <v>6.25</v>
      </c>
      <c r="X848" s="15">
        <f t="shared" si="98"/>
        <v>4700</v>
      </c>
    </row>
    <row r="849" spans="1:24">
      <c r="A849" t="s">
        <v>931</v>
      </c>
      <c r="B849" s="163" t="s">
        <v>474</v>
      </c>
      <c r="C849" s="2" t="s">
        <v>489</v>
      </c>
      <c r="D849" s="2" t="s">
        <v>490</v>
      </c>
      <c r="E849" s="3">
        <v>45355.708333333336</v>
      </c>
      <c r="F849" s="2" t="s">
        <v>491</v>
      </c>
      <c r="G849" s="2" t="s">
        <v>492</v>
      </c>
      <c r="H849" s="2">
        <v>54</v>
      </c>
      <c r="I849" s="2">
        <v>3.1</v>
      </c>
      <c r="J849" s="2">
        <v>20</v>
      </c>
      <c r="K849" s="2">
        <v>60</v>
      </c>
      <c r="L849" s="2">
        <v>90</v>
      </c>
      <c r="M849" s="2"/>
      <c r="N849" s="2" t="s">
        <v>95</v>
      </c>
      <c r="O849" s="10">
        <v>0</v>
      </c>
      <c r="P849" s="14">
        <v>1</v>
      </c>
      <c r="Q849" s="183">
        <v>1</v>
      </c>
      <c r="R849" s="187">
        <v>2</v>
      </c>
      <c r="S849" s="178">
        <f t="shared" si="99"/>
        <v>1</v>
      </c>
      <c r="T849" s="186">
        <f t="shared" si="100"/>
        <v>3</v>
      </c>
      <c r="U849" s="179">
        <f t="shared" si="101"/>
        <v>2</v>
      </c>
      <c r="V849" s="1">
        <f t="shared" si="96"/>
        <v>25</v>
      </c>
      <c r="W849" s="8">
        <f t="shared" si="97"/>
        <v>6.25</v>
      </c>
      <c r="X849" s="15">
        <f t="shared" si="98"/>
        <v>4706.25</v>
      </c>
    </row>
    <row r="850" spans="1:24">
      <c r="A850" t="s">
        <v>931</v>
      </c>
      <c r="B850" s="163" t="s">
        <v>474</v>
      </c>
      <c r="C850" s="2" t="s">
        <v>77</v>
      </c>
      <c r="D850" s="2" t="s">
        <v>156</v>
      </c>
      <c r="E850" s="3">
        <v>45381.604166666664</v>
      </c>
      <c r="F850" s="2" t="s">
        <v>325</v>
      </c>
      <c r="G850" s="2" t="s">
        <v>158</v>
      </c>
      <c r="H850" s="2">
        <v>50</v>
      </c>
      <c r="I850" s="2">
        <v>3.35</v>
      </c>
      <c r="J850" s="2">
        <v>20</v>
      </c>
      <c r="K850" s="2">
        <v>80</v>
      </c>
      <c r="L850" s="2">
        <v>95</v>
      </c>
      <c r="M850" s="2"/>
      <c r="N850" s="2" t="s">
        <v>95</v>
      </c>
      <c r="O850" s="10">
        <v>0</v>
      </c>
      <c r="P850" s="14">
        <v>1</v>
      </c>
      <c r="Q850" s="183">
        <v>2</v>
      </c>
      <c r="R850" s="187">
        <v>1</v>
      </c>
      <c r="S850" s="178">
        <f t="shared" si="99"/>
        <v>1</v>
      </c>
      <c r="T850" s="186">
        <f t="shared" si="100"/>
        <v>3</v>
      </c>
      <c r="U850" s="179">
        <f t="shared" si="101"/>
        <v>2</v>
      </c>
      <c r="V850" s="1">
        <f t="shared" si="96"/>
        <v>25</v>
      </c>
      <c r="W850" s="8">
        <f t="shared" si="97"/>
        <v>6.25</v>
      </c>
      <c r="X850" s="15">
        <f t="shared" si="98"/>
        <v>4712.5</v>
      </c>
    </row>
    <row r="851" spans="1:24">
      <c r="A851" t="s">
        <v>931</v>
      </c>
      <c r="B851" s="163" t="s">
        <v>474</v>
      </c>
      <c r="C851" s="2" t="s">
        <v>77</v>
      </c>
      <c r="D851" s="2" t="s">
        <v>234</v>
      </c>
      <c r="E851" s="3">
        <v>45388.5</v>
      </c>
      <c r="F851" s="2" t="s">
        <v>247</v>
      </c>
      <c r="G851" s="2" t="s">
        <v>631</v>
      </c>
      <c r="H851" s="2">
        <v>54</v>
      </c>
      <c r="I851" s="2">
        <v>3.3</v>
      </c>
      <c r="J851" s="2">
        <v>20</v>
      </c>
      <c r="K851" s="2">
        <v>65</v>
      </c>
      <c r="L851" s="2">
        <v>90</v>
      </c>
      <c r="M851" s="2"/>
      <c r="N851" s="2" t="s">
        <v>95</v>
      </c>
      <c r="O851" s="10">
        <v>1</v>
      </c>
      <c r="P851" s="14">
        <v>1</v>
      </c>
      <c r="Q851" s="183">
        <v>2</v>
      </c>
      <c r="R851" s="187">
        <v>1</v>
      </c>
      <c r="S851" s="178">
        <f t="shared" si="99"/>
        <v>2</v>
      </c>
      <c r="T851" s="186">
        <f t="shared" si="100"/>
        <v>3</v>
      </c>
      <c r="U851" s="179">
        <f t="shared" si="101"/>
        <v>1</v>
      </c>
      <c r="V851" s="1">
        <f t="shared" si="96"/>
        <v>25</v>
      </c>
      <c r="W851" s="8">
        <f t="shared" si="97"/>
        <v>6.25</v>
      </c>
      <c r="X851" s="15">
        <f t="shared" si="98"/>
        <v>4718.75</v>
      </c>
    </row>
    <row r="852" spans="1:24">
      <c r="A852" t="s">
        <v>931</v>
      </c>
      <c r="B852" s="163" t="s">
        <v>474</v>
      </c>
      <c r="C852" s="2" t="s">
        <v>6</v>
      </c>
      <c r="D852" s="2" t="s">
        <v>7</v>
      </c>
      <c r="E852" s="3">
        <v>45391.822916666664</v>
      </c>
      <c r="F852" s="2" t="s">
        <v>27</v>
      </c>
      <c r="G852" s="2" t="s">
        <v>18</v>
      </c>
      <c r="H852" s="2">
        <v>52</v>
      </c>
      <c r="I852" s="2">
        <v>3.05</v>
      </c>
      <c r="J852" s="2">
        <v>20</v>
      </c>
      <c r="K852" s="2">
        <v>65</v>
      </c>
      <c r="L852" s="2">
        <v>85</v>
      </c>
      <c r="M852" s="2"/>
      <c r="N852" s="2" t="s">
        <v>95</v>
      </c>
      <c r="O852" s="10">
        <v>1</v>
      </c>
      <c r="P852" s="14">
        <v>1</v>
      </c>
      <c r="Q852" s="183">
        <v>1</v>
      </c>
      <c r="R852" s="187">
        <v>2</v>
      </c>
      <c r="S852" s="178">
        <f t="shared" si="99"/>
        <v>2</v>
      </c>
      <c r="T852" s="186">
        <f t="shared" si="100"/>
        <v>3</v>
      </c>
      <c r="U852" s="179">
        <f t="shared" si="101"/>
        <v>1</v>
      </c>
      <c r="V852" s="1">
        <f t="shared" si="96"/>
        <v>25</v>
      </c>
      <c r="W852" s="8">
        <f t="shared" si="97"/>
        <v>6.25</v>
      </c>
      <c r="X852" s="15">
        <f t="shared" si="98"/>
        <v>4725</v>
      </c>
    </row>
    <row r="853" spans="1:24">
      <c r="A853" t="s">
        <v>931</v>
      </c>
      <c r="B853" s="163" t="s">
        <v>474</v>
      </c>
      <c r="C853" s="2" t="s">
        <v>77</v>
      </c>
      <c r="D853" s="2" t="s">
        <v>156</v>
      </c>
      <c r="E853" s="3">
        <v>45402.604166666664</v>
      </c>
      <c r="F853" s="2" t="s">
        <v>260</v>
      </c>
      <c r="G853" s="2" t="s">
        <v>181</v>
      </c>
      <c r="H853" s="2">
        <v>57</v>
      </c>
      <c r="I853" s="2">
        <v>3.45</v>
      </c>
      <c r="J853" s="2">
        <v>20</v>
      </c>
      <c r="K853" s="2">
        <v>65</v>
      </c>
      <c r="L853" s="2">
        <v>90</v>
      </c>
      <c r="M853" s="2"/>
      <c r="N853" s="2" t="s">
        <v>95</v>
      </c>
      <c r="O853" s="10">
        <v>0</v>
      </c>
      <c r="P853" s="14">
        <v>1</v>
      </c>
      <c r="Q853" s="183">
        <v>1</v>
      </c>
      <c r="R853" s="187">
        <v>2</v>
      </c>
      <c r="S853" s="178">
        <f t="shared" si="99"/>
        <v>1</v>
      </c>
      <c r="T853" s="186">
        <f t="shared" si="100"/>
        <v>3</v>
      </c>
      <c r="U853" s="179">
        <f t="shared" si="101"/>
        <v>2</v>
      </c>
      <c r="V853" s="1">
        <f t="shared" si="96"/>
        <v>25</v>
      </c>
      <c r="W853" s="8">
        <f t="shared" si="97"/>
        <v>6.25</v>
      </c>
      <c r="X853" s="15">
        <f t="shared" si="98"/>
        <v>4731.25</v>
      </c>
    </row>
    <row r="854" spans="1:24">
      <c r="A854" t="s">
        <v>931</v>
      </c>
      <c r="B854" s="163" t="s">
        <v>474</v>
      </c>
      <c r="C854" s="2" t="s">
        <v>133</v>
      </c>
      <c r="D854" s="2" t="s">
        <v>78</v>
      </c>
      <c r="E854" s="3">
        <v>45403.729166666664</v>
      </c>
      <c r="F854" s="2" t="s">
        <v>136</v>
      </c>
      <c r="G854" s="2" t="s">
        <v>447</v>
      </c>
      <c r="H854" s="2">
        <v>57</v>
      </c>
      <c r="I854" s="2">
        <v>3.35</v>
      </c>
      <c r="J854" s="2">
        <v>20</v>
      </c>
      <c r="K854" s="2">
        <v>70</v>
      </c>
      <c r="L854" s="2">
        <v>90</v>
      </c>
      <c r="M854" s="2"/>
      <c r="N854" s="2" t="s">
        <v>95</v>
      </c>
      <c r="O854" s="10">
        <v>1</v>
      </c>
      <c r="P854" s="14">
        <v>0</v>
      </c>
      <c r="Q854" s="183">
        <v>1</v>
      </c>
      <c r="R854" s="187">
        <v>2</v>
      </c>
      <c r="S854" s="178">
        <f t="shared" si="99"/>
        <v>1</v>
      </c>
      <c r="T854" s="186">
        <f t="shared" si="100"/>
        <v>3</v>
      </c>
      <c r="U854" s="179">
        <f t="shared" si="101"/>
        <v>2</v>
      </c>
      <c r="V854" s="1">
        <f t="shared" si="96"/>
        <v>25</v>
      </c>
      <c r="W854" s="8">
        <f t="shared" si="97"/>
        <v>6.25</v>
      </c>
      <c r="X854" s="15">
        <f t="shared" si="98"/>
        <v>4737.5</v>
      </c>
    </row>
    <row r="855" spans="1:24">
      <c r="A855" t="s">
        <v>931</v>
      </c>
      <c r="B855" s="163" t="s">
        <v>474</v>
      </c>
      <c r="C855" s="2" t="s">
        <v>67</v>
      </c>
      <c r="D855" s="2" t="s">
        <v>68</v>
      </c>
      <c r="E855" s="3">
        <v>45403.729166666664</v>
      </c>
      <c r="F855" s="2" t="s">
        <v>465</v>
      </c>
      <c r="G855" s="2" t="s">
        <v>265</v>
      </c>
      <c r="H855" s="2">
        <v>52</v>
      </c>
      <c r="I855" s="2">
        <v>3.05</v>
      </c>
      <c r="J855" s="2">
        <v>20</v>
      </c>
      <c r="K855" s="2">
        <v>70</v>
      </c>
      <c r="L855" s="2">
        <v>85</v>
      </c>
      <c r="M855" s="2"/>
      <c r="N855" s="2" t="s">
        <v>95</v>
      </c>
      <c r="O855" s="10">
        <v>0</v>
      </c>
      <c r="P855" s="14">
        <v>0</v>
      </c>
      <c r="Q855" s="183">
        <v>1</v>
      </c>
      <c r="R855" s="187">
        <v>2</v>
      </c>
      <c r="S855" s="178">
        <f t="shared" si="99"/>
        <v>0</v>
      </c>
      <c r="T855" s="186">
        <f t="shared" si="100"/>
        <v>3</v>
      </c>
      <c r="U855" s="179">
        <f t="shared" si="101"/>
        <v>3</v>
      </c>
      <c r="V855" s="1">
        <f t="shared" si="96"/>
        <v>25</v>
      </c>
      <c r="W855" s="8">
        <f t="shared" si="97"/>
        <v>6.25</v>
      </c>
      <c r="X855" s="15">
        <f t="shared" si="98"/>
        <v>4743.75</v>
      </c>
    </row>
    <row r="856" spans="1:24">
      <c r="A856" t="s">
        <v>931</v>
      </c>
      <c r="B856" s="163" t="s">
        <v>474</v>
      </c>
      <c r="C856" s="2" t="s">
        <v>296</v>
      </c>
      <c r="D856" s="2" t="s">
        <v>525</v>
      </c>
      <c r="E856" s="3">
        <v>45415.802083333336</v>
      </c>
      <c r="F856" s="2" t="s">
        <v>596</v>
      </c>
      <c r="G856" s="2" t="s">
        <v>527</v>
      </c>
      <c r="H856" s="2">
        <v>51</v>
      </c>
      <c r="I856" s="2">
        <v>3.5</v>
      </c>
      <c r="J856" s="2">
        <v>20</v>
      </c>
      <c r="K856" s="2">
        <v>70</v>
      </c>
      <c r="L856" s="2">
        <v>85</v>
      </c>
      <c r="M856" s="2"/>
      <c r="N856" s="2" t="s">
        <v>95</v>
      </c>
      <c r="O856" s="10">
        <v>0</v>
      </c>
      <c r="P856" s="14">
        <v>0</v>
      </c>
      <c r="Q856" s="183">
        <v>2</v>
      </c>
      <c r="R856" s="187">
        <v>1</v>
      </c>
      <c r="S856" s="178">
        <f t="shared" si="99"/>
        <v>0</v>
      </c>
      <c r="T856" s="186">
        <f t="shared" si="100"/>
        <v>3</v>
      </c>
      <c r="U856" s="179">
        <f t="shared" si="101"/>
        <v>3</v>
      </c>
      <c r="V856" s="1">
        <f t="shared" si="96"/>
        <v>25</v>
      </c>
      <c r="W856" s="8">
        <f t="shared" si="97"/>
        <v>6.25</v>
      </c>
      <c r="X856" s="15">
        <f t="shared" si="98"/>
        <v>4750</v>
      </c>
    </row>
    <row r="857" spans="1:24">
      <c r="A857" t="s">
        <v>931</v>
      </c>
      <c r="B857" s="163" t="s">
        <v>474</v>
      </c>
      <c r="C857" s="2" t="s">
        <v>77</v>
      </c>
      <c r="D857" s="2" t="s">
        <v>234</v>
      </c>
      <c r="E857" s="3">
        <v>45423.5</v>
      </c>
      <c r="F857" s="2" t="s">
        <v>328</v>
      </c>
      <c r="G857" s="2" t="s">
        <v>499</v>
      </c>
      <c r="H857" s="2">
        <v>52</v>
      </c>
      <c r="I857" s="2">
        <v>3.45</v>
      </c>
      <c r="J857" s="2">
        <v>20</v>
      </c>
      <c r="K857" s="2">
        <v>65</v>
      </c>
      <c r="L857" s="2">
        <v>90</v>
      </c>
      <c r="M857" s="2"/>
      <c r="N857" s="2" t="s">
        <v>95</v>
      </c>
      <c r="O857" s="10">
        <v>1</v>
      </c>
      <c r="P857" s="14">
        <v>0</v>
      </c>
      <c r="Q857" s="183">
        <v>3</v>
      </c>
      <c r="R857" s="187">
        <v>0</v>
      </c>
      <c r="S857" s="178">
        <f t="shared" si="99"/>
        <v>1</v>
      </c>
      <c r="T857" s="186">
        <f t="shared" si="100"/>
        <v>3</v>
      </c>
      <c r="U857" s="179">
        <f t="shared" si="101"/>
        <v>2</v>
      </c>
      <c r="V857" s="1">
        <f t="shared" si="96"/>
        <v>25</v>
      </c>
      <c r="W857" s="8">
        <f t="shared" si="97"/>
        <v>6.25</v>
      </c>
      <c r="X857" s="15">
        <f t="shared" si="98"/>
        <v>4756.25</v>
      </c>
    </row>
    <row r="858" spans="1:24">
      <c r="A858" t="s">
        <v>931</v>
      </c>
      <c r="B858" s="163" t="s">
        <v>474</v>
      </c>
      <c r="C858" s="2" t="s">
        <v>434</v>
      </c>
      <c r="D858" s="2" t="s">
        <v>435</v>
      </c>
      <c r="E858" s="3">
        <v>45424.708333333336</v>
      </c>
      <c r="F858" s="2" t="s">
        <v>437</v>
      </c>
      <c r="G858" s="2" t="s">
        <v>464</v>
      </c>
      <c r="H858" s="2">
        <v>52</v>
      </c>
      <c r="I858" s="2">
        <v>3.3</v>
      </c>
      <c r="J858" s="2">
        <v>20</v>
      </c>
      <c r="K858" s="2">
        <v>65</v>
      </c>
      <c r="L858" s="2">
        <v>85</v>
      </c>
      <c r="M858" s="2"/>
      <c r="N858" s="2" t="s">
        <v>95</v>
      </c>
      <c r="O858" s="10">
        <v>2</v>
      </c>
      <c r="P858" s="14">
        <v>1</v>
      </c>
      <c r="Q858" s="183">
        <v>2</v>
      </c>
      <c r="R858" s="187">
        <v>1</v>
      </c>
      <c r="S858" s="178">
        <f t="shared" si="99"/>
        <v>3</v>
      </c>
      <c r="T858" s="186">
        <f t="shared" si="100"/>
        <v>3</v>
      </c>
      <c r="U858" s="179">
        <f t="shared" si="101"/>
        <v>0</v>
      </c>
      <c r="V858" s="1">
        <f t="shared" si="96"/>
        <v>25</v>
      </c>
      <c r="W858" s="8">
        <f t="shared" si="97"/>
        <v>6.25</v>
      </c>
      <c r="X858" s="15">
        <f t="shared" si="98"/>
        <v>4762.5</v>
      </c>
    </row>
    <row r="859" spans="1:24">
      <c r="A859" t="s">
        <v>931</v>
      </c>
      <c r="B859" s="163" t="s">
        <v>474</v>
      </c>
      <c r="C859" s="2" t="s">
        <v>296</v>
      </c>
      <c r="D859" s="2" t="s">
        <v>525</v>
      </c>
      <c r="E859" s="3">
        <v>45432.552083333336</v>
      </c>
      <c r="F859" s="2" t="s">
        <v>529</v>
      </c>
      <c r="G859" s="2" t="s">
        <v>526</v>
      </c>
      <c r="H859" s="2">
        <v>56</v>
      </c>
      <c r="I859" s="2">
        <v>2.75</v>
      </c>
      <c r="J859" s="2">
        <v>20</v>
      </c>
      <c r="K859" s="2">
        <v>60</v>
      </c>
      <c r="L859" s="2">
        <v>85</v>
      </c>
      <c r="M859" s="2"/>
      <c r="N859" s="2" t="s">
        <v>95</v>
      </c>
      <c r="O859" s="10">
        <v>1</v>
      </c>
      <c r="P859" s="14">
        <v>0</v>
      </c>
      <c r="Q859" s="183">
        <v>3</v>
      </c>
      <c r="R859" s="187">
        <v>0</v>
      </c>
      <c r="S859" s="178">
        <f t="shared" si="99"/>
        <v>1</v>
      </c>
      <c r="T859" s="186">
        <f t="shared" si="100"/>
        <v>3</v>
      </c>
      <c r="U859" s="179">
        <f t="shared" si="101"/>
        <v>2</v>
      </c>
      <c r="V859" s="1">
        <f t="shared" si="96"/>
        <v>25</v>
      </c>
      <c r="W859" s="8">
        <f t="shared" si="97"/>
        <v>6.25</v>
      </c>
      <c r="X859" s="15">
        <f t="shared" si="98"/>
        <v>4768.75</v>
      </c>
    </row>
    <row r="860" spans="1:24">
      <c r="A860" t="s">
        <v>931</v>
      </c>
      <c r="B860" s="163" t="s">
        <v>177</v>
      </c>
      <c r="C860" s="2" t="s">
        <v>44</v>
      </c>
      <c r="D860" s="2" t="s">
        <v>45</v>
      </c>
      <c r="E860" s="3">
        <v>45314.333333333336</v>
      </c>
      <c r="F860" s="2" t="s">
        <v>52</v>
      </c>
      <c r="G860" s="2" t="s">
        <v>233</v>
      </c>
      <c r="H860" s="2">
        <v>3.75</v>
      </c>
      <c r="I860" s="2">
        <v>95</v>
      </c>
      <c r="J860" s="2">
        <v>75</v>
      </c>
      <c r="K860" s="2">
        <v>27</v>
      </c>
      <c r="L860" s="2">
        <v>50</v>
      </c>
      <c r="M860" s="2"/>
      <c r="N860" s="2" t="s">
        <v>95</v>
      </c>
      <c r="O860" s="10">
        <v>1</v>
      </c>
      <c r="P860" s="13">
        <v>0</v>
      </c>
      <c r="Q860" s="183">
        <v>3</v>
      </c>
      <c r="R860" s="181">
        <v>1</v>
      </c>
      <c r="S860" s="178">
        <f t="shared" si="99"/>
        <v>1</v>
      </c>
      <c r="T860" s="186">
        <f t="shared" si="100"/>
        <v>4</v>
      </c>
      <c r="U860" s="179">
        <f t="shared" si="101"/>
        <v>3</v>
      </c>
      <c r="V860" s="1">
        <f t="shared" si="96"/>
        <v>25</v>
      </c>
      <c r="W860" s="8">
        <f t="shared" si="97"/>
        <v>6.25</v>
      </c>
      <c r="X860" s="15">
        <f t="shared" si="98"/>
        <v>4775</v>
      </c>
    </row>
    <row r="861" spans="1:24">
      <c r="A861" t="s">
        <v>931</v>
      </c>
      <c r="B861" s="163" t="s">
        <v>177</v>
      </c>
      <c r="C861" s="2" t="s">
        <v>149</v>
      </c>
      <c r="D861" s="2" t="s">
        <v>153</v>
      </c>
      <c r="E861" s="3">
        <v>45319.5625</v>
      </c>
      <c r="F861" s="2" t="s">
        <v>369</v>
      </c>
      <c r="G861" s="2" t="s">
        <v>241</v>
      </c>
      <c r="H861" s="2">
        <v>3.5</v>
      </c>
      <c r="I861" s="2">
        <v>95</v>
      </c>
      <c r="J861" s="2">
        <v>75</v>
      </c>
      <c r="K861" s="2">
        <v>28</v>
      </c>
      <c r="L861" s="2">
        <v>55</v>
      </c>
      <c r="M861" s="2">
        <v>2.42</v>
      </c>
      <c r="N861" s="2" t="s">
        <v>95</v>
      </c>
      <c r="O861" s="10">
        <v>0</v>
      </c>
      <c r="P861" s="13">
        <v>1</v>
      </c>
      <c r="Q861" s="183">
        <v>2</v>
      </c>
      <c r="R861" s="181">
        <v>2</v>
      </c>
      <c r="S861" s="178">
        <f t="shared" si="99"/>
        <v>1</v>
      </c>
      <c r="T861" s="186">
        <f t="shared" si="100"/>
        <v>4</v>
      </c>
      <c r="U861" s="179">
        <f t="shared" si="101"/>
        <v>3</v>
      </c>
      <c r="V861" s="1">
        <f t="shared" si="96"/>
        <v>25</v>
      </c>
      <c r="W861" s="8">
        <f t="shared" si="97"/>
        <v>6.25</v>
      </c>
      <c r="X861" s="15">
        <f t="shared" si="98"/>
        <v>4781.25</v>
      </c>
    </row>
    <row r="862" spans="1:24">
      <c r="A862" t="s">
        <v>931</v>
      </c>
      <c r="B862" s="163" t="s">
        <v>177</v>
      </c>
      <c r="C862" s="2" t="s">
        <v>44</v>
      </c>
      <c r="D862" s="2" t="s">
        <v>45</v>
      </c>
      <c r="E862" s="3">
        <v>45332.364583333336</v>
      </c>
      <c r="F862" s="2" t="s">
        <v>180</v>
      </c>
      <c r="G862" s="2" t="s">
        <v>46</v>
      </c>
      <c r="H862" s="2">
        <v>3.5</v>
      </c>
      <c r="I862" s="2">
        <v>100</v>
      </c>
      <c r="J862" s="2">
        <v>75</v>
      </c>
      <c r="K862" s="2">
        <v>27</v>
      </c>
      <c r="L862" s="2">
        <v>55</v>
      </c>
      <c r="M862" s="2">
        <v>2.58</v>
      </c>
      <c r="N862" s="2" t="s">
        <v>95</v>
      </c>
      <c r="O862" s="10">
        <v>0</v>
      </c>
      <c r="P862" s="13">
        <v>3</v>
      </c>
      <c r="Q862" s="183">
        <v>1</v>
      </c>
      <c r="R862" s="181">
        <v>3</v>
      </c>
      <c r="S862" s="178">
        <f t="shared" si="99"/>
        <v>3</v>
      </c>
      <c r="T862" s="186">
        <f t="shared" si="100"/>
        <v>4</v>
      </c>
      <c r="U862" s="179">
        <f t="shared" si="101"/>
        <v>1</v>
      </c>
      <c r="V862" s="1">
        <f t="shared" si="96"/>
        <v>25</v>
      </c>
      <c r="W862" s="8">
        <f t="shared" si="97"/>
        <v>6.25</v>
      </c>
      <c r="X862" s="15">
        <f t="shared" si="98"/>
        <v>4787.5</v>
      </c>
    </row>
    <row r="863" spans="1:24">
      <c r="A863" t="s">
        <v>931</v>
      </c>
      <c r="B863" s="163" t="s">
        <v>177</v>
      </c>
      <c r="C863" s="2" t="s">
        <v>6</v>
      </c>
      <c r="D863" s="2" t="s">
        <v>7</v>
      </c>
      <c r="E863" s="3">
        <v>45332.625</v>
      </c>
      <c r="F863" s="2" t="s">
        <v>113</v>
      </c>
      <c r="G863" s="2" t="s">
        <v>18</v>
      </c>
      <c r="H863" s="2">
        <v>3.85</v>
      </c>
      <c r="I863" s="2">
        <v>95</v>
      </c>
      <c r="J863" s="2">
        <v>75</v>
      </c>
      <c r="K863" s="2">
        <v>28</v>
      </c>
      <c r="L863" s="2">
        <v>50</v>
      </c>
      <c r="M863" s="2">
        <v>2.61</v>
      </c>
      <c r="N863" s="2" t="s">
        <v>95</v>
      </c>
      <c r="O863" s="10">
        <v>0</v>
      </c>
      <c r="P863" s="13">
        <v>3</v>
      </c>
      <c r="Q863" s="183">
        <v>1</v>
      </c>
      <c r="R863" s="181">
        <v>3</v>
      </c>
      <c r="S863" s="178">
        <f t="shared" si="99"/>
        <v>3</v>
      </c>
      <c r="T863" s="186">
        <f t="shared" si="100"/>
        <v>4</v>
      </c>
      <c r="U863" s="179">
        <f t="shared" si="101"/>
        <v>1</v>
      </c>
      <c r="V863" s="1">
        <f t="shared" si="96"/>
        <v>25</v>
      </c>
      <c r="W863" s="8">
        <f t="shared" si="97"/>
        <v>6.25</v>
      </c>
      <c r="X863" s="15">
        <f t="shared" si="98"/>
        <v>4793.75</v>
      </c>
    </row>
    <row r="864" spans="1:24">
      <c r="A864" t="s">
        <v>931</v>
      </c>
      <c r="B864" s="163" t="s">
        <v>177</v>
      </c>
      <c r="C864" s="2" t="s">
        <v>6</v>
      </c>
      <c r="D864" s="2" t="s">
        <v>14</v>
      </c>
      <c r="E864" s="3">
        <v>45336.822916666664</v>
      </c>
      <c r="F864" s="2" t="s">
        <v>57</v>
      </c>
      <c r="G864" s="2" t="s">
        <v>376</v>
      </c>
      <c r="H864" s="2">
        <v>3.5</v>
      </c>
      <c r="I864" s="2">
        <v>95</v>
      </c>
      <c r="J864" s="2">
        <v>75</v>
      </c>
      <c r="K864" s="2">
        <v>32</v>
      </c>
      <c r="L864" s="2">
        <v>55</v>
      </c>
      <c r="M864" s="2">
        <v>2.9</v>
      </c>
      <c r="N864" s="2" t="s">
        <v>95</v>
      </c>
      <c r="O864" s="10">
        <v>0</v>
      </c>
      <c r="P864" s="14">
        <v>0</v>
      </c>
      <c r="Q864" s="183">
        <v>2</v>
      </c>
      <c r="R864" s="181">
        <v>2</v>
      </c>
      <c r="S864" s="178">
        <f t="shared" si="99"/>
        <v>0</v>
      </c>
      <c r="T864" s="186">
        <f t="shared" si="100"/>
        <v>4</v>
      </c>
      <c r="U864" s="179">
        <f t="shared" si="101"/>
        <v>4</v>
      </c>
      <c r="V864" s="1">
        <f t="shared" si="96"/>
        <v>25</v>
      </c>
      <c r="W864" s="8">
        <f t="shared" si="97"/>
        <v>6.25</v>
      </c>
      <c r="X864" s="15">
        <f t="shared" si="98"/>
        <v>4800</v>
      </c>
    </row>
    <row r="865" spans="1:30">
      <c r="A865" t="s">
        <v>931</v>
      </c>
      <c r="B865" s="163" t="s">
        <v>177</v>
      </c>
      <c r="C865" s="2" t="s">
        <v>6</v>
      </c>
      <c r="D865" s="2" t="s">
        <v>62</v>
      </c>
      <c r="E865" s="3">
        <v>45353.625</v>
      </c>
      <c r="F865" s="2" t="s">
        <v>63</v>
      </c>
      <c r="G865" s="2" t="s">
        <v>65</v>
      </c>
      <c r="H865" s="2">
        <v>3.9</v>
      </c>
      <c r="I865" s="2">
        <v>95</v>
      </c>
      <c r="J865" s="2">
        <v>85</v>
      </c>
      <c r="K865" s="2">
        <v>28</v>
      </c>
      <c r="L865" s="2">
        <v>55</v>
      </c>
      <c r="M865" s="2">
        <v>3.15</v>
      </c>
      <c r="N865" s="2" t="s">
        <v>95</v>
      </c>
      <c r="O865" s="10">
        <v>0</v>
      </c>
      <c r="P865" s="14">
        <v>1</v>
      </c>
      <c r="Q865" s="183">
        <v>2</v>
      </c>
      <c r="R865" s="181">
        <v>2</v>
      </c>
      <c r="S865" s="178">
        <f t="shared" si="99"/>
        <v>1</v>
      </c>
      <c r="T865" s="186">
        <f t="shared" si="100"/>
        <v>4</v>
      </c>
      <c r="U865" s="179">
        <f t="shared" si="101"/>
        <v>3</v>
      </c>
      <c r="V865" s="1">
        <f t="shared" si="96"/>
        <v>25</v>
      </c>
      <c r="W865" s="8">
        <f t="shared" si="97"/>
        <v>6.25</v>
      </c>
      <c r="X865" s="15">
        <f t="shared" si="98"/>
        <v>4806.25</v>
      </c>
    </row>
    <row r="866" spans="1:30">
      <c r="A866" t="s">
        <v>931</v>
      </c>
      <c r="B866" s="163" t="s">
        <v>177</v>
      </c>
      <c r="C866" s="2" t="s">
        <v>6</v>
      </c>
      <c r="D866" s="2" t="s">
        <v>62</v>
      </c>
      <c r="E866" s="3">
        <v>45389.729166666664</v>
      </c>
      <c r="F866" s="2" t="s">
        <v>85</v>
      </c>
      <c r="G866" s="2" t="s">
        <v>65</v>
      </c>
      <c r="H866" s="2">
        <v>3.95</v>
      </c>
      <c r="I866" s="2">
        <v>95</v>
      </c>
      <c r="J866" s="2">
        <v>80</v>
      </c>
      <c r="K866" s="2">
        <v>30</v>
      </c>
      <c r="L866" s="2">
        <v>50</v>
      </c>
      <c r="M866" s="2">
        <v>3.24</v>
      </c>
      <c r="N866" s="2" t="s">
        <v>95</v>
      </c>
      <c r="O866" s="10">
        <v>1</v>
      </c>
      <c r="P866" s="14">
        <v>1</v>
      </c>
      <c r="Q866" s="183">
        <v>2</v>
      </c>
      <c r="R866" s="181">
        <v>2</v>
      </c>
      <c r="S866" s="178">
        <f t="shared" si="99"/>
        <v>2</v>
      </c>
      <c r="T866" s="186">
        <f t="shared" si="100"/>
        <v>4</v>
      </c>
      <c r="U866" s="179">
        <f t="shared" si="101"/>
        <v>2</v>
      </c>
      <c r="V866" s="1">
        <f t="shared" si="96"/>
        <v>25</v>
      </c>
      <c r="W866" s="8">
        <f t="shared" si="97"/>
        <v>6.25</v>
      </c>
      <c r="X866" s="15">
        <f t="shared" si="98"/>
        <v>4812.5</v>
      </c>
    </row>
    <row r="867" spans="1:30">
      <c r="A867" t="s">
        <v>931</v>
      </c>
      <c r="B867" s="163" t="s">
        <v>177</v>
      </c>
      <c r="C867" s="2" t="s">
        <v>77</v>
      </c>
      <c r="D867" s="2" t="s">
        <v>156</v>
      </c>
      <c r="E867" s="3">
        <v>45416.604166666664</v>
      </c>
      <c r="F867" s="2" t="s">
        <v>168</v>
      </c>
      <c r="G867" s="2" t="s">
        <v>157</v>
      </c>
      <c r="H867" s="2">
        <v>3.95</v>
      </c>
      <c r="I867" s="2">
        <v>95</v>
      </c>
      <c r="J867" s="2">
        <v>75</v>
      </c>
      <c r="K867" s="2">
        <v>27</v>
      </c>
      <c r="L867" s="2">
        <v>65</v>
      </c>
      <c r="M867" s="2">
        <v>3.77</v>
      </c>
      <c r="N867" s="2" t="s">
        <v>95</v>
      </c>
      <c r="O867" s="10">
        <v>1</v>
      </c>
      <c r="P867" s="14">
        <v>1</v>
      </c>
      <c r="Q867" s="183">
        <v>3</v>
      </c>
      <c r="R867" s="181">
        <v>1</v>
      </c>
      <c r="S867" s="178">
        <f t="shared" si="99"/>
        <v>2</v>
      </c>
      <c r="T867" s="186">
        <f t="shared" si="100"/>
        <v>4</v>
      </c>
      <c r="U867" s="179">
        <f t="shared" si="101"/>
        <v>2</v>
      </c>
      <c r="V867" s="1">
        <f t="shared" si="96"/>
        <v>25</v>
      </c>
      <c r="W867" s="8">
        <f t="shared" si="97"/>
        <v>6.25</v>
      </c>
      <c r="X867" s="15">
        <f t="shared" si="98"/>
        <v>4818.75</v>
      </c>
    </row>
    <row r="868" spans="1:30">
      <c r="A868" t="s">
        <v>931</v>
      </c>
      <c r="B868" s="163" t="s">
        <v>406</v>
      </c>
      <c r="C868" s="2" t="s">
        <v>6</v>
      </c>
      <c r="D868" s="2" t="s">
        <v>14</v>
      </c>
      <c r="E868" s="3">
        <v>45321.822916666664</v>
      </c>
      <c r="F868" s="2" t="s">
        <v>290</v>
      </c>
      <c r="G868" s="2" t="s">
        <v>377</v>
      </c>
      <c r="H868" s="2">
        <v>1.32</v>
      </c>
      <c r="I868" s="2">
        <v>12</v>
      </c>
      <c r="J868" s="2">
        <v>3.15</v>
      </c>
      <c r="K868" s="2">
        <v>4.7</v>
      </c>
      <c r="L868" s="2">
        <v>2.95</v>
      </c>
      <c r="M868" s="2"/>
      <c r="N868" s="2" t="s">
        <v>95</v>
      </c>
      <c r="O868" s="10">
        <v>1</v>
      </c>
      <c r="P868" s="13">
        <v>0</v>
      </c>
      <c r="Q868" s="183">
        <v>3</v>
      </c>
      <c r="R868" s="181">
        <v>1</v>
      </c>
      <c r="S868" s="178">
        <f t="shared" si="99"/>
        <v>1</v>
      </c>
      <c r="T868" s="186">
        <f t="shared" si="100"/>
        <v>4</v>
      </c>
      <c r="U868" s="179">
        <f t="shared" si="101"/>
        <v>3</v>
      </c>
      <c r="V868" s="1">
        <f t="shared" si="96"/>
        <v>25</v>
      </c>
      <c r="W868" s="8">
        <f t="shared" si="97"/>
        <v>6.25</v>
      </c>
      <c r="X868" s="15">
        <f t="shared" si="98"/>
        <v>4825</v>
      </c>
    </row>
    <row r="869" spans="1:30">
      <c r="A869" t="s">
        <v>931</v>
      </c>
      <c r="B869" s="163" t="s">
        <v>406</v>
      </c>
      <c r="C869" s="2" t="s">
        <v>67</v>
      </c>
      <c r="D869" s="2" t="s">
        <v>68</v>
      </c>
      <c r="E869" s="3">
        <v>45332.822916666664</v>
      </c>
      <c r="F869" s="2" t="s">
        <v>265</v>
      </c>
      <c r="G869" s="2" t="s">
        <v>88</v>
      </c>
      <c r="H869" s="2">
        <v>1.25</v>
      </c>
      <c r="I869" s="2">
        <v>14.5</v>
      </c>
      <c r="J869" s="2">
        <v>2.65</v>
      </c>
      <c r="K869" s="2">
        <v>3.6</v>
      </c>
      <c r="L869" s="2">
        <v>2.38</v>
      </c>
      <c r="M869" s="2"/>
      <c r="N869" s="2" t="s">
        <v>95</v>
      </c>
      <c r="O869" s="10">
        <v>2</v>
      </c>
      <c r="P869" s="13">
        <v>0</v>
      </c>
      <c r="Q869" s="183">
        <v>4</v>
      </c>
      <c r="R869" s="181">
        <v>0</v>
      </c>
      <c r="S869" s="178">
        <f t="shared" si="99"/>
        <v>2</v>
      </c>
      <c r="T869" s="186">
        <f t="shared" si="100"/>
        <v>4</v>
      </c>
      <c r="U869" s="179">
        <f t="shared" si="101"/>
        <v>2</v>
      </c>
      <c r="V869" s="1">
        <f t="shared" si="96"/>
        <v>25</v>
      </c>
      <c r="W869" s="8">
        <f t="shared" si="97"/>
        <v>6.25</v>
      </c>
      <c r="X869" s="15">
        <f t="shared" si="98"/>
        <v>4831.25</v>
      </c>
    </row>
    <row r="870" spans="1:30">
      <c r="A870" t="s">
        <v>931</v>
      </c>
      <c r="B870" s="163" t="s">
        <v>406</v>
      </c>
      <c r="C870" s="2" t="s">
        <v>67</v>
      </c>
      <c r="D870" s="2" t="s">
        <v>68</v>
      </c>
      <c r="E870" s="3">
        <v>45339.625</v>
      </c>
      <c r="F870" s="2" t="s">
        <v>343</v>
      </c>
      <c r="G870" s="2" t="s">
        <v>439</v>
      </c>
      <c r="H870" s="2">
        <v>1.32</v>
      </c>
      <c r="I870" s="2">
        <v>11</v>
      </c>
      <c r="J870" s="2">
        <v>3.35</v>
      </c>
      <c r="K870" s="2">
        <v>3.95</v>
      </c>
      <c r="L870" s="2">
        <v>2.41</v>
      </c>
      <c r="M870" s="2"/>
      <c r="N870" s="2" t="s">
        <v>95</v>
      </c>
      <c r="O870" s="10">
        <v>2</v>
      </c>
      <c r="P870" s="14">
        <v>1</v>
      </c>
      <c r="Q870" s="183">
        <v>3</v>
      </c>
      <c r="R870" s="181">
        <v>1</v>
      </c>
      <c r="S870" s="178">
        <f t="shared" si="99"/>
        <v>3</v>
      </c>
      <c r="T870" s="186">
        <f t="shared" si="100"/>
        <v>4</v>
      </c>
      <c r="U870" s="179">
        <f t="shared" si="101"/>
        <v>1</v>
      </c>
      <c r="V870" s="1">
        <f t="shared" si="96"/>
        <v>25</v>
      </c>
      <c r="W870" s="8">
        <f t="shared" si="97"/>
        <v>6.25</v>
      </c>
      <c r="X870" s="15">
        <f t="shared" si="98"/>
        <v>4837.5</v>
      </c>
    </row>
    <row r="871" spans="1:30">
      <c r="A871" t="s">
        <v>931</v>
      </c>
      <c r="B871" s="163" t="s">
        <v>406</v>
      </c>
      <c r="C871" s="2" t="s">
        <v>6</v>
      </c>
      <c r="D871" s="2" t="s">
        <v>62</v>
      </c>
      <c r="E871" s="3">
        <v>45354.645833333336</v>
      </c>
      <c r="F871" s="2" t="s">
        <v>72</v>
      </c>
      <c r="G871" s="2" t="s">
        <v>383</v>
      </c>
      <c r="H871" s="2">
        <v>1.31</v>
      </c>
      <c r="I871" s="2">
        <v>11</v>
      </c>
      <c r="J871" s="2">
        <v>2.95</v>
      </c>
      <c r="K871" s="2">
        <v>3.45</v>
      </c>
      <c r="L871" s="2">
        <v>2.94</v>
      </c>
      <c r="M871" s="2"/>
      <c r="N871" s="2" t="s">
        <v>95</v>
      </c>
      <c r="O871" s="10">
        <v>0</v>
      </c>
      <c r="P871" s="14">
        <v>1</v>
      </c>
      <c r="Q871" s="183">
        <v>3</v>
      </c>
      <c r="R871" s="181">
        <v>1</v>
      </c>
      <c r="S871" s="178">
        <f t="shared" si="99"/>
        <v>1</v>
      </c>
      <c r="T871" s="186">
        <f t="shared" si="100"/>
        <v>4</v>
      </c>
      <c r="U871" s="179">
        <f t="shared" si="101"/>
        <v>3</v>
      </c>
      <c r="V871" s="1">
        <f t="shared" ref="V871:V875" si="102">SUM($X$1*0.05)</f>
        <v>25</v>
      </c>
      <c r="W871" s="8">
        <f t="shared" si="97"/>
        <v>6.25</v>
      </c>
      <c r="X871" s="15">
        <f t="shared" si="98"/>
        <v>4843.75</v>
      </c>
    </row>
    <row r="872" spans="1:30">
      <c r="A872" t="s">
        <v>931</v>
      </c>
      <c r="B872" s="163" t="s">
        <v>406</v>
      </c>
      <c r="C872" s="2" t="s">
        <v>119</v>
      </c>
      <c r="D872" s="2" t="s">
        <v>120</v>
      </c>
      <c r="E872" s="3">
        <v>45361.729166666664</v>
      </c>
      <c r="F872" s="2" t="s">
        <v>122</v>
      </c>
      <c r="G872" s="2" t="s">
        <v>479</v>
      </c>
      <c r="H872" s="2">
        <v>1.32</v>
      </c>
      <c r="I872" s="2">
        <v>12</v>
      </c>
      <c r="J872" s="2">
        <v>3</v>
      </c>
      <c r="K872" s="2">
        <v>4.8</v>
      </c>
      <c r="L872" s="2">
        <v>2.84</v>
      </c>
      <c r="M872" s="2"/>
      <c r="N872" s="2" t="s">
        <v>95</v>
      </c>
      <c r="O872" s="10">
        <v>1</v>
      </c>
      <c r="P872" s="14">
        <v>0</v>
      </c>
      <c r="Q872" s="183">
        <v>4</v>
      </c>
      <c r="R872" s="181">
        <v>0</v>
      </c>
      <c r="S872" s="178">
        <f t="shared" si="99"/>
        <v>1</v>
      </c>
      <c r="T872" s="186">
        <f t="shared" si="100"/>
        <v>4</v>
      </c>
      <c r="U872" s="179">
        <f t="shared" si="101"/>
        <v>3</v>
      </c>
      <c r="V872" s="1">
        <f t="shared" si="102"/>
        <v>25</v>
      </c>
      <c r="W872" s="8">
        <f t="shared" si="97"/>
        <v>6.25</v>
      </c>
      <c r="X872" s="15">
        <f t="shared" si="98"/>
        <v>4850</v>
      </c>
    </row>
    <row r="873" spans="1:30">
      <c r="A873" t="s">
        <v>931</v>
      </c>
      <c r="B873" s="163" t="s">
        <v>406</v>
      </c>
      <c r="C873" s="2" t="s">
        <v>145</v>
      </c>
      <c r="D873" s="2" t="s">
        <v>190</v>
      </c>
      <c r="E873" s="3">
        <v>45368.583333333336</v>
      </c>
      <c r="F873" s="2" t="s">
        <v>364</v>
      </c>
      <c r="G873" s="2" t="s">
        <v>227</v>
      </c>
      <c r="H873" s="2">
        <v>1.36</v>
      </c>
      <c r="I873" s="2">
        <v>10</v>
      </c>
      <c r="J873" s="2">
        <v>2.9</v>
      </c>
      <c r="K873" s="2">
        <v>4.3</v>
      </c>
      <c r="L873" s="2">
        <v>2.4</v>
      </c>
      <c r="M873" s="2"/>
      <c r="N873" s="2" t="s">
        <v>95</v>
      </c>
      <c r="O873" s="10">
        <v>1</v>
      </c>
      <c r="P873" s="14">
        <v>1</v>
      </c>
      <c r="Q873" s="183">
        <v>2</v>
      </c>
      <c r="R873" s="181">
        <v>2</v>
      </c>
      <c r="S873" s="178">
        <f t="shared" si="99"/>
        <v>2</v>
      </c>
      <c r="T873" s="186">
        <f t="shared" si="100"/>
        <v>4</v>
      </c>
      <c r="U873" s="179">
        <f t="shared" si="101"/>
        <v>2</v>
      </c>
      <c r="V873" s="1">
        <f t="shared" si="102"/>
        <v>25</v>
      </c>
      <c r="W873" s="8">
        <f t="shared" si="97"/>
        <v>6.25</v>
      </c>
      <c r="X873" s="15">
        <f t="shared" si="98"/>
        <v>4856.25</v>
      </c>
    </row>
    <row r="874" spans="1:30">
      <c r="A874" t="s">
        <v>931</v>
      </c>
      <c r="B874" s="163" t="s">
        <v>406</v>
      </c>
      <c r="C874" s="2" t="s">
        <v>6</v>
      </c>
      <c r="D874" s="2" t="s">
        <v>11</v>
      </c>
      <c r="E874" s="3">
        <v>45380.625</v>
      </c>
      <c r="F874" s="2" t="s">
        <v>12</v>
      </c>
      <c r="G874" s="2" t="s">
        <v>585</v>
      </c>
      <c r="H874" s="2">
        <v>1.29</v>
      </c>
      <c r="I874" s="2">
        <v>11</v>
      </c>
      <c r="J874" s="2">
        <v>3.2</v>
      </c>
      <c r="K874" s="2">
        <v>3.5</v>
      </c>
      <c r="L874" s="2">
        <v>2.27</v>
      </c>
      <c r="M874" s="2"/>
      <c r="N874" s="2" t="s">
        <v>95</v>
      </c>
      <c r="O874" s="10">
        <v>0</v>
      </c>
      <c r="P874" s="14">
        <v>1</v>
      </c>
      <c r="Q874" s="183">
        <v>1</v>
      </c>
      <c r="R874" s="181">
        <v>3</v>
      </c>
      <c r="S874" s="178">
        <f t="shared" si="99"/>
        <v>1</v>
      </c>
      <c r="T874" s="186">
        <f t="shared" si="100"/>
        <v>4</v>
      </c>
      <c r="U874" s="179">
        <f t="shared" si="101"/>
        <v>3</v>
      </c>
      <c r="V874" s="1">
        <f t="shared" si="102"/>
        <v>25</v>
      </c>
      <c r="W874" s="8">
        <f t="shared" si="97"/>
        <v>6.25</v>
      </c>
      <c r="X874" s="15">
        <f t="shared" si="98"/>
        <v>4862.5</v>
      </c>
    </row>
    <row r="875" spans="1:30">
      <c r="A875" t="s">
        <v>931</v>
      </c>
      <c r="B875" s="163" t="s">
        <v>406</v>
      </c>
      <c r="C875" s="2" t="s">
        <v>6</v>
      </c>
      <c r="D875" s="2" t="s">
        <v>62</v>
      </c>
      <c r="E875" s="3">
        <v>45381.625</v>
      </c>
      <c r="F875" s="2" t="s">
        <v>65</v>
      </c>
      <c r="G875" s="2" t="s">
        <v>103</v>
      </c>
      <c r="H875" s="2">
        <v>1.31</v>
      </c>
      <c r="I875" s="2">
        <v>12</v>
      </c>
      <c r="J875" s="2">
        <v>3.45</v>
      </c>
      <c r="K875" s="2">
        <v>3.8</v>
      </c>
      <c r="L875" s="2">
        <v>3.06</v>
      </c>
      <c r="M875" s="2"/>
      <c r="N875" s="2" t="s">
        <v>95</v>
      </c>
      <c r="O875" s="10">
        <v>1</v>
      </c>
      <c r="P875" s="14">
        <v>0</v>
      </c>
      <c r="Q875" s="183">
        <v>2</v>
      </c>
      <c r="R875" s="181">
        <v>2</v>
      </c>
      <c r="S875" s="178">
        <f t="shared" si="99"/>
        <v>1</v>
      </c>
      <c r="T875" s="186">
        <f t="shared" si="100"/>
        <v>4</v>
      </c>
      <c r="U875" s="179">
        <f t="shared" si="101"/>
        <v>3</v>
      </c>
      <c r="V875" s="1">
        <f t="shared" si="102"/>
        <v>25</v>
      </c>
      <c r="W875" s="8">
        <f t="shared" si="97"/>
        <v>6.25</v>
      </c>
      <c r="X875" s="15">
        <f t="shared" si="98"/>
        <v>4868.75</v>
      </c>
    </row>
    <row r="876" spans="1:30">
      <c r="A876" t="s">
        <v>931</v>
      </c>
      <c r="B876" s="163" t="s">
        <v>406</v>
      </c>
      <c r="C876" s="2" t="s">
        <v>13</v>
      </c>
      <c r="D876" s="2" t="s">
        <v>37</v>
      </c>
      <c r="E876" s="3">
        <v>45381.625</v>
      </c>
      <c r="F876" s="2" t="s">
        <v>79</v>
      </c>
      <c r="G876" s="2" t="s">
        <v>316</v>
      </c>
      <c r="H876" s="2">
        <v>1.25</v>
      </c>
      <c r="I876" s="2">
        <v>13</v>
      </c>
      <c r="J876" s="2">
        <v>3.25</v>
      </c>
      <c r="K876" s="2">
        <v>3.85</v>
      </c>
      <c r="L876" s="2">
        <v>3.05</v>
      </c>
      <c r="M876" s="2"/>
      <c r="N876" s="2" t="s">
        <v>95</v>
      </c>
      <c r="O876" s="10">
        <v>2</v>
      </c>
      <c r="P876" s="14">
        <v>1</v>
      </c>
      <c r="Q876" s="183">
        <v>3</v>
      </c>
      <c r="R876" s="181">
        <v>1</v>
      </c>
      <c r="S876" s="178">
        <f t="shared" si="99"/>
        <v>3</v>
      </c>
      <c r="T876" s="186">
        <f t="shared" si="100"/>
        <v>4</v>
      </c>
      <c r="U876" s="179">
        <f t="shared" si="101"/>
        <v>1</v>
      </c>
      <c r="V876" s="1">
        <f t="shared" ref="V876:V900" si="103">SUM($X$1*0.05)</f>
        <v>25</v>
      </c>
      <c r="W876" s="8">
        <f t="shared" ref="W876:W917" si="104">IF(N876="won",V876*0.25,-V876)</f>
        <v>6.25</v>
      </c>
      <c r="X876" s="15">
        <f t="shared" si="98"/>
        <v>4875</v>
      </c>
      <c r="Y876"/>
      <c r="Z876"/>
      <c r="AA876"/>
      <c r="AB876" s="46"/>
      <c r="AC876"/>
      <c r="AD876"/>
    </row>
    <row r="877" spans="1:30">
      <c r="A877" t="s">
        <v>931</v>
      </c>
      <c r="B877" s="163" t="s">
        <v>406</v>
      </c>
      <c r="C877" s="2" t="s">
        <v>20</v>
      </c>
      <c r="D877" s="2" t="s">
        <v>21</v>
      </c>
      <c r="E877" s="3">
        <v>45396.479166666664</v>
      </c>
      <c r="F877" s="2" t="s">
        <v>22</v>
      </c>
      <c r="G877" s="2" t="s">
        <v>402</v>
      </c>
      <c r="H877" s="2">
        <v>1.36</v>
      </c>
      <c r="I877" s="2">
        <v>10</v>
      </c>
      <c r="J877" s="2">
        <v>2.85</v>
      </c>
      <c r="K877" s="2">
        <v>4.5</v>
      </c>
      <c r="L877" s="2">
        <v>2.84</v>
      </c>
      <c r="M877" s="2"/>
      <c r="N877" s="2" t="s">
        <v>95</v>
      </c>
      <c r="O877" s="10">
        <v>1</v>
      </c>
      <c r="P877" s="14">
        <v>0</v>
      </c>
      <c r="Q877" s="183">
        <v>2</v>
      </c>
      <c r="R877" s="181">
        <v>2</v>
      </c>
      <c r="S877" s="178">
        <f t="shared" si="99"/>
        <v>1</v>
      </c>
      <c r="T877" s="186">
        <f t="shared" si="100"/>
        <v>4</v>
      </c>
      <c r="U877" s="179">
        <f t="shared" si="101"/>
        <v>3</v>
      </c>
      <c r="V877" s="1">
        <f t="shared" si="103"/>
        <v>25</v>
      </c>
      <c r="W877" s="8">
        <f t="shared" si="104"/>
        <v>6.25</v>
      </c>
      <c r="X877" s="15">
        <f t="shared" ref="X877:X917" si="105">SUM(X876,W877)</f>
        <v>4881.25</v>
      </c>
      <c r="Y877"/>
      <c r="Z877"/>
      <c r="AA877"/>
      <c r="AB877" s="46"/>
      <c r="AC877"/>
      <c r="AD877"/>
    </row>
    <row r="878" spans="1:30">
      <c r="A878" t="s">
        <v>931</v>
      </c>
      <c r="B878" s="163" t="s">
        <v>406</v>
      </c>
      <c r="C878" s="2" t="s">
        <v>77</v>
      </c>
      <c r="D878" s="2" t="s">
        <v>156</v>
      </c>
      <c r="E878" s="3">
        <v>45430.604166666664</v>
      </c>
      <c r="F878" s="2" t="s">
        <v>168</v>
      </c>
      <c r="G878" s="2" t="s">
        <v>167</v>
      </c>
      <c r="H878" s="2">
        <v>1.28</v>
      </c>
      <c r="I878" s="2">
        <v>11.5</v>
      </c>
      <c r="J878" s="2">
        <v>3.35</v>
      </c>
      <c r="K878" s="2">
        <v>2.6</v>
      </c>
      <c r="L878" s="2">
        <v>3.26</v>
      </c>
      <c r="M878" s="2"/>
      <c r="N878" s="2" t="s">
        <v>95</v>
      </c>
      <c r="O878" s="10">
        <v>2</v>
      </c>
      <c r="P878" s="14">
        <v>0</v>
      </c>
      <c r="Q878" s="183">
        <v>4</v>
      </c>
      <c r="R878" s="181">
        <v>0</v>
      </c>
      <c r="S878" s="178">
        <f t="shared" si="99"/>
        <v>2</v>
      </c>
      <c r="T878" s="186">
        <f t="shared" si="100"/>
        <v>4</v>
      </c>
      <c r="U878" s="179">
        <f t="shared" si="101"/>
        <v>2</v>
      </c>
      <c r="V878" s="1">
        <f t="shared" si="103"/>
        <v>25</v>
      </c>
      <c r="W878" s="8">
        <f t="shared" si="104"/>
        <v>6.25</v>
      </c>
      <c r="X878" s="15">
        <f t="shared" si="105"/>
        <v>4887.5</v>
      </c>
      <c r="Y878"/>
      <c r="Z878"/>
      <c r="AA878"/>
      <c r="AB878" s="46"/>
      <c r="AC878"/>
      <c r="AD878"/>
    </row>
    <row r="879" spans="1:30">
      <c r="A879" t="s">
        <v>931</v>
      </c>
      <c r="B879" s="163" t="s">
        <v>531</v>
      </c>
      <c r="C879" s="2" t="s">
        <v>6</v>
      </c>
      <c r="D879" s="2" t="s">
        <v>11</v>
      </c>
      <c r="E879" s="3">
        <v>45360.625</v>
      </c>
      <c r="F879" s="2" t="s">
        <v>232</v>
      </c>
      <c r="G879" s="2" t="s">
        <v>12</v>
      </c>
      <c r="H879" s="2">
        <v>6</v>
      </c>
      <c r="I879" s="2">
        <v>35</v>
      </c>
      <c r="J879" s="2">
        <v>2.4300000000000002</v>
      </c>
      <c r="K879" s="2">
        <v>33</v>
      </c>
      <c r="L879" s="2">
        <v>2</v>
      </c>
      <c r="M879" s="2"/>
      <c r="N879" s="2" t="s">
        <v>95</v>
      </c>
      <c r="O879" s="10">
        <v>0</v>
      </c>
      <c r="P879" s="14">
        <v>0</v>
      </c>
      <c r="Q879" s="183">
        <v>1</v>
      </c>
      <c r="R879" s="181">
        <v>3</v>
      </c>
      <c r="S879" s="178">
        <f t="shared" si="99"/>
        <v>0</v>
      </c>
      <c r="T879" s="186">
        <f t="shared" si="100"/>
        <v>4</v>
      </c>
      <c r="U879" s="179">
        <f t="shared" si="101"/>
        <v>4</v>
      </c>
      <c r="V879" s="1">
        <f t="shared" si="103"/>
        <v>25</v>
      </c>
      <c r="W879" s="8">
        <f t="shared" si="104"/>
        <v>6.25</v>
      </c>
      <c r="X879" s="15">
        <f t="shared" si="105"/>
        <v>4893.75</v>
      </c>
      <c r="Y879"/>
      <c r="Z879"/>
      <c r="AA879"/>
      <c r="AB879" s="46"/>
      <c r="AC879"/>
      <c r="AD879"/>
    </row>
    <row r="880" spans="1:30">
      <c r="A880" t="s">
        <v>931</v>
      </c>
      <c r="B880" s="163" t="s">
        <v>531</v>
      </c>
      <c r="C880" s="2" t="s">
        <v>149</v>
      </c>
      <c r="D880" s="2" t="s">
        <v>153</v>
      </c>
      <c r="E880" s="3">
        <v>45368.46875</v>
      </c>
      <c r="F880" s="2" t="s">
        <v>244</v>
      </c>
      <c r="G880" s="2" t="s">
        <v>245</v>
      </c>
      <c r="H880" s="2">
        <v>3.2</v>
      </c>
      <c r="I880" s="2">
        <v>24</v>
      </c>
      <c r="J880" s="2">
        <v>3</v>
      </c>
      <c r="K880" s="2">
        <v>30</v>
      </c>
      <c r="L880" s="2">
        <v>0</v>
      </c>
      <c r="M880" s="2">
        <v>12</v>
      </c>
      <c r="N880" s="2" t="s">
        <v>95</v>
      </c>
      <c r="O880" s="10">
        <v>0</v>
      </c>
      <c r="P880" s="14">
        <v>2</v>
      </c>
      <c r="Q880" s="183">
        <v>0</v>
      </c>
      <c r="R880" s="181">
        <v>4</v>
      </c>
      <c r="S880" s="178">
        <f t="shared" si="99"/>
        <v>2</v>
      </c>
      <c r="T880" s="186">
        <f t="shared" si="100"/>
        <v>4</v>
      </c>
      <c r="U880" s="179">
        <f t="shared" si="101"/>
        <v>2</v>
      </c>
      <c r="V880" s="1">
        <f t="shared" si="103"/>
        <v>25</v>
      </c>
      <c r="W880" s="8">
        <f t="shared" si="104"/>
        <v>6.25</v>
      </c>
      <c r="X880" s="15">
        <f t="shared" si="105"/>
        <v>4900</v>
      </c>
      <c r="Y880"/>
      <c r="Z880"/>
      <c r="AA880"/>
      <c r="AB880" s="46"/>
      <c r="AC880"/>
      <c r="AD880"/>
    </row>
    <row r="881" spans="1:30">
      <c r="A881" t="s">
        <v>931</v>
      </c>
      <c r="B881" s="163" t="s">
        <v>531</v>
      </c>
      <c r="C881" s="2" t="s">
        <v>149</v>
      </c>
      <c r="D881" s="2" t="s">
        <v>153</v>
      </c>
      <c r="E881" s="3">
        <v>45381.645833333336</v>
      </c>
      <c r="F881" s="2" t="s">
        <v>241</v>
      </c>
      <c r="G881" s="2" t="s">
        <v>188</v>
      </c>
      <c r="H881" s="2">
        <v>4.3</v>
      </c>
      <c r="I881" s="2">
        <v>26</v>
      </c>
      <c r="J881" s="2">
        <v>3.65</v>
      </c>
      <c r="K881" s="2">
        <v>27</v>
      </c>
      <c r="L881" s="2">
        <v>7</v>
      </c>
      <c r="M881" s="2">
        <v>13</v>
      </c>
      <c r="N881" s="2" t="s">
        <v>95</v>
      </c>
      <c r="O881" s="10">
        <v>1</v>
      </c>
      <c r="P881" s="14">
        <v>1</v>
      </c>
      <c r="Q881" s="183">
        <v>3</v>
      </c>
      <c r="R881" s="181">
        <v>1</v>
      </c>
      <c r="S881" s="178">
        <f t="shared" si="99"/>
        <v>2</v>
      </c>
      <c r="T881" s="186">
        <f t="shared" si="100"/>
        <v>4</v>
      </c>
      <c r="U881" s="179">
        <f t="shared" si="101"/>
        <v>2</v>
      </c>
      <c r="V881" s="1">
        <f t="shared" si="103"/>
        <v>25</v>
      </c>
      <c r="W881" s="8">
        <f t="shared" si="104"/>
        <v>6.25</v>
      </c>
      <c r="X881" s="15">
        <f t="shared" si="105"/>
        <v>4906.25</v>
      </c>
      <c r="Y881"/>
      <c r="Z881"/>
      <c r="AA881"/>
      <c r="AB881" s="46"/>
      <c r="AC881"/>
      <c r="AD881"/>
    </row>
    <row r="882" spans="1:30">
      <c r="A882" t="s">
        <v>931</v>
      </c>
      <c r="B882" s="163" t="s">
        <v>531</v>
      </c>
      <c r="C882" s="2" t="s">
        <v>149</v>
      </c>
      <c r="D882" s="2" t="s">
        <v>153</v>
      </c>
      <c r="E882" s="3">
        <v>45382.46875</v>
      </c>
      <c r="F882" s="2" t="s">
        <v>205</v>
      </c>
      <c r="G882" s="2" t="s">
        <v>363</v>
      </c>
      <c r="H882" s="2">
        <v>6.2</v>
      </c>
      <c r="I882" s="2">
        <v>26</v>
      </c>
      <c r="J882" s="2">
        <v>3.54</v>
      </c>
      <c r="K882" s="2">
        <v>31</v>
      </c>
      <c r="L882" s="2">
        <v>3</v>
      </c>
      <c r="M882" s="2">
        <v>13</v>
      </c>
      <c r="N882" s="2" t="s">
        <v>95</v>
      </c>
      <c r="O882" s="10">
        <v>0</v>
      </c>
      <c r="P882" s="14">
        <v>2</v>
      </c>
      <c r="Q882" s="183">
        <v>1</v>
      </c>
      <c r="R882" s="181">
        <v>3</v>
      </c>
      <c r="S882" s="178">
        <f t="shared" si="99"/>
        <v>2</v>
      </c>
      <c r="T882" s="186">
        <f t="shared" si="100"/>
        <v>4</v>
      </c>
      <c r="U882" s="179">
        <f t="shared" si="101"/>
        <v>2</v>
      </c>
      <c r="V882" s="1">
        <f t="shared" si="103"/>
        <v>25</v>
      </c>
      <c r="W882" s="8">
        <f t="shared" si="104"/>
        <v>6.25</v>
      </c>
      <c r="X882" s="15">
        <f t="shared" si="105"/>
        <v>4912.5</v>
      </c>
      <c r="Y882"/>
      <c r="Z882"/>
      <c r="AA882"/>
      <c r="AB882" s="46"/>
      <c r="AC882"/>
      <c r="AD882"/>
    </row>
    <row r="883" spans="1:30">
      <c r="A883" t="s">
        <v>931</v>
      </c>
      <c r="B883" s="163" t="s">
        <v>531</v>
      </c>
      <c r="C883" s="2" t="s">
        <v>6</v>
      </c>
      <c r="D883" s="2" t="s">
        <v>62</v>
      </c>
      <c r="E883" s="3">
        <v>45389.645833333336</v>
      </c>
      <c r="F883" s="2" t="s">
        <v>383</v>
      </c>
      <c r="G883" s="2" t="s">
        <v>285</v>
      </c>
      <c r="H883" s="2">
        <v>4.4000000000000004</v>
      </c>
      <c r="I883" s="2">
        <v>28</v>
      </c>
      <c r="J883" s="2">
        <v>2.93</v>
      </c>
      <c r="K883" s="2">
        <v>32</v>
      </c>
      <c r="L883" s="2">
        <v>2</v>
      </c>
      <c r="M883" s="2">
        <v>14</v>
      </c>
      <c r="N883" s="2" t="s">
        <v>95</v>
      </c>
      <c r="O883" s="10">
        <v>0</v>
      </c>
      <c r="P883" s="14">
        <v>1</v>
      </c>
      <c r="Q883" s="183">
        <v>2</v>
      </c>
      <c r="R883" s="181">
        <v>2</v>
      </c>
      <c r="S883" s="178">
        <f t="shared" si="99"/>
        <v>1</v>
      </c>
      <c r="T883" s="186">
        <f t="shared" si="100"/>
        <v>4</v>
      </c>
      <c r="U883" s="179">
        <f t="shared" si="101"/>
        <v>3</v>
      </c>
      <c r="V883" s="1">
        <f t="shared" si="103"/>
        <v>25</v>
      </c>
      <c r="W883" s="8">
        <f t="shared" si="104"/>
        <v>6.25</v>
      </c>
      <c r="X883" s="15">
        <f t="shared" si="105"/>
        <v>4918.75</v>
      </c>
      <c r="Y883"/>
      <c r="Z883"/>
      <c r="AA883"/>
      <c r="AB883" s="46"/>
      <c r="AC883"/>
      <c r="AD883"/>
    </row>
    <row r="884" spans="1:30">
      <c r="A884" t="s">
        <v>931</v>
      </c>
      <c r="B884" s="163" t="s">
        <v>531</v>
      </c>
      <c r="C884" s="2" t="s">
        <v>6</v>
      </c>
      <c r="D884" s="2" t="s">
        <v>62</v>
      </c>
      <c r="E884" s="3">
        <v>45389.729166666664</v>
      </c>
      <c r="F884" s="2" t="s">
        <v>85</v>
      </c>
      <c r="G884" s="2" t="s">
        <v>65</v>
      </c>
      <c r="H884" s="2">
        <v>4.2</v>
      </c>
      <c r="I884" s="2">
        <v>29</v>
      </c>
      <c r="J884" s="2">
        <v>3.76</v>
      </c>
      <c r="K884" s="2">
        <v>29</v>
      </c>
      <c r="L884" s="2">
        <v>4</v>
      </c>
      <c r="M884" s="2">
        <v>14</v>
      </c>
      <c r="N884" s="2" t="s">
        <v>95</v>
      </c>
      <c r="O884" s="10">
        <v>1</v>
      </c>
      <c r="P884" s="14">
        <v>1</v>
      </c>
      <c r="Q884" s="183">
        <v>2</v>
      </c>
      <c r="R884" s="181">
        <v>2</v>
      </c>
      <c r="S884" s="178">
        <f t="shared" si="99"/>
        <v>2</v>
      </c>
      <c r="T884" s="186">
        <f t="shared" si="100"/>
        <v>4</v>
      </c>
      <c r="U884" s="179">
        <f t="shared" si="101"/>
        <v>2</v>
      </c>
      <c r="V884" s="1">
        <f t="shared" si="103"/>
        <v>25</v>
      </c>
      <c r="W884" s="8">
        <f t="shared" si="104"/>
        <v>6.25</v>
      </c>
      <c r="X884" s="15">
        <f t="shared" si="105"/>
        <v>4925</v>
      </c>
      <c r="Y884"/>
      <c r="Z884"/>
      <c r="AA884"/>
      <c r="AB884" s="46"/>
      <c r="AC884"/>
      <c r="AD884"/>
    </row>
    <row r="885" spans="1:30">
      <c r="A885" t="s">
        <v>931</v>
      </c>
      <c r="B885" s="163" t="s">
        <v>531</v>
      </c>
      <c r="C885" s="2" t="s">
        <v>80</v>
      </c>
      <c r="D885" s="2" t="s">
        <v>81</v>
      </c>
      <c r="E885" s="3">
        <v>45397.75</v>
      </c>
      <c r="F885" s="2" t="s">
        <v>293</v>
      </c>
      <c r="G885" s="2" t="s">
        <v>144</v>
      </c>
      <c r="H885" s="2">
        <v>4.9000000000000004</v>
      </c>
      <c r="I885" s="2">
        <v>30</v>
      </c>
      <c r="J885" s="2">
        <v>2.67</v>
      </c>
      <c r="K885" s="2">
        <v>36</v>
      </c>
      <c r="L885" s="2">
        <v>2</v>
      </c>
      <c r="M885" s="2">
        <v>15</v>
      </c>
      <c r="N885" s="2" t="s">
        <v>95</v>
      </c>
      <c r="O885" s="10">
        <v>0</v>
      </c>
      <c r="P885" s="14">
        <v>0</v>
      </c>
      <c r="Q885" s="183">
        <v>0</v>
      </c>
      <c r="R885" s="181">
        <v>4</v>
      </c>
      <c r="S885" s="178">
        <f t="shared" si="99"/>
        <v>0</v>
      </c>
      <c r="T885" s="186">
        <f t="shared" si="100"/>
        <v>4</v>
      </c>
      <c r="U885" s="179">
        <f t="shared" si="101"/>
        <v>4</v>
      </c>
      <c r="V885" s="1">
        <f t="shared" si="103"/>
        <v>25</v>
      </c>
      <c r="W885" s="8">
        <f t="shared" si="104"/>
        <v>6.25</v>
      </c>
      <c r="X885" s="15">
        <f t="shared" si="105"/>
        <v>4931.25</v>
      </c>
      <c r="Y885"/>
      <c r="Z885"/>
      <c r="AA885"/>
      <c r="AB885" s="46"/>
      <c r="AC885"/>
      <c r="AD885"/>
    </row>
    <row r="886" spans="1:30">
      <c r="A886" t="s">
        <v>931</v>
      </c>
      <c r="B886" s="163" t="s">
        <v>531</v>
      </c>
      <c r="C886" s="2" t="s">
        <v>6</v>
      </c>
      <c r="D886" s="2" t="s">
        <v>62</v>
      </c>
      <c r="E886" s="3">
        <v>45403.6875</v>
      </c>
      <c r="F886" s="2" t="s">
        <v>115</v>
      </c>
      <c r="G886" s="2" t="s">
        <v>285</v>
      </c>
      <c r="H886" s="2">
        <v>5.9</v>
      </c>
      <c r="I886" s="2">
        <v>31</v>
      </c>
      <c r="J886" s="2">
        <v>2.9</v>
      </c>
      <c r="K886" s="2">
        <v>36</v>
      </c>
      <c r="L886" s="2">
        <v>2</v>
      </c>
      <c r="M886" s="2">
        <v>15</v>
      </c>
      <c r="N886" s="2" t="s">
        <v>95</v>
      </c>
      <c r="O886" s="10">
        <v>1</v>
      </c>
      <c r="P886" s="14">
        <v>1</v>
      </c>
      <c r="Q886" s="183">
        <v>1</v>
      </c>
      <c r="R886" s="181">
        <v>3</v>
      </c>
      <c r="S886" s="178">
        <f t="shared" si="99"/>
        <v>2</v>
      </c>
      <c r="T886" s="186">
        <f t="shared" si="100"/>
        <v>4</v>
      </c>
      <c r="U886" s="179">
        <f t="shared" si="101"/>
        <v>2</v>
      </c>
      <c r="V886" s="1">
        <f t="shared" si="103"/>
        <v>25</v>
      </c>
      <c r="W886" s="8">
        <f t="shared" si="104"/>
        <v>6.25</v>
      </c>
      <c r="X886" s="15">
        <f t="shared" si="105"/>
        <v>4937.5</v>
      </c>
      <c r="Y886"/>
      <c r="Z886"/>
      <c r="AA886"/>
      <c r="AB886" s="46"/>
      <c r="AC886"/>
      <c r="AD886"/>
    </row>
    <row r="887" spans="1:30">
      <c r="A887" t="s">
        <v>931</v>
      </c>
      <c r="B887" s="163" t="s">
        <v>531</v>
      </c>
      <c r="C887" s="2" t="s">
        <v>80</v>
      </c>
      <c r="D887" s="2" t="s">
        <v>81</v>
      </c>
      <c r="E887" s="3">
        <v>45404.75</v>
      </c>
      <c r="F887" s="2" t="s">
        <v>771</v>
      </c>
      <c r="G887" s="2" t="s">
        <v>314</v>
      </c>
      <c r="H887" s="2">
        <v>5.4</v>
      </c>
      <c r="I887" s="2">
        <v>31</v>
      </c>
      <c r="J887" s="2">
        <v>2.61</v>
      </c>
      <c r="K887" s="2">
        <v>34</v>
      </c>
      <c r="L887" s="2">
        <v>3</v>
      </c>
      <c r="M887" s="2">
        <v>16</v>
      </c>
      <c r="N887" s="2" t="s">
        <v>95</v>
      </c>
      <c r="O887" s="10">
        <v>0</v>
      </c>
      <c r="P887" s="14">
        <v>1</v>
      </c>
      <c r="Q887" s="183">
        <v>2</v>
      </c>
      <c r="R887" s="181">
        <v>2</v>
      </c>
      <c r="S887" s="178">
        <f t="shared" si="99"/>
        <v>1</v>
      </c>
      <c r="T887" s="186">
        <f t="shared" si="100"/>
        <v>4</v>
      </c>
      <c r="U887" s="179">
        <f t="shared" si="101"/>
        <v>3</v>
      </c>
      <c r="V887" s="1">
        <f t="shared" si="103"/>
        <v>25</v>
      </c>
      <c r="W887" s="8">
        <f t="shared" si="104"/>
        <v>6.25</v>
      </c>
      <c r="X887" s="15">
        <f t="shared" si="105"/>
        <v>4943.75</v>
      </c>
      <c r="Y887"/>
      <c r="Z887"/>
      <c r="AA887"/>
      <c r="AB887" s="46"/>
      <c r="AC887"/>
      <c r="AD887"/>
    </row>
    <row r="888" spans="1:30">
      <c r="A888" t="s">
        <v>931</v>
      </c>
      <c r="B888" s="163" t="s">
        <v>531</v>
      </c>
      <c r="C888" s="2" t="s">
        <v>58</v>
      </c>
      <c r="D888" s="2" t="s">
        <v>59</v>
      </c>
      <c r="E888" s="3">
        <v>45404.84375</v>
      </c>
      <c r="F888" s="2" t="s">
        <v>106</v>
      </c>
      <c r="G888" s="2" t="s">
        <v>60</v>
      </c>
      <c r="H888" s="2">
        <v>5</v>
      </c>
      <c r="I888" s="2">
        <v>28</v>
      </c>
      <c r="J888" s="2">
        <v>2.71</v>
      </c>
      <c r="K888" s="2">
        <v>30</v>
      </c>
      <c r="L888" s="2">
        <v>2</v>
      </c>
      <c r="M888" s="2">
        <v>14</v>
      </c>
      <c r="N888" s="2" t="s">
        <v>95</v>
      </c>
      <c r="O888" s="10">
        <v>1</v>
      </c>
      <c r="P888" s="14">
        <v>2</v>
      </c>
      <c r="Q888" s="183">
        <v>1</v>
      </c>
      <c r="R888" s="181">
        <v>3</v>
      </c>
      <c r="S888" s="178">
        <f t="shared" si="99"/>
        <v>3</v>
      </c>
      <c r="T888" s="186">
        <f t="shared" si="100"/>
        <v>4</v>
      </c>
      <c r="U888" s="179">
        <f t="shared" si="101"/>
        <v>1</v>
      </c>
      <c r="V888" s="1">
        <f t="shared" si="103"/>
        <v>25</v>
      </c>
      <c r="W888" s="8">
        <f t="shared" si="104"/>
        <v>6.25</v>
      </c>
      <c r="X888" s="15">
        <f t="shared" si="105"/>
        <v>4950</v>
      </c>
      <c r="Y888"/>
      <c r="Z888"/>
      <c r="AA888"/>
      <c r="AB888" s="46"/>
      <c r="AC888"/>
      <c r="AD888"/>
    </row>
    <row r="889" spans="1:30">
      <c r="A889" t="s">
        <v>931</v>
      </c>
      <c r="B889" s="163" t="s">
        <v>531</v>
      </c>
      <c r="C889" s="2" t="s">
        <v>6</v>
      </c>
      <c r="D889" s="2" t="s">
        <v>62</v>
      </c>
      <c r="E889" s="3">
        <v>45407.833333333336</v>
      </c>
      <c r="F889" s="2" t="s">
        <v>267</v>
      </c>
      <c r="G889" s="2" t="s">
        <v>72</v>
      </c>
      <c r="H889" s="2">
        <v>4.2</v>
      </c>
      <c r="I889" s="2">
        <v>30</v>
      </c>
      <c r="J889" s="2">
        <v>3.27</v>
      </c>
      <c r="K889" s="2">
        <v>30</v>
      </c>
      <c r="L889" s="2">
        <v>2</v>
      </c>
      <c r="M889" s="2">
        <v>15</v>
      </c>
      <c r="N889" s="2" t="s">
        <v>95</v>
      </c>
      <c r="O889" s="9">
        <v>0</v>
      </c>
      <c r="P889" s="13">
        <v>3</v>
      </c>
      <c r="Q889" s="183">
        <v>0</v>
      </c>
      <c r="R889" s="181">
        <v>4</v>
      </c>
      <c r="S889" s="178">
        <f t="shared" si="99"/>
        <v>3</v>
      </c>
      <c r="T889" s="186">
        <f t="shared" si="100"/>
        <v>4</v>
      </c>
      <c r="U889" s="179">
        <f t="shared" si="101"/>
        <v>1</v>
      </c>
      <c r="V889" s="1">
        <f t="shared" si="103"/>
        <v>25</v>
      </c>
      <c r="W889" s="8">
        <f t="shared" si="104"/>
        <v>6.25</v>
      </c>
      <c r="X889" s="15">
        <f t="shared" si="105"/>
        <v>4956.25</v>
      </c>
      <c r="Y889"/>
      <c r="Z889"/>
      <c r="AA889"/>
      <c r="AB889" s="46"/>
      <c r="AC889"/>
      <c r="AD889"/>
    </row>
    <row r="890" spans="1:30">
      <c r="A890" t="s">
        <v>931</v>
      </c>
      <c r="B890" s="163" t="s">
        <v>531</v>
      </c>
      <c r="C890" s="2" t="s">
        <v>149</v>
      </c>
      <c r="D890" s="2" t="s">
        <v>153</v>
      </c>
      <c r="E890" s="3">
        <v>45407.833333333336</v>
      </c>
      <c r="F890" s="2" t="s">
        <v>369</v>
      </c>
      <c r="G890" s="2" t="s">
        <v>282</v>
      </c>
      <c r="H890" s="2">
        <v>5.4</v>
      </c>
      <c r="I890" s="2">
        <v>30</v>
      </c>
      <c r="J890" s="2">
        <v>3.17</v>
      </c>
      <c r="K890" s="2">
        <v>24</v>
      </c>
      <c r="L890" s="2">
        <v>4</v>
      </c>
      <c r="M890" s="2">
        <v>15</v>
      </c>
      <c r="N890" s="2" t="s">
        <v>95</v>
      </c>
      <c r="O890" s="10">
        <v>1</v>
      </c>
      <c r="P890" s="14">
        <v>2</v>
      </c>
      <c r="Q890" s="183">
        <v>1</v>
      </c>
      <c r="R890" s="181">
        <v>3</v>
      </c>
      <c r="S890" s="178">
        <f t="shared" si="99"/>
        <v>3</v>
      </c>
      <c r="T890" s="186">
        <f t="shared" si="100"/>
        <v>4</v>
      </c>
      <c r="U890" s="179">
        <f t="shared" si="101"/>
        <v>1</v>
      </c>
      <c r="V890" s="1">
        <f t="shared" si="103"/>
        <v>25</v>
      </c>
      <c r="W890" s="8">
        <f t="shared" si="104"/>
        <v>6.25</v>
      </c>
      <c r="X890" s="15">
        <f t="shared" si="105"/>
        <v>4962.5</v>
      </c>
      <c r="Y890"/>
      <c r="Z890"/>
      <c r="AA890"/>
      <c r="AB890" s="46"/>
      <c r="AC890"/>
      <c r="AD890"/>
    </row>
    <row r="891" spans="1:30">
      <c r="A891" t="s">
        <v>931</v>
      </c>
      <c r="B891" s="163" t="s">
        <v>531</v>
      </c>
      <c r="C891" s="2" t="s">
        <v>6</v>
      </c>
      <c r="D891" s="2" t="s">
        <v>62</v>
      </c>
      <c r="E891" s="3">
        <v>45409.520833333336</v>
      </c>
      <c r="F891" s="2" t="s">
        <v>74</v>
      </c>
      <c r="G891" s="2" t="s">
        <v>285</v>
      </c>
      <c r="H891" s="2">
        <v>5.0999999999999996</v>
      </c>
      <c r="I891" s="2">
        <v>34</v>
      </c>
      <c r="J891" s="2">
        <v>3</v>
      </c>
      <c r="K891" s="2">
        <v>28</v>
      </c>
      <c r="L891" s="2">
        <v>2</v>
      </c>
      <c r="M891" s="2">
        <v>17</v>
      </c>
      <c r="N891" s="2" t="s">
        <v>95</v>
      </c>
      <c r="O891" s="10">
        <v>1</v>
      </c>
      <c r="P891" s="14">
        <v>0</v>
      </c>
      <c r="Q891" s="183">
        <v>2</v>
      </c>
      <c r="R891" s="181">
        <v>2</v>
      </c>
      <c r="S891" s="178">
        <f t="shared" si="99"/>
        <v>1</v>
      </c>
      <c r="T891" s="186">
        <f t="shared" si="100"/>
        <v>4</v>
      </c>
      <c r="U891" s="179">
        <f t="shared" si="101"/>
        <v>3</v>
      </c>
      <c r="V891" s="1">
        <f t="shared" si="103"/>
        <v>25</v>
      </c>
      <c r="W891" s="8">
        <f t="shared" si="104"/>
        <v>6.25</v>
      </c>
      <c r="X891" s="15">
        <f t="shared" si="105"/>
        <v>4968.75</v>
      </c>
      <c r="Y891"/>
      <c r="Z891"/>
      <c r="AA891"/>
      <c r="AB891" s="46"/>
      <c r="AC891"/>
      <c r="AD891"/>
    </row>
    <row r="892" spans="1:30">
      <c r="A892" t="s">
        <v>931</v>
      </c>
      <c r="B892" s="163" t="s">
        <v>531</v>
      </c>
      <c r="C892" s="2" t="s">
        <v>6</v>
      </c>
      <c r="D892" s="2" t="s">
        <v>62</v>
      </c>
      <c r="E892" s="3">
        <v>45423.520833333336</v>
      </c>
      <c r="F892" s="2" t="s">
        <v>115</v>
      </c>
      <c r="G892" s="2" t="s">
        <v>72</v>
      </c>
      <c r="H892" s="2">
        <v>3.2</v>
      </c>
      <c r="I892" s="2">
        <v>35</v>
      </c>
      <c r="J892" s="2">
        <v>3.09</v>
      </c>
      <c r="K892" s="2">
        <v>35</v>
      </c>
      <c r="L892" s="2">
        <v>3</v>
      </c>
      <c r="M892" s="2">
        <v>17</v>
      </c>
      <c r="N892" s="2" t="s">
        <v>95</v>
      </c>
      <c r="O892" s="10">
        <v>0</v>
      </c>
      <c r="P892" s="14">
        <v>1</v>
      </c>
      <c r="Q892" s="183">
        <v>0</v>
      </c>
      <c r="R892" s="181">
        <v>4</v>
      </c>
      <c r="S892" s="178">
        <f t="shared" si="99"/>
        <v>1</v>
      </c>
      <c r="T892" s="186">
        <f t="shared" si="100"/>
        <v>4</v>
      </c>
      <c r="U892" s="179">
        <f t="shared" si="101"/>
        <v>3</v>
      </c>
      <c r="V892" s="1">
        <f t="shared" si="103"/>
        <v>25</v>
      </c>
      <c r="W892" s="8">
        <f t="shared" si="104"/>
        <v>6.25</v>
      </c>
      <c r="X892" s="15">
        <f t="shared" si="105"/>
        <v>4975</v>
      </c>
      <c r="Y892"/>
      <c r="Z892"/>
      <c r="AA892"/>
      <c r="AB892" s="46"/>
      <c r="AC892"/>
      <c r="AD892"/>
    </row>
    <row r="893" spans="1:30">
      <c r="A893" t="s">
        <v>931</v>
      </c>
      <c r="B893" s="163" t="s">
        <v>531</v>
      </c>
      <c r="C893" s="2" t="s">
        <v>149</v>
      </c>
      <c r="D893" s="2" t="s">
        <v>153</v>
      </c>
      <c r="E893" s="3">
        <v>45431.5625</v>
      </c>
      <c r="F893" s="2" t="s">
        <v>281</v>
      </c>
      <c r="G893" s="2" t="s">
        <v>363</v>
      </c>
      <c r="H893" s="2">
        <v>4.7</v>
      </c>
      <c r="I893" s="2">
        <v>32</v>
      </c>
      <c r="J893" s="2">
        <v>3.5</v>
      </c>
      <c r="K893" s="2">
        <v>25</v>
      </c>
      <c r="L893" s="2">
        <v>5</v>
      </c>
      <c r="M893" s="2">
        <v>16</v>
      </c>
      <c r="N893" s="2" t="s">
        <v>95</v>
      </c>
      <c r="O893" s="10">
        <v>1</v>
      </c>
      <c r="P893" s="14">
        <v>1</v>
      </c>
      <c r="Q893" s="183">
        <v>2</v>
      </c>
      <c r="R893" s="181">
        <v>2</v>
      </c>
      <c r="S893" s="178">
        <f t="shared" si="99"/>
        <v>2</v>
      </c>
      <c r="T893" s="186">
        <f t="shared" si="100"/>
        <v>4</v>
      </c>
      <c r="U893" s="179">
        <f t="shared" si="101"/>
        <v>2</v>
      </c>
      <c r="V893" s="1">
        <f t="shared" si="103"/>
        <v>25</v>
      </c>
      <c r="W893" s="8">
        <f t="shared" si="104"/>
        <v>6.25</v>
      </c>
      <c r="X893" s="15">
        <f t="shared" si="105"/>
        <v>4981.25</v>
      </c>
      <c r="Y893"/>
      <c r="Z893"/>
      <c r="AA893"/>
      <c r="AB893" s="46"/>
      <c r="AC893"/>
      <c r="AD893"/>
    </row>
    <row r="894" spans="1:30">
      <c r="A894" t="s">
        <v>931</v>
      </c>
      <c r="B894" s="163" t="s">
        <v>512</v>
      </c>
      <c r="C894" s="2" t="s">
        <v>6</v>
      </c>
      <c r="D894" s="2" t="s">
        <v>62</v>
      </c>
      <c r="E894" s="3">
        <v>45354.645833333336</v>
      </c>
      <c r="F894" s="2" t="s">
        <v>72</v>
      </c>
      <c r="G894" s="2" t="s">
        <v>383</v>
      </c>
      <c r="H894" s="2">
        <v>3.5</v>
      </c>
      <c r="I894" s="2">
        <v>90</v>
      </c>
      <c r="J894" s="2">
        <v>320</v>
      </c>
      <c r="K894" s="2">
        <v>20</v>
      </c>
      <c r="L894" s="2">
        <v>2.95</v>
      </c>
      <c r="M894" s="2"/>
      <c r="N894" s="2" t="s">
        <v>95</v>
      </c>
      <c r="O894" s="10">
        <v>0</v>
      </c>
      <c r="P894" s="14">
        <v>1</v>
      </c>
      <c r="Q894" s="183">
        <v>3</v>
      </c>
      <c r="R894" s="181">
        <v>1</v>
      </c>
      <c r="S894" s="178">
        <f t="shared" si="99"/>
        <v>1</v>
      </c>
      <c r="T894" s="186">
        <f t="shared" si="100"/>
        <v>4</v>
      </c>
      <c r="U894" s="179">
        <f t="shared" si="101"/>
        <v>3</v>
      </c>
      <c r="V894" s="1">
        <f t="shared" si="103"/>
        <v>25</v>
      </c>
      <c r="W894" s="8">
        <f t="shared" si="104"/>
        <v>6.25</v>
      </c>
      <c r="X894" s="15">
        <f t="shared" si="105"/>
        <v>4987.5</v>
      </c>
      <c r="Y894"/>
      <c r="Z894"/>
      <c r="AA894"/>
      <c r="AB894" s="46"/>
      <c r="AC894"/>
      <c r="AD894"/>
    </row>
    <row r="895" spans="1:30">
      <c r="A895" t="s">
        <v>931</v>
      </c>
      <c r="B895" s="163" t="s">
        <v>512</v>
      </c>
      <c r="C895" s="2" t="s">
        <v>6</v>
      </c>
      <c r="D895" s="2" t="s">
        <v>62</v>
      </c>
      <c r="E895" s="3">
        <v>45360.625</v>
      </c>
      <c r="F895" s="2" t="s">
        <v>117</v>
      </c>
      <c r="G895" s="2" t="s">
        <v>85</v>
      </c>
      <c r="H895" s="2">
        <v>4.9000000000000004</v>
      </c>
      <c r="I895" s="2">
        <v>20</v>
      </c>
      <c r="J895" s="2">
        <v>3</v>
      </c>
      <c r="K895" s="2">
        <v>27</v>
      </c>
      <c r="L895" s="2">
        <v>2</v>
      </c>
      <c r="M895" s="2"/>
      <c r="N895" s="2" t="s">
        <v>95</v>
      </c>
      <c r="O895" s="10">
        <v>0</v>
      </c>
      <c r="P895" s="14">
        <v>1</v>
      </c>
      <c r="Q895" s="183">
        <v>2</v>
      </c>
      <c r="R895" s="181">
        <v>2</v>
      </c>
      <c r="S895" s="178">
        <f t="shared" si="99"/>
        <v>1</v>
      </c>
      <c r="T895" s="186">
        <f t="shared" si="100"/>
        <v>4</v>
      </c>
      <c r="U895" s="179">
        <f t="shared" si="101"/>
        <v>3</v>
      </c>
      <c r="V895" s="1">
        <f t="shared" si="103"/>
        <v>25</v>
      </c>
      <c r="W895" s="8">
        <f t="shared" si="104"/>
        <v>6.25</v>
      </c>
      <c r="X895" s="15">
        <f t="shared" si="105"/>
        <v>4993.75</v>
      </c>
      <c r="Y895"/>
      <c r="Z895"/>
      <c r="AA895"/>
      <c r="AB895" s="46"/>
      <c r="AC895"/>
      <c r="AD895"/>
    </row>
    <row r="896" spans="1:30">
      <c r="A896" t="s">
        <v>931</v>
      </c>
      <c r="B896" s="163" t="s">
        <v>512</v>
      </c>
      <c r="C896" s="2" t="s">
        <v>145</v>
      </c>
      <c r="D896" s="2" t="s">
        <v>190</v>
      </c>
      <c r="E896" s="3">
        <v>45361.5</v>
      </c>
      <c r="F896" s="2" t="s">
        <v>553</v>
      </c>
      <c r="G896" s="2" t="s">
        <v>554</v>
      </c>
      <c r="H896" s="2">
        <v>5.0999999999999996</v>
      </c>
      <c r="I896" s="2">
        <v>20</v>
      </c>
      <c r="J896" s="2">
        <v>3.35</v>
      </c>
      <c r="K896" s="2">
        <v>32</v>
      </c>
      <c r="L896" s="2">
        <v>2</v>
      </c>
      <c r="M896" s="2">
        <v>10</v>
      </c>
      <c r="N896" s="2" t="s">
        <v>95</v>
      </c>
      <c r="O896" s="10">
        <v>2</v>
      </c>
      <c r="P896" s="14">
        <v>2</v>
      </c>
      <c r="Q896" s="183">
        <v>2</v>
      </c>
      <c r="R896" s="181">
        <v>2</v>
      </c>
      <c r="S896" s="178">
        <f t="shared" si="99"/>
        <v>4</v>
      </c>
      <c r="T896" s="186">
        <f t="shared" si="100"/>
        <v>4</v>
      </c>
      <c r="U896" s="179">
        <f t="shared" si="101"/>
        <v>0</v>
      </c>
      <c r="V896" s="1">
        <f t="shared" si="103"/>
        <v>25</v>
      </c>
      <c r="W896" s="8">
        <f t="shared" si="104"/>
        <v>6.25</v>
      </c>
      <c r="X896" s="15">
        <f t="shared" si="105"/>
        <v>5000</v>
      </c>
      <c r="Y896"/>
      <c r="Z896"/>
      <c r="AA896"/>
      <c r="AB896" s="46"/>
      <c r="AC896"/>
      <c r="AD896"/>
    </row>
    <row r="897" spans="1:30">
      <c r="A897" t="s">
        <v>931</v>
      </c>
      <c r="B897" s="163" t="s">
        <v>512</v>
      </c>
      <c r="C897" s="2" t="s">
        <v>149</v>
      </c>
      <c r="D897" s="2" t="s">
        <v>153</v>
      </c>
      <c r="E897" s="3">
        <v>45361.5625</v>
      </c>
      <c r="F897" s="2" t="s">
        <v>363</v>
      </c>
      <c r="G897" s="2" t="s">
        <v>249</v>
      </c>
      <c r="H897" s="2">
        <v>6</v>
      </c>
      <c r="I897" s="2">
        <v>20</v>
      </c>
      <c r="J897" s="2">
        <v>3.1</v>
      </c>
      <c r="K897" s="2">
        <v>33</v>
      </c>
      <c r="L897" s="2">
        <v>3</v>
      </c>
      <c r="M897" s="2">
        <v>10</v>
      </c>
      <c r="N897" s="2" t="s">
        <v>95</v>
      </c>
      <c r="O897" s="10">
        <v>1</v>
      </c>
      <c r="P897" s="14">
        <v>0</v>
      </c>
      <c r="Q897" s="183">
        <v>2</v>
      </c>
      <c r="R897" s="181">
        <v>2</v>
      </c>
      <c r="S897" s="178">
        <f t="shared" ref="S897:S960" si="106">SUM(O897:P897)</f>
        <v>1</v>
      </c>
      <c r="T897" s="186">
        <f t="shared" ref="T897:T960" si="107">SUM(Q897:R897)</f>
        <v>4</v>
      </c>
      <c r="U897" s="179">
        <f t="shared" ref="U897:U960" si="108">SUM(T897-S897)</f>
        <v>3</v>
      </c>
      <c r="V897" s="1">
        <f t="shared" si="103"/>
        <v>25</v>
      </c>
      <c r="W897" s="8">
        <f t="shared" si="104"/>
        <v>6.25</v>
      </c>
      <c r="X897" s="15">
        <f t="shared" si="105"/>
        <v>5006.25</v>
      </c>
      <c r="Y897"/>
      <c r="Z897"/>
      <c r="AA897"/>
      <c r="AB897" s="46"/>
      <c r="AC897"/>
      <c r="AD897"/>
    </row>
    <row r="898" spans="1:30">
      <c r="A898" t="s">
        <v>931</v>
      </c>
      <c r="B898" s="163" t="s">
        <v>512</v>
      </c>
      <c r="C898" s="2" t="s">
        <v>67</v>
      </c>
      <c r="D898" s="2" t="s">
        <v>68</v>
      </c>
      <c r="E898" s="3">
        <v>45361.625</v>
      </c>
      <c r="F898" s="2" t="s">
        <v>265</v>
      </c>
      <c r="G898" s="2" t="s">
        <v>87</v>
      </c>
      <c r="H898" s="2">
        <v>4.4000000000000004</v>
      </c>
      <c r="I898" s="2">
        <v>20</v>
      </c>
      <c r="J898" s="2">
        <v>2.75</v>
      </c>
      <c r="K898" s="2">
        <v>21</v>
      </c>
      <c r="L898" s="2">
        <v>1</v>
      </c>
      <c r="M898" s="2">
        <v>10</v>
      </c>
      <c r="N898" s="2" t="s">
        <v>95</v>
      </c>
      <c r="O898" s="10">
        <v>1</v>
      </c>
      <c r="P898" s="14">
        <v>1</v>
      </c>
      <c r="Q898" s="183">
        <v>3</v>
      </c>
      <c r="R898" s="181">
        <v>1</v>
      </c>
      <c r="S898" s="178">
        <f t="shared" si="106"/>
        <v>2</v>
      </c>
      <c r="T898" s="186">
        <f t="shared" si="107"/>
        <v>4</v>
      </c>
      <c r="U898" s="179">
        <f t="shared" si="108"/>
        <v>2</v>
      </c>
      <c r="V898" s="1">
        <f t="shared" si="103"/>
        <v>25</v>
      </c>
      <c r="W898" s="8">
        <f t="shared" si="104"/>
        <v>6.25</v>
      </c>
      <c r="X898" s="15">
        <f t="shared" si="105"/>
        <v>5012.5</v>
      </c>
      <c r="Y898"/>
      <c r="Z898"/>
      <c r="AA898"/>
      <c r="AB898" s="46"/>
      <c r="AC898"/>
      <c r="AD898"/>
    </row>
    <row r="899" spans="1:30">
      <c r="A899" t="s">
        <v>931</v>
      </c>
      <c r="B899" s="163" t="s">
        <v>512</v>
      </c>
      <c r="C899" s="2" t="s">
        <v>434</v>
      </c>
      <c r="D899" s="2" t="s">
        <v>435</v>
      </c>
      <c r="E899" s="3">
        <v>45361.625</v>
      </c>
      <c r="F899" s="2" t="s">
        <v>476</v>
      </c>
      <c r="G899" s="2" t="s">
        <v>556</v>
      </c>
      <c r="H899" s="2">
        <v>4.4000000000000004</v>
      </c>
      <c r="I899" s="2">
        <v>20</v>
      </c>
      <c r="J899" s="2">
        <v>2.7</v>
      </c>
      <c r="K899" s="2">
        <v>31</v>
      </c>
      <c r="L899" s="2">
        <v>2</v>
      </c>
      <c r="M899" s="2">
        <v>10</v>
      </c>
      <c r="N899" s="2" t="s">
        <v>95</v>
      </c>
      <c r="O899" s="10">
        <v>3</v>
      </c>
      <c r="P899" s="14">
        <v>0</v>
      </c>
      <c r="Q899" s="183">
        <v>4</v>
      </c>
      <c r="R899" s="181">
        <v>0</v>
      </c>
      <c r="S899" s="178">
        <f t="shared" si="106"/>
        <v>3</v>
      </c>
      <c r="T899" s="186">
        <f t="shared" si="107"/>
        <v>4</v>
      </c>
      <c r="U899" s="179">
        <f t="shared" si="108"/>
        <v>1</v>
      </c>
      <c r="V899" s="1">
        <f t="shared" si="103"/>
        <v>25</v>
      </c>
      <c r="W899" s="8">
        <f t="shared" si="104"/>
        <v>6.25</v>
      </c>
      <c r="X899" s="15">
        <f t="shared" si="105"/>
        <v>5018.75</v>
      </c>
      <c r="Y899"/>
      <c r="Z899"/>
      <c r="AA899"/>
      <c r="AB899" s="46"/>
      <c r="AC899"/>
      <c r="AD899"/>
    </row>
    <row r="900" spans="1:30">
      <c r="A900" t="s">
        <v>931</v>
      </c>
      <c r="B900" s="163" t="s">
        <v>512</v>
      </c>
      <c r="C900" s="2" t="s">
        <v>145</v>
      </c>
      <c r="D900" s="2" t="s">
        <v>190</v>
      </c>
      <c r="E900" s="3">
        <v>45361.670138888891</v>
      </c>
      <c r="F900" s="2" t="s">
        <v>226</v>
      </c>
      <c r="G900" s="2" t="s">
        <v>339</v>
      </c>
      <c r="H900" s="2">
        <v>3.6</v>
      </c>
      <c r="I900" s="2">
        <v>20</v>
      </c>
      <c r="J900" s="2">
        <v>2.1</v>
      </c>
      <c r="K900" s="2">
        <v>25</v>
      </c>
      <c r="L900" s="2">
        <v>1</v>
      </c>
      <c r="M900" s="2">
        <v>10</v>
      </c>
      <c r="N900" s="2" t="s">
        <v>95</v>
      </c>
      <c r="O900" s="10">
        <v>0</v>
      </c>
      <c r="P900" s="14">
        <v>2</v>
      </c>
      <c r="Q900" s="183">
        <v>2</v>
      </c>
      <c r="R900" s="181">
        <v>2</v>
      </c>
      <c r="S900" s="178">
        <f t="shared" si="106"/>
        <v>2</v>
      </c>
      <c r="T900" s="186">
        <f t="shared" si="107"/>
        <v>4</v>
      </c>
      <c r="U900" s="179">
        <f t="shared" si="108"/>
        <v>2</v>
      </c>
      <c r="V900" s="1">
        <f t="shared" si="103"/>
        <v>25</v>
      </c>
      <c r="W900" s="8">
        <f t="shared" si="104"/>
        <v>6.25</v>
      </c>
      <c r="X900" s="15">
        <f t="shared" si="105"/>
        <v>5025</v>
      </c>
      <c r="Y900"/>
      <c r="Z900"/>
      <c r="AA900"/>
      <c r="AB900" s="46"/>
      <c r="AC900"/>
      <c r="AD900"/>
    </row>
    <row r="901" spans="1:30">
      <c r="A901" t="s">
        <v>931</v>
      </c>
      <c r="B901" s="163" t="s">
        <v>512</v>
      </c>
      <c r="C901" s="2" t="s">
        <v>119</v>
      </c>
      <c r="D901" s="2" t="s">
        <v>120</v>
      </c>
      <c r="E901" s="3">
        <v>45361.729166666664</v>
      </c>
      <c r="F901" s="2" t="s">
        <v>122</v>
      </c>
      <c r="G901" s="2" t="s">
        <v>479</v>
      </c>
      <c r="H901" s="2">
        <v>4.8</v>
      </c>
      <c r="I901" s="2">
        <v>20</v>
      </c>
      <c r="J901" s="2">
        <v>3</v>
      </c>
      <c r="K901" s="2">
        <v>31</v>
      </c>
      <c r="L901" s="2">
        <v>4</v>
      </c>
      <c r="M901" s="2">
        <v>10</v>
      </c>
      <c r="N901" s="2" t="s">
        <v>95</v>
      </c>
      <c r="O901" s="10">
        <v>1</v>
      </c>
      <c r="P901" s="14">
        <v>0</v>
      </c>
      <c r="Q901" s="183">
        <v>4</v>
      </c>
      <c r="R901" s="181">
        <v>0</v>
      </c>
      <c r="S901" s="178">
        <f t="shared" si="106"/>
        <v>1</v>
      </c>
      <c r="T901" s="186">
        <f t="shared" si="107"/>
        <v>4</v>
      </c>
      <c r="U901" s="179">
        <f t="shared" si="108"/>
        <v>3</v>
      </c>
      <c r="V901" s="1">
        <f t="shared" ref="V901:V964" si="109">SUM($X$1*0.05)</f>
        <v>25</v>
      </c>
      <c r="W901" s="8">
        <f t="shared" si="104"/>
        <v>6.25</v>
      </c>
      <c r="X901" s="15">
        <f t="shared" si="105"/>
        <v>5031.25</v>
      </c>
      <c r="Y901"/>
      <c r="Z901"/>
      <c r="AA901"/>
      <c r="AB901" s="46"/>
      <c r="AC901"/>
      <c r="AD901"/>
    </row>
    <row r="902" spans="1:30">
      <c r="A902" t="s">
        <v>931</v>
      </c>
      <c r="B902" s="163" t="s">
        <v>512</v>
      </c>
      <c r="C902" s="2" t="s">
        <v>13</v>
      </c>
      <c r="D902" s="2" t="s">
        <v>37</v>
      </c>
      <c r="E902" s="3">
        <v>45367.625</v>
      </c>
      <c r="F902" s="2" t="s">
        <v>99</v>
      </c>
      <c r="G902" s="2" t="s">
        <v>318</v>
      </c>
      <c r="H902" s="2">
        <v>2.98</v>
      </c>
      <c r="I902" s="2">
        <v>20</v>
      </c>
      <c r="J902" s="2">
        <v>2.7</v>
      </c>
      <c r="K902" s="2">
        <v>28</v>
      </c>
      <c r="L902" s="2">
        <v>3</v>
      </c>
      <c r="M902" s="2">
        <v>10</v>
      </c>
      <c r="N902" s="2" t="s">
        <v>95</v>
      </c>
      <c r="O902" s="10">
        <v>1</v>
      </c>
      <c r="P902" s="14">
        <v>0</v>
      </c>
      <c r="Q902" s="183">
        <v>3</v>
      </c>
      <c r="R902" s="181">
        <v>1</v>
      </c>
      <c r="S902" s="178">
        <f t="shared" si="106"/>
        <v>1</v>
      </c>
      <c r="T902" s="186">
        <f t="shared" si="107"/>
        <v>4</v>
      </c>
      <c r="U902" s="179">
        <f t="shared" si="108"/>
        <v>3</v>
      </c>
      <c r="V902" s="1">
        <f t="shared" si="109"/>
        <v>25</v>
      </c>
      <c r="W902" s="8">
        <f t="shared" si="104"/>
        <v>6.25</v>
      </c>
      <c r="X902" s="15">
        <f t="shared" si="105"/>
        <v>5037.5</v>
      </c>
      <c r="Y902"/>
      <c r="Z902"/>
      <c r="AA902"/>
      <c r="AB902" s="46"/>
      <c r="AC902"/>
      <c r="AD902"/>
    </row>
    <row r="903" spans="1:30">
      <c r="A903" t="s">
        <v>931</v>
      </c>
      <c r="B903" s="163" t="s">
        <v>512</v>
      </c>
      <c r="C903" s="2" t="s">
        <v>145</v>
      </c>
      <c r="D903" s="2" t="s">
        <v>190</v>
      </c>
      <c r="E903" s="3">
        <v>45368.583333333336</v>
      </c>
      <c r="F903" s="2" t="s">
        <v>364</v>
      </c>
      <c r="G903" s="2" t="s">
        <v>227</v>
      </c>
      <c r="H903" s="2">
        <v>4.3</v>
      </c>
      <c r="I903" s="2">
        <v>20</v>
      </c>
      <c r="J903" s="2">
        <v>2.9</v>
      </c>
      <c r="K903" s="2">
        <v>38</v>
      </c>
      <c r="L903" s="2">
        <v>0</v>
      </c>
      <c r="M903" s="2">
        <v>10</v>
      </c>
      <c r="N903" s="2" t="s">
        <v>95</v>
      </c>
      <c r="O903" s="10">
        <v>1</v>
      </c>
      <c r="P903" s="14">
        <v>1</v>
      </c>
      <c r="Q903" s="183">
        <v>2</v>
      </c>
      <c r="R903" s="181">
        <v>2</v>
      </c>
      <c r="S903" s="178">
        <f t="shared" si="106"/>
        <v>2</v>
      </c>
      <c r="T903" s="186">
        <f t="shared" si="107"/>
        <v>4</v>
      </c>
      <c r="U903" s="179">
        <f t="shared" si="108"/>
        <v>2</v>
      </c>
      <c r="V903" s="1">
        <f t="shared" si="109"/>
        <v>25</v>
      </c>
      <c r="W903" s="8">
        <f t="shared" si="104"/>
        <v>6.25</v>
      </c>
      <c r="X903" s="15">
        <f t="shared" si="105"/>
        <v>5043.75</v>
      </c>
      <c r="Y903"/>
      <c r="Z903"/>
      <c r="AA903"/>
      <c r="AB903" s="46"/>
      <c r="AC903"/>
      <c r="AD903"/>
    </row>
    <row r="904" spans="1:30">
      <c r="A904" t="s">
        <v>931</v>
      </c>
      <c r="B904" s="163" t="s">
        <v>512</v>
      </c>
      <c r="C904" s="2" t="s">
        <v>67</v>
      </c>
      <c r="D904" s="2" t="s">
        <v>68</v>
      </c>
      <c r="E904" s="3">
        <v>45368.729166666664</v>
      </c>
      <c r="F904" s="2" t="s">
        <v>337</v>
      </c>
      <c r="G904" s="2" t="s">
        <v>439</v>
      </c>
      <c r="H904" s="2">
        <v>4.3</v>
      </c>
      <c r="I904" s="2">
        <v>20</v>
      </c>
      <c r="J904" s="2">
        <v>3.55</v>
      </c>
      <c r="K904" s="2">
        <v>36</v>
      </c>
      <c r="L904" s="2">
        <v>1</v>
      </c>
      <c r="M904" s="2">
        <v>10</v>
      </c>
      <c r="N904" s="2" t="s">
        <v>95</v>
      </c>
      <c r="O904" s="10">
        <v>2</v>
      </c>
      <c r="P904" s="14">
        <v>0</v>
      </c>
      <c r="Q904" s="183">
        <v>4</v>
      </c>
      <c r="R904" s="181">
        <v>0</v>
      </c>
      <c r="S904" s="178">
        <f t="shared" si="106"/>
        <v>2</v>
      </c>
      <c r="T904" s="186">
        <f t="shared" si="107"/>
        <v>4</v>
      </c>
      <c r="U904" s="179">
        <f t="shared" si="108"/>
        <v>2</v>
      </c>
      <c r="V904" s="1">
        <f t="shared" si="109"/>
        <v>25</v>
      </c>
      <c r="W904" s="8">
        <f t="shared" si="104"/>
        <v>6.25</v>
      </c>
      <c r="X904" s="15">
        <f t="shared" si="105"/>
        <v>5050</v>
      </c>
      <c r="Y904"/>
      <c r="Z904"/>
      <c r="AA904"/>
      <c r="AB904" s="46"/>
      <c r="AC904"/>
      <c r="AD904"/>
    </row>
    <row r="905" spans="1:30">
      <c r="A905" t="s">
        <v>931</v>
      </c>
      <c r="B905" s="163" t="s">
        <v>623</v>
      </c>
      <c r="C905" s="2" t="s">
        <v>6</v>
      </c>
      <c r="D905" s="2" t="s">
        <v>11</v>
      </c>
      <c r="E905" s="3">
        <v>45380.625</v>
      </c>
      <c r="F905" s="2" t="s">
        <v>12</v>
      </c>
      <c r="G905" s="2" t="s">
        <v>585</v>
      </c>
      <c r="H905" s="2">
        <v>3.5</v>
      </c>
      <c r="I905" s="2">
        <v>20</v>
      </c>
      <c r="J905" s="2">
        <v>3.2</v>
      </c>
      <c r="K905" s="2">
        <v>28</v>
      </c>
      <c r="L905" s="2">
        <v>1</v>
      </c>
      <c r="M905" s="2">
        <v>10</v>
      </c>
      <c r="N905" s="2" t="s">
        <v>95</v>
      </c>
      <c r="O905" s="10">
        <v>0</v>
      </c>
      <c r="P905" s="14">
        <v>1</v>
      </c>
      <c r="Q905" s="183">
        <v>1</v>
      </c>
      <c r="R905" s="181">
        <v>3</v>
      </c>
      <c r="S905" s="178">
        <f t="shared" si="106"/>
        <v>1</v>
      </c>
      <c r="T905" s="186">
        <f t="shared" si="107"/>
        <v>4</v>
      </c>
      <c r="U905" s="179">
        <f t="shared" si="108"/>
        <v>3</v>
      </c>
      <c r="V905" s="1">
        <f t="shared" si="109"/>
        <v>25</v>
      </c>
      <c r="W905" s="8">
        <f t="shared" si="104"/>
        <v>6.25</v>
      </c>
      <c r="X905" s="15">
        <f t="shared" si="105"/>
        <v>5056.25</v>
      </c>
      <c r="Y905"/>
      <c r="Z905"/>
      <c r="AA905"/>
      <c r="AB905" s="46"/>
      <c r="AC905"/>
      <c r="AD905"/>
    </row>
    <row r="906" spans="1:30">
      <c r="A906" t="s">
        <v>931</v>
      </c>
      <c r="B906" s="163" t="s">
        <v>623</v>
      </c>
      <c r="C906" s="2" t="s">
        <v>6</v>
      </c>
      <c r="D906" s="2" t="s">
        <v>62</v>
      </c>
      <c r="E906" s="3">
        <v>45381.625</v>
      </c>
      <c r="F906" s="2" t="s">
        <v>65</v>
      </c>
      <c r="G906" s="2" t="s">
        <v>103</v>
      </c>
      <c r="H906" s="2">
        <v>3.8</v>
      </c>
      <c r="I906" s="2">
        <v>20</v>
      </c>
      <c r="J906" s="2">
        <v>3.45</v>
      </c>
      <c r="K906" s="2">
        <v>33</v>
      </c>
      <c r="L906" s="2">
        <v>2</v>
      </c>
      <c r="M906" s="2">
        <v>10</v>
      </c>
      <c r="N906" s="2" t="s">
        <v>95</v>
      </c>
      <c r="O906" s="10">
        <v>1</v>
      </c>
      <c r="P906" s="14">
        <v>0</v>
      </c>
      <c r="Q906" s="183">
        <v>2</v>
      </c>
      <c r="R906" s="181">
        <v>2</v>
      </c>
      <c r="S906" s="178">
        <f t="shared" si="106"/>
        <v>1</v>
      </c>
      <c r="T906" s="186">
        <f t="shared" si="107"/>
        <v>4</v>
      </c>
      <c r="U906" s="179">
        <f t="shared" si="108"/>
        <v>3</v>
      </c>
      <c r="V906" s="1">
        <f t="shared" si="109"/>
        <v>25</v>
      </c>
      <c r="W906" s="8">
        <f t="shared" si="104"/>
        <v>6.25</v>
      </c>
      <c r="X906" s="15">
        <f t="shared" si="105"/>
        <v>5062.5</v>
      </c>
      <c r="Y906"/>
      <c r="Z906"/>
      <c r="AA906"/>
      <c r="AB906" s="46"/>
      <c r="AC906"/>
      <c r="AD906"/>
    </row>
    <row r="907" spans="1:30">
      <c r="A907" t="s">
        <v>931</v>
      </c>
      <c r="B907" s="163" t="s">
        <v>623</v>
      </c>
      <c r="C907" s="2" t="s">
        <v>13</v>
      </c>
      <c r="D907" s="2" t="s">
        <v>37</v>
      </c>
      <c r="E907" s="3">
        <v>45381.625</v>
      </c>
      <c r="F907" s="2" t="s">
        <v>79</v>
      </c>
      <c r="G907" s="2" t="s">
        <v>316</v>
      </c>
      <c r="H907" s="2">
        <v>3.85</v>
      </c>
      <c r="I907" s="2">
        <v>20</v>
      </c>
      <c r="J907" s="2">
        <v>3.25</v>
      </c>
      <c r="K907" s="2">
        <v>22</v>
      </c>
      <c r="L907" s="2">
        <v>1</v>
      </c>
      <c r="M907" s="2">
        <v>10</v>
      </c>
      <c r="N907" s="2" t="s">
        <v>95</v>
      </c>
      <c r="O907" s="10">
        <v>2</v>
      </c>
      <c r="P907" s="14">
        <v>1</v>
      </c>
      <c r="Q907" s="183">
        <v>3</v>
      </c>
      <c r="R907" s="181">
        <v>1</v>
      </c>
      <c r="S907" s="178">
        <f t="shared" si="106"/>
        <v>3</v>
      </c>
      <c r="T907" s="186">
        <f t="shared" si="107"/>
        <v>4</v>
      </c>
      <c r="U907" s="179">
        <f t="shared" si="108"/>
        <v>1</v>
      </c>
      <c r="V907" s="1">
        <f t="shared" si="109"/>
        <v>25</v>
      </c>
      <c r="W907" s="8">
        <f t="shared" si="104"/>
        <v>6.25</v>
      </c>
      <c r="X907" s="15">
        <f t="shared" si="105"/>
        <v>5068.75</v>
      </c>
      <c r="Y907"/>
      <c r="Z907"/>
      <c r="AA907"/>
      <c r="AB907" s="46"/>
      <c r="AC907"/>
      <c r="AD907"/>
    </row>
    <row r="908" spans="1:30">
      <c r="A908" t="s">
        <v>931</v>
      </c>
      <c r="B908" s="163" t="s">
        <v>623</v>
      </c>
      <c r="C908" s="2" t="s">
        <v>77</v>
      </c>
      <c r="D908" s="2" t="s">
        <v>156</v>
      </c>
      <c r="E908" s="3">
        <v>45382.770833333336</v>
      </c>
      <c r="F908" s="2" t="s">
        <v>239</v>
      </c>
      <c r="G908" s="2" t="s">
        <v>345</v>
      </c>
      <c r="H908" s="2">
        <v>5.8</v>
      </c>
      <c r="I908" s="2">
        <v>20</v>
      </c>
      <c r="J908" s="2">
        <v>3.2</v>
      </c>
      <c r="K908" s="2">
        <v>31</v>
      </c>
      <c r="L908" s="2">
        <v>1</v>
      </c>
      <c r="M908" s="2">
        <v>10</v>
      </c>
      <c r="N908" s="2" t="s">
        <v>95</v>
      </c>
      <c r="O908" s="10">
        <v>1</v>
      </c>
      <c r="P908" s="14">
        <v>0</v>
      </c>
      <c r="Q908" s="183">
        <v>2</v>
      </c>
      <c r="R908" s="181">
        <v>2</v>
      </c>
      <c r="S908" s="178">
        <f t="shared" si="106"/>
        <v>1</v>
      </c>
      <c r="T908" s="186">
        <f t="shared" si="107"/>
        <v>4</v>
      </c>
      <c r="U908" s="179">
        <f t="shared" si="108"/>
        <v>3</v>
      </c>
      <c r="V908" s="1">
        <f t="shared" si="109"/>
        <v>25</v>
      </c>
      <c r="W908" s="8">
        <f t="shared" si="104"/>
        <v>6.25</v>
      </c>
      <c r="X908" s="15">
        <f t="shared" si="105"/>
        <v>5075</v>
      </c>
      <c r="Y908"/>
      <c r="Z908"/>
      <c r="AA908"/>
      <c r="AB908" s="46"/>
      <c r="AC908"/>
      <c r="AD908"/>
    </row>
    <row r="909" spans="1:30">
      <c r="A909" t="s">
        <v>931</v>
      </c>
      <c r="B909" s="163" t="s">
        <v>623</v>
      </c>
      <c r="C909" s="2" t="s">
        <v>20</v>
      </c>
      <c r="D909" s="2" t="s">
        <v>21</v>
      </c>
      <c r="E909" s="3">
        <v>45383.822916666664</v>
      </c>
      <c r="F909" s="2" t="s">
        <v>25</v>
      </c>
      <c r="G909" s="2" t="s">
        <v>359</v>
      </c>
      <c r="H909" s="2">
        <v>3.6</v>
      </c>
      <c r="I909" s="2">
        <v>20</v>
      </c>
      <c r="J909" s="2">
        <v>2.4</v>
      </c>
      <c r="K909" s="2">
        <v>37</v>
      </c>
      <c r="L909" s="2">
        <v>3</v>
      </c>
      <c r="M909" s="2">
        <v>10</v>
      </c>
      <c r="N909" s="2" t="s">
        <v>95</v>
      </c>
      <c r="O909" s="10">
        <v>1</v>
      </c>
      <c r="P909" s="14">
        <v>0</v>
      </c>
      <c r="Q909" s="183">
        <v>2</v>
      </c>
      <c r="R909" s="181">
        <v>2</v>
      </c>
      <c r="S909" s="178">
        <f t="shared" si="106"/>
        <v>1</v>
      </c>
      <c r="T909" s="186">
        <f t="shared" si="107"/>
        <v>4</v>
      </c>
      <c r="U909" s="179">
        <f t="shared" si="108"/>
        <v>3</v>
      </c>
      <c r="V909" s="1">
        <f t="shared" si="109"/>
        <v>25</v>
      </c>
      <c r="W909" s="8">
        <f t="shared" si="104"/>
        <v>6.25</v>
      </c>
      <c r="X909" s="15">
        <f t="shared" si="105"/>
        <v>5081.25</v>
      </c>
      <c r="Y909"/>
      <c r="Z909"/>
      <c r="AA909"/>
      <c r="AB909" s="46"/>
      <c r="AC909"/>
      <c r="AD909"/>
    </row>
    <row r="910" spans="1:30">
      <c r="A910" t="s">
        <v>931</v>
      </c>
      <c r="B910" s="163" t="s">
        <v>623</v>
      </c>
      <c r="C910" s="2" t="s">
        <v>6</v>
      </c>
      <c r="D910" s="2" t="s">
        <v>14</v>
      </c>
      <c r="E910" s="3">
        <v>45383.833333333336</v>
      </c>
      <c r="F910" s="2" t="s">
        <v>280</v>
      </c>
      <c r="G910" s="2" t="s">
        <v>387</v>
      </c>
      <c r="H910" s="2">
        <v>5.7</v>
      </c>
      <c r="I910" s="2">
        <v>20</v>
      </c>
      <c r="J910" s="2">
        <v>2.8</v>
      </c>
      <c r="K910" s="2">
        <v>24</v>
      </c>
      <c r="L910" s="2">
        <v>1</v>
      </c>
      <c r="M910" s="2">
        <v>10</v>
      </c>
      <c r="N910" s="2" t="s">
        <v>95</v>
      </c>
      <c r="O910" s="10">
        <v>1</v>
      </c>
      <c r="P910" s="14">
        <v>1</v>
      </c>
      <c r="Q910" s="183">
        <v>3</v>
      </c>
      <c r="R910" s="181">
        <v>1</v>
      </c>
      <c r="S910" s="178">
        <f t="shared" si="106"/>
        <v>2</v>
      </c>
      <c r="T910" s="186">
        <f t="shared" si="107"/>
        <v>4</v>
      </c>
      <c r="U910" s="179">
        <f t="shared" si="108"/>
        <v>2</v>
      </c>
      <c r="V910" s="1">
        <f t="shared" si="109"/>
        <v>25</v>
      </c>
      <c r="W910" s="8">
        <f t="shared" si="104"/>
        <v>6.25</v>
      </c>
      <c r="X910" s="15">
        <f t="shared" si="105"/>
        <v>5087.5</v>
      </c>
      <c r="Y910"/>
      <c r="Z910"/>
      <c r="AA910"/>
      <c r="AB910" s="46"/>
      <c r="AC910"/>
      <c r="AD910"/>
    </row>
    <row r="911" spans="1:30">
      <c r="A911" t="s">
        <v>931</v>
      </c>
      <c r="B911" s="163" t="s">
        <v>623</v>
      </c>
      <c r="C911" s="2" t="s">
        <v>6</v>
      </c>
      <c r="D911" s="2" t="s">
        <v>62</v>
      </c>
      <c r="E911" s="3">
        <v>45386.8125</v>
      </c>
      <c r="F911" s="2" t="s">
        <v>285</v>
      </c>
      <c r="G911" s="2" t="s">
        <v>85</v>
      </c>
      <c r="H911" s="2">
        <v>2</v>
      </c>
      <c r="I911" s="2">
        <v>20</v>
      </c>
      <c r="J911" s="2">
        <v>3.45</v>
      </c>
      <c r="K911" s="2">
        <v>25</v>
      </c>
      <c r="L911" s="2">
        <v>4</v>
      </c>
      <c r="M911" s="2">
        <v>10</v>
      </c>
      <c r="N911" s="2" t="s">
        <v>95</v>
      </c>
      <c r="O911" s="10">
        <v>1</v>
      </c>
      <c r="P911" s="14">
        <v>0</v>
      </c>
      <c r="Q911" s="183">
        <v>3</v>
      </c>
      <c r="R911" s="181">
        <v>1</v>
      </c>
      <c r="S911" s="178">
        <f t="shared" si="106"/>
        <v>1</v>
      </c>
      <c r="T911" s="186">
        <f t="shared" si="107"/>
        <v>4</v>
      </c>
      <c r="U911" s="179">
        <f t="shared" si="108"/>
        <v>3</v>
      </c>
      <c r="V911" s="1">
        <f t="shared" si="109"/>
        <v>25</v>
      </c>
      <c r="W911" s="8">
        <f t="shared" si="104"/>
        <v>6.25</v>
      </c>
      <c r="X911" s="15">
        <f t="shared" si="105"/>
        <v>5093.75</v>
      </c>
      <c r="Y911"/>
      <c r="Z911"/>
      <c r="AA911"/>
      <c r="AB911" s="46"/>
      <c r="AC911"/>
      <c r="AD911"/>
    </row>
    <row r="912" spans="1:30">
      <c r="A912" t="s">
        <v>931</v>
      </c>
      <c r="B912" s="163" t="s">
        <v>623</v>
      </c>
      <c r="C912" s="2" t="s">
        <v>6</v>
      </c>
      <c r="D912" s="2" t="s">
        <v>11</v>
      </c>
      <c r="E912" s="3">
        <v>45388.625</v>
      </c>
      <c r="F912" s="2" t="s">
        <v>634</v>
      </c>
      <c r="G912" s="2" t="s">
        <v>263</v>
      </c>
      <c r="H912" s="2">
        <v>5.4</v>
      </c>
      <c r="I912" s="2">
        <v>20</v>
      </c>
      <c r="J912" s="2">
        <v>2.8</v>
      </c>
      <c r="K912" s="2">
        <v>28</v>
      </c>
      <c r="L912" s="2">
        <v>2</v>
      </c>
      <c r="M912" s="2">
        <v>10</v>
      </c>
      <c r="N912" s="2" t="s">
        <v>95</v>
      </c>
      <c r="O912" s="10">
        <v>1</v>
      </c>
      <c r="P912" s="14">
        <v>1</v>
      </c>
      <c r="Q912" s="183">
        <v>3</v>
      </c>
      <c r="R912" s="181">
        <v>1</v>
      </c>
      <c r="S912" s="178">
        <f t="shared" si="106"/>
        <v>2</v>
      </c>
      <c r="T912" s="186">
        <f t="shared" si="107"/>
        <v>4</v>
      </c>
      <c r="U912" s="179">
        <f t="shared" si="108"/>
        <v>2</v>
      </c>
      <c r="V912" s="1">
        <f t="shared" si="109"/>
        <v>25</v>
      </c>
      <c r="W912" s="8">
        <f t="shared" si="104"/>
        <v>6.25</v>
      </c>
      <c r="X912" s="15">
        <f t="shared" si="105"/>
        <v>5100</v>
      </c>
      <c r="Y912"/>
      <c r="Z912"/>
      <c r="AA912"/>
      <c r="AB912" s="46"/>
      <c r="AC912"/>
      <c r="AD912"/>
    </row>
    <row r="913" spans="1:30">
      <c r="A913" t="s">
        <v>931</v>
      </c>
      <c r="B913" s="163" t="s">
        <v>623</v>
      </c>
      <c r="C913" s="2" t="s">
        <v>6</v>
      </c>
      <c r="D913" s="2" t="s">
        <v>62</v>
      </c>
      <c r="E913" s="3">
        <v>45389.75</v>
      </c>
      <c r="F913" s="2" t="s">
        <v>116</v>
      </c>
      <c r="G913" s="2" t="s">
        <v>264</v>
      </c>
      <c r="H913" s="2">
        <v>4.0999999999999996</v>
      </c>
      <c r="I913" s="2">
        <v>20</v>
      </c>
      <c r="J913" s="2">
        <v>3.55</v>
      </c>
      <c r="K913" s="2">
        <v>19</v>
      </c>
      <c r="L913" s="2">
        <v>1</v>
      </c>
      <c r="M913" s="2">
        <v>10</v>
      </c>
      <c r="N913" s="2" t="s">
        <v>95</v>
      </c>
      <c r="O913" s="10">
        <v>1</v>
      </c>
      <c r="P913" s="14">
        <v>1</v>
      </c>
      <c r="Q913" s="183">
        <v>3</v>
      </c>
      <c r="R913" s="181">
        <v>1</v>
      </c>
      <c r="S913" s="178">
        <f t="shared" si="106"/>
        <v>2</v>
      </c>
      <c r="T913" s="186">
        <f t="shared" si="107"/>
        <v>4</v>
      </c>
      <c r="U913" s="179">
        <f t="shared" si="108"/>
        <v>2</v>
      </c>
      <c r="V913" s="1">
        <f t="shared" si="109"/>
        <v>25</v>
      </c>
      <c r="W913" s="8">
        <f t="shared" si="104"/>
        <v>6.25</v>
      </c>
      <c r="X913" s="15">
        <f t="shared" si="105"/>
        <v>5106.25</v>
      </c>
      <c r="Y913"/>
      <c r="Z913"/>
      <c r="AA913"/>
      <c r="AB913" s="46"/>
      <c r="AC913"/>
      <c r="AD913"/>
    </row>
    <row r="914" spans="1:30">
      <c r="A914" t="s">
        <v>931</v>
      </c>
      <c r="B914" s="163" t="s">
        <v>623</v>
      </c>
      <c r="C914" s="2" t="s">
        <v>77</v>
      </c>
      <c r="D914" s="2" t="s">
        <v>234</v>
      </c>
      <c r="E914" s="3">
        <v>45394.729166666664</v>
      </c>
      <c r="F914" s="2" t="s">
        <v>475</v>
      </c>
      <c r="G914" s="2" t="s">
        <v>646</v>
      </c>
      <c r="H914" s="2">
        <v>5.9</v>
      </c>
      <c r="I914" s="2">
        <v>20</v>
      </c>
      <c r="J914" s="2">
        <v>3.25</v>
      </c>
      <c r="K914" s="2">
        <v>23</v>
      </c>
      <c r="L914" s="2">
        <v>2</v>
      </c>
      <c r="M914" s="2">
        <v>10</v>
      </c>
      <c r="N914" s="2" t="s">
        <v>95</v>
      </c>
      <c r="O914" s="9">
        <v>2</v>
      </c>
      <c r="P914" s="14">
        <v>0</v>
      </c>
      <c r="Q914" s="183">
        <v>4</v>
      </c>
      <c r="R914" s="181">
        <v>0</v>
      </c>
      <c r="S914" s="178">
        <f t="shared" si="106"/>
        <v>2</v>
      </c>
      <c r="T914" s="186">
        <f t="shared" si="107"/>
        <v>4</v>
      </c>
      <c r="U914" s="179">
        <f t="shared" si="108"/>
        <v>2</v>
      </c>
      <c r="V914" s="1">
        <f t="shared" si="109"/>
        <v>25</v>
      </c>
      <c r="W914" s="8">
        <f t="shared" si="104"/>
        <v>6.25</v>
      </c>
      <c r="X914" s="15">
        <f t="shared" si="105"/>
        <v>5112.5</v>
      </c>
      <c r="Y914"/>
      <c r="Z914"/>
      <c r="AA914"/>
      <c r="AB914" s="46"/>
      <c r="AC914"/>
      <c r="AD914"/>
    </row>
    <row r="915" spans="1:30">
      <c r="A915" t="s">
        <v>931</v>
      </c>
      <c r="B915" s="163" t="s">
        <v>623</v>
      </c>
      <c r="C915" s="2" t="s">
        <v>20</v>
      </c>
      <c r="D915" s="2" t="s">
        <v>21</v>
      </c>
      <c r="E915" s="3">
        <v>45396.479166666664</v>
      </c>
      <c r="F915" s="2" t="s">
        <v>22</v>
      </c>
      <c r="G915" s="2" t="s">
        <v>402</v>
      </c>
      <c r="H915" s="2">
        <v>4.5</v>
      </c>
      <c r="I915" s="2">
        <v>20</v>
      </c>
      <c r="J915" s="2">
        <v>2.85</v>
      </c>
      <c r="K915" s="2">
        <v>42</v>
      </c>
      <c r="L915" s="2">
        <v>0</v>
      </c>
      <c r="M915" s="2">
        <v>10</v>
      </c>
      <c r="N915" s="2" t="s">
        <v>95</v>
      </c>
      <c r="O915" s="10">
        <v>1</v>
      </c>
      <c r="P915" s="14">
        <v>0</v>
      </c>
      <c r="Q915" s="183">
        <v>2</v>
      </c>
      <c r="R915" s="181">
        <v>2</v>
      </c>
      <c r="S915" s="178">
        <f t="shared" si="106"/>
        <v>1</v>
      </c>
      <c r="T915" s="186">
        <f t="shared" si="107"/>
        <v>4</v>
      </c>
      <c r="U915" s="179">
        <f t="shared" si="108"/>
        <v>3</v>
      </c>
      <c r="V915" s="1">
        <f t="shared" si="109"/>
        <v>25</v>
      </c>
      <c r="W915" s="8">
        <f t="shared" si="104"/>
        <v>6.25</v>
      </c>
      <c r="X915" s="15">
        <f t="shared" si="105"/>
        <v>5118.75</v>
      </c>
      <c r="Y915"/>
      <c r="Z915"/>
      <c r="AA915"/>
      <c r="AB915" s="46"/>
      <c r="AC915"/>
      <c r="AD915"/>
    </row>
    <row r="916" spans="1:30">
      <c r="A916" t="s">
        <v>931</v>
      </c>
      <c r="B916" s="163" t="s">
        <v>623</v>
      </c>
      <c r="C916" s="2" t="s">
        <v>149</v>
      </c>
      <c r="D916" s="2" t="s">
        <v>153</v>
      </c>
      <c r="E916" s="3">
        <v>45396.791666666664</v>
      </c>
      <c r="F916" s="2" t="s">
        <v>241</v>
      </c>
      <c r="G916" s="2" t="s">
        <v>205</v>
      </c>
      <c r="H916" s="2">
        <v>6.2</v>
      </c>
      <c r="I916" s="2">
        <v>20</v>
      </c>
      <c r="J916" s="2">
        <v>3.3</v>
      </c>
      <c r="K916" s="2">
        <v>36</v>
      </c>
      <c r="L916" s="2">
        <v>1</v>
      </c>
      <c r="M916" s="2">
        <v>10</v>
      </c>
      <c r="N916" s="2" t="s">
        <v>95</v>
      </c>
      <c r="O916" s="10">
        <v>0</v>
      </c>
      <c r="P916" s="14">
        <v>1</v>
      </c>
      <c r="Q916" s="183">
        <v>2</v>
      </c>
      <c r="R916" s="181">
        <v>2</v>
      </c>
      <c r="S916" s="178">
        <f t="shared" si="106"/>
        <v>1</v>
      </c>
      <c r="T916" s="186">
        <f t="shared" si="107"/>
        <v>4</v>
      </c>
      <c r="U916" s="179">
        <f t="shared" si="108"/>
        <v>3</v>
      </c>
      <c r="V916" s="1">
        <f t="shared" si="109"/>
        <v>25</v>
      </c>
      <c r="W916" s="8">
        <f t="shared" si="104"/>
        <v>6.25</v>
      </c>
      <c r="X916" s="15">
        <f t="shared" si="105"/>
        <v>5125</v>
      </c>
      <c r="Y916"/>
      <c r="Z916"/>
      <c r="AA916"/>
      <c r="AB916" s="46"/>
      <c r="AC916"/>
      <c r="AD916"/>
    </row>
    <row r="917" spans="1:30">
      <c r="A917" t="s">
        <v>931</v>
      </c>
      <c r="B917" s="163" t="s">
        <v>623</v>
      </c>
      <c r="C917" s="2" t="s">
        <v>20</v>
      </c>
      <c r="D917" s="2" t="s">
        <v>21</v>
      </c>
      <c r="E917" s="3">
        <v>45396.822916666664</v>
      </c>
      <c r="F917" s="2" t="s">
        <v>25</v>
      </c>
      <c r="G917" s="2" t="s">
        <v>335</v>
      </c>
      <c r="H917" s="2">
        <v>3.5</v>
      </c>
      <c r="I917" s="2">
        <v>20</v>
      </c>
      <c r="J917" s="2">
        <v>2.5</v>
      </c>
      <c r="K917" s="2">
        <v>33</v>
      </c>
      <c r="L917" s="2">
        <v>3</v>
      </c>
      <c r="M917" s="2">
        <v>10</v>
      </c>
      <c r="N917" s="2" t="s">
        <v>95</v>
      </c>
      <c r="O917" s="10">
        <v>1</v>
      </c>
      <c r="P917" s="14">
        <v>0</v>
      </c>
      <c r="Q917" s="183">
        <v>2</v>
      </c>
      <c r="R917" s="181">
        <v>2</v>
      </c>
      <c r="S917" s="178">
        <f t="shared" si="106"/>
        <v>1</v>
      </c>
      <c r="T917" s="186">
        <f t="shared" si="107"/>
        <v>4</v>
      </c>
      <c r="U917" s="179">
        <f t="shared" si="108"/>
        <v>3</v>
      </c>
      <c r="V917" s="1">
        <f t="shared" si="109"/>
        <v>25</v>
      </c>
      <c r="W917" s="8">
        <f t="shared" si="104"/>
        <v>6.25</v>
      </c>
      <c r="X917" s="15">
        <f t="shared" si="105"/>
        <v>5131.25</v>
      </c>
      <c r="Y917"/>
      <c r="Z917"/>
      <c r="AA917"/>
      <c r="AB917" s="46"/>
      <c r="AC917"/>
      <c r="AD917"/>
    </row>
    <row r="918" spans="1:30">
      <c r="A918" t="s">
        <v>931</v>
      </c>
      <c r="B918" s="163" t="s">
        <v>623</v>
      </c>
      <c r="C918" s="2" t="s">
        <v>119</v>
      </c>
      <c r="D918" s="2" t="s">
        <v>120</v>
      </c>
      <c r="E918" s="3">
        <v>45396.833333333336</v>
      </c>
      <c r="F918" s="2" t="s">
        <v>568</v>
      </c>
      <c r="G918" s="2" t="s">
        <v>480</v>
      </c>
      <c r="H918" s="2">
        <v>5.4</v>
      </c>
      <c r="I918" s="2">
        <v>20</v>
      </c>
      <c r="J918" s="2">
        <v>2.1</v>
      </c>
      <c r="K918" s="2">
        <v>35</v>
      </c>
      <c r="L918" s="2">
        <v>0</v>
      </c>
      <c r="M918" s="2">
        <v>10</v>
      </c>
      <c r="N918" s="2" t="s">
        <v>95</v>
      </c>
      <c r="O918" s="10">
        <v>1</v>
      </c>
      <c r="P918" s="14">
        <v>1</v>
      </c>
      <c r="Q918" s="183">
        <v>2</v>
      </c>
      <c r="R918" s="181">
        <v>2</v>
      </c>
      <c r="S918" s="178">
        <f t="shared" si="106"/>
        <v>2</v>
      </c>
      <c r="T918" s="186">
        <f t="shared" si="107"/>
        <v>4</v>
      </c>
      <c r="U918" s="179">
        <f t="shared" si="108"/>
        <v>2</v>
      </c>
      <c r="V918" s="1">
        <f t="shared" si="109"/>
        <v>25</v>
      </c>
      <c r="W918" s="8">
        <f t="shared" ref="W918:W981" si="110">IF(N918="won",V918*0.25,-V918)</f>
        <v>6.25</v>
      </c>
      <c r="X918" s="15">
        <f t="shared" ref="X918:X981" si="111">SUM(X917,W918)</f>
        <v>5137.5</v>
      </c>
      <c r="Y918"/>
      <c r="Z918"/>
      <c r="AA918"/>
      <c r="AB918" s="46"/>
      <c r="AC918"/>
      <c r="AD918"/>
    </row>
    <row r="919" spans="1:30">
      <c r="A919" t="s">
        <v>931</v>
      </c>
      <c r="B919" s="163" t="s">
        <v>623</v>
      </c>
      <c r="C919" s="2" t="s">
        <v>20</v>
      </c>
      <c r="D919" s="2" t="s">
        <v>21</v>
      </c>
      <c r="E919" s="3">
        <v>45397.822916666664</v>
      </c>
      <c r="F919" s="2" t="s">
        <v>97</v>
      </c>
      <c r="G919" s="2" t="s">
        <v>598</v>
      </c>
      <c r="H919" s="2">
        <v>6.4</v>
      </c>
      <c r="I919" s="2">
        <v>20</v>
      </c>
      <c r="J919" s="2">
        <v>2.8</v>
      </c>
      <c r="K919" s="2">
        <v>32</v>
      </c>
      <c r="L919" s="2">
        <v>2</v>
      </c>
      <c r="M919" s="2">
        <v>10</v>
      </c>
      <c r="N919" s="2" t="s">
        <v>95</v>
      </c>
      <c r="O919" s="10">
        <v>2</v>
      </c>
      <c r="P919" s="14">
        <v>0</v>
      </c>
      <c r="Q919" s="183">
        <v>2</v>
      </c>
      <c r="R919" s="181">
        <v>2</v>
      </c>
      <c r="S919" s="178">
        <f t="shared" si="106"/>
        <v>2</v>
      </c>
      <c r="T919" s="186">
        <f t="shared" si="107"/>
        <v>4</v>
      </c>
      <c r="U919" s="179">
        <f t="shared" si="108"/>
        <v>2</v>
      </c>
      <c r="V919" s="1">
        <f t="shared" si="109"/>
        <v>25</v>
      </c>
      <c r="W919" s="8">
        <f t="shared" si="110"/>
        <v>6.25</v>
      </c>
      <c r="X919" s="15">
        <f t="shared" si="111"/>
        <v>5143.75</v>
      </c>
      <c r="Y919"/>
      <c r="Z919"/>
      <c r="AA919"/>
      <c r="AB919" s="46"/>
      <c r="AC919"/>
      <c r="AD919"/>
    </row>
    <row r="920" spans="1:30">
      <c r="A920" t="s">
        <v>931</v>
      </c>
      <c r="B920" s="163" t="s">
        <v>623</v>
      </c>
      <c r="C920" s="2" t="s">
        <v>6</v>
      </c>
      <c r="D920" s="2" t="s">
        <v>11</v>
      </c>
      <c r="E920" s="3">
        <v>45398.822916666664</v>
      </c>
      <c r="F920" s="2" t="s">
        <v>300</v>
      </c>
      <c r="G920" s="2" t="s">
        <v>263</v>
      </c>
      <c r="H920" s="2">
        <v>5.7</v>
      </c>
      <c r="I920" s="2">
        <v>20</v>
      </c>
      <c r="J920" s="2">
        <v>2.7</v>
      </c>
      <c r="K920" s="2">
        <v>24</v>
      </c>
      <c r="L920" s="2">
        <v>2</v>
      </c>
      <c r="M920" s="2">
        <v>10</v>
      </c>
      <c r="N920" s="2" t="s">
        <v>95</v>
      </c>
      <c r="O920" s="10">
        <v>1</v>
      </c>
      <c r="P920" s="14">
        <v>2</v>
      </c>
      <c r="Q920" s="183">
        <v>2</v>
      </c>
      <c r="R920" s="181">
        <v>2</v>
      </c>
      <c r="S920" s="178">
        <f t="shared" si="106"/>
        <v>3</v>
      </c>
      <c r="T920" s="186">
        <f t="shared" si="107"/>
        <v>4</v>
      </c>
      <c r="U920" s="179">
        <f t="shared" si="108"/>
        <v>1</v>
      </c>
      <c r="V920" s="1">
        <f t="shared" si="109"/>
        <v>25</v>
      </c>
      <c r="W920" s="8">
        <f t="shared" si="110"/>
        <v>6.25</v>
      </c>
      <c r="X920" s="15">
        <f t="shared" si="111"/>
        <v>5150</v>
      </c>
      <c r="Y920"/>
      <c r="Z920"/>
      <c r="AA920"/>
      <c r="AB920" s="46"/>
      <c r="AC920"/>
      <c r="AD920"/>
    </row>
    <row r="921" spans="1:30">
      <c r="A921" t="s">
        <v>931</v>
      </c>
      <c r="B921" s="163" t="s">
        <v>623</v>
      </c>
      <c r="C921" s="2" t="s">
        <v>31</v>
      </c>
      <c r="D921" s="2" t="s">
        <v>32</v>
      </c>
      <c r="E921" s="3">
        <v>45398.822916666664</v>
      </c>
      <c r="F921" s="2" t="s">
        <v>690</v>
      </c>
      <c r="G921" s="2" t="s">
        <v>261</v>
      </c>
      <c r="H921" s="2">
        <v>5.2</v>
      </c>
      <c r="I921" s="2">
        <v>20</v>
      </c>
      <c r="J921" s="2">
        <v>3.45</v>
      </c>
      <c r="K921" s="2">
        <v>32</v>
      </c>
      <c r="L921" s="2">
        <v>4</v>
      </c>
      <c r="M921" s="2">
        <v>10</v>
      </c>
      <c r="N921" s="2" t="s">
        <v>95</v>
      </c>
      <c r="O921" s="10">
        <v>0</v>
      </c>
      <c r="P921" s="14">
        <v>1</v>
      </c>
      <c r="Q921" s="183">
        <v>2</v>
      </c>
      <c r="R921" s="181">
        <v>2</v>
      </c>
      <c r="S921" s="178">
        <f t="shared" si="106"/>
        <v>1</v>
      </c>
      <c r="T921" s="186">
        <f t="shared" si="107"/>
        <v>4</v>
      </c>
      <c r="U921" s="179">
        <f t="shared" si="108"/>
        <v>3</v>
      </c>
      <c r="V921" s="1">
        <f t="shared" si="109"/>
        <v>25</v>
      </c>
      <c r="W921" s="8">
        <f t="shared" si="110"/>
        <v>6.25</v>
      </c>
      <c r="X921" s="15">
        <f t="shared" si="111"/>
        <v>5156.25</v>
      </c>
      <c r="Y921"/>
      <c r="Z921"/>
      <c r="AA921"/>
      <c r="AB921" s="46"/>
      <c r="AC921"/>
      <c r="AD921"/>
    </row>
    <row r="922" spans="1:30">
      <c r="A922" t="s">
        <v>931</v>
      </c>
      <c r="B922" s="163" t="s">
        <v>623</v>
      </c>
      <c r="C922" s="2" t="s">
        <v>77</v>
      </c>
      <c r="D922" s="2" t="s">
        <v>234</v>
      </c>
      <c r="E922" s="3">
        <v>45409.5</v>
      </c>
      <c r="F922" s="2" t="s">
        <v>235</v>
      </c>
      <c r="G922" s="2" t="s">
        <v>631</v>
      </c>
      <c r="H922" s="2">
        <v>6.4</v>
      </c>
      <c r="I922" s="2">
        <v>20</v>
      </c>
      <c r="J922" s="2">
        <v>3.15</v>
      </c>
      <c r="K922" s="2">
        <v>27</v>
      </c>
      <c r="L922" s="2">
        <v>3</v>
      </c>
      <c r="M922" s="2">
        <v>10</v>
      </c>
      <c r="N922" s="2" t="s">
        <v>95</v>
      </c>
      <c r="O922" s="10">
        <v>1</v>
      </c>
      <c r="P922" s="14">
        <v>2</v>
      </c>
      <c r="Q922" s="183">
        <v>1</v>
      </c>
      <c r="R922" s="181">
        <v>3</v>
      </c>
      <c r="S922" s="178">
        <f t="shared" si="106"/>
        <v>3</v>
      </c>
      <c r="T922" s="186">
        <f t="shared" si="107"/>
        <v>4</v>
      </c>
      <c r="U922" s="179">
        <f t="shared" si="108"/>
        <v>1</v>
      </c>
      <c r="V922" s="1">
        <f t="shared" si="109"/>
        <v>25</v>
      </c>
      <c r="W922" s="8">
        <f t="shared" si="110"/>
        <v>6.25</v>
      </c>
      <c r="X922" s="15">
        <f t="shared" si="111"/>
        <v>5162.5</v>
      </c>
      <c r="Y922"/>
      <c r="Z922"/>
      <c r="AA922"/>
      <c r="AB922" s="46"/>
      <c r="AC922"/>
      <c r="AD922"/>
    </row>
    <row r="923" spans="1:30">
      <c r="A923" t="s">
        <v>931</v>
      </c>
      <c r="B923" s="163" t="s">
        <v>623</v>
      </c>
      <c r="C923" s="2" t="s">
        <v>20</v>
      </c>
      <c r="D923" s="2" t="s">
        <v>322</v>
      </c>
      <c r="E923" s="3">
        <v>45409.541666666664</v>
      </c>
      <c r="F923" s="2" t="s">
        <v>399</v>
      </c>
      <c r="G923" s="2" t="s">
        <v>357</v>
      </c>
      <c r="H923" s="2">
        <v>4.4000000000000004</v>
      </c>
      <c r="I923" s="2">
        <v>20</v>
      </c>
      <c r="J923" s="2">
        <v>3.15</v>
      </c>
      <c r="K923" s="2">
        <v>27</v>
      </c>
      <c r="L923" s="2">
        <v>0</v>
      </c>
      <c r="M923" s="2">
        <v>10</v>
      </c>
      <c r="N923" s="2" t="s">
        <v>95</v>
      </c>
      <c r="O923" s="10">
        <v>3</v>
      </c>
      <c r="P923" s="14">
        <v>0</v>
      </c>
      <c r="Q923" s="183">
        <v>4</v>
      </c>
      <c r="R923" s="181">
        <v>0</v>
      </c>
      <c r="S923" s="178">
        <f t="shared" si="106"/>
        <v>3</v>
      </c>
      <c r="T923" s="186">
        <f t="shared" si="107"/>
        <v>4</v>
      </c>
      <c r="U923" s="179">
        <f t="shared" si="108"/>
        <v>1</v>
      </c>
      <c r="V923" s="1">
        <f t="shared" si="109"/>
        <v>25</v>
      </c>
      <c r="W923" s="8">
        <f t="shared" si="110"/>
        <v>6.25</v>
      </c>
      <c r="X923" s="15">
        <f t="shared" si="111"/>
        <v>5168.75</v>
      </c>
      <c r="Y923"/>
      <c r="Z923"/>
      <c r="AA923"/>
      <c r="AB923" s="46"/>
      <c r="AC923"/>
      <c r="AD923"/>
    </row>
    <row r="924" spans="1:30">
      <c r="A924" t="s">
        <v>931</v>
      </c>
      <c r="B924" s="163" t="s">
        <v>623</v>
      </c>
      <c r="C924" s="2" t="s">
        <v>77</v>
      </c>
      <c r="D924" s="2" t="s">
        <v>234</v>
      </c>
      <c r="E924" s="3">
        <v>45415.729166666664</v>
      </c>
      <c r="F924" s="2" t="s">
        <v>632</v>
      </c>
      <c r="G924" s="2" t="s">
        <v>328</v>
      </c>
      <c r="H924" s="2">
        <v>4.2</v>
      </c>
      <c r="I924" s="2">
        <v>20</v>
      </c>
      <c r="J924" s="2">
        <v>3.05</v>
      </c>
      <c r="K924" s="2">
        <v>30</v>
      </c>
      <c r="L924" s="2">
        <v>2</v>
      </c>
      <c r="M924" s="2">
        <v>10</v>
      </c>
      <c r="N924" s="2" t="s">
        <v>95</v>
      </c>
      <c r="O924" s="10">
        <v>2</v>
      </c>
      <c r="P924" s="14">
        <v>0</v>
      </c>
      <c r="Q924" s="183">
        <v>3</v>
      </c>
      <c r="R924" s="181">
        <v>1</v>
      </c>
      <c r="S924" s="178">
        <f t="shared" si="106"/>
        <v>2</v>
      </c>
      <c r="T924" s="186">
        <f t="shared" si="107"/>
        <v>4</v>
      </c>
      <c r="U924" s="179">
        <f t="shared" si="108"/>
        <v>2</v>
      </c>
      <c r="V924" s="1">
        <f t="shared" si="109"/>
        <v>25</v>
      </c>
      <c r="W924" s="8">
        <f t="shared" si="110"/>
        <v>6.25</v>
      </c>
      <c r="X924" s="15">
        <f t="shared" si="111"/>
        <v>5175</v>
      </c>
      <c r="Y924"/>
      <c r="Z924"/>
      <c r="AA924"/>
      <c r="AB924" s="46"/>
      <c r="AC924"/>
      <c r="AD924"/>
    </row>
    <row r="925" spans="1:30">
      <c r="A925" t="s">
        <v>931</v>
      </c>
      <c r="B925" s="163" t="s">
        <v>623</v>
      </c>
      <c r="C925" s="2" t="s">
        <v>44</v>
      </c>
      <c r="D925" s="2" t="s">
        <v>45</v>
      </c>
      <c r="E925" s="3">
        <v>45416.447916666664</v>
      </c>
      <c r="F925" s="2" t="s">
        <v>46</v>
      </c>
      <c r="G925" s="2" t="s">
        <v>143</v>
      </c>
      <c r="H925" s="2">
        <v>4</v>
      </c>
      <c r="I925" s="2">
        <v>20</v>
      </c>
      <c r="J925" s="2">
        <v>3.55</v>
      </c>
      <c r="K925" s="2">
        <v>29</v>
      </c>
      <c r="L925" s="2">
        <v>3</v>
      </c>
      <c r="M925" s="2">
        <v>10</v>
      </c>
      <c r="N925" s="2" t="s">
        <v>95</v>
      </c>
      <c r="O925" s="10">
        <v>1</v>
      </c>
      <c r="P925" s="14">
        <v>0</v>
      </c>
      <c r="Q925" s="183">
        <v>4</v>
      </c>
      <c r="R925" s="181">
        <v>0</v>
      </c>
      <c r="S925" s="178">
        <f t="shared" si="106"/>
        <v>1</v>
      </c>
      <c r="T925" s="186">
        <f t="shared" si="107"/>
        <v>4</v>
      </c>
      <c r="U925" s="179">
        <f t="shared" si="108"/>
        <v>3</v>
      </c>
      <c r="V925" s="1">
        <f t="shared" si="109"/>
        <v>25</v>
      </c>
      <c r="W925" s="8">
        <f t="shared" si="110"/>
        <v>6.25</v>
      </c>
      <c r="X925" s="15">
        <f t="shared" si="111"/>
        <v>5181.25</v>
      </c>
      <c r="Y925"/>
      <c r="Z925"/>
      <c r="AA925"/>
      <c r="AB925" s="46"/>
      <c r="AC925"/>
      <c r="AD925"/>
    </row>
    <row r="926" spans="1:30">
      <c r="A926" t="s">
        <v>931</v>
      </c>
      <c r="B926" s="163" t="s">
        <v>623</v>
      </c>
      <c r="C926" s="2" t="s">
        <v>145</v>
      </c>
      <c r="D926" s="2" t="s">
        <v>190</v>
      </c>
      <c r="E926" s="3">
        <v>45424.833333333336</v>
      </c>
      <c r="F926" s="2" t="s">
        <v>191</v>
      </c>
      <c r="G926" s="2" t="s">
        <v>227</v>
      </c>
      <c r="H926" s="2">
        <v>5.4</v>
      </c>
      <c r="I926" s="2">
        <v>20</v>
      </c>
      <c r="J926" s="2">
        <v>3</v>
      </c>
      <c r="K926" s="2">
        <v>27</v>
      </c>
      <c r="L926" s="2">
        <v>1</v>
      </c>
      <c r="M926" s="2">
        <v>10</v>
      </c>
      <c r="N926" s="2" t="s">
        <v>95</v>
      </c>
      <c r="O926" s="10">
        <v>2</v>
      </c>
      <c r="P926" s="14">
        <v>1</v>
      </c>
      <c r="Q926" s="183">
        <v>3</v>
      </c>
      <c r="R926" s="181">
        <v>1</v>
      </c>
      <c r="S926" s="178">
        <f t="shared" si="106"/>
        <v>3</v>
      </c>
      <c r="T926" s="186">
        <f t="shared" si="107"/>
        <v>4</v>
      </c>
      <c r="U926" s="179">
        <f t="shared" si="108"/>
        <v>1</v>
      </c>
      <c r="V926" s="1">
        <f t="shared" si="109"/>
        <v>25</v>
      </c>
      <c r="W926" s="8">
        <f t="shared" si="110"/>
        <v>6.25</v>
      </c>
      <c r="X926" s="15">
        <f t="shared" si="111"/>
        <v>5187.5</v>
      </c>
      <c r="Y926"/>
      <c r="Z926"/>
      <c r="AA926"/>
      <c r="AB926" s="46"/>
      <c r="AC926"/>
      <c r="AD926"/>
    </row>
    <row r="927" spans="1:30">
      <c r="A927" t="s">
        <v>931</v>
      </c>
      <c r="B927" s="163" t="s">
        <v>623</v>
      </c>
      <c r="C927" s="2" t="s">
        <v>145</v>
      </c>
      <c r="D927" s="2" t="s">
        <v>190</v>
      </c>
      <c r="E927" s="3">
        <v>45424.833333333336</v>
      </c>
      <c r="F927" s="2" t="s">
        <v>826</v>
      </c>
      <c r="G927" s="2" t="s">
        <v>570</v>
      </c>
      <c r="H927" s="2">
        <v>3.9</v>
      </c>
      <c r="I927" s="2">
        <v>20</v>
      </c>
      <c r="J927" s="2">
        <v>3.3</v>
      </c>
      <c r="K927" s="2">
        <v>26</v>
      </c>
      <c r="L927" s="2">
        <v>2</v>
      </c>
      <c r="M927" s="2">
        <v>10</v>
      </c>
      <c r="N927" s="2" t="s">
        <v>95</v>
      </c>
      <c r="O927" s="10">
        <v>1</v>
      </c>
      <c r="P927" s="14">
        <v>1</v>
      </c>
      <c r="Q927" s="183">
        <v>1</v>
      </c>
      <c r="R927" s="181">
        <v>3</v>
      </c>
      <c r="S927" s="178">
        <f t="shared" si="106"/>
        <v>2</v>
      </c>
      <c r="T927" s="186">
        <f t="shared" si="107"/>
        <v>4</v>
      </c>
      <c r="U927" s="179">
        <f t="shared" si="108"/>
        <v>2</v>
      </c>
      <c r="V927" s="1">
        <f t="shared" si="109"/>
        <v>25</v>
      </c>
      <c r="W927" s="8">
        <f t="shared" si="110"/>
        <v>6.25</v>
      </c>
      <c r="X927" s="15">
        <f t="shared" si="111"/>
        <v>5193.75</v>
      </c>
      <c r="Y927"/>
      <c r="Z927"/>
      <c r="AA927"/>
      <c r="AB927" s="46"/>
      <c r="AC927"/>
      <c r="AD927"/>
    </row>
    <row r="928" spans="1:30">
      <c r="A928" t="s">
        <v>931</v>
      </c>
      <c r="B928" s="163" t="s">
        <v>623</v>
      </c>
      <c r="C928" s="2" t="s">
        <v>77</v>
      </c>
      <c r="D928" s="2" t="s">
        <v>156</v>
      </c>
      <c r="E928" s="3">
        <v>45430.604166666664</v>
      </c>
      <c r="F928" s="2" t="s">
        <v>552</v>
      </c>
      <c r="G928" s="2" t="s">
        <v>345</v>
      </c>
      <c r="H928" s="2">
        <v>2.2000000000000002</v>
      </c>
      <c r="I928" s="2">
        <v>20</v>
      </c>
      <c r="J928" s="2">
        <v>3.35</v>
      </c>
      <c r="K928" s="2">
        <v>27</v>
      </c>
      <c r="L928" s="2">
        <v>2</v>
      </c>
      <c r="M928" s="2">
        <v>10</v>
      </c>
      <c r="N928" s="2" t="s">
        <v>95</v>
      </c>
      <c r="O928" s="10">
        <v>2</v>
      </c>
      <c r="P928" s="14">
        <v>0</v>
      </c>
      <c r="Q928" s="183">
        <v>4</v>
      </c>
      <c r="R928" s="181">
        <v>0</v>
      </c>
      <c r="S928" s="178">
        <f t="shared" si="106"/>
        <v>2</v>
      </c>
      <c r="T928" s="186">
        <f t="shared" si="107"/>
        <v>4</v>
      </c>
      <c r="U928" s="179">
        <f t="shared" si="108"/>
        <v>2</v>
      </c>
      <c r="V928" s="1">
        <f t="shared" si="109"/>
        <v>25</v>
      </c>
      <c r="W928" s="8">
        <f t="shared" si="110"/>
        <v>6.25</v>
      </c>
      <c r="X928" s="15">
        <f t="shared" si="111"/>
        <v>5200</v>
      </c>
      <c r="Y928"/>
      <c r="Z928"/>
      <c r="AA928"/>
      <c r="AB928" s="46"/>
      <c r="AC928"/>
      <c r="AD928"/>
    </row>
    <row r="929" spans="1:30">
      <c r="A929" t="s">
        <v>931</v>
      </c>
      <c r="B929" s="163" t="s">
        <v>623</v>
      </c>
      <c r="C929" s="2" t="s">
        <v>77</v>
      </c>
      <c r="D929" s="2" t="s">
        <v>156</v>
      </c>
      <c r="E929" s="3">
        <v>45430.604166666664</v>
      </c>
      <c r="F929" s="2" t="s">
        <v>168</v>
      </c>
      <c r="G929" s="2" t="s">
        <v>167</v>
      </c>
      <c r="H929" s="2">
        <v>2.6</v>
      </c>
      <c r="I929" s="2">
        <v>20</v>
      </c>
      <c r="J929" s="2">
        <v>3.35</v>
      </c>
      <c r="K929" s="2">
        <v>25</v>
      </c>
      <c r="L929" s="2">
        <v>1</v>
      </c>
      <c r="M929" s="2">
        <v>10</v>
      </c>
      <c r="N929" s="2" t="s">
        <v>95</v>
      </c>
      <c r="O929" s="10">
        <v>2</v>
      </c>
      <c r="P929" s="14">
        <v>0</v>
      </c>
      <c r="Q929" s="183">
        <v>4</v>
      </c>
      <c r="R929" s="181">
        <v>0</v>
      </c>
      <c r="S929" s="178">
        <f t="shared" si="106"/>
        <v>2</v>
      </c>
      <c r="T929" s="186">
        <f t="shared" si="107"/>
        <v>4</v>
      </c>
      <c r="U929" s="179">
        <f t="shared" si="108"/>
        <v>2</v>
      </c>
      <c r="V929" s="1">
        <f t="shared" si="109"/>
        <v>25</v>
      </c>
      <c r="W929" s="8">
        <f t="shared" si="110"/>
        <v>6.25</v>
      </c>
      <c r="X929" s="15">
        <f t="shared" si="111"/>
        <v>5206.25</v>
      </c>
      <c r="Y929"/>
      <c r="Z929"/>
      <c r="AA929"/>
      <c r="AB929" s="46"/>
      <c r="AC929"/>
      <c r="AD929"/>
    </row>
    <row r="930" spans="1:30">
      <c r="A930" t="s">
        <v>931</v>
      </c>
      <c r="B930" s="163" t="s">
        <v>623</v>
      </c>
      <c r="C930" s="2" t="s">
        <v>80</v>
      </c>
      <c r="D930" s="2" t="s">
        <v>81</v>
      </c>
      <c r="E930" s="3">
        <v>45430.708333333336</v>
      </c>
      <c r="F930" s="2" t="s">
        <v>129</v>
      </c>
      <c r="G930" s="2" t="s">
        <v>292</v>
      </c>
      <c r="H930" s="2">
        <v>5.7</v>
      </c>
      <c r="I930" s="2">
        <v>20</v>
      </c>
      <c r="J930" s="2">
        <v>2.1</v>
      </c>
      <c r="K930" s="2">
        <v>30</v>
      </c>
      <c r="L930" s="2">
        <v>0</v>
      </c>
      <c r="M930" s="2">
        <v>10</v>
      </c>
      <c r="N930" s="2" t="s">
        <v>95</v>
      </c>
      <c r="O930" s="10">
        <v>0</v>
      </c>
      <c r="P930" s="14">
        <v>1</v>
      </c>
      <c r="Q930" s="183">
        <v>2</v>
      </c>
      <c r="R930" s="181">
        <v>2</v>
      </c>
      <c r="S930" s="178">
        <f t="shared" si="106"/>
        <v>1</v>
      </c>
      <c r="T930" s="186">
        <f t="shared" si="107"/>
        <v>4</v>
      </c>
      <c r="U930" s="179">
        <f t="shared" si="108"/>
        <v>3</v>
      </c>
      <c r="V930" s="1">
        <f t="shared" si="109"/>
        <v>25</v>
      </c>
      <c r="W930" s="8">
        <f t="shared" si="110"/>
        <v>6.25</v>
      </c>
      <c r="X930" s="15">
        <f t="shared" si="111"/>
        <v>5212.5</v>
      </c>
      <c r="Y930"/>
      <c r="Z930"/>
      <c r="AA930"/>
      <c r="AB930" s="46"/>
      <c r="AC930"/>
      <c r="AD930"/>
    </row>
    <row r="931" spans="1:30">
      <c r="A931" t="s">
        <v>931</v>
      </c>
      <c r="B931" s="163" t="s">
        <v>623</v>
      </c>
      <c r="C931" s="2" t="s">
        <v>149</v>
      </c>
      <c r="D931" s="2" t="s">
        <v>153</v>
      </c>
      <c r="E931" s="3">
        <v>45431.5625</v>
      </c>
      <c r="F931" s="2" t="s">
        <v>188</v>
      </c>
      <c r="G931" s="2" t="s">
        <v>154</v>
      </c>
      <c r="H931" s="2">
        <v>2.2000000000000002</v>
      </c>
      <c r="I931" s="2">
        <v>20</v>
      </c>
      <c r="J931" s="2">
        <v>3.35</v>
      </c>
      <c r="K931" s="2">
        <v>30</v>
      </c>
      <c r="L931" s="2">
        <v>4</v>
      </c>
      <c r="M931" s="2">
        <v>10</v>
      </c>
      <c r="N931" s="2" t="s">
        <v>95</v>
      </c>
      <c r="O931" s="10">
        <v>1</v>
      </c>
      <c r="P931" s="14">
        <v>1</v>
      </c>
      <c r="Q931" s="183">
        <v>3</v>
      </c>
      <c r="R931" s="181">
        <v>1</v>
      </c>
      <c r="S931" s="178">
        <f t="shared" si="106"/>
        <v>2</v>
      </c>
      <c r="T931" s="186">
        <f t="shared" si="107"/>
        <v>4</v>
      </c>
      <c r="U931" s="179">
        <f t="shared" si="108"/>
        <v>2</v>
      </c>
      <c r="V931" s="1">
        <f t="shared" si="109"/>
        <v>25</v>
      </c>
      <c r="W931" s="8">
        <f t="shared" si="110"/>
        <v>6.25</v>
      </c>
      <c r="X931" s="15">
        <f t="shared" si="111"/>
        <v>5218.75</v>
      </c>
      <c r="Y931"/>
      <c r="Z931"/>
      <c r="AA931"/>
      <c r="AB931" s="46"/>
      <c r="AC931"/>
      <c r="AD931"/>
    </row>
    <row r="932" spans="1:30">
      <c r="A932" t="s">
        <v>931</v>
      </c>
      <c r="B932" s="163" t="s">
        <v>623</v>
      </c>
      <c r="C932" s="2" t="s">
        <v>145</v>
      </c>
      <c r="D932" s="2" t="s">
        <v>190</v>
      </c>
      <c r="E932" s="3">
        <v>45431.833333333336</v>
      </c>
      <c r="F932" s="2" t="s">
        <v>767</v>
      </c>
      <c r="G932" s="2" t="s">
        <v>390</v>
      </c>
      <c r="H932" s="2">
        <v>3.8</v>
      </c>
      <c r="I932" s="2">
        <v>20</v>
      </c>
      <c r="J932" s="2">
        <v>2.7</v>
      </c>
      <c r="K932" s="2">
        <v>27</v>
      </c>
      <c r="L932" s="2">
        <v>0</v>
      </c>
      <c r="M932" s="2">
        <v>10</v>
      </c>
      <c r="N932" s="2" t="s">
        <v>95</v>
      </c>
      <c r="O932" s="10">
        <v>2</v>
      </c>
      <c r="P932" s="14">
        <v>0</v>
      </c>
      <c r="Q932" s="183">
        <v>2</v>
      </c>
      <c r="R932" s="181">
        <v>2</v>
      </c>
      <c r="S932" s="178">
        <f t="shared" si="106"/>
        <v>2</v>
      </c>
      <c r="T932" s="186">
        <f t="shared" si="107"/>
        <v>4</v>
      </c>
      <c r="U932" s="179">
        <f t="shared" si="108"/>
        <v>2</v>
      </c>
      <c r="V932" s="1">
        <f t="shared" si="109"/>
        <v>25</v>
      </c>
      <c r="W932" s="8">
        <f t="shared" si="110"/>
        <v>6.25</v>
      </c>
      <c r="X932" s="15">
        <f t="shared" si="111"/>
        <v>5225</v>
      </c>
      <c r="Y932"/>
      <c r="Z932"/>
      <c r="AA932"/>
      <c r="AB932" s="46"/>
      <c r="AC932"/>
      <c r="AD932"/>
    </row>
    <row r="933" spans="1:30">
      <c r="A933" t="s">
        <v>931</v>
      </c>
      <c r="B933" s="163" t="s">
        <v>623</v>
      </c>
      <c r="C933" s="2" t="s">
        <v>145</v>
      </c>
      <c r="D933" s="2" t="s">
        <v>190</v>
      </c>
      <c r="E933" s="3">
        <v>45431.833333333336</v>
      </c>
      <c r="F933" s="2" t="s">
        <v>364</v>
      </c>
      <c r="G933" s="2" t="s">
        <v>344</v>
      </c>
      <c r="H933" s="2">
        <v>3.95</v>
      </c>
      <c r="I933" s="2">
        <v>20</v>
      </c>
      <c r="J933" s="2">
        <v>1.95</v>
      </c>
      <c r="K933" s="2">
        <v>36</v>
      </c>
      <c r="L933" s="2">
        <v>1</v>
      </c>
      <c r="M933" s="2">
        <v>10</v>
      </c>
      <c r="N933" s="2" t="s">
        <v>95</v>
      </c>
      <c r="O933" s="10">
        <v>3</v>
      </c>
      <c r="P933" s="14">
        <v>0</v>
      </c>
      <c r="Q933" s="183">
        <v>4</v>
      </c>
      <c r="R933" s="181">
        <v>0</v>
      </c>
      <c r="S933" s="178">
        <f t="shared" si="106"/>
        <v>3</v>
      </c>
      <c r="T933" s="186">
        <f t="shared" si="107"/>
        <v>4</v>
      </c>
      <c r="U933" s="179">
        <f t="shared" si="108"/>
        <v>1</v>
      </c>
      <c r="V933" s="1">
        <f t="shared" si="109"/>
        <v>25</v>
      </c>
      <c r="W933" s="8">
        <f t="shared" si="110"/>
        <v>6.25</v>
      </c>
      <c r="X933" s="15">
        <f t="shared" si="111"/>
        <v>5231.25</v>
      </c>
      <c r="Y933"/>
      <c r="Z933"/>
      <c r="AA933"/>
      <c r="AB933" s="46"/>
      <c r="AC933"/>
      <c r="AD933"/>
    </row>
    <row r="934" spans="1:30">
      <c r="A934" t="s">
        <v>931</v>
      </c>
      <c r="B934" s="163" t="s">
        <v>498</v>
      </c>
      <c r="C934" s="2" t="s">
        <v>77</v>
      </c>
      <c r="D934" s="2" t="s">
        <v>234</v>
      </c>
      <c r="E934" s="3">
        <v>45388.5</v>
      </c>
      <c r="F934" s="2" t="s">
        <v>328</v>
      </c>
      <c r="G934" s="2" t="s">
        <v>235</v>
      </c>
      <c r="H934" s="2">
        <v>71</v>
      </c>
      <c r="I934" s="2">
        <v>90</v>
      </c>
      <c r="J934" s="2">
        <v>1.3</v>
      </c>
      <c r="K934" s="2">
        <v>20</v>
      </c>
      <c r="L934" s="2"/>
      <c r="M934" s="2"/>
      <c r="N934" s="2" t="s">
        <v>95</v>
      </c>
      <c r="O934" s="10">
        <v>0</v>
      </c>
      <c r="P934" s="14">
        <v>3</v>
      </c>
      <c r="Q934" s="183">
        <v>0</v>
      </c>
      <c r="R934" s="187">
        <v>4</v>
      </c>
      <c r="S934" s="178">
        <f t="shared" si="106"/>
        <v>3</v>
      </c>
      <c r="T934" s="186">
        <f t="shared" si="107"/>
        <v>4</v>
      </c>
      <c r="U934" s="179">
        <f t="shared" si="108"/>
        <v>1</v>
      </c>
      <c r="V934" s="1">
        <f t="shared" si="109"/>
        <v>25</v>
      </c>
      <c r="W934" s="8">
        <f t="shared" si="110"/>
        <v>6.25</v>
      </c>
      <c r="X934" s="15">
        <f t="shared" si="111"/>
        <v>5237.5</v>
      </c>
      <c r="Y934"/>
      <c r="Z934"/>
      <c r="AA934"/>
      <c r="AB934" s="46"/>
      <c r="AC934"/>
      <c r="AD934"/>
    </row>
    <row r="935" spans="1:30">
      <c r="A935" t="s">
        <v>931</v>
      </c>
      <c r="B935" s="163" t="s">
        <v>498</v>
      </c>
      <c r="C935" s="2" t="s">
        <v>13</v>
      </c>
      <c r="D935" s="2" t="s">
        <v>11</v>
      </c>
      <c r="E935" s="3">
        <v>45388.625</v>
      </c>
      <c r="F935" s="2" t="s">
        <v>615</v>
      </c>
      <c r="G935" s="2" t="s">
        <v>543</v>
      </c>
      <c r="H935" s="2">
        <v>67</v>
      </c>
      <c r="I935" s="2">
        <v>85</v>
      </c>
      <c r="J935" s="2">
        <v>2</v>
      </c>
      <c r="K935" s="2">
        <v>20</v>
      </c>
      <c r="L935" s="2"/>
      <c r="M935" s="2"/>
      <c r="N935" s="2" t="s">
        <v>95</v>
      </c>
      <c r="O935" s="10">
        <v>0</v>
      </c>
      <c r="P935" s="14">
        <v>1</v>
      </c>
      <c r="Q935" s="183">
        <v>1</v>
      </c>
      <c r="R935" s="187">
        <v>3</v>
      </c>
      <c r="S935" s="178">
        <f t="shared" si="106"/>
        <v>1</v>
      </c>
      <c r="T935" s="186">
        <f t="shared" si="107"/>
        <v>4</v>
      </c>
      <c r="U935" s="179">
        <f t="shared" si="108"/>
        <v>3</v>
      </c>
      <c r="V935" s="1">
        <f t="shared" si="109"/>
        <v>25</v>
      </c>
      <c r="W935" s="8">
        <f t="shared" si="110"/>
        <v>6.25</v>
      </c>
      <c r="X935" s="15">
        <f t="shared" si="111"/>
        <v>5243.75</v>
      </c>
      <c r="Y935"/>
      <c r="Z935"/>
      <c r="AA935"/>
      <c r="AB935" s="46"/>
      <c r="AC935"/>
      <c r="AD935"/>
    </row>
    <row r="936" spans="1:30">
      <c r="A936" t="s">
        <v>931</v>
      </c>
      <c r="B936" s="163" t="s">
        <v>498</v>
      </c>
      <c r="C936" s="2" t="s">
        <v>77</v>
      </c>
      <c r="D936" s="2" t="s">
        <v>234</v>
      </c>
      <c r="E936" s="3">
        <v>45394.729166666664</v>
      </c>
      <c r="F936" s="2" t="s">
        <v>475</v>
      </c>
      <c r="G936" s="2" t="s">
        <v>646</v>
      </c>
      <c r="H936" s="2">
        <v>66</v>
      </c>
      <c r="I936" s="2">
        <v>80</v>
      </c>
      <c r="J936" s="2">
        <v>1.8</v>
      </c>
      <c r="K936" s="2">
        <v>20</v>
      </c>
      <c r="L936" s="2"/>
      <c r="M936" s="2"/>
      <c r="N936" s="1" t="s">
        <v>95</v>
      </c>
      <c r="O936" s="9">
        <v>2</v>
      </c>
      <c r="P936" s="10">
        <v>0</v>
      </c>
      <c r="Q936" s="184">
        <v>4</v>
      </c>
      <c r="R936" s="187">
        <v>0</v>
      </c>
      <c r="S936" s="178">
        <f t="shared" si="106"/>
        <v>2</v>
      </c>
      <c r="T936" s="186">
        <f t="shared" si="107"/>
        <v>4</v>
      </c>
      <c r="U936" s="179">
        <f t="shared" si="108"/>
        <v>2</v>
      </c>
      <c r="V936" s="1">
        <f t="shared" si="109"/>
        <v>25</v>
      </c>
      <c r="W936" s="8">
        <f t="shared" si="110"/>
        <v>6.25</v>
      </c>
      <c r="X936" s="15">
        <f t="shared" si="111"/>
        <v>5250</v>
      </c>
      <c r="Y936"/>
      <c r="Z936"/>
      <c r="AA936"/>
      <c r="AB936" s="46"/>
      <c r="AC936"/>
      <c r="AD936"/>
    </row>
    <row r="937" spans="1:30">
      <c r="A937" t="s">
        <v>931</v>
      </c>
      <c r="B937" s="163" t="s">
        <v>498</v>
      </c>
      <c r="C937" s="2" t="s">
        <v>296</v>
      </c>
      <c r="D937" s="2" t="s">
        <v>525</v>
      </c>
      <c r="E937" s="3">
        <v>45394.770833333336</v>
      </c>
      <c r="F937" s="2" t="s">
        <v>528</v>
      </c>
      <c r="G937" s="2" t="s">
        <v>527</v>
      </c>
      <c r="H937" s="2">
        <v>69</v>
      </c>
      <c r="I937" s="2">
        <v>85</v>
      </c>
      <c r="J937" s="2">
        <v>1.35</v>
      </c>
      <c r="K937" s="2">
        <v>20</v>
      </c>
      <c r="L937" s="2"/>
      <c r="M937" s="2"/>
      <c r="N937" s="1" t="s">
        <v>95</v>
      </c>
      <c r="O937" s="9">
        <v>1</v>
      </c>
      <c r="P937" s="10">
        <v>0</v>
      </c>
      <c r="Q937" s="184">
        <v>3</v>
      </c>
      <c r="R937" s="187">
        <v>1</v>
      </c>
      <c r="S937" s="178">
        <f t="shared" si="106"/>
        <v>1</v>
      </c>
      <c r="T937" s="186">
        <f t="shared" si="107"/>
        <v>4</v>
      </c>
      <c r="U937" s="179">
        <f t="shared" si="108"/>
        <v>3</v>
      </c>
      <c r="V937" s="1">
        <f t="shared" si="109"/>
        <v>25</v>
      </c>
      <c r="W937" s="8">
        <f t="shared" si="110"/>
        <v>6.25</v>
      </c>
      <c r="X937" s="15">
        <f t="shared" si="111"/>
        <v>5256.25</v>
      </c>
      <c r="Y937"/>
      <c r="Z937"/>
      <c r="AA937"/>
      <c r="AB937" s="46"/>
      <c r="AC937"/>
      <c r="AD937"/>
    </row>
    <row r="938" spans="1:30">
      <c r="A938" t="s">
        <v>931</v>
      </c>
      <c r="B938" s="163" t="s">
        <v>498</v>
      </c>
      <c r="C938" s="2" t="s">
        <v>20</v>
      </c>
      <c r="D938" s="2" t="s">
        <v>322</v>
      </c>
      <c r="E938" s="3">
        <v>45394.8125</v>
      </c>
      <c r="F938" s="2" t="s">
        <v>693</v>
      </c>
      <c r="G938" s="2" t="s">
        <v>333</v>
      </c>
      <c r="H938" s="2">
        <v>68</v>
      </c>
      <c r="I938" s="2">
        <v>80</v>
      </c>
      <c r="J938" s="2">
        <v>1.4</v>
      </c>
      <c r="K938" s="2">
        <v>20</v>
      </c>
      <c r="L938" s="2"/>
      <c r="M938" s="2"/>
      <c r="N938" s="1" t="s">
        <v>95</v>
      </c>
      <c r="O938" s="10">
        <v>1</v>
      </c>
      <c r="P938" s="10">
        <v>2</v>
      </c>
      <c r="Q938" s="184">
        <v>1</v>
      </c>
      <c r="R938" s="187">
        <v>3</v>
      </c>
      <c r="S938" s="178">
        <f t="shared" si="106"/>
        <v>3</v>
      </c>
      <c r="T938" s="186">
        <f t="shared" si="107"/>
        <v>4</v>
      </c>
      <c r="U938" s="179">
        <f t="shared" si="108"/>
        <v>1</v>
      </c>
      <c r="V938" s="1">
        <f t="shared" si="109"/>
        <v>25</v>
      </c>
      <c r="W938" s="8">
        <f t="shared" si="110"/>
        <v>6.25</v>
      </c>
      <c r="X938" s="15">
        <f t="shared" si="111"/>
        <v>5262.5</v>
      </c>
      <c r="Y938"/>
      <c r="Z938"/>
      <c r="AA938"/>
      <c r="AB938" s="46"/>
      <c r="AC938"/>
      <c r="AD938"/>
    </row>
    <row r="939" spans="1:30">
      <c r="A939" t="s">
        <v>931</v>
      </c>
      <c r="B939" s="163" t="s">
        <v>498</v>
      </c>
      <c r="C939" s="2" t="s">
        <v>133</v>
      </c>
      <c r="D939" s="2" t="s">
        <v>78</v>
      </c>
      <c r="E939" s="3">
        <v>45395.645833333336</v>
      </c>
      <c r="F939" s="2" t="s">
        <v>134</v>
      </c>
      <c r="G939" s="2" t="s">
        <v>135</v>
      </c>
      <c r="H939" s="2">
        <v>63</v>
      </c>
      <c r="I939" s="2">
        <v>80</v>
      </c>
      <c r="J939" s="2">
        <v>1.4</v>
      </c>
      <c r="K939" s="2">
        <v>20</v>
      </c>
      <c r="L939" s="2"/>
      <c r="M939" s="2"/>
      <c r="N939" s="1" t="s">
        <v>95</v>
      </c>
      <c r="O939" s="10">
        <v>1</v>
      </c>
      <c r="P939" s="10">
        <v>1</v>
      </c>
      <c r="Q939" s="184">
        <v>2</v>
      </c>
      <c r="R939" s="187">
        <v>2</v>
      </c>
      <c r="S939" s="178">
        <f t="shared" si="106"/>
        <v>2</v>
      </c>
      <c r="T939" s="186">
        <f t="shared" si="107"/>
        <v>4</v>
      </c>
      <c r="U939" s="179">
        <f t="shared" si="108"/>
        <v>2</v>
      </c>
      <c r="V939" s="1">
        <f t="shared" si="109"/>
        <v>25</v>
      </c>
      <c r="W939" s="8">
        <f t="shared" si="110"/>
        <v>6.25</v>
      </c>
      <c r="X939" s="15">
        <f t="shared" si="111"/>
        <v>5268.75</v>
      </c>
      <c r="Y939"/>
      <c r="Z939"/>
      <c r="AA939"/>
      <c r="AB939" s="46"/>
      <c r="AC939"/>
      <c r="AD939"/>
    </row>
    <row r="940" spans="1:30">
      <c r="A940" t="s">
        <v>931</v>
      </c>
      <c r="B940" s="163" t="s">
        <v>498</v>
      </c>
      <c r="C940" s="2" t="s">
        <v>58</v>
      </c>
      <c r="D940" s="2" t="s">
        <v>59</v>
      </c>
      <c r="E940" s="3">
        <v>45403.645833333336</v>
      </c>
      <c r="F940" s="2" t="s">
        <v>165</v>
      </c>
      <c r="G940" s="2" t="s">
        <v>105</v>
      </c>
      <c r="H940" s="2">
        <v>68</v>
      </c>
      <c r="I940" s="2">
        <v>80</v>
      </c>
      <c r="J940" s="2">
        <v>1.45</v>
      </c>
      <c r="K940" s="2">
        <v>20</v>
      </c>
      <c r="L940" s="2"/>
      <c r="M940" s="2"/>
      <c r="N940" s="1" t="s">
        <v>95</v>
      </c>
      <c r="O940" s="10">
        <v>1</v>
      </c>
      <c r="P940" s="10">
        <v>0</v>
      </c>
      <c r="Q940" s="184">
        <v>2</v>
      </c>
      <c r="R940" s="187">
        <v>2</v>
      </c>
      <c r="S940" s="178">
        <f t="shared" si="106"/>
        <v>1</v>
      </c>
      <c r="T940" s="186">
        <f t="shared" si="107"/>
        <v>4</v>
      </c>
      <c r="U940" s="179">
        <f t="shared" si="108"/>
        <v>3</v>
      </c>
      <c r="V940" s="1">
        <f t="shared" si="109"/>
        <v>25</v>
      </c>
      <c r="W940" s="8">
        <f t="shared" si="110"/>
        <v>6.25</v>
      </c>
      <c r="X940" s="15">
        <f t="shared" si="111"/>
        <v>5275</v>
      </c>
      <c r="Y940"/>
      <c r="Z940"/>
      <c r="AA940"/>
      <c r="AB940" s="46"/>
      <c r="AC940"/>
      <c r="AD940"/>
    </row>
    <row r="941" spans="1:30">
      <c r="A941" t="s">
        <v>931</v>
      </c>
      <c r="B941" s="163" t="s">
        <v>498</v>
      </c>
      <c r="C941" s="2" t="s">
        <v>58</v>
      </c>
      <c r="D941" s="2" t="s">
        <v>289</v>
      </c>
      <c r="E941" s="3">
        <v>45404.75</v>
      </c>
      <c r="F941" s="2" t="s">
        <v>416</v>
      </c>
      <c r="G941" s="2" t="s">
        <v>716</v>
      </c>
      <c r="H941" s="2">
        <v>69</v>
      </c>
      <c r="I941" s="2">
        <v>85</v>
      </c>
      <c r="J941" s="2">
        <v>1.8</v>
      </c>
      <c r="K941" s="2">
        <v>20</v>
      </c>
      <c r="L941" s="2"/>
      <c r="M941" s="2"/>
      <c r="N941" s="1" t="s">
        <v>95</v>
      </c>
      <c r="O941" s="10">
        <v>2</v>
      </c>
      <c r="P941" s="10">
        <v>0</v>
      </c>
      <c r="Q941" s="184">
        <v>3</v>
      </c>
      <c r="R941" s="187">
        <v>1</v>
      </c>
      <c r="S941" s="178">
        <f t="shared" si="106"/>
        <v>2</v>
      </c>
      <c r="T941" s="186">
        <f t="shared" si="107"/>
        <v>4</v>
      </c>
      <c r="U941" s="179">
        <f t="shared" si="108"/>
        <v>2</v>
      </c>
      <c r="V941" s="1">
        <f t="shared" si="109"/>
        <v>25</v>
      </c>
      <c r="W941" s="8">
        <f t="shared" si="110"/>
        <v>6.25</v>
      </c>
      <c r="X941" s="15">
        <f t="shared" si="111"/>
        <v>5281.25</v>
      </c>
      <c r="Y941"/>
      <c r="Z941"/>
      <c r="AA941"/>
      <c r="AB941" s="46"/>
      <c r="AC941"/>
      <c r="AD941"/>
    </row>
    <row r="942" spans="1:30">
      <c r="A942" t="s">
        <v>931</v>
      </c>
      <c r="B942" s="163" t="s">
        <v>498</v>
      </c>
      <c r="C942" s="2" t="s">
        <v>296</v>
      </c>
      <c r="D942" s="2" t="s">
        <v>525</v>
      </c>
      <c r="E942" s="3">
        <v>45405.770833333336</v>
      </c>
      <c r="F942" s="2" t="s">
        <v>528</v>
      </c>
      <c r="G942" s="2" t="s">
        <v>684</v>
      </c>
      <c r="H942" s="2">
        <v>63</v>
      </c>
      <c r="I942" s="2">
        <v>85</v>
      </c>
      <c r="J942" s="2">
        <v>1.1000000000000001</v>
      </c>
      <c r="K942" s="2">
        <v>20</v>
      </c>
      <c r="L942" s="2"/>
      <c r="M942" s="2"/>
      <c r="N942" s="1" t="s">
        <v>95</v>
      </c>
      <c r="O942" s="10">
        <v>0</v>
      </c>
      <c r="P942" s="10">
        <v>1</v>
      </c>
      <c r="Q942" s="184">
        <v>2</v>
      </c>
      <c r="R942" s="187">
        <v>2</v>
      </c>
      <c r="S942" s="178">
        <f t="shared" si="106"/>
        <v>1</v>
      </c>
      <c r="T942" s="186">
        <f t="shared" si="107"/>
        <v>4</v>
      </c>
      <c r="U942" s="179">
        <f t="shared" si="108"/>
        <v>3</v>
      </c>
      <c r="V942" s="1">
        <f t="shared" si="109"/>
        <v>25</v>
      </c>
      <c r="W942" s="8">
        <f t="shared" si="110"/>
        <v>6.25</v>
      </c>
      <c r="X942" s="15">
        <f t="shared" si="111"/>
        <v>5287.5</v>
      </c>
      <c r="Y942"/>
      <c r="Z942"/>
      <c r="AA942"/>
      <c r="AB942" s="46"/>
      <c r="AC942"/>
      <c r="AD942"/>
    </row>
    <row r="943" spans="1:30">
      <c r="A943" t="s">
        <v>931</v>
      </c>
      <c r="B943" s="163" t="s">
        <v>498</v>
      </c>
      <c r="C943" s="2" t="s">
        <v>6</v>
      </c>
      <c r="D943" s="2" t="s">
        <v>14</v>
      </c>
      <c r="E943" s="3">
        <v>45409.625</v>
      </c>
      <c r="F943" s="2" t="s">
        <v>755</v>
      </c>
      <c r="G943" s="2" t="s">
        <v>17</v>
      </c>
      <c r="H943" s="2">
        <v>64</v>
      </c>
      <c r="I943" s="2">
        <v>85</v>
      </c>
      <c r="J943" s="2">
        <v>1.35</v>
      </c>
      <c r="K943" s="2">
        <v>20</v>
      </c>
      <c r="L943" s="2"/>
      <c r="M943" s="2"/>
      <c r="N943" s="1" t="s">
        <v>95</v>
      </c>
      <c r="O943" s="10">
        <v>0</v>
      </c>
      <c r="P943" s="10">
        <v>1</v>
      </c>
      <c r="Q943" s="184" t="s">
        <v>692</v>
      </c>
      <c r="R943" s="187">
        <v>4</v>
      </c>
      <c r="S943" s="178">
        <f t="shared" si="106"/>
        <v>1</v>
      </c>
      <c r="T943" s="186">
        <f t="shared" si="107"/>
        <v>4</v>
      </c>
      <c r="U943" s="179">
        <f t="shared" si="108"/>
        <v>3</v>
      </c>
      <c r="V943" s="1">
        <f t="shared" si="109"/>
        <v>25</v>
      </c>
      <c r="W943" s="8">
        <f t="shared" si="110"/>
        <v>6.25</v>
      </c>
      <c r="X943" s="15">
        <f t="shared" si="111"/>
        <v>5293.75</v>
      </c>
      <c r="Y943"/>
      <c r="Z943"/>
      <c r="AA943"/>
      <c r="AB943" s="46"/>
      <c r="AC943"/>
      <c r="AD943"/>
    </row>
    <row r="944" spans="1:30">
      <c r="A944" t="s">
        <v>931</v>
      </c>
      <c r="B944" s="163" t="s">
        <v>498</v>
      </c>
      <c r="C944" s="2" t="s">
        <v>77</v>
      </c>
      <c r="D944" s="2" t="s">
        <v>156</v>
      </c>
      <c r="E944" s="3">
        <v>45416.604166666664</v>
      </c>
      <c r="F944" s="2" t="s">
        <v>168</v>
      </c>
      <c r="G944" s="2" t="s">
        <v>157</v>
      </c>
      <c r="H944" s="2">
        <v>66</v>
      </c>
      <c r="I944" s="2">
        <v>95</v>
      </c>
      <c r="J944" s="2">
        <v>1.95</v>
      </c>
      <c r="K944" s="2">
        <v>20</v>
      </c>
      <c r="L944" s="2"/>
      <c r="M944" s="2"/>
      <c r="N944" s="1" t="s">
        <v>95</v>
      </c>
      <c r="O944" s="10">
        <v>1</v>
      </c>
      <c r="P944" s="10">
        <v>1</v>
      </c>
      <c r="Q944" s="184">
        <v>3</v>
      </c>
      <c r="R944" s="187">
        <v>1</v>
      </c>
      <c r="S944" s="178">
        <f t="shared" si="106"/>
        <v>2</v>
      </c>
      <c r="T944" s="186">
        <f t="shared" si="107"/>
        <v>4</v>
      </c>
      <c r="U944" s="179">
        <f t="shared" si="108"/>
        <v>2</v>
      </c>
      <c r="V944" s="1">
        <f t="shared" si="109"/>
        <v>25</v>
      </c>
      <c r="W944" s="8">
        <f t="shared" si="110"/>
        <v>6.25</v>
      </c>
      <c r="X944" s="15">
        <f t="shared" si="111"/>
        <v>5300</v>
      </c>
      <c r="Y944"/>
      <c r="Z944"/>
      <c r="AA944"/>
      <c r="AB944" s="46"/>
      <c r="AC944"/>
      <c r="AD944"/>
    </row>
    <row r="945" spans="1:30">
      <c r="A945" t="s">
        <v>931</v>
      </c>
      <c r="B945" s="163" t="s">
        <v>498</v>
      </c>
      <c r="C945" s="2" t="s">
        <v>58</v>
      </c>
      <c r="D945" s="2" t="s">
        <v>289</v>
      </c>
      <c r="E945" s="3">
        <v>45417.583333333336</v>
      </c>
      <c r="F945" s="2" t="s">
        <v>416</v>
      </c>
      <c r="G945" s="2" t="s">
        <v>800</v>
      </c>
      <c r="H945" s="2">
        <v>63</v>
      </c>
      <c r="I945" s="2">
        <v>85</v>
      </c>
      <c r="J945" s="2">
        <v>1.55</v>
      </c>
      <c r="K945" s="2">
        <v>20</v>
      </c>
      <c r="L945" s="2"/>
      <c r="M945" s="2"/>
      <c r="N945" s="1" t="s">
        <v>95</v>
      </c>
      <c r="O945" s="10">
        <v>2</v>
      </c>
      <c r="P945" s="10">
        <v>0</v>
      </c>
      <c r="Q945" s="184">
        <v>4</v>
      </c>
      <c r="R945" s="187">
        <v>0</v>
      </c>
      <c r="S945" s="178">
        <f t="shared" si="106"/>
        <v>2</v>
      </c>
      <c r="T945" s="186">
        <f t="shared" si="107"/>
        <v>4</v>
      </c>
      <c r="U945" s="179">
        <f t="shared" si="108"/>
        <v>2</v>
      </c>
      <c r="V945" s="1">
        <f t="shared" si="109"/>
        <v>25</v>
      </c>
      <c r="W945" s="8">
        <f t="shared" si="110"/>
        <v>6.25</v>
      </c>
      <c r="X945" s="15">
        <f t="shared" si="111"/>
        <v>5306.25</v>
      </c>
      <c r="Y945"/>
      <c r="Z945"/>
      <c r="AA945"/>
      <c r="AB945" s="46"/>
      <c r="AC945"/>
      <c r="AD945"/>
    </row>
    <row r="946" spans="1:30">
      <c r="A946" t="s">
        <v>931</v>
      </c>
      <c r="B946" s="163" t="s">
        <v>498</v>
      </c>
      <c r="C946" s="2" t="s">
        <v>77</v>
      </c>
      <c r="D946" s="2" t="s">
        <v>234</v>
      </c>
      <c r="E946" s="3">
        <v>45423.5</v>
      </c>
      <c r="F946" s="2" t="s">
        <v>475</v>
      </c>
      <c r="G946" s="2" t="s">
        <v>631</v>
      </c>
      <c r="H946" s="2">
        <v>68</v>
      </c>
      <c r="I946" s="2">
        <v>95</v>
      </c>
      <c r="J946" s="2">
        <v>1.85</v>
      </c>
      <c r="K946" s="2">
        <v>20</v>
      </c>
      <c r="L946" s="2"/>
      <c r="M946" s="2"/>
      <c r="N946" s="1" t="s">
        <v>95</v>
      </c>
      <c r="O946" s="10">
        <v>2</v>
      </c>
      <c r="P946" s="10">
        <v>1</v>
      </c>
      <c r="Q946" s="184">
        <v>3</v>
      </c>
      <c r="R946" s="187">
        <v>1</v>
      </c>
      <c r="S946" s="178">
        <f t="shared" si="106"/>
        <v>3</v>
      </c>
      <c r="T946" s="186">
        <f t="shared" si="107"/>
        <v>4</v>
      </c>
      <c r="U946" s="179">
        <f t="shared" si="108"/>
        <v>1</v>
      </c>
      <c r="V946" s="1">
        <f t="shared" si="109"/>
        <v>25</v>
      </c>
      <c r="W946" s="8">
        <f t="shared" si="110"/>
        <v>6.25</v>
      </c>
      <c r="X946" s="15">
        <f t="shared" si="111"/>
        <v>5312.5</v>
      </c>
      <c r="Y946"/>
      <c r="Z946"/>
      <c r="AA946"/>
      <c r="AB946" s="46"/>
      <c r="AC946"/>
      <c r="AD946"/>
    </row>
    <row r="947" spans="1:30">
      <c r="A947" t="s">
        <v>931</v>
      </c>
      <c r="B947" s="163" t="s">
        <v>473</v>
      </c>
      <c r="C947" s="2" t="s">
        <v>133</v>
      </c>
      <c r="D947" s="2" t="s">
        <v>78</v>
      </c>
      <c r="E947" s="3">
        <v>45361.770833333336</v>
      </c>
      <c r="F947" s="2" t="s">
        <v>488</v>
      </c>
      <c r="G947" s="2" t="s">
        <v>466</v>
      </c>
      <c r="H947" s="2">
        <v>67</v>
      </c>
      <c r="I947" s="2">
        <v>95</v>
      </c>
      <c r="J947" s="2">
        <v>20</v>
      </c>
      <c r="K947" s="2">
        <v>3.4</v>
      </c>
      <c r="L947" s="2"/>
      <c r="M947" s="2"/>
      <c r="N947" s="1" t="s">
        <v>95</v>
      </c>
      <c r="O947" s="10">
        <v>1</v>
      </c>
      <c r="P947" s="10">
        <v>2</v>
      </c>
      <c r="Q947" s="184">
        <v>1</v>
      </c>
      <c r="R947" s="187">
        <v>3</v>
      </c>
      <c r="S947" s="178">
        <f t="shared" si="106"/>
        <v>3</v>
      </c>
      <c r="T947" s="186">
        <f t="shared" si="107"/>
        <v>4</v>
      </c>
      <c r="U947" s="179">
        <f t="shared" si="108"/>
        <v>1</v>
      </c>
      <c r="V947" s="1">
        <f t="shared" si="109"/>
        <v>25</v>
      </c>
      <c r="W947" s="8">
        <f t="shared" si="110"/>
        <v>6.25</v>
      </c>
      <c r="X947" s="15">
        <f t="shared" si="111"/>
        <v>5318.75</v>
      </c>
      <c r="Y947"/>
      <c r="Z947"/>
      <c r="AA947"/>
      <c r="AB947" s="46"/>
      <c r="AC947"/>
      <c r="AD947"/>
    </row>
    <row r="948" spans="1:30">
      <c r="A948" t="s">
        <v>931</v>
      </c>
      <c r="B948" s="163" t="s">
        <v>473</v>
      </c>
      <c r="C948" s="2" t="s">
        <v>6</v>
      </c>
      <c r="D948" s="2" t="s">
        <v>11</v>
      </c>
      <c r="E948" s="3">
        <v>45380.625</v>
      </c>
      <c r="F948" s="2" t="s">
        <v>12</v>
      </c>
      <c r="G948" s="2" t="s">
        <v>585</v>
      </c>
      <c r="H948" s="2">
        <v>65</v>
      </c>
      <c r="I948" s="2">
        <v>85</v>
      </c>
      <c r="J948" s="2">
        <v>20</v>
      </c>
      <c r="K948" s="2">
        <v>3.2</v>
      </c>
      <c r="L948" s="2"/>
      <c r="M948" s="2"/>
      <c r="N948" s="1" t="s">
        <v>95</v>
      </c>
      <c r="O948" s="10">
        <v>0</v>
      </c>
      <c r="P948" s="10">
        <v>1</v>
      </c>
      <c r="Q948" s="184">
        <v>1</v>
      </c>
      <c r="R948" s="187">
        <v>3</v>
      </c>
      <c r="S948" s="178">
        <f t="shared" si="106"/>
        <v>1</v>
      </c>
      <c r="T948" s="186">
        <f t="shared" si="107"/>
        <v>4</v>
      </c>
      <c r="U948" s="179">
        <f t="shared" si="108"/>
        <v>3</v>
      </c>
      <c r="V948" s="1">
        <f t="shared" si="109"/>
        <v>25</v>
      </c>
      <c r="W948" s="8">
        <f t="shared" si="110"/>
        <v>6.25</v>
      </c>
      <c r="X948" s="15">
        <f t="shared" si="111"/>
        <v>5325</v>
      </c>
      <c r="Y948"/>
      <c r="Z948"/>
      <c r="AA948"/>
      <c r="AB948" s="46"/>
      <c r="AC948"/>
      <c r="AD948"/>
    </row>
    <row r="949" spans="1:30">
      <c r="A949" t="s">
        <v>931</v>
      </c>
      <c r="B949" s="163" t="s">
        <v>473</v>
      </c>
      <c r="C949" s="2" t="s">
        <v>296</v>
      </c>
      <c r="D949" s="2" t="s">
        <v>525</v>
      </c>
      <c r="E949" s="3">
        <v>45394.770833333336</v>
      </c>
      <c r="F949" s="2" t="s">
        <v>528</v>
      </c>
      <c r="G949" s="2" t="s">
        <v>527</v>
      </c>
      <c r="H949" s="2">
        <v>71</v>
      </c>
      <c r="I949" s="2">
        <v>85</v>
      </c>
      <c r="J949" s="2">
        <v>20</v>
      </c>
      <c r="K949" s="2">
        <v>2.7</v>
      </c>
      <c r="L949" s="2"/>
      <c r="M949" s="2"/>
      <c r="N949" s="1" t="s">
        <v>95</v>
      </c>
      <c r="O949" s="9">
        <v>1</v>
      </c>
      <c r="P949" s="10">
        <v>0</v>
      </c>
      <c r="Q949" s="184">
        <v>3</v>
      </c>
      <c r="R949" s="187">
        <v>1</v>
      </c>
      <c r="S949" s="178">
        <f t="shared" si="106"/>
        <v>1</v>
      </c>
      <c r="T949" s="186">
        <f t="shared" si="107"/>
        <v>4</v>
      </c>
      <c r="U949" s="179">
        <f t="shared" si="108"/>
        <v>3</v>
      </c>
      <c r="V949" s="1">
        <f t="shared" si="109"/>
        <v>25</v>
      </c>
      <c r="W949" s="8">
        <f t="shared" si="110"/>
        <v>6.25</v>
      </c>
      <c r="X949" s="15">
        <f t="shared" si="111"/>
        <v>5331.25</v>
      </c>
      <c r="Y949"/>
      <c r="Z949"/>
      <c r="AA949"/>
      <c r="AB949" s="46"/>
      <c r="AC949"/>
      <c r="AD949"/>
    </row>
    <row r="950" spans="1:30">
      <c r="A950" t="s">
        <v>931</v>
      </c>
      <c r="B950" s="163" t="s">
        <v>473</v>
      </c>
      <c r="C950" s="2" t="s">
        <v>489</v>
      </c>
      <c r="D950" s="2" t="s">
        <v>490</v>
      </c>
      <c r="E950" s="3">
        <v>45436.583333333336</v>
      </c>
      <c r="F950" s="2" t="s">
        <v>858</v>
      </c>
      <c r="G950" s="2" t="s">
        <v>820</v>
      </c>
      <c r="H950" s="2">
        <v>64</v>
      </c>
      <c r="I950" s="2">
        <v>90</v>
      </c>
      <c r="J950" s="2">
        <v>20</v>
      </c>
      <c r="K950" s="2">
        <v>3.3</v>
      </c>
      <c r="L950" s="2"/>
      <c r="M950" s="2"/>
      <c r="N950" s="1" t="s">
        <v>95</v>
      </c>
      <c r="O950" s="10">
        <v>2</v>
      </c>
      <c r="P950" s="10">
        <v>1</v>
      </c>
      <c r="Q950" s="184">
        <v>2</v>
      </c>
      <c r="R950" s="187">
        <v>2</v>
      </c>
      <c r="S950" s="178">
        <f t="shared" si="106"/>
        <v>3</v>
      </c>
      <c r="T950" s="186">
        <f t="shared" si="107"/>
        <v>4</v>
      </c>
      <c r="U950" s="179">
        <f t="shared" si="108"/>
        <v>1</v>
      </c>
      <c r="V950" s="1">
        <f t="shared" si="109"/>
        <v>25</v>
      </c>
      <c r="W950" s="8">
        <f t="shared" si="110"/>
        <v>6.25</v>
      </c>
      <c r="X950" s="15">
        <f t="shared" si="111"/>
        <v>5337.5</v>
      </c>
      <c r="Y950"/>
      <c r="Z950"/>
      <c r="AA950"/>
      <c r="AB950" s="46"/>
      <c r="AC950"/>
      <c r="AD950"/>
    </row>
    <row r="951" spans="1:30">
      <c r="A951" t="s">
        <v>931</v>
      </c>
      <c r="B951" s="163" t="s">
        <v>474</v>
      </c>
      <c r="C951" s="2" t="s">
        <v>77</v>
      </c>
      <c r="D951" s="2" t="s">
        <v>251</v>
      </c>
      <c r="E951" s="3">
        <v>45368.520833333336</v>
      </c>
      <c r="F951" s="2" t="s">
        <v>294</v>
      </c>
      <c r="G951" s="2" t="s">
        <v>608</v>
      </c>
      <c r="H951" s="2">
        <v>53</v>
      </c>
      <c r="I951" s="2">
        <v>3.25</v>
      </c>
      <c r="J951" s="2">
        <v>20</v>
      </c>
      <c r="K951" s="2">
        <v>65</v>
      </c>
      <c r="L951" s="2">
        <v>90</v>
      </c>
      <c r="M951" s="2"/>
      <c r="N951" s="1" t="s">
        <v>95</v>
      </c>
      <c r="O951" s="10">
        <v>1</v>
      </c>
      <c r="P951" s="10">
        <v>0</v>
      </c>
      <c r="Q951" s="184">
        <v>4</v>
      </c>
      <c r="R951" s="187">
        <v>0</v>
      </c>
      <c r="S951" s="178">
        <f t="shared" si="106"/>
        <v>1</v>
      </c>
      <c r="T951" s="186">
        <f t="shared" si="107"/>
        <v>4</v>
      </c>
      <c r="U951" s="179">
        <f t="shared" si="108"/>
        <v>3</v>
      </c>
      <c r="V951" s="1">
        <f t="shared" si="109"/>
        <v>25</v>
      </c>
      <c r="W951" s="8">
        <f t="shared" si="110"/>
        <v>6.25</v>
      </c>
      <c r="X951" s="15">
        <f t="shared" si="111"/>
        <v>5343.75</v>
      </c>
      <c r="Y951"/>
      <c r="Z951"/>
      <c r="AA951"/>
      <c r="AB951" s="46"/>
      <c r="AC951"/>
      <c r="AD951"/>
    </row>
    <row r="952" spans="1:30">
      <c r="A952" t="s">
        <v>931</v>
      </c>
      <c r="B952" s="163" t="s">
        <v>474</v>
      </c>
      <c r="C952" s="2" t="s">
        <v>6</v>
      </c>
      <c r="D952" s="2" t="s">
        <v>11</v>
      </c>
      <c r="E952" s="3">
        <v>45388.625</v>
      </c>
      <c r="F952" s="2" t="s">
        <v>634</v>
      </c>
      <c r="G952" s="2" t="s">
        <v>263</v>
      </c>
      <c r="H952" s="2">
        <v>54</v>
      </c>
      <c r="I952" s="2">
        <v>2.8</v>
      </c>
      <c r="J952" s="2">
        <v>20</v>
      </c>
      <c r="K952" s="2">
        <v>60</v>
      </c>
      <c r="L952" s="2">
        <v>85</v>
      </c>
      <c r="M952" s="2"/>
      <c r="N952" s="2" t="s">
        <v>95</v>
      </c>
      <c r="O952" s="10">
        <v>1</v>
      </c>
      <c r="P952" s="10">
        <v>1</v>
      </c>
      <c r="Q952" s="184">
        <v>3</v>
      </c>
      <c r="R952" s="187">
        <v>1</v>
      </c>
      <c r="S952" s="178">
        <f t="shared" si="106"/>
        <v>2</v>
      </c>
      <c r="T952" s="186">
        <f t="shared" si="107"/>
        <v>4</v>
      </c>
      <c r="U952" s="179">
        <f t="shared" si="108"/>
        <v>2</v>
      </c>
      <c r="V952" s="1">
        <f t="shared" si="109"/>
        <v>25</v>
      </c>
      <c r="W952" s="8">
        <f t="shared" si="110"/>
        <v>6.25</v>
      </c>
      <c r="X952" s="15">
        <f t="shared" si="111"/>
        <v>5350</v>
      </c>
      <c r="Y952"/>
      <c r="Z952"/>
      <c r="AA952"/>
      <c r="AB952" s="46"/>
      <c r="AC952"/>
      <c r="AD952"/>
    </row>
    <row r="953" spans="1:30">
      <c r="A953" t="s">
        <v>931</v>
      </c>
      <c r="B953" s="163" t="s">
        <v>474</v>
      </c>
      <c r="C953" s="2" t="s">
        <v>133</v>
      </c>
      <c r="D953" s="2" t="s">
        <v>78</v>
      </c>
      <c r="E953" s="3">
        <v>45396.625</v>
      </c>
      <c r="F953" s="2" t="s">
        <v>466</v>
      </c>
      <c r="G953" s="2" t="s">
        <v>394</v>
      </c>
      <c r="H953" s="2">
        <v>55</v>
      </c>
      <c r="I953" s="2">
        <v>3.25</v>
      </c>
      <c r="J953" s="2">
        <v>20</v>
      </c>
      <c r="K953" s="2">
        <v>70</v>
      </c>
      <c r="L953" s="2">
        <v>100</v>
      </c>
      <c r="M953" s="2"/>
      <c r="N953" s="2" t="s">
        <v>95</v>
      </c>
      <c r="O953" s="10">
        <v>1</v>
      </c>
      <c r="P953" s="10">
        <v>1</v>
      </c>
      <c r="Q953" s="184">
        <v>3</v>
      </c>
      <c r="R953" s="187">
        <v>1</v>
      </c>
      <c r="S953" s="178">
        <f t="shared" si="106"/>
        <v>2</v>
      </c>
      <c r="T953" s="186">
        <f t="shared" si="107"/>
        <v>4</v>
      </c>
      <c r="U953" s="179">
        <f t="shared" si="108"/>
        <v>2</v>
      </c>
      <c r="V953" s="1">
        <f t="shared" si="109"/>
        <v>25</v>
      </c>
      <c r="W953" s="8">
        <f t="shared" si="110"/>
        <v>6.25</v>
      </c>
      <c r="X953" s="15">
        <f t="shared" si="111"/>
        <v>5356.25</v>
      </c>
      <c r="Y953"/>
      <c r="Z953"/>
      <c r="AA953"/>
      <c r="AB953" s="46"/>
      <c r="AC953"/>
      <c r="AD953"/>
    </row>
    <row r="954" spans="1:30">
      <c r="A954" t="s">
        <v>931</v>
      </c>
      <c r="B954" s="163" t="s">
        <v>474</v>
      </c>
      <c r="C954" s="2" t="s">
        <v>77</v>
      </c>
      <c r="D954" s="2" t="s">
        <v>156</v>
      </c>
      <c r="E954" s="3">
        <v>45416.604166666664</v>
      </c>
      <c r="F954" s="2" t="s">
        <v>168</v>
      </c>
      <c r="G954" s="2" t="s">
        <v>157</v>
      </c>
      <c r="H954" s="2">
        <v>56</v>
      </c>
      <c r="I954" s="2">
        <v>3.95</v>
      </c>
      <c r="J954" s="2">
        <v>20</v>
      </c>
      <c r="K954" s="2">
        <v>75</v>
      </c>
      <c r="L954" s="2">
        <v>95</v>
      </c>
      <c r="M954" s="2"/>
      <c r="N954" s="2" t="s">
        <v>95</v>
      </c>
      <c r="O954" s="10">
        <v>1</v>
      </c>
      <c r="P954" s="10">
        <v>1</v>
      </c>
      <c r="Q954" s="184">
        <v>3</v>
      </c>
      <c r="R954" s="187">
        <v>1</v>
      </c>
      <c r="S954" s="178">
        <f t="shared" si="106"/>
        <v>2</v>
      </c>
      <c r="T954" s="186">
        <f t="shared" si="107"/>
        <v>4</v>
      </c>
      <c r="U954" s="179">
        <f t="shared" si="108"/>
        <v>2</v>
      </c>
      <c r="V954" s="1">
        <f t="shared" si="109"/>
        <v>25</v>
      </c>
      <c r="W954" s="8">
        <f t="shared" si="110"/>
        <v>6.25</v>
      </c>
      <c r="X954" s="15">
        <f t="shared" si="111"/>
        <v>5362.5</v>
      </c>
      <c r="Y954"/>
      <c r="Z954"/>
      <c r="AA954"/>
      <c r="AB954" s="46"/>
      <c r="AC954"/>
      <c r="AD954"/>
    </row>
    <row r="955" spans="1:30">
      <c r="A955" t="s">
        <v>931</v>
      </c>
      <c r="B955" s="163" t="s">
        <v>474</v>
      </c>
      <c r="C955" s="2" t="s">
        <v>149</v>
      </c>
      <c r="D955" s="2" t="s">
        <v>153</v>
      </c>
      <c r="E955" s="3">
        <v>45424.5625</v>
      </c>
      <c r="F955" s="2" t="s">
        <v>647</v>
      </c>
      <c r="G955" s="2" t="s">
        <v>155</v>
      </c>
      <c r="H955" s="2">
        <v>51</v>
      </c>
      <c r="I955" s="2">
        <v>2.9</v>
      </c>
      <c r="J955" s="2">
        <v>20</v>
      </c>
      <c r="K955" s="2">
        <v>60</v>
      </c>
      <c r="L955" s="2">
        <v>90</v>
      </c>
      <c r="M955" s="2"/>
      <c r="N955" s="2" t="s">
        <v>95</v>
      </c>
      <c r="O955" s="10">
        <v>1</v>
      </c>
      <c r="P955" s="10">
        <v>0</v>
      </c>
      <c r="Q955" s="184">
        <v>4</v>
      </c>
      <c r="R955" s="187">
        <v>0</v>
      </c>
      <c r="S955" s="178">
        <f t="shared" si="106"/>
        <v>1</v>
      </c>
      <c r="T955" s="186">
        <f t="shared" si="107"/>
        <v>4</v>
      </c>
      <c r="U955" s="179">
        <f t="shared" si="108"/>
        <v>3</v>
      </c>
      <c r="V955" s="1">
        <f t="shared" si="109"/>
        <v>25</v>
      </c>
      <c r="W955" s="8">
        <f t="shared" si="110"/>
        <v>6.25</v>
      </c>
      <c r="X955" s="15">
        <f t="shared" si="111"/>
        <v>5368.75</v>
      </c>
      <c r="Y955"/>
      <c r="Z955"/>
      <c r="AA955"/>
      <c r="AB955" s="46"/>
      <c r="AC955"/>
      <c r="AD955"/>
    </row>
    <row r="956" spans="1:30">
      <c r="A956" t="s">
        <v>931</v>
      </c>
      <c r="B956" s="163" t="s">
        <v>474</v>
      </c>
      <c r="C956" s="2" t="s">
        <v>77</v>
      </c>
      <c r="D956" s="2" t="s">
        <v>156</v>
      </c>
      <c r="E956" s="3">
        <v>45430.604166666664</v>
      </c>
      <c r="F956" s="2" t="s">
        <v>182</v>
      </c>
      <c r="G956" s="2" t="s">
        <v>181</v>
      </c>
      <c r="H956" s="2">
        <v>52</v>
      </c>
      <c r="I956" s="2">
        <v>3.7</v>
      </c>
      <c r="J956" s="2">
        <v>20</v>
      </c>
      <c r="K956" s="2">
        <v>70</v>
      </c>
      <c r="L956" s="2">
        <v>90</v>
      </c>
      <c r="M956" s="2"/>
      <c r="N956" s="2" t="s">
        <v>95</v>
      </c>
      <c r="O956" s="10">
        <v>0</v>
      </c>
      <c r="P956" s="10">
        <v>1</v>
      </c>
      <c r="Q956" s="184">
        <v>2</v>
      </c>
      <c r="R956" s="187">
        <v>2</v>
      </c>
      <c r="S956" s="178">
        <f t="shared" si="106"/>
        <v>1</v>
      </c>
      <c r="T956" s="186">
        <f t="shared" si="107"/>
        <v>4</v>
      </c>
      <c r="U956" s="179">
        <f t="shared" si="108"/>
        <v>3</v>
      </c>
      <c r="V956" s="1">
        <f t="shared" si="109"/>
        <v>25</v>
      </c>
      <c r="W956" s="8">
        <f t="shared" si="110"/>
        <v>6.25</v>
      </c>
      <c r="X956" s="15">
        <f t="shared" si="111"/>
        <v>5375</v>
      </c>
      <c r="Y956"/>
      <c r="Z956"/>
      <c r="AA956"/>
      <c r="AB956" s="46"/>
      <c r="AC956"/>
      <c r="AD956"/>
    </row>
    <row r="957" spans="1:30">
      <c r="A957" t="s">
        <v>931</v>
      </c>
      <c r="B957" s="163" t="s">
        <v>177</v>
      </c>
      <c r="C957" s="2" t="s">
        <v>44</v>
      </c>
      <c r="D957" s="2" t="s">
        <v>45</v>
      </c>
      <c r="E957" s="3">
        <v>45339.447916666664</v>
      </c>
      <c r="F957" s="2" t="s">
        <v>131</v>
      </c>
      <c r="G957" s="2" t="s">
        <v>233</v>
      </c>
      <c r="H957" s="2">
        <v>4.1500000000000004</v>
      </c>
      <c r="I957" s="2">
        <v>95</v>
      </c>
      <c r="J957" s="2">
        <v>75</v>
      </c>
      <c r="K957" s="2">
        <v>30</v>
      </c>
      <c r="L957" s="2">
        <v>60</v>
      </c>
      <c r="M957" s="2">
        <v>2.58</v>
      </c>
      <c r="N957" s="2" t="s">
        <v>95</v>
      </c>
      <c r="O957" s="10">
        <v>1</v>
      </c>
      <c r="P957" s="10">
        <v>2</v>
      </c>
      <c r="Q957" s="184">
        <v>3</v>
      </c>
      <c r="R957" s="181">
        <v>2</v>
      </c>
      <c r="S957" s="178">
        <f t="shared" si="106"/>
        <v>3</v>
      </c>
      <c r="T957" s="186">
        <f t="shared" si="107"/>
        <v>5</v>
      </c>
      <c r="U957" s="179">
        <f t="shared" si="108"/>
        <v>2</v>
      </c>
      <c r="V957" s="1">
        <f t="shared" si="109"/>
        <v>25</v>
      </c>
      <c r="W957" s="8">
        <f t="shared" si="110"/>
        <v>6.25</v>
      </c>
      <c r="X957" s="15">
        <f t="shared" si="111"/>
        <v>5381.25</v>
      </c>
      <c r="Y957"/>
      <c r="Z957"/>
      <c r="AA957"/>
      <c r="AB957" s="46"/>
      <c r="AC957"/>
      <c r="AD957"/>
    </row>
    <row r="958" spans="1:30">
      <c r="A958" t="s">
        <v>931</v>
      </c>
      <c r="B958" s="163" t="s">
        <v>177</v>
      </c>
      <c r="C958" s="2" t="s">
        <v>133</v>
      </c>
      <c r="D958" s="2" t="s">
        <v>78</v>
      </c>
      <c r="E958" s="3">
        <v>45427.75</v>
      </c>
      <c r="F958" s="2" t="s">
        <v>137</v>
      </c>
      <c r="G958" s="2" t="s">
        <v>466</v>
      </c>
      <c r="H958" s="2">
        <v>3.45</v>
      </c>
      <c r="I958" s="2">
        <v>95</v>
      </c>
      <c r="J958" s="2">
        <v>80</v>
      </c>
      <c r="K958" s="2">
        <v>29</v>
      </c>
      <c r="L958" s="2">
        <v>60</v>
      </c>
      <c r="M958" s="2">
        <v>2.48</v>
      </c>
      <c r="N958" s="2" t="s">
        <v>95</v>
      </c>
      <c r="O958" s="10">
        <v>1</v>
      </c>
      <c r="P958" s="10">
        <v>0</v>
      </c>
      <c r="Q958" s="184">
        <v>4</v>
      </c>
      <c r="R958" s="181">
        <v>1</v>
      </c>
      <c r="S958" s="178">
        <f t="shared" si="106"/>
        <v>1</v>
      </c>
      <c r="T958" s="186">
        <f t="shared" si="107"/>
        <v>5</v>
      </c>
      <c r="U958" s="179">
        <f t="shared" si="108"/>
        <v>4</v>
      </c>
      <c r="V958" s="1">
        <f t="shared" si="109"/>
        <v>25</v>
      </c>
      <c r="W958" s="8">
        <f t="shared" si="110"/>
        <v>6.25</v>
      </c>
      <c r="X958" s="15">
        <f t="shared" si="111"/>
        <v>5387.5</v>
      </c>
      <c r="Y958"/>
      <c r="Z958"/>
      <c r="AA958"/>
      <c r="AB958" s="46"/>
      <c r="AC958"/>
      <c r="AD958"/>
    </row>
    <row r="959" spans="1:30">
      <c r="A959" t="s">
        <v>931</v>
      </c>
      <c r="B959" s="163" t="s">
        <v>406</v>
      </c>
      <c r="C959" s="2" t="s">
        <v>6</v>
      </c>
      <c r="D959" s="2" t="s">
        <v>11</v>
      </c>
      <c r="E959" s="3">
        <v>45306.833333333336</v>
      </c>
      <c r="F959" s="2" t="s">
        <v>231</v>
      </c>
      <c r="G959" s="2" t="s">
        <v>232</v>
      </c>
      <c r="H959" s="2">
        <v>1.3</v>
      </c>
      <c r="I959" s="2">
        <v>14.5</v>
      </c>
      <c r="J959" s="2">
        <v>2.4500000000000002</v>
      </c>
      <c r="K959" s="2">
        <v>4.9000000000000004</v>
      </c>
      <c r="L959" s="2"/>
      <c r="M959" s="2"/>
      <c r="N959" s="2" t="s">
        <v>95</v>
      </c>
      <c r="O959" s="10">
        <v>1</v>
      </c>
      <c r="P959" s="9">
        <v>0</v>
      </c>
      <c r="Q959" s="184">
        <v>3</v>
      </c>
      <c r="R959" s="181">
        <v>2</v>
      </c>
      <c r="S959" s="178">
        <f t="shared" si="106"/>
        <v>1</v>
      </c>
      <c r="T959" s="186">
        <f t="shared" si="107"/>
        <v>5</v>
      </c>
      <c r="U959" s="179">
        <f t="shared" si="108"/>
        <v>4</v>
      </c>
      <c r="V959" s="1">
        <f t="shared" si="109"/>
        <v>25</v>
      </c>
      <c r="W959" s="8">
        <f t="shared" si="110"/>
        <v>6.25</v>
      </c>
      <c r="X959" s="15">
        <f t="shared" si="111"/>
        <v>5393.75</v>
      </c>
      <c r="Y959"/>
      <c r="Z959"/>
      <c r="AA959"/>
      <c r="AB959" s="46"/>
      <c r="AC959"/>
      <c r="AD959"/>
    </row>
    <row r="960" spans="1:30">
      <c r="A960" t="s">
        <v>931</v>
      </c>
      <c r="B960" s="163" t="s">
        <v>406</v>
      </c>
      <c r="C960" s="2" t="s">
        <v>6</v>
      </c>
      <c r="D960" s="2" t="s">
        <v>62</v>
      </c>
      <c r="E960" s="3">
        <v>45311.520833333336</v>
      </c>
      <c r="F960" s="2" t="s">
        <v>73</v>
      </c>
      <c r="G960" s="2" t="s">
        <v>66</v>
      </c>
      <c r="H960" s="2">
        <v>1.3</v>
      </c>
      <c r="I960" s="2">
        <v>13.5</v>
      </c>
      <c r="J960" s="2">
        <v>2.9</v>
      </c>
      <c r="K960" s="2">
        <v>5.4</v>
      </c>
      <c r="L960" s="2"/>
      <c r="M960" s="2"/>
      <c r="N960" s="2" t="s">
        <v>95</v>
      </c>
      <c r="O960" s="10">
        <v>2</v>
      </c>
      <c r="P960" s="9">
        <v>0</v>
      </c>
      <c r="Q960" s="184">
        <v>5</v>
      </c>
      <c r="R960" s="181">
        <v>0</v>
      </c>
      <c r="S960" s="178">
        <f t="shared" si="106"/>
        <v>2</v>
      </c>
      <c r="T960" s="186">
        <f t="shared" si="107"/>
        <v>5</v>
      </c>
      <c r="U960" s="179">
        <f t="shared" si="108"/>
        <v>3</v>
      </c>
      <c r="V960" s="1">
        <f t="shared" si="109"/>
        <v>25</v>
      </c>
      <c r="W960" s="8">
        <f t="shared" si="110"/>
        <v>6.25</v>
      </c>
      <c r="X960" s="15">
        <f t="shared" si="111"/>
        <v>5400</v>
      </c>
      <c r="Y960"/>
      <c r="Z960"/>
      <c r="AA960"/>
      <c r="AB960" s="46"/>
      <c r="AC960"/>
      <c r="AD960"/>
    </row>
    <row r="961" spans="1:30">
      <c r="A961" t="s">
        <v>931</v>
      </c>
      <c r="B961" s="163" t="s">
        <v>406</v>
      </c>
      <c r="C961" s="2" t="s">
        <v>13</v>
      </c>
      <c r="D961" s="2" t="s">
        <v>37</v>
      </c>
      <c r="E961" s="3">
        <v>45346.625</v>
      </c>
      <c r="F961" s="2" t="s">
        <v>79</v>
      </c>
      <c r="G961" s="2" t="s">
        <v>305</v>
      </c>
      <c r="H961" s="2">
        <v>1.31</v>
      </c>
      <c r="I961" s="2">
        <v>13</v>
      </c>
      <c r="J961" s="2">
        <v>2.8</v>
      </c>
      <c r="K961" s="2">
        <v>4.2</v>
      </c>
      <c r="L961" s="2">
        <v>2.89</v>
      </c>
      <c r="M961" s="2"/>
      <c r="N961" s="2" t="s">
        <v>95</v>
      </c>
      <c r="O961" s="10">
        <v>3</v>
      </c>
      <c r="P961" s="10">
        <v>0</v>
      </c>
      <c r="Q961" s="184">
        <v>5</v>
      </c>
      <c r="R961" s="181">
        <v>0</v>
      </c>
      <c r="S961" s="178">
        <f t="shared" ref="S961:S1024" si="112">SUM(O961:P961)</f>
        <v>3</v>
      </c>
      <c r="T961" s="186">
        <f t="shared" ref="T961:T1024" si="113">SUM(Q961:R961)</f>
        <v>5</v>
      </c>
      <c r="U961" s="179">
        <f t="shared" ref="U961:U1024" si="114">SUM(T961-S961)</f>
        <v>2</v>
      </c>
      <c r="V961" s="1">
        <f t="shared" si="109"/>
        <v>25</v>
      </c>
      <c r="W961" s="8">
        <f t="shared" si="110"/>
        <v>6.25</v>
      </c>
      <c r="X961" s="15">
        <f t="shared" si="111"/>
        <v>5406.25</v>
      </c>
      <c r="Y961"/>
      <c r="Z961"/>
      <c r="AA961"/>
      <c r="AB961" s="46"/>
      <c r="AC961"/>
      <c r="AD961"/>
    </row>
    <row r="962" spans="1:30">
      <c r="A962" t="s">
        <v>931</v>
      </c>
      <c r="B962" s="163" t="s">
        <v>406</v>
      </c>
      <c r="C962" s="2" t="s">
        <v>20</v>
      </c>
      <c r="D962" s="2" t="s">
        <v>21</v>
      </c>
      <c r="E962" s="3">
        <v>45347.479166666664</v>
      </c>
      <c r="F962" s="2" t="s">
        <v>358</v>
      </c>
      <c r="G962" s="2" t="s">
        <v>402</v>
      </c>
      <c r="H962" s="2">
        <v>1.39</v>
      </c>
      <c r="I962" s="2">
        <v>10.5</v>
      </c>
      <c r="J962" s="2">
        <v>2.75</v>
      </c>
      <c r="K962" s="2">
        <v>6</v>
      </c>
      <c r="L962" s="2">
        <v>2.48</v>
      </c>
      <c r="M962" s="2"/>
      <c r="N962" s="2" t="s">
        <v>95</v>
      </c>
      <c r="O962" s="10">
        <v>2</v>
      </c>
      <c r="P962" s="10">
        <v>2</v>
      </c>
      <c r="Q962" s="184">
        <v>3</v>
      </c>
      <c r="R962" s="181">
        <v>2</v>
      </c>
      <c r="S962" s="178">
        <f t="shared" si="112"/>
        <v>4</v>
      </c>
      <c r="T962" s="186">
        <f t="shared" si="113"/>
        <v>5</v>
      </c>
      <c r="U962" s="179">
        <f t="shared" si="114"/>
        <v>1</v>
      </c>
      <c r="V962" s="1">
        <f t="shared" si="109"/>
        <v>25</v>
      </c>
      <c r="W962" s="8">
        <f t="shared" si="110"/>
        <v>6.25</v>
      </c>
      <c r="X962" s="15">
        <f t="shared" si="111"/>
        <v>5412.5</v>
      </c>
      <c r="Y962"/>
      <c r="Z962"/>
      <c r="AA962"/>
      <c r="AB962" s="46"/>
      <c r="AC962"/>
      <c r="AD962"/>
    </row>
    <row r="963" spans="1:30">
      <c r="A963" t="s">
        <v>931</v>
      </c>
      <c r="B963" s="163" t="s">
        <v>406</v>
      </c>
      <c r="C963" s="2" t="s">
        <v>6</v>
      </c>
      <c r="D963" s="2" t="s">
        <v>14</v>
      </c>
      <c r="E963" s="3">
        <v>45356.822916666664</v>
      </c>
      <c r="F963" s="2" t="s">
        <v>376</v>
      </c>
      <c r="G963" s="2" t="s">
        <v>262</v>
      </c>
      <c r="H963" s="2">
        <v>1.34</v>
      </c>
      <c r="I963" s="2">
        <v>13.5</v>
      </c>
      <c r="J963" s="2">
        <v>3.1</v>
      </c>
      <c r="K963" s="2">
        <v>5.2</v>
      </c>
      <c r="L963" s="2">
        <v>2.5</v>
      </c>
      <c r="M963" s="2"/>
      <c r="N963" s="2" t="s">
        <v>95</v>
      </c>
      <c r="O963" s="10">
        <v>4</v>
      </c>
      <c r="P963" s="10">
        <v>0</v>
      </c>
      <c r="Q963" s="184">
        <v>5</v>
      </c>
      <c r="R963" s="181">
        <v>0</v>
      </c>
      <c r="S963" s="178">
        <f t="shared" si="112"/>
        <v>4</v>
      </c>
      <c r="T963" s="186">
        <f t="shared" si="113"/>
        <v>5</v>
      </c>
      <c r="U963" s="179">
        <f t="shared" si="114"/>
        <v>1</v>
      </c>
      <c r="V963" s="1">
        <f t="shared" si="109"/>
        <v>25</v>
      </c>
      <c r="W963" s="8">
        <f t="shared" si="110"/>
        <v>6.25</v>
      </c>
      <c r="X963" s="15">
        <f t="shared" si="111"/>
        <v>5418.75</v>
      </c>
      <c r="Y963"/>
      <c r="Z963"/>
      <c r="AA963"/>
      <c r="AB963" s="46"/>
      <c r="AC963"/>
      <c r="AD963"/>
    </row>
    <row r="964" spans="1:30">
      <c r="A964" t="s">
        <v>931</v>
      </c>
      <c r="B964" s="163" t="s">
        <v>406</v>
      </c>
      <c r="C964" s="2" t="s">
        <v>6</v>
      </c>
      <c r="D964" s="2" t="s">
        <v>14</v>
      </c>
      <c r="E964" s="3">
        <v>45360.625</v>
      </c>
      <c r="F964" s="2" t="s">
        <v>317</v>
      </c>
      <c r="G964" s="2" t="s">
        <v>262</v>
      </c>
      <c r="H964" s="2">
        <v>1.34</v>
      </c>
      <c r="I964" s="2">
        <v>12.5</v>
      </c>
      <c r="J964" s="2">
        <v>3.15</v>
      </c>
      <c r="K964" s="2">
        <v>5.5</v>
      </c>
      <c r="L964" s="2">
        <v>2.71</v>
      </c>
      <c r="M964" s="2"/>
      <c r="N964" s="2" t="s">
        <v>95</v>
      </c>
      <c r="O964" s="10">
        <v>4</v>
      </c>
      <c r="P964" s="10">
        <v>0</v>
      </c>
      <c r="Q964" s="184">
        <v>5</v>
      </c>
      <c r="R964" s="181">
        <v>0</v>
      </c>
      <c r="S964" s="178">
        <f t="shared" si="112"/>
        <v>4</v>
      </c>
      <c r="T964" s="186">
        <f t="shared" si="113"/>
        <v>5</v>
      </c>
      <c r="U964" s="179">
        <f t="shared" si="114"/>
        <v>1</v>
      </c>
      <c r="V964" s="1">
        <f t="shared" si="109"/>
        <v>25</v>
      </c>
      <c r="W964" s="8">
        <f t="shared" si="110"/>
        <v>6.25</v>
      </c>
      <c r="X964" s="15">
        <f t="shared" si="111"/>
        <v>5425</v>
      </c>
      <c r="Y964"/>
      <c r="Z964"/>
      <c r="AA964"/>
      <c r="AB964" s="46"/>
      <c r="AC964"/>
      <c r="AD964"/>
    </row>
    <row r="965" spans="1:30">
      <c r="A965" t="s">
        <v>931</v>
      </c>
      <c r="B965" s="163" t="s">
        <v>406</v>
      </c>
      <c r="C965" s="2" t="s">
        <v>6</v>
      </c>
      <c r="D965" s="2" t="s">
        <v>62</v>
      </c>
      <c r="E965" s="3">
        <v>45385.84375</v>
      </c>
      <c r="F965" s="2" t="s">
        <v>72</v>
      </c>
      <c r="G965" s="2" t="s">
        <v>102</v>
      </c>
      <c r="H965" s="2">
        <v>1.27</v>
      </c>
      <c r="I965" s="2">
        <v>13</v>
      </c>
      <c r="J965" s="2">
        <v>2.95</v>
      </c>
      <c r="K965" s="2">
        <v>3.5</v>
      </c>
      <c r="L965" s="2">
        <v>2.83</v>
      </c>
      <c r="M965" s="2"/>
      <c r="N965" s="2" t="s">
        <v>95</v>
      </c>
      <c r="O965" s="10">
        <v>2</v>
      </c>
      <c r="P965" s="10">
        <v>1</v>
      </c>
      <c r="Q965" s="184">
        <v>4</v>
      </c>
      <c r="R965" s="181">
        <v>1</v>
      </c>
      <c r="S965" s="178">
        <f t="shared" si="112"/>
        <v>3</v>
      </c>
      <c r="T965" s="186">
        <f t="shared" si="113"/>
        <v>5</v>
      </c>
      <c r="U965" s="179">
        <f t="shared" si="114"/>
        <v>2</v>
      </c>
      <c r="V965" s="1">
        <f t="shared" ref="V965:V1028" si="115">SUM($X$1*0.05)</f>
        <v>25</v>
      </c>
      <c r="W965" s="8">
        <f t="shared" si="110"/>
        <v>6.25</v>
      </c>
      <c r="X965" s="15">
        <f t="shared" si="111"/>
        <v>5431.25</v>
      </c>
      <c r="Y965"/>
      <c r="Z965"/>
      <c r="AA965"/>
      <c r="AB965" s="46"/>
      <c r="AC965"/>
      <c r="AD965"/>
    </row>
    <row r="966" spans="1:30">
      <c r="A966" t="s">
        <v>931</v>
      </c>
      <c r="B966" s="163" t="s">
        <v>406</v>
      </c>
      <c r="C966" s="2" t="s">
        <v>13</v>
      </c>
      <c r="D966" s="2" t="s">
        <v>37</v>
      </c>
      <c r="E966" s="3">
        <v>45417.541666666664</v>
      </c>
      <c r="F966" s="2" t="s">
        <v>79</v>
      </c>
      <c r="G966" s="2" t="s">
        <v>324</v>
      </c>
      <c r="H966" s="2">
        <v>1.26</v>
      </c>
      <c r="I966" s="2">
        <v>14</v>
      </c>
      <c r="J966" s="2">
        <v>2.8</v>
      </c>
      <c r="K966" s="2">
        <v>3.85</v>
      </c>
      <c r="L966" s="2">
        <v>2.77</v>
      </c>
      <c r="M966" s="2"/>
      <c r="N966" s="2" t="s">
        <v>95</v>
      </c>
      <c r="O966" s="10">
        <v>1</v>
      </c>
      <c r="P966" s="10">
        <v>1</v>
      </c>
      <c r="Q966" s="184">
        <v>4</v>
      </c>
      <c r="R966" s="181">
        <v>1</v>
      </c>
      <c r="S966" s="178">
        <f t="shared" si="112"/>
        <v>2</v>
      </c>
      <c r="T966" s="186">
        <f t="shared" si="113"/>
        <v>5</v>
      </c>
      <c r="U966" s="179">
        <f t="shared" si="114"/>
        <v>3</v>
      </c>
      <c r="V966" s="1">
        <f t="shared" si="115"/>
        <v>25</v>
      </c>
      <c r="W966" s="8">
        <f t="shared" si="110"/>
        <v>6.25</v>
      </c>
      <c r="X966" s="15">
        <f t="shared" si="111"/>
        <v>5437.5</v>
      </c>
      <c r="Y966"/>
      <c r="Z966"/>
      <c r="AA966"/>
      <c r="AB966" s="46"/>
      <c r="AC966"/>
      <c r="AD966"/>
    </row>
    <row r="967" spans="1:30">
      <c r="A967" t="s">
        <v>931</v>
      </c>
      <c r="B967" s="163" t="s">
        <v>406</v>
      </c>
      <c r="C967" s="2" t="s">
        <v>516</v>
      </c>
      <c r="D967" s="2" t="s">
        <v>78</v>
      </c>
      <c r="E967" s="3">
        <v>45423.541666666664</v>
      </c>
      <c r="F967" s="2" t="s">
        <v>827</v>
      </c>
      <c r="G967" s="2" t="s">
        <v>537</v>
      </c>
      <c r="H967" s="2">
        <v>1.33</v>
      </c>
      <c r="I967" s="2">
        <v>11</v>
      </c>
      <c r="J967" s="2">
        <v>2.63</v>
      </c>
      <c r="K967" s="2">
        <v>5.4</v>
      </c>
      <c r="L967" s="2">
        <v>2.46</v>
      </c>
      <c r="M967" s="2"/>
      <c r="N967" s="2" t="s">
        <v>95</v>
      </c>
      <c r="O967" s="10">
        <v>0</v>
      </c>
      <c r="P967" s="10">
        <v>2</v>
      </c>
      <c r="Q967" s="184">
        <v>3</v>
      </c>
      <c r="R967" s="181">
        <v>2</v>
      </c>
      <c r="S967" s="178">
        <f t="shared" si="112"/>
        <v>2</v>
      </c>
      <c r="T967" s="186">
        <f t="shared" si="113"/>
        <v>5</v>
      </c>
      <c r="U967" s="179">
        <f t="shared" si="114"/>
        <v>3</v>
      </c>
      <c r="V967" s="1">
        <f t="shared" si="115"/>
        <v>25</v>
      </c>
      <c r="W967" s="8">
        <f t="shared" si="110"/>
        <v>6.25</v>
      </c>
      <c r="X967" s="15">
        <f t="shared" si="111"/>
        <v>5443.75</v>
      </c>
      <c r="Y967"/>
      <c r="Z967"/>
      <c r="AA967"/>
      <c r="AB967"/>
      <c r="AC967"/>
      <c r="AD967"/>
    </row>
    <row r="968" spans="1:30">
      <c r="A968" t="s">
        <v>931</v>
      </c>
      <c r="B968" s="163" t="s">
        <v>406</v>
      </c>
      <c r="C968" s="2" t="s">
        <v>119</v>
      </c>
      <c r="D968" s="2" t="s">
        <v>120</v>
      </c>
      <c r="E968" s="3">
        <v>45431.75</v>
      </c>
      <c r="F968" s="2" t="s">
        <v>349</v>
      </c>
      <c r="G968" s="2" t="s">
        <v>348</v>
      </c>
      <c r="H968" s="2">
        <v>1.38</v>
      </c>
      <c r="I968" s="2">
        <v>9.8000000000000007</v>
      </c>
      <c r="J968" s="2">
        <v>2.9</v>
      </c>
      <c r="K968" s="2">
        <v>5.5</v>
      </c>
      <c r="L968" s="2">
        <v>2.38</v>
      </c>
      <c r="M968" s="2"/>
      <c r="N968" s="2" t="s">
        <v>95</v>
      </c>
      <c r="O968" s="10">
        <v>0</v>
      </c>
      <c r="P968" s="10">
        <v>1</v>
      </c>
      <c r="Q968" s="184">
        <v>1</v>
      </c>
      <c r="R968" s="181">
        <v>4</v>
      </c>
      <c r="S968" s="178">
        <f t="shared" si="112"/>
        <v>1</v>
      </c>
      <c r="T968" s="186">
        <f t="shared" si="113"/>
        <v>5</v>
      </c>
      <c r="U968" s="179">
        <f t="shared" si="114"/>
        <v>4</v>
      </c>
      <c r="V968" s="1">
        <f t="shared" si="115"/>
        <v>25</v>
      </c>
      <c r="W968" s="8">
        <f t="shared" si="110"/>
        <v>6.25</v>
      </c>
      <c r="X968" s="15">
        <f t="shared" si="111"/>
        <v>5450</v>
      </c>
      <c r="Y968"/>
      <c r="Z968"/>
      <c r="AA968"/>
      <c r="AB968"/>
      <c r="AC968"/>
      <c r="AD968"/>
    </row>
    <row r="969" spans="1:30">
      <c r="A969" t="s">
        <v>931</v>
      </c>
      <c r="B969" s="163" t="s">
        <v>531</v>
      </c>
      <c r="C969" s="2" t="s">
        <v>149</v>
      </c>
      <c r="D969" s="2" t="s">
        <v>153</v>
      </c>
      <c r="E969" s="3">
        <v>45368.5625</v>
      </c>
      <c r="F969" s="2" t="s">
        <v>206</v>
      </c>
      <c r="G969" s="2" t="s">
        <v>282</v>
      </c>
      <c r="H969" s="2">
        <v>5.5</v>
      </c>
      <c r="I969" s="2">
        <v>24</v>
      </c>
      <c r="J969" s="2">
        <v>3.33</v>
      </c>
      <c r="K969" s="2">
        <v>23</v>
      </c>
      <c r="L969" s="2">
        <v>4</v>
      </c>
      <c r="M969" s="2">
        <v>12</v>
      </c>
      <c r="N969" s="2" t="s">
        <v>95</v>
      </c>
      <c r="O969" s="10">
        <v>1</v>
      </c>
      <c r="P969" s="10">
        <v>1</v>
      </c>
      <c r="Q969" s="184">
        <v>2</v>
      </c>
      <c r="R969" s="181">
        <v>3</v>
      </c>
      <c r="S969" s="178">
        <f t="shared" si="112"/>
        <v>2</v>
      </c>
      <c r="T969" s="186">
        <f t="shared" si="113"/>
        <v>5</v>
      </c>
      <c r="U969" s="179">
        <f t="shared" si="114"/>
        <v>3</v>
      </c>
      <c r="V969" s="1">
        <f t="shared" si="115"/>
        <v>25</v>
      </c>
      <c r="W969" s="8">
        <f t="shared" si="110"/>
        <v>6.25</v>
      </c>
      <c r="X969" s="15">
        <f t="shared" si="111"/>
        <v>5456.25</v>
      </c>
      <c r="Y969"/>
      <c r="Z969"/>
      <c r="AA969"/>
      <c r="AB969"/>
      <c r="AC969"/>
      <c r="AD969"/>
    </row>
    <row r="970" spans="1:30">
      <c r="A970" t="s">
        <v>931</v>
      </c>
      <c r="B970" s="163" t="s">
        <v>531</v>
      </c>
      <c r="C970" s="2" t="s">
        <v>149</v>
      </c>
      <c r="D970" s="2" t="s">
        <v>150</v>
      </c>
      <c r="E970" s="3">
        <v>45383.791666666664</v>
      </c>
      <c r="F970" s="2" t="s">
        <v>493</v>
      </c>
      <c r="G970" s="2" t="s">
        <v>607</v>
      </c>
      <c r="H970" s="2">
        <v>3.3</v>
      </c>
      <c r="I970" s="2">
        <v>31</v>
      </c>
      <c r="J970" s="2">
        <v>2.84</v>
      </c>
      <c r="K970" s="2">
        <v>32</v>
      </c>
      <c r="L970" s="2">
        <v>0</v>
      </c>
      <c r="M970" s="2">
        <v>15</v>
      </c>
      <c r="N970" s="2" t="s">
        <v>95</v>
      </c>
      <c r="O970" s="10">
        <v>2</v>
      </c>
      <c r="P970" s="10">
        <v>2</v>
      </c>
      <c r="Q970" s="184">
        <v>2</v>
      </c>
      <c r="R970" s="181">
        <v>3</v>
      </c>
      <c r="S970" s="178">
        <f t="shared" si="112"/>
        <v>4</v>
      </c>
      <c r="T970" s="186">
        <f t="shared" si="113"/>
        <v>5</v>
      </c>
      <c r="U970" s="179">
        <f t="shared" si="114"/>
        <v>1</v>
      </c>
      <c r="V970" s="1">
        <f t="shared" si="115"/>
        <v>25</v>
      </c>
      <c r="W970" s="8">
        <f t="shared" si="110"/>
        <v>6.25</v>
      </c>
      <c r="X970" s="15">
        <f t="shared" si="111"/>
        <v>5462.5</v>
      </c>
      <c r="Y970"/>
      <c r="Z970"/>
      <c r="AA970"/>
      <c r="AB970"/>
      <c r="AC970"/>
      <c r="AD970"/>
    </row>
    <row r="971" spans="1:30">
      <c r="A971" t="s">
        <v>931</v>
      </c>
      <c r="B971" s="163" t="s">
        <v>531</v>
      </c>
      <c r="C971" s="2" t="s">
        <v>77</v>
      </c>
      <c r="D971" s="2" t="s">
        <v>156</v>
      </c>
      <c r="E971" s="3">
        <v>45388.604166666664</v>
      </c>
      <c r="F971" s="2" t="s">
        <v>260</v>
      </c>
      <c r="G971" s="2" t="s">
        <v>157</v>
      </c>
      <c r="H971" s="2">
        <v>3.6</v>
      </c>
      <c r="I971" s="2">
        <v>26</v>
      </c>
      <c r="J971" s="2">
        <v>3.62</v>
      </c>
      <c r="K971" s="2">
        <v>23</v>
      </c>
      <c r="L971" s="2">
        <v>4</v>
      </c>
      <c r="M971" s="2">
        <v>13</v>
      </c>
      <c r="N971" s="2" t="s">
        <v>95</v>
      </c>
      <c r="O971" s="10">
        <v>0</v>
      </c>
      <c r="P971" s="10">
        <v>2</v>
      </c>
      <c r="Q971" s="184">
        <v>3</v>
      </c>
      <c r="R971" s="181">
        <v>2</v>
      </c>
      <c r="S971" s="178">
        <f t="shared" si="112"/>
        <v>2</v>
      </c>
      <c r="T971" s="186">
        <f t="shared" si="113"/>
        <v>5</v>
      </c>
      <c r="U971" s="179">
        <f t="shared" si="114"/>
        <v>3</v>
      </c>
      <c r="V971" s="1">
        <f t="shared" si="115"/>
        <v>25</v>
      </c>
      <c r="W971" s="8">
        <f t="shared" si="110"/>
        <v>6.25</v>
      </c>
      <c r="X971" s="15">
        <f t="shared" si="111"/>
        <v>5468.75</v>
      </c>
      <c r="Y971"/>
      <c r="Z971"/>
      <c r="AA971"/>
      <c r="AB971"/>
      <c r="AC971"/>
      <c r="AD971"/>
    </row>
    <row r="972" spans="1:30">
      <c r="A972" t="s">
        <v>931</v>
      </c>
      <c r="B972" s="163" t="s">
        <v>531</v>
      </c>
      <c r="C972" s="2" t="s">
        <v>77</v>
      </c>
      <c r="D972" s="2" t="s">
        <v>156</v>
      </c>
      <c r="E972" s="3">
        <v>45388.604166666664</v>
      </c>
      <c r="F972" s="2" t="s">
        <v>477</v>
      </c>
      <c r="G972" s="2" t="s">
        <v>181</v>
      </c>
      <c r="H972" s="2">
        <v>5.7</v>
      </c>
      <c r="I972" s="2">
        <v>26</v>
      </c>
      <c r="J972" s="2">
        <v>3.69</v>
      </c>
      <c r="K972" s="2">
        <v>30</v>
      </c>
      <c r="L972" s="2">
        <v>3</v>
      </c>
      <c r="M972" s="2">
        <v>13</v>
      </c>
      <c r="N972" s="2" t="s">
        <v>95</v>
      </c>
      <c r="O972" s="10">
        <v>0</v>
      </c>
      <c r="P972" s="10">
        <v>3</v>
      </c>
      <c r="Q972" s="184">
        <v>1</v>
      </c>
      <c r="R972" s="181">
        <v>4</v>
      </c>
      <c r="S972" s="178">
        <f t="shared" si="112"/>
        <v>3</v>
      </c>
      <c r="T972" s="186">
        <f t="shared" si="113"/>
        <v>5</v>
      </c>
      <c r="U972" s="179">
        <f t="shared" si="114"/>
        <v>2</v>
      </c>
      <c r="V972" s="1">
        <f t="shared" si="115"/>
        <v>25</v>
      </c>
      <c r="W972" s="8">
        <f t="shared" si="110"/>
        <v>6.25</v>
      </c>
      <c r="X972" s="15">
        <f t="shared" si="111"/>
        <v>5475</v>
      </c>
      <c r="Y972"/>
      <c r="Z972"/>
      <c r="AA972"/>
      <c r="AB972"/>
      <c r="AC972"/>
      <c r="AD972"/>
    </row>
    <row r="973" spans="1:30">
      <c r="A973" t="s">
        <v>931</v>
      </c>
      <c r="B973" s="163" t="s">
        <v>531</v>
      </c>
      <c r="C973" s="2" t="s">
        <v>13</v>
      </c>
      <c r="D973" s="2" t="s">
        <v>37</v>
      </c>
      <c r="E973" s="3">
        <v>45396.5</v>
      </c>
      <c r="F973" s="2" t="s">
        <v>323</v>
      </c>
      <c r="G973" s="2" t="s">
        <v>79</v>
      </c>
      <c r="H973" s="2">
        <v>3.55</v>
      </c>
      <c r="I973" s="2">
        <v>29</v>
      </c>
      <c r="J973" s="2">
        <v>2.2799999999999998</v>
      </c>
      <c r="K973" s="2">
        <v>33</v>
      </c>
      <c r="L973" s="2">
        <v>1</v>
      </c>
      <c r="M973" s="2">
        <v>14</v>
      </c>
      <c r="N973" s="2" t="s">
        <v>95</v>
      </c>
      <c r="O973" s="10">
        <v>0</v>
      </c>
      <c r="P973" s="10">
        <v>1</v>
      </c>
      <c r="Q973" s="184">
        <v>3</v>
      </c>
      <c r="R973" s="181">
        <v>2</v>
      </c>
      <c r="S973" s="178">
        <f t="shared" si="112"/>
        <v>1</v>
      </c>
      <c r="T973" s="186">
        <f t="shared" si="113"/>
        <v>5</v>
      </c>
      <c r="U973" s="179">
        <f t="shared" si="114"/>
        <v>4</v>
      </c>
      <c r="V973" s="1">
        <f t="shared" si="115"/>
        <v>25</v>
      </c>
      <c r="W973" s="8">
        <f t="shared" si="110"/>
        <v>6.25</v>
      </c>
      <c r="X973" s="15">
        <f t="shared" si="111"/>
        <v>5481.25</v>
      </c>
      <c r="Y973"/>
      <c r="Z973"/>
      <c r="AA973"/>
      <c r="AB973"/>
      <c r="AC973"/>
      <c r="AD973"/>
    </row>
    <row r="974" spans="1:30">
      <c r="A974" t="s">
        <v>931</v>
      </c>
      <c r="B974" s="163" t="s">
        <v>531</v>
      </c>
      <c r="C974" s="2" t="s">
        <v>145</v>
      </c>
      <c r="D974" s="2" t="s">
        <v>190</v>
      </c>
      <c r="E974" s="3">
        <v>45406.75</v>
      </c>
      <c r="F974" s="2" t="s">
        <v>227</v>
      </c>
      <c r="G974" s="2" t="s">
        <v>553</v>
      </c>
      <c r="H974" s="2">
        <v>4.7</v>
      </c>
      <c r="I974" s="2">
        <v>28</v>
      </c>
      <c r="J974" s="2">
        <v>2.96</v>
      </c>
      <c r="K974" s="2">
        <v>32</v>
      </c>
      <c r="L974" s="2">
        <v>2</v>
      </c>
      <c r="M974" s="2">
        <v>14</v>
      </c>
      <c r="N974" s="2" t="s">
        <v>95</v>
      </c>
      <c r="O974" s="10">
        <v>0</v>
      </c>
      <c r="P974" s="10">
        <v>2</v>
      </c>
      <c r="Q974" s="184">
        <v>1</v>
      </c>
      <c r="R974" s="181">
        <v>4</v>
      </c>
      <c r="S974" s="178">
        <f t="shared" si="112"/>
        <v>2</v>
      </c>
      <c r="T974" s="186">
        <f t="shared" si="113"/>
        <v>5</v>
      </c>
      <c r="U974" s="179">
        <f t="shared" si="114"/>
        <v>3</v>
      </c>
      <c r="V974" s="1">
        <f t="shared" si="115"/>
        <v>25</v>
      </c>
      <c r="W974" s="8">
        <f t="shared" si="110"/>
        <v>6.25</v>
      </c>
      <c r="X974" s="15">
        <f t="shared" si="111"/>
        <v>5487.5</v>
      </c>
      <c r="Y974"/>
      <c r="Z974"/>
      <c r="AA974"/>
      <c r="AB974"/>
      <c r="AC974"/>
      <c r="AD974"/>
    </row>
    <row r="975" spans="1:30">
      <c r="A975" t="s">
        <v>931</v>
      </c>
      <c r="B975" s="163" t="s">
        <v>531</v>
      </c>
      <c r="C975" s="2" t="s">
        <v>149</v>
      </c>
      <c r="D975" s="2" t="s">
        <v>153</v>
      </c>
      <c r="E975" s="3">
        <v>45424.5625</v>
      </c>
      <c r="F975" s="2" t="s">
        <v>241</v>
      </c>
      <c r="G975" s="2" t="s">
        <v>282</v>
      </c>
      <c r="H975" s="2">
        <v>6</v>
      </c>
      <c r="I975" s="2">
        <v>32</v>
      </c>
      <c r="J975" s="2">
        <v>3.34</v>
      </c>
      <c r="K975" s="2">
        <v>22</v>
      </c>
      <c r="L975" s="2">
        <v>4</v>
      </c>
      <c r="M975" s="2">
        <v>16</v>
      </c>
      <c r="N975" s="2" t="s">
        <v>95</v>
      </c>
      <c r="O975" s="10">
        <v>0</v>
      </c>
      <c r="P975" s="10">
        <v>1</v>
      </c>
      <c r="Q975" s="184">
        <v>2</v>
      </c>
      <c r="R975" s="181">
        <v>3</v>
      </c>
      <c r="S975" s="178">
        <f t="shared" si="112"/>
        <v>1</v>
      </c>
      <c r="T975" s="186">
        <f t="shared" si="113"/>
        <v>5</v>
      </c>
      <c r="U975" s="179">
        <f t="shared" si="114"/>
        <v>4</v>
      </c>
      <c r="V975" s="1">
        <f t="shared" si="115"/>
        <v>25</v>
      </c>
      <c r="W975" s="8">
        <f t="shared" si="110"/>
        <v>6.25</v>
      </c>
      <c r="X975" s="15">
        <f t="shared" si="111"/>
        <v>5493.75</v>
      </c>
      <c r="Y975"/>
      <c r="Z975"/>
      <c r="AA975"/>
      <c r="AB975"/>
      <c r="AC975"/>
      <c r="AD975"/>
    </row>
    <row r="976" spans="1:30">
      <c r="A976" t="s">
        <v>931</v>
      </c>
      <c r="B976" s="163" t="s">
        <v>531</v>
      </c>
      <c r="C976" s="2" t="s">
        <v>80</v>
      </c>
      <c r="D976" s="2" t="s">
        <v>81</v>
      </c>
      <c r="E976" s="3">
        <v>45424.708333333336</v>
      </c>
      <c r="F976" s="2" t="s">
        <v>551</v>
      </c>
      <c r="G976" s="2" t="s">
        <v>144</v>
      </c>
      <c r="H976" s="2">
        <v>3.95</v>
      </c>
      <c r="I976" s="2">
        <v>34</v>
      </c>
      <c r="J976" s="2">
        <v>2.56</v>
      </c>
      <c r="K976" s="2">
        <v>37</v>
      </c>
      <c r="L976" s="2">
        <v>3</v>
      </c>
      <c r="M976" s="2">
        <v>17</v>
      </c>
      <c r="N976" s="2" t="s">
        <v>95</v>
      </c>
      <c r="O976" s="10">
        <v>1</v>
      </c>
      <c r="P976" s="10">
        <v>1</v>
      </c>
      <c r="Q976" s="184">
        <v>2</v>
      </c>
      <c r="R976" s="181">
        <v>3</v>
      </c>
      <c r="S976" s="178">
        <f t="shared" si="112"/>
        <v>2</v>
      </c>
      <c r="T976" s="186">
        <f t="shared" si="113"/>
        <v>5</v>
      </c>
      <c r="U976" s="179">
        <f t="shared" si="114"/>
        <v>3</v>
      </c>
      <c r="V976" s="1">
        <f t="shared" si="115"/>
        <v>25</v>
      </c>
      <c r="W976" s="8">
        <f t="shared" si="110"/>
        <v>6.25</v>
      </c>
      <c r="X976" s="15">
        <f t="shared" si="111"/>
        <v>5500</v>
      </c>
      <c r="Y976"/>
      <c r="Z976"/>
      <c r="AA976"/>
      <c r="AB976"/>
      <c r="AC976"/>
      <c r="AD976"/>
    </row>
    <row r="977" spans="1:30">
      <c r="A977" t="s">
        <v>931</v>
      </c>
      <c r="B977" s="163" t="s">
        <v>531</v>
      </c>
      <c r="C977" s="2" t="s">
        <v>13</v>
      </c>
      <c r="D977" s="2" t="s">
        <v>37</v>
      </c>
      <c r="E977" s="3">
        <v>45427.8125</v>
      </c>
      <c r="F977" s="2" t="s">
        <v>324</v>
      </c>
      <c r="G977" s="2" t="s">
        <v>99</v>
      </c>
      <c r="H977" s="2">
        <v>4</v>
      </c>
      <c r="I977" s="2">
        <v>36</v>
      </c>
      <c r="J977" s="2">
        <v>2.75</v>
      </c>
      <c r="K977" s="2">
        <v>34</v>
      </c>
      <c r="L977" s="2">
        <v>1</v>
      </c>
      <c r="M977" s="2">
        <v>18</v>
      </c>
      <c r="N977" s="2" t="s">
        <v>95</v>
      </c>
      <c r="O977" s="10">
        <v>0</v>
      </c>
      <c r="P977" s="10">
        <v>3</v>
      </c>
      <c r="Q977" s="184">
        <v>0</v>
      </c>
      <c r="R977" s="181">
        <v>5</v>
      </c>
      <c r="S977" s="178">
        <f t="shared" si="112"/>
        <v>3</v>
      </c>
      <c r="T977" s="186">
        <f t="shared" si="113"/>
        <v>5</v>
      </c>
      <c r="U977" s="179">
        <f t="shared" si="114"/>
        <v>2</v>
      </c>
      <c r="V977" s="1">
        <f t="shared" si="115"/>
        <v>25</v>
      </c>
      <c r="W977" s="8">
        <f t="shared" si="110"/>
        <v>6.25</v>
      </c>
      <c r="X977" s="15">
        <f t="shared" si="111"/>
        <v>5506.25</v>
      </c>
      <c r="Y977"/>
      <c r="Z977"/>
      <c r="AA977"/>
      <c r="AB977"/>
      <c r="AC977"/>
      <c r="AD977"/>
    </row>
    <row r="978" spans="1:30">
      <c r="A978" t="s">
        <v>931</v>
      </c>
      <c r="B978" s="163" t="s">
        <v>531</v>
      </c>
      <c r="C978" s="2" t="s">
        <v>434</v>
      </c>
      <c r="D978" s="2" t="s">
        <v>435</v>
      </c>
      <c r="E978" s="3">
        <v>45433.75</v>
      </c>
      <c r="F978" s="2" t="s">
        <v>464</v>
      </c>
      <c r="G978" s="2" t="s">
        <v>476</v>
      </c>
      <c r="H978" s="2">
        <v>6</v>
      </c>
      <c r="I978" s="2">
        <v>30</v>
      </c>
      <c r="J978" s="2">
        <v>2.97</v>
      </c>
      <c r="K978" s="2">
        <v>31</v>
      </c>
      <c r="L978" s="2">
        <v>1</v>
      </c>
      <c r="M978" s="2">
        <v>15</v>
      </c>
      <c r="N978" s="2" t="s">
        <v>95</v>
      </c>
      <c r="O978" s="10">
        <v>3</v>
      </c>
      <c r="P978" s="10">
        <v>1</v>
      </c>
      <c r="Q978" s="184">
        <v>3</v>
      </c>
      <c r="R978" s="181">
        <v>2</v>
      </c>
      <c r="S978" s="178">
        <f t="shared" si="112"/>
        <v>4</v>
      </c>
      <c r="T978" s="186">
        <f t="shared" si="113"/>
        <v>5</v>
      </c>
      <c r="U978" s="179">
        <f t="shared" si="114"/>
        <v>1</v>
      </c>
      <c r="V978" s="1">
        <f t="shared" si="115"/>
        <v>25</v>
      </c>
      <c r="W978" s="8">
        <f t="shared" si="110"/>
        <v>6.25</v>
      </c>
      <c r="X978" s="15">
        <f t="shared" si="111"/>
        <v>5512.5</v>
      </c>
      <c r="Y978"/>
      <c r="Z978"/>
      <c r="AA978"/>
      <c r="AB978"/>
      <c r="AC978"/>
      <c r="AD978"/>
    </row>
    <row r="979" spans="1:30">
      <c r="A979" t="s">
        <v>931</v>
      </c>
      <c r="B979" s="163" t="s">
        <v>531</v>
      </c>
      <c r="C979" s="2" t="s">
        <v>489</v>
      </c>
      <c r="D979" s="2" t="s">
        <v>490</v>
      </c>
      <c r="E979" s="3">
        <v>45436.583333333336</v>
      </c>
      <c r="F979" s="2" t="s">
        <v>871</v>
      </c>
      <c r="G979" s="2" t="s">
        <v>492</v>
      </c>
      <c r="H979" s="2">
        <v>2.78</v>
      </c>
      <c r="I979" s="2">
        <v>34</v>
      </c>
      <c r="J979" s="2">
        <v>2.5299999999999998</v>
      </c>
      <c r="K979" s="2">
        <v>34</v>
      </c>
      <c r="L979" s="2">
        <v>2</v>
      </c>
      <c r="M979" s="2">
        <v>17</v>
      </c>
      <c r="N979" s="2" t="s">
        <v>95</v>
      </c>
      <c r="O979" s="10">
        <v>0</v>
      </c>
      <c r="P979" s="10">
        <v>1</v>
      </c>
      <c r="Q979" s="184">
        <v>1</v>
      </c>
      <c r="R979" s="181">
        <v>4</v>
      </c>
      <c r="S979" s="178">
        <f t="shared" si="112"/>
        <v>1</v>
      </c>
      <c r="T979" s="186">
        <f t="shared" si="113"/>
        <v>5</v>
      </c>
      <c r="U979" s="179">
        <f t="shared" si="114"/>
        <v>4</v>
      </c>
      <c r="V979" s="1">
        <f t="shared" si="115"/>
        <v>25</v>
      </c>
      <c r="W979" s="8">
        <f t="shared" si="110"/>
        <v>6.25</v>
      </c>
      <c r="X979" s="15">
        <f t="shared" si="111"/>
        <v>5518.75</v>
      </c>
      <c r="Y979"/>
      <c r="Z979"/>
      <c r="AA979"/>
      <c r="AB979"/>
      <c r="AC979"/>
      <c r="AD979"/>
    </row>
    <row r="980" spans="1:30">
      <c r="A980" t="s">
        <v>931</v>
      </c>
      <c r="B980" s="163" t="s">
        <v>512</v>
      </c>
      <c r="C980" s="2" t="s">
        <v>6</v>
      </c>
      <c r="D980" s="2" t="s">
        <v>14</v>
      </c>
      <c r="E980" s="3">
        <v>45356.822916666664</v>
      </c>
      <c r="F980" s="2" t="s">
        <v>376</v>
      </c>
      <c r="G980" s="2" t="s">
        <v>262</v>
      </c>
      <c r="H980" s="2">
        <v>5.0999999999999996</v>
      </c>
      <c r="I980" s="2">
        <v>20</v>
      </c>
      <c r="J980" s="2">
        <v>3.1</v>
      </c>
      <c r="K980" s="2">
        <v>3</v>
      </c>
      <c r="L980" s="2">
        <v>25</v>
      </c>
      <c r="M980" s="2"/>
      <c r="N980" s="2" t="s">
        <v>95</v>
      </c>
      <c r="O980" s="10">
        <v>4</v>
      </c>
      <c r="P980" s="10">
        <v>0</v>
      </c>
      <c r="Q980" s="184">
        <v>5</v>
      </c>
      <c r="R980" s="181">
        <v>0</v>
      </c>
      <c r="S980" s="178">
        <f t="shared" si="112"/>
        <v>4</v>
      </c>
      <c r="T980" s="186">
        <f t="shared" si="113"/>
        <v>5</v>
      </c>
      <c r="U980" s="179">
        <f t="shared" si="114"/>
        <v>1</v>
      </c>
      <c r="V980" s="1">
        <f t="shared" si="115"/>
        <v>25</v>
      </c>
      <c r="W980" s="8">
        <f t="shared" si="110"/>
        <v>6.25</v>
      </c>
      <c r="X980" s="15">
        <f t="shared" si="111"/>
        <v>5525</v>
      </c>
      <c r="Y980"/>
      <c r="Z980"/>
      <c r="AA980"/>
      <c r="AB980"/>
      <c r="AC980"/>
      <c r="AD980"/>
    </row>
    <row r="981" spans="1:30">
      <c r="A981" t="s">
        <v>931</v>
      </c>
      <c r="B981" s="163" t="s">
        <v>512</v>
      </c>
      <c r="C981" s="2" t="s">
        <v>6</v>
      </c>
      <c r="D981" s="2" t="s">
        <v>7</v>
      </c>
      <c r="E981" s="3">
        <v>45360.625</v>
      </c>
      <c r="F981" s="2" t="s">
        <v>307</v>
      </c>
      <c r="G981" s="2" t="s">
        <v>163</v>
      </c>
      <c r="H981" s="2">
        <v>5.9</v>
      </c>
      <c r="I981" s="2">
        <v>20</v>
      </c>
      <c r="J981" s="2">
        <v>3.4</v>
      </c>
      <c r="K981" s="2">
        <v>16</v>
      </c>
      <c r="L981" s="2">
        <v>2</v>
      </c>
      <c r="M981" s="2"/>
      <c r="N981" s="2" t="s">
        <v>95</v>
      </c>
      <c r="O981" s="10">
        <v>1</v>
      </c>
      <c r="P981" s="10">
        <v>0</v>
      </c>
      <c r="Q981" s="184">
        <v>3</v>
      </c>
      <c r="R981" s="181">
        <v>2</v>
      </c>
      <c r="S981" s="178">
        <f t="shared" si="112"/>
        <v>1</v>
      </c>
      <c r="T981" s="186">
        <f t="shared" si="113"/>
        <v>5</v>
      </c>
      <c r="U981" s="179">
        <f t="shared" si="114"/>
        <v>4</v>
      </c>
      <c r="V981" s="1">
        <f t="shared" si="115"/>
        <v>25</v>
      </c>
      <c r="W981" s="8">
        <f t="shared" si="110"/>
        <v>6.25</v>
      </c>
      <c r="X981" s="15">
        <f t="shared" si="111"/>
        <v>5531.25</v>
      </c>
      <c r="Y981"/>
      <c r="Z981"/>
      <c r="AA981"/>
      <c r="AB981"/>
      <c r="AC981"/>
      <c r="AD981"/>
    </row>
    <row r="982" spans="1:30">
      <c r="A982" t="s">
        <v>931</v>
      </c>
      <c r="B982" s="163" t="s">
        <v>512</v>
      </c>
      <c r="C982" s="2" t="s">
        <v>6</v>
      </c>
      <c r="D982" s="2" t="s">
        <v>14</v>
      </c>
      <c r="E982" s="3">
        <v>45360.625</v>
      </c>
      <c r="F982" s="2" t="s">
        <v>317</v>
      </c>
      <c r="G982" s="2" t="s">
        <v>262</v>
      </c>
      <c r="H982" s="2">
        <v>5.5</v>
      </c>
      <c r="I982" s="2">
        <v>20</v>
      </c>
      <c r="J982" s="2">
        <v>3.15</v>
      </c>
      <c r="K982" s="2">
        <v>28</v>
      </c>
      <c r="L982" s="2">
        <v>2</v>
      </c>
      <c r="M982" s="2"/>
      <c r="N982" s="2" t="s">
        <v>95</v>
      </c>
      <c r="O982" s="10">
        <v>4</v>
      </c>
      <c r="P982" s="10">
        <v>0</v>
      </c>
      <c r="Q982" s="184">
        <v>5</v>
      </c>
      <c r="R982" s="181">
        <v>0</v>
      </c>
      <c r="S982" s="178">
        <f t="shared" si="112"/>
        <v>4</v>
      </c>
      <c r="T982" s="186">
        <f t="shared" si="113"/>
        <v>5</v>
      </c>
      <c r="U982" s="179">
        <f t="shared" si="114"/>
        <v>1</v>
      </c>
      <c r="V982" s="1">
        <f t="shared" si="115"/>
        <v>25</v>
      </c>
      <c r="W982" s="8">
        <f t="shared" ref="W982:W1045" si="116">IF(N982="won",V982*0.25,-V982)</f>
        <v>6.25</v>
      </c>
      <c r="X982" s="15">
        <f t="shared" ref="X982:X1045" si="117">SUM(X981,W982)</f>
        <v>5537.5</v>
      </c>
      <c r="Y982"/>
      <c r="Z982"/>
      <c r="AA982"/>
      <c r="AB982"/>
      <c r="AC982"/>
      <c r="AD982"/>
    </row>
    <row r="983" spans="1:30">
      <c r="A983" t="s">
        <v>931</v>
      </c>
      <c r="B983" s="163" t="s">
        <v>512</v>
      </c>
      <c r="C983" s="2" t="s">
        <v>13</v>
      </c>
      <c r="D983" s="2" t="s">
        <v>11</v>
      </c>
      <c r="E983" s="3">
        <v>45374.625</v>
      </c>
      <c r="F983" s="2" t="s">
        <v>140</v>
      </c>
      <c r="G983" s="2" t="s">
        <v>400</v>
      </c>
      <c r="H983" s="2">
        <v>1.82</v>
      </c>
      <c r="I983" s="2">
        <v>20</v>
      </c>
      <c r="J983" s="2">
        <v>3.35</v>
      </c>
      <c r="K983" s="2">
        <v>24</v>
      </c>
      <c r="L983" s="2">
        <v>2</v>
      </c>
      <c r="M983" s="2">
        <v>10</v>
      </c>
      <c r="N983" s="2" t="s">
        <v>95</v>
      </c>
      <c r="O983" s="10">
        <v>2</v>
      </c>
      <c r="P983" s="10">
        <v>0</v>
      </c>
      <c r="Q983" s="184">
        <v>4</v>
      </c>
      <c r="R983" s="181">
        <v>1</v>
      </c>
      <c r="S983" s="178">
        <f t="shared" si="112"/>
        <v>2</v>
      </c>
      <c r="T983" s="186">
        <f t="shared" si="113"/>
        <v>5</v>
      </c>
      <c r="U983" s="179">
        <f t="shared" si="114"/>
        <v>3</v>
      </c>
      <c r="V983" s="1">
        <f t="shared" si="115"/>
        <v>25</v>
      </c>
      <c r="W983" s="8">
        <f t="shared" si="116"/>
        <v>6.25</v>
      </c>
      <c r="X983" s="15">
        <f t="shared" si="117"/>
        <v>5543.75</v>
      </c>
      <c r="Y983"/>
      <c r="Z983"/>
      <c r="AA983"/>
      <c r="AB983"/>
      <c r="AC983"/>
      <c r="AD983"/>
    </row>
    <row r="984" spans="1:30">
      <c r="A984" t="s">
        <v>931</v>
      </c>
      <c r="B984" s="163" t="s">
        <v>623</v>
      </c>
      <c r="C984" s="2" t="s">
        <v>6</v>
      </c>
      <c r="D984" s="2" t="s">
        <v>62</v>
      </c>
      <c r="E984" s="3">
        <v>45385.84375</v>
      </c>
      <c r="F984" s="2" t="s">
        <v>72</v>
      </c>
      <c r="G984" s="2" t="s">
        <v>102</v>
      </c>
      <c r="H984" s="2">
        <v>3.5</v>
      </c>
      <c r="I984" s="2">
        <v>20</v>
      </c>
      <c r="J984" s="2">
        <v>2.95</v>
      </c>
      <c r="K984" s="2">
        <v>26</v>
      </c>
      <c r="L984" s="2">
        <v>0</v>
      </c>
      <c r="M984" s="2">
        <v>10</v>
      </c>
      <c r="N984" s="2" t="s">
        <v>95</v>
      </c>
      <c r="O984" s="10">
        <v>2</v>
      </c>
      <c r="P984" s="10">
        <v>1</v>
      </c>
      <c r="Q984" s="184">
        <v>4</v>
      </c>
      <c r="R984" s="181">
        <v>1</v>
      </c>
      <c r="S984" s="178">
        <f t="shared" si="112"/>
        <v>3</v>
      </c>
      <c r="T984" s="186">
        <f t="shared" si="113"/>
        <v>5</v>
      </c>
      <c r="U984" s="179">
        <f t="shared" si="114"/>
        <v>2</v>
      </c>
      <c r="V984" s="1">
        <f t="shared" si="115"/>
        <v>25</v>
      </c>
      <c r="W984" s="8">
        <f t="shared" si="116"/>
        <v>6.25</v>
      </c>
      <c r="X984" s="15">
        <f t="shared" si="117"/>
        <v>5550</v>
      </c>
      <c r="Y984"/>
      <c r="Z984"/>
      <c r="AA984"/>
      <c r="AB984"/>
      <c r="AC984"/>
      <c r="AD984"/>
    </row>
    <row r="985" spans="1:30">
      <c r="A985" t="s">
        <v>931</v>
      </c>
      <c r="B985" s="163" t="s">
        <v>623</v>
      </c>
      <c r="C985" s="2" t="s">
        <v>6</v>
      </c>
      <c r="D985" s="2" t="s">
        <v>7</v>
      </c>
      <c r="E985" s="3">
        <v>45388.625</v>
      </c>
      <c r="F985" s="2" t="s">
        <v>307</v>
      </c>
      <c r="G985" s="2" t="s">
        <v>55</v>
      </c>
      <c r="H985" s="2">
        <v>4.7</v>
      </c>
      <c r="I985" s="2">
        <v>20</v>
      </c>
      <c r="J985" s="2">
        <v>3</v>
      </c>
      <c r="K985" s="2">
        <v>23</v>
      </c>
      <c r="L985" s="2">
        <v>2</v>
      </c>
      <c r="M985" s="2">
        <v>10</v>
      </c>
      <c r="N985" s="2" t="s">
        <v>95</v>
      </c>
      <c r="O985" s="10">
        <v>0</v>
      </c>
      <c r="P985" s="10">
        <v>2</v>
      </c>
      <c r="Q985" s="184">
        <v>1</v>
      </c>
      <c r="R985" s="181">
        <v>4</v>
      </c>
      <c r="S985" s="178">
        <f t="shared" si="112"/>
        <v>2</v>
      </c>
      <c r="T985" s="186">
        <f t="shared" si="113"/>
        <v>5</v>
      </c>
      <c r="U985" s="179">
        <f t="shared" si="114"/>
        <v>3</v>
      </c>
      <c r="V985" s="1">
        <f t="shared" si="115"/>
        <v>25</v>
      </c>
      <c r="W985" s="8">
        <f t="shared" si="116"/>
        <v>6.25</v>
      </c>
      <c r="X985" s="15">
        <f t="shared" si="117"/>
        <v>5556.25</v>
      </c>
      <c r="Y985"/>
      <c r="Z985"/>
      <c r="AA985"/>
      <c r="AB985"/>
      <c r="AC985"/>
      <c r="AD985"/>
    </row>
    <row r="986" spans="1:30">
      <c r="A986" t="s">
        <v>931</v>
      </c>
      <c r="B986" s="163" t="s">
        <v>623</v>
      </c>
      <c r="C986" s="2" t="s">
        <v>149</v>
      </c>
      <c r="D986" s="2" t="s">
        <v>150</v>
      </c>
      <c r="E986" s="3">
        <v>45394.791666666664</v>
      </c>
      <c r="F986" s="2" t="s">
        <v>236</v>
      </c>
      <c r="G986" s="2" t="s">
        <v>700</v>
      </c>
      <c r="H986" s="2">
        <v>6</v>
      </c>
      <c r="I986" s="2">
        <v>20</v>
      </c>
      <c r="J986" s="2">
        <v>3</v>
      </c>
      <c r="K986" s="2">
        <v>22</v>
      </c>
      <c r="L986" s="2">
        <v>1</v>
      </c>
      <c r="M986" s="2">
        <v>10</v>
      </c>
      <c r="N986" s="2" t="s">
        <v>95</v>
      </c>
      <c r="O986" s="10">
        <v>2</v>
      </c>
      <c r="P986" s="10">
        <v>1</v>
      </c>
      <c r="Q986" s="184">
        <v>4</v>
      </c>
      <c r="R986" s="181">
        <v>1</v>
      </c>
      <c r="S986" s="178">
        <f t="shared" si="112"/>
        <v>3</v>
      </c>
      <c r="T986" s="186">
        <f t="shared" si="113"/>
        <v>5</v>
      </c>
      <c r="U986" s="179">
        <f t="shared" si="114"/>
        <v>2</v>
      </c>
      <c r="V986" s="1">
        <f t="shared" si="115"/>
        <v>25</v>
      </c>
      <c r="W986" s="8">
        <f t="shared" si="116"/>
        <v>6.25</v>
      </c>
      <c r="X986" s="15">
        <f t="shared" si="117"/>
        <v>5562.5</v>
      </c>
      <c r="Y986"/>
      <c r="Z986"/>
      <c r="AA986"/>
      <c r="AB986"/>
      <c r="AC986"/>
      <c r="AD986"/>
    </row>
    <row r="987" spans="1:30">
      <c r="A987" t="s">
        <v>931</v>
      </c>
      <c r="B987" s="163" t="s">
        <v>623</v>
      </c>
      <c r="C987" s="2" t="s">
        <v>20</v>
      </c>
      <c r="D987" s="2" t="s">
        <v>21</v>
      </c>
      <c r="E987" s="3">
        <v>45394.822916666664</v>
      </c>
      <c r="F987" s="2" t="s">
        <v>590</v>
      </c>
      <c r="G987" s="2" t="s">
        <v>110</v>
      </c>
      <c r="H987" s="2">
        <v>5.4</v>
      </c>
      <c r="I987" s="2">
        <v>20</v>
      </c>
      <c r="J987" s="2">
        <v>2.35</v>
      </c>
      <c r="K987" s="2">
        <v>33</v>
      </c>
      <c r="L987" s="2">
        <v>0</v>
      </c>
      <c r="M987" s="2">
        <v>10</v>
      </c>
      <c r="N987" s="2" t="s">
        <v>95</v>
      </c>
      <c r="O987" s="10">
        <v>3</v>
      </c>
      <c r="P987" s="10">
        <v>1</v>
      </c>
      <c r="Q987" s="184">
        <v>4</v>
      </c>
      <c r="R987" s="181">
        <v>1</v>
      </c>
      <c r="S987" s="178">
        <f t="shared" si="112"/>
        <v>4</v>
      </c>
      <c r="T987" s="186">
        <f t="shared" si="113"/>
        <v>5</v>
      </c>
      <c r="U987" s="179">
        <f t="shared" si="114"/>
        <v>1</v>
      </c>
      <c r="V987" s="1">
        <f t="shared" si="115"/>
        <v>25</v>
      </c>
      <c r="W987" s="8">
        <f t="shared" si="116"/>
        <v>6.25</v>
      </c>
      <c r="X987" s="15">
        <f t="shared" si="117"/>
        <v>5568.75</v>
      </c>
      <c r="Y987"/>
      <c r="Z987"/>
      <c r="AA987"/>
      <c r="AB987"/>
      <c r="AC987"/>
      <c r="AD987"/>
    </row>
    <row r="988" spans="1:30">
      <c r="A988" t="s">
        <v>931</v>
      </c>
      <c r="B988" s="163" t="s">
        <v>623</v>
      </c>
      <c r="C988" s="2" t="s">
        <v>6</v>
      </c>
      <c r="D988" s="2" t="s">
        <v>14</v>
      </c>
      <c r="E988" s="3">
        <v>45395.625</v>
      </c>
      <c r="F988" s="2" t="s">
        <v>56</v>
      </c>
      <c r="G988" s="2" t="s">
        <v>431</v>
      </c>
      <c r="H988" s="2">
        <v>5.0999999999999996</v>
      </c>
      <c r="I988" s="2">
        <v>20</v>
      </c>
      <c r="J988" s="2">
        <v>3.25</v>
      </c>
      <c r="K988" s="2">
        <v>28</v>
      </c>
      <c r="L988" s="2">
        <v>5</v>
      </c>
      <c r="M988" s="2">
        <v>10</v>
      </c>
      <c r="N988" s="2" t="s">
        <v>95</v>
      </c>
      <c r="O988" s="10">
        <v>2</v>
      </c>
      <c r="P988" s="10">
        <v>1</v>
      </c>
      <c r="Q988" s="184">
        <v>3</v>
      </c>
      <c r="R988" s="181">
        <v>2</v>
      </c>
      <c r="S988" s="178">
        <f t="shared" si="112"/>
        <v>3</v>
      </c>
      <c r="T988" s="186">
        <f t="shared" si="113"/>
        <v>5</v>
      </c>
      <c r="U988" s="179">
        <f t="shared" si="114"/>
        <v>2</v>
      </c>
      <c r="V988" s="1">
        <f t="shared" si="115"/>
        <v>25</v>
      </c>
      <c r="W988" s="8">
        <f t="shared" si="116"/>
        <v>6.25</v>
      </c>
      <c r="X988" s="15">
        <f t="shared" si="117"/>
        <v>5575</v>
      </c>
      <c r="Y988"/>
      <c r="Z988"/>
      <c r="AA988"/>
      <c r="AB988"/>
      <c r="AC988"/>
      <c r="AD988"/>
    </row>
    <row r="989" spans="1:30">
      <c r="A989" t="s">
        <v>931</v>
      </c>
      <c r="B989" s="163" t="s">
        <v>623</v>
      </c>
      <c r="C989" s="2" t="s">
        <v>149</v>
      </c>
      <c r="D989" s="2" t="s">
        <v>153</v>
      </c>
      <c r="E989" s="3">
        <v>45395.739583333336</v>
      </c>
      <c r="F989" s="2" t="s">
        <v>245</v>
      </c>
      <c r="G989" s="2" t="s">
        <v>154</v>
      </c>
      <c r="H989" s="2">
        <v>4.5</v>
      </c>
      <c r="I989" s="2">
        <v>20</v>
      </c>
      <c r="J989" s="2">
        <v>2.8</v>
      </c>
      <c r="K989" s="2">
        <v>29</v>
      </c>
      <c r="L989" s="2">
        <v>3</v>
      </c>
      <c r="M989" s="2">
        <v>10</v>
      </c>
      <c r="N989" s="2" t="s">
        <v>95</v>
      </c>
      <c r="O989" s="10">
        <v>0</v>
      </c>
      <c r="P989" s="10">
        <v>2</v>
      </c>
      <c r="Q989" s="184">
        <v>3</v>
      </c>
      <c r="R989" s="181">
        <v>2</v>
      </c>
      <c r="S989" s="178">
        <f t="shared" si="112"/>
        <v>2</v>
      </c>
      <c r="T989" s="186">
        <f t="shared" si="113"/>
        <v>5</v>
      </c>
      <c r="U989" s="179">
        <f t="shared" si="114"/>
        <v>3</v>
      </c>
      <c r="V989" s="1">
        <f t="shared" si="115"/>
        <v>25</v>
      </c>
      <c r="W989" s="8">
        <f t="shared" si="116"/>
        <v>6.25</v>
      </c>
      <c r="X989" s="15">
        <f t="shared" si="117"/>
        <v>5581.25</v>
      </c>
      <c r="Y989"/>
      <c r="Z989"/>
      <c r="AA989"/>
      <c r="AB989"/>
      <c r="AC989"/>
      <c r="AD989"/>
    </row>
    <row r="990" spans="1:30">
      <c r="A990" t="s">
        <v>931</v>
      </c>
      <c r="B990" s="163" t="s">
        <v>623</v>
      </c>
      <c r="C990" s="2" t="s">
        <v>77</v>
      </c>
      <c r="D990" s="2" t="s">
        <v>156</v>
      </c>
      <c r="E990" s="3">
        <v>45396.6875</v>
      </c>
      <c r="F990" s="2" t="s">
        <v>325</v>
      </c>
      <c r="G990" s="2" t="s">
        <v>254</v>
      </c>
      <c r="H990" s="2">
        <v>3.15</v>
      </c>
      <c r="I990" s="2">
        <v>20</v>
      </c>
      <c r="J990" s="2">
        <v>2.5</v>
      </c>
      <c r="K990" s="2">
        <v>29</v>
      </c>
      <c r="L990" s="2">
        <v>2</v>
      </c>
      <c r="M990" s="2">
        <v>10</v>
      </c>
      <c r="N990" s="2" t="s">
        <v>95</v>
      </c>
      <c r="O990" s="10">
        <v>1</v>
      </c>
      <c r="P990" s="10">
        <v>0</v>
      </c>
      <c r="Q990" s="184">
        <v>5</v>
      </c>
      <c r="R990" s="181">
        <v>0</v>
      </c>
      <c r="S990" s="178">
        <f t="shared" si="112"/>
        <v>1</v>
      </c>
      <c r="T990" s="186">
        <f t="shared" si="113"/>
        <v>5</v>
      </c>
      <c r="U990" s="179">
        <f t="shared" si="114"/>
        <v>4</v>
      </c>
      <c r="V990" s="1">
        <f t="shared" si="115"/>
        <v>25</v>
      </c>
      <c r="W990" s="8">
        <f t="shared" si="116"/>
        <v>6.25</v>
      </c>
      <c r="X990" s="15">
        <f t="shared" si="117"/>
        <v>5587.5</v>
      </c>
      <c r="Y990"/>
      <c r="Z990"/>
      <c r="AA990"/>
      <c r="AB990"/>
      <c r="AC990"/>
      <c r="AD990"/>
    </row>
    <row r="991" spans="1:30">
      <c r="A991" t="s">
        <v>931</v>
      </c>
      <c r="B991" s="163" t="s">
        <v>623</v>
      </c>
      <c r="C991" s="2" t="s">
        <v>6</v>
      </c>
      <c r="D991" s="2" t="s">
        <v>11</v>
      </c>
      <c r="E991" s="3">
        <v>45398.822916666664</v>
      </c>
      <c r="F991" s="2" t="s">
        <v>12</v>
      </c>
      <c r="G991" s="2" t="s">
        <v>405</v>
      </c>
      <c r="H991" s="2">
        <v>6</v>
      </c>
      <c r="I991" s="2">
        <v>20</v>
      </c>
      <c r="J991" s="2">
        <v>3.15</v>
      </c>
      <c r="K991" s="2">
        <v>29</v>
      </c>
      <c r="L991" s="2">
        <v>1</v>
      </c>
      <c r="M991" s="2">
        <v>10</v>
      </c>
      <c r="N991" s="2" t="s">
        <v>95</v>
      </c>
      <c r="O991" s="10">
        <v>1</v>
      </c>
      <c r="P991" s="10">
        <v>1</v>
      </c>
      <c r="Q991" s="184">
        <v>4</v>
      </c>
      <c r="R991" s="181">
        <v>1</v>
      </c>
      <c r="S991" s="178">
        <f t="shared" si="112"/>
        <v>2</v>
      </c>
      <c r="T991" s="186">
        <f t="shared" si="113"/>
        <v>5</v>
      </c>
      <c r="U991" s="179">
        <f t="shared" si="114"/>
        <v>3</v>
      </c>
      <c r="V991" s="1">
        <f t="shared" si="115"/>
        <v>25</v>
      </c>
      <c r="W991" s="8">
        <f t="shared" si="116"/>
        <v>6.25</v>
      </c>
      <c r="X991" s="15">
        <f t="shared" si="117"/>
        <v>5593.75</v>
      </c>
      <c r="Y991"/>
      <c r="Z991"/>
      <c r="AA991"/>
      <c r="AB991"/>
      <c r="AC991"/>
      <c r="AD991"/>
    </row>
    <row r="992" spans="1:30">
      <c r="A992" t="s">
        <v>931</v>
      </c>
      <c r="B992" s="163" t="s">
        <v>623</v>
      </c>
      <c r="C992" s="2" t="s">
        <v>67</v>
      </c>
      <c r="D992" s="2" t="s">
        <v>169</v>
      </c>
      <c r="E992" s="3">
        <v>45401.791666666664</v>
      </c>
      <c r="F992" s="2" t="s">
        <v>372</v>
      </c>
      <c r="G992" s="2" t="s">
        <v>170</v>
      </c>
      <c r="H992" s="2">
        <v>5</v>
      </c>
      <c r="I992" s="2">
        <v>20</v>
      </c>
      <c r="J992" s="2">
        <v>3</v>
      </c>
      <c r="K992" s="2">
        <v>25</v>
      </c>
      <c r="L992" s="2">
        <v>3</v>
      </c>
      <c r="M992" s="2">
        <v>10</v>
      </c>
      <c r="N992" s="2" t="s">
        <v>95</v>
      </c>
      <c r="O992" s="10">
        <v>2</v>
      </c>
      <c r="P992" s="10">
        <v>0</v>
      </c>
      <c r="Q992" s="184">
        <v>5</v>
      </c>
      <c r="R992" s="181">
        <v>0</v>
      </c>
      <c r="S992" s="178">
        <f t="shared" si="112"/>
        <v>2</v>
      </c>
      <c r="T992" s="186">
        <f t="shared" si="113"/>
        <v>5</v>
      </c>
      <c r="U992" s="179">
        <f t="shared" si="114"/>
        <v>3</v>
      </c>
      <c r="V992" s="1">
        <f t="shared" si="115"/>
        <v>25</v>
      </c>
      <c r="W992" s="8">
        <f t="shared" si="116"/>
        <v>6.25</v>
      </c>
      <c r="X992" s="15">
        <f t="shared" si="117"/>
        <v>5600</v>
      </c>
      <c r="Y992"/>
      <c r="Z992"/>
      <c r="AA992"/>
      <c r="AB992"/>
      <c r="AC992"/>
      <c r="AD992"/>
    </row>
    <row r="993" spans="1:30">
      <c r="A993" t="s">
        <v>931</v>
      </c>
      <c r="B993" s="163" t="s">
        <v>623</v>
      </c>
      <c r="C993" s="2" t="s">
        <v>119</v>
      </c>
      <c r="D993" s="2" t="s">
        <v>120</v>
      </c>
      <c r="E993" s="3">
        <v>45402.833333333336</v>
      </c>
      <c r="F993" s="2" t="s">
        <v>453</v>
      </c>
      <c r="G993" s="2" t="s">
        <v>569</v>
      </c>
      <c r="H993" s="2">
        <v>5.9</v>
      </c>
      <c r="I993" s="2">
        <v>20</v>
      </c>
      <c r="J993" s="2">
        <v>2.4</v>
      </c>
      <c r="K993" s="2">
        <v>39</v>
      </c>
      <c r="L993" s="2">
        <v>2</v>
      </c>
      <c r="M993" s="2">
        <v>10</v>
      </c>
      <c r="N993" s="2" t="s">
        <v>95</v>
      </c>
      <c r="O993" s="10">
        <v>2</v>
      </c>
      <c r="P993" s="10">
        <v>0</v>
      </c>
      <c r="Q993" s="184">
        <v>4</v>
      </c>
      <c r="R993" s="181">
        <v>1</v>
      </c>
      <c r="S993" s="178">
        <f t="shared" si="112"/>
        <v>2</v>
      </c>
      <c r="T993" s="186">
        <f t="shared" si="113"/>
        <v>5</v>
      </c>
      <c r="U993" s="179">
        <f t="shared" si="114"/>
        <v>3</v>
      </c>
      <c r="V993" s="1">
        <f t="shared" si="115"/>
        <v>25</v>
      </c>
      <c r="W993" s="8">
        <f t="shared" si="116"/>
        <v>6.25</v>
      </c>
      <c r="X993" s="15">
        <f t="shared" si="117"/>
        <v>5606.25</v>
      </c>
      <c r="Y993"/>
      <c r="Z993"/>
      <c r="AA993"/>
      <c r="AB993"/>
      <c r="AC993"/>
      <c r="AD993"/>
    </row>
    <row r="994" spans="1:30">
      <c r="A994" t="s">
        <v>931</v>
      </c>
      <c r="B994" s="163" t="s">
        <v>623</v>
      </c>
      <c r="C994" s="2" t="s">
        <v>80</v>
      </c>
      <c r="D994" s="2" t="s">
        <v>81</v>
      </c>
      <c r="E994" s="3">
        <v>45403.708333333336</v>
      </c>
      <c r="F994" s="2" t="s">
        <v>144</v>
      </c>
      <c r="G994" s="2" t="s">
        <v>243</v>
      </c>
      <c r="H994" s="2">
        <v>2.72</v>
      </c>
      <c r="I994" s="2">
        <v>20</v>
      </c>
      <c r="J994" s="2">
        <v>3.25</v>
      </c>
      <c r="K994" s="2">
        <v>30</v>
      </c>
      <c r="L994" s="2">
        <v>1</v>
      </c>
      <c r="M994" s="2">
        <v>10</v>
      </c>
      <c r="N994" s="2" t="s">
        <v>95</v>
      </c>
      <c r="O994" s="10">
        <v>2</v>
      </c>
      <c r="P994" s="10">
        <v>0</v>
      </c>
      <c r="Q994" s="184">
        <v>4</v>
      </c>
      <c r="R994" s="181">
        <v>1</v>
      </c>
      <c r="S994" s="178">
        <f t="shared" si="112"/>
        <v>2</v>
      </c>
      <c r="T994" s="186">
        <f t="shared" si="113"/>
        <v>5</v>
      </c>
      <c r="U994" s="179">
        <f t="shared" si="114"/>
        <v>3</v>
      </c>
      <c r="V994" s="1">
        <f t="shared" si="115"/>
        <v>25</v>
      </c>
      <c r="W994" s="8">
        <f t="shared" si="116"/>
        <v>6.25</v>
      </c>
      <c r="X994" s="15">
        <f t="shared" si="117"/>
        <v>5612.5</v>
      </c>
      <c r="Y994"/>
      <c r="Z994"/>
      <c r="AA994"/>
      <c r="AB994"/>
      <c r="AC994"/>
      <c r="AD994"/>
    </row>
    <row r="995" spans="1:30">
      <c r="A995" t="s">
        <v>931</v>
      </c>
      <c r="B995" s="163" t="s">
        <v>623</v>
      </c>
      <c r="C995" s="2" t="s">
        <v>145</v>
      </c>
      <c r="D995" s="2" t="s">
        <v>190</v>
      </c>
      <c r="E995" s="3">
        <v>45403.833333333336</v>
      </c>
      <c r="F995" s="2" t="s">
        <v>553</v>
      </c>
      <c r="G995" s="2" t="s">
        <v>571</v>
      </c>
      <c r="H995" s="2">
        <v>5</v>
      </c>
      <c r="I995" s="2">
        <v>20</v>
      </c>
      <c r="J995" s="2">
        <v>3.35</v>
      </c>
      <c r="K995" s="2">
        <v>29</v>
      </c>
      <c r="L995" s="2">
        <v>1</v>
      </c>
      <c r="M995" s="2">
        <v>10</v>
      </c>
      <c r="N995" s="2" t="s">
        <v>95</v>
      </c>
      <c r="O995" s="10">
        <v>4</v>
      </c>
      <c r="P995" s="10">
        <v>1</v>
      </c>
      <c r="Q995" s="184">
        <v>4</v>
      </c>
      <c r="R995" s="181">
        <v>1</v>
      </c>
      <c r="S995" s="178">
        <f t="shared" si="112"/>
        <v>5</v>
      </c>
      <c r="T995" s="186">
        <f t="shared" si="113"/>
        <v>5</v>
      </c>
      <c r="U995" s="179">
        <f t="shared" si="114"/>
        <v>0</v>
      </c>
      <c r="V995" s="1">
        <f t="shared" si="115"/>
        <v>25</v>
      </c>
      <c r="W995" s="8">
        <f t="shared" si="116"/>
        <v>6.25</v>
      </c>
      <c r="X995" s="15">
        <f t="shared" si="117"/>
        <v>5618.75</v>
      </c>
      <c r="Y995"/>
      <c r="Z995"/>
      <c r="AA995"/>
      <c r="AB995"/>
      <c r="AC995"/>
      <c r="AD995"/>
    </row>
    <row r="996" spans="1:30">
      <c r="A996" t="s">
        <v>931</v>
      </c>
      <c r="B996" s="163" t="s">
        <v>623</v>
      </c>
      <c r="C996" s="2" t="s">
        <v>6</v>
      </c>
      <c r="D996" s="2" t="s">
        <v>62</v>
      </c>
      <c r="E996" s="3">
        <v>45405.833333333336</v>
      </c>
      <c r="F996" s="2" t="s">
        <v>73</v>
      </c>
      <c r="G996" s="2" t="s">
        <v>65</v>
      </c>
      <c r="H996" s="2">
        <v>5.4</v>
      </c>
      <c r="I996" s="2">
        <v>20</v>
      </c>
      <c r="J996" s="2">
        <v>3.45</v>
      </c>
      <c r="K996" s="2">
        <v>29</v>
      </c>
      <c r="L996" s="2">
        <v>2</v>
      </c>
      <c r="M996" s="2">
        <v>10</v>
      </c>
      <c r="N996" s="2" t="s">
        <v>95</v>
      </c>
      <c r="O996" s="10">
        <v>1</v>
      </c>
      <c r="P996" s="10">
        <v>0</v>
      </c>
      <c r="Q996" s="184">
        <v>5</v>
      </c>
      <c r="R996" s="181">
        <v>0</v>
      </c>
      <c r="S996" s="178">
        <f t="shared" si="112"/>
        <v>1</v>
      </c>
      <c r="T996" s="186">
        <f t="shared" si="113"/>
        <v>5</v>
      </c>
      <c r="U996" s="179">
        <f t="shared" si="114"/>
        <v>4</v>
      </c>
      <c r="V996" s="1">
        <f t="shared" si="115"/>
        <v>25</v>
      </c>
      <c r="W996" s="8">
        <f t="shared" si="116"/>
        <v>6.25</v>
      </c>
      <c r="X996" s="15">
        <f t="shared" si="117"/>
        <v>5625</v>
      </c>
      <c r="Y996"/>
      <c r="Z996"/>
      <c r="AA996"/>
      <c r="AB996"/>
      <c r="AC996"/>
      <c r="AD996"/>
    </row>
    <row r="997" spans="1:30">
      <c r="A997" t="s">
        <v>931</v>
      </c>
      <c r="B997" s="163" t="s">
        <v>623</v>
      </c>
      <c r="C997" s="2" t="s">
        <v>149</v>
      </c>
      <c r="D997" s="2" t="s">
        <v>153</v>
      </c>
      <c r="E997" s="3">
        <v>45406.739583333336</v>
      </c>
      <c r="F997" s="2" t="s">
        <v>242</v>
      </c>
      <c r="G997" s="2" t="s">
        <v>248</v>
      </c>
      <c r="H997" s="2">
        <v>4.7</v>
      </c>
      <c r="I997" s="2">
        <v>20</v>
      </c>
      <c r="J997" s="2">
        <v>2.7</v>
      </c>
      <c r="K997" s="2">
        <v>26</v>
      </c>
      <c r="L997" s="2">
        <v>1</v>
      </c>
      <c r="M997" s="2">
        <v>10</v>
      </c>
      <c r="N997" s="2" t="s">
        <v>95</v>
      </c>
      <c r="O997" s="10">
        <v>1</v>
      </c>
      <c r="P997" s="10">
        <v>0</v>
      </c>
      <c r="Q997" s="184">
        <v>4</v>
      </c>
      <c r="R997" s="181">
        <v>1</v>
      </c>
      <c r="S997" s="178">
        <f t="shared" si="112"/>
        <v>1</v>
      </c>
      <c r="T997" s="186">
        <f t="shared" si="113"/>
        <v>5</v>
      </c>
      <c r="U997" s="179">
        <f t="shared" si="114"/>
        <v>4</v>
      </c>
      <c r="V997" s="1">
        <f t="shared" si="115"/>
        <v>25</v>
      </c>
      <c r="W997" s="8">
        <f t="shared" si="116"/>
        <v>6.25</v>
      </c>
      <c r="X997" s="15">
        <f t="shared" si="117"/>
        <v>5631.25</v>
      </c>
      <c r="Y997"/>
      <c r="Z997"/>
      <c r="AA997"/>
      <c r="AB997"/>
      <c r="AC997"/>
      <c r="AD997"/>
    </row>
    <row r="998" spans="1:30">
      <c r="A998" t="s">
        <v>931</v>
      </c>
      <c r="B998" s="163" t="s">
        <v>623</v>
      </c>
      <c r="C998" s="2" t="s">
        <v>77</v>
      </c>
      <c r="D998" s="2" t="s">
        <v>156</v>
      </c>
      <c r="E998" s="3">
        <v>45409.604166666664</v>
      </c>
      <c r="F998" s="2" t="s">
        <v>181</v>
      </c>
      <c r="G998" s="2" t="s">
        <v>552</v>
      </c>
      <c r="H998" s="2">
        <v>4.9000000000000004</v>
      </c>
      <c r="I998" s="2">
        <v>20</v>
      </c>
      <c r="J998" s="2">
        <v>2.4500000000000002</v>
      </c>
      <c r="K998" s="2">
        <v>16</v>
      </c>
      <c r="L998" s="2">
        <v>0</v>
      </c>
      <c r="M998" s="2">
        <v>10</v>
      </c>
      <c r="N998" s="2" t="s">
        <v>95</v>
      </c>
      <c r="O998" s="10">
        <v>2</v>
      </c>
      <c r="P998" s="10">
        <v>1</v>
      </c>
      <c r="Q998" s="184">
        <v>4</v>
      </c>
      <c r="R998" s="181">
        <v>1</v>
      </c>
      <c r="S998" s="178">
        <f t="shared" si="112"/>
        <v>3</v>
      </c>
      <c r="T998" s="186">
        <f t="shared" si="113"/>
        <v>5</v>
      </c>
      <c r="U998" s="179">
        <f t="shared" si="114"/>
        <v>2</v>
      </c>
      <c r="V998" s="1">
        <f t="shared" si="115"/>
        <v>25</v>
      </c>
      <c r="W998" s="8">
        <f t="shared" si="116"/>
        <v>6.25</v>
      </c>
      <c r="X998" s="15">
        <f t="shared" si="117"/>
        <v>5637.5</v>
      </c>
      <c r="Y998"/>
      <c r="Z998"/>
      <c r="AA998"/>
      <c r="AB998"/>
      <c r="AC998"/>
      <c r="AD998"/>
    </row>
    <row r="999" spans="1:30">
      <c r="A999" t="s">
        <v>931</v>
      </c>
      <c r="B999" s="163" t="s">
        <v>623</v>
      </c>
      <c r="C999" s="2" t="s">
        <v>6</v>
      </c>
      <c r="D999" s="2" t="s">
        <v>7</v>
      </c>
      <c r="E999" s="3">
        <v>45409.625</v>
      </c>
      <c r="F999" s="2" t="s">
        <v>619</v>
      </c>
      <c r="G999" s="2" t="s">
        <v>397</v>
      </c>
      <c r="H999" s="2">
        <v>4.8</v>
      </c>
      <c r="I999" s="2">
        <v>20</v>
      </c>
      <c r="J999" s="2">
        <v>2.25</v>
      </c>
      <c r="K999" s="2">
        <v>35</v>
      </c>
      <c r="L999" s="2">
        <v>2</v>
      </c>
      <c r="M999" s="2">
        <v>10</v>
      </c>
      <c r="N999" s="2" t="s">
        <v>95</v>
      </c>
      <c r="O999" s="10">
        <v>2</v>
      </c>
      <c r="P999" s="10">
        <v>0</v>
      </c>
      <c r="Q999" s="184">
        <v>4</v>
      </c>
      <c r="R999" s="181">
        <v>1</v>
      </c>
      <c r="S999" s="178">
        <f t="shared" si="112"/>
        <v>2</v>
      </c>
      <c r="T999" s="186">
        <f t="shared" si="113"/>
        <v>5</v>
      </c>
      <c r="U999" s="179">
        <f t="shared" si="114"/>
        <v>3</v>
      </c>
      <c r="V999" s="1">
        <f t="shared" si="115"/>
        <v>25</v>
      </c>
      <c r="W999" s="8">
        <f t="shared" si="116"/>
        <v>6.25</v>
      </c>
      <c r="X999" s="15">
        <f t="shared" si="117"/>
        <v>5643.75</v>
      </c>
      <c r="Y999"/>
      <c r="Z999"/>
      <c r="AA999"/>
      <c r="AB999"/>
      <c r="AC999"/>
      <c r="AD999"/>
    </row>
    <row r="1000" spans="1:30">
      <c r="A1000" t="s">
        <v>931</v>
      </c>
      <c r="B1000" s="163" t="s">
        <v>623</v>
      </c>
      <c r="C1000" s="2" t="s">
        <v>145</v>
      </c>
      <c r="D1000" s="2" t="s">
        <v>190</v>
      </c>
      <c r="E1000" s="3">
        <v>45416.666666666664</v>
      </c>
      <c r="F1000" s="2" t="s">
        <v>364</v>
      </c>
      <c r="G1000" s="2" t="s">
        <v>611</v>
      </c>
      <c r="H1000" s="2">
        <v>3.15</v>
      </c>
      <c r="I1000" s="2">
        <v>20</v>
      </c>
      <c r="J1000" s="2">
        <v>2.15</v>
      </c>
      <c r="K1000" s="2">
        <v>29</v>
      </c>
      <c r="L1000" s="2">
        <v>0</v>
      </c>
      <c r="M1000" s="2">
        <v>10</v>
      </c>
      <c r="N1000" s="2" t="s">
        <v>95</v>
      </c>
      <c r="O1000" s="10">
        <v>2</v>
      </c>
      <c r="P1000" s="10">
        <v>1</v>
      </c>
      <c r="Q1000" s="184">
        <v>4</v>
      </c>
      <c r="R1000" s="181">
        <v>1</v>
      </c>
      <c r="S1000" s="178">
        <f t="shared" si="112"/>
        <v>3</v>
      </c>
      <c r="T1000" s="186">
        <f t="shared" si="113"/>
        <v>5</v>
      </c>
      <c r="U1000" s="179">
        <f t="shared" si="114"/>
        <v>2</v>
      </c>
      <c r="V1000" s="1">
        <f t="shared" si="115"/>
        <v>25</v>
      </c>
      <c r="W1000" s="8">
        <f t="shared" si="116"/>
        <v>6.25</v>
      </c>
      <c r="X1000" s="15">
        <f t="shared" si="117"/>
        <v>5650</v>
      </c>
      <c r="Y1000"/>
      <c r="Z1000"/>
      <c r="AA1000"/>
      <c r="AB1000"/>
      <c r="AC1000"/>
      <c r="AD1000"/>
    </row>
    <row r="1001" spans="1:30">
      <c r="A1001" t="s">
        <v>931</v>
      </c>
      <c r="B1001" s="163" t="s">
        <v>623</v>
      </c>
      <c r="C1001" s="2" t="s">
        <v>13</v>
      </c>
      <c r="D1001" s="2" t="s">
        <v>37</v>
      </c>
      <c r="E1001" s="3">
        <v>45417.541666666664</v>
      </c>
      <c r="F1001" s="2" t="s">
        <v>79</v>
      </c>
      <c r="G1001" s="2" t="s">
        <v>324</v>
      </c>
      <c r="H1001" s="2">
        <v>3.85</v>
      </c>
      <c r="I1001" s="2">
        <v>20</v>
      </c>
      <c r="J1001" s="2">
        <v>2.8</v>
      </c>
      <c r="K1001" s="2">
        <v>23</v>
      </c>
      <c r="L1001" s="2">
        <v>1</v>
      </c>
      <c r="M1001" s="2">
        <v>10</v>
      </c>
      <c r="N1001" s="2" t="s">
        <v>95</v>
      </c>
      <c r="O1001" s="10">
        <v>1</v>
      </c>
      <c r="P1001" s="10">
        <v>1</v>
      </c>
      <c r="Q1001" s="184">
        <v>4</v>
      </c>
      <c r="R1001" s="181">
        <v>1</v>
      </c>
      <c r="S1001" s="178">
        <f t="shared" si="112"/>
        <v>2</v>
      </c>
      <c r="T1001" s="186">
        <f t="shared" si="113"/>
        <v>5</v>
      </c>
      <c r="U1001" s="179">
        <f t="shared" si="114"/>
        <v>3</v>
      </c>
      <c r="V1001" s="1">
        <f t="shared" si="115"/>
        <v>25</v>
      </c>
      <c r="W1001" s="8">
        <f t="shared" si="116"/>
        <v>6.25</v>
      </c>
      <c r="X1001" s="15">
        <f t="shared" si="117"/>
        <v>5656.25</v>
      </c>
      <c r="Y1001"/>
      <c r="Z1001"/>
      <c r="AA1001"/>
      <c r="AB1001"/>
      <c r="AC1001"/>
      <c r="AD1001"/>
    </row>
    <row r="1002" spans="1:30">
      <c r="A1002" t="s">
        <v>931</v>
      </c>
      <c r="B1002" s="163" t="s">
        <v>623</v>
      </c>
      <c r="C1002" s="2" t="s">
        <v>149</v>
      </c>
      <c r="D1002" s="2" t="s">
        <v>153</v>
      </c>
      <c r="E1002" s="3">
        <v>45417.791666666664</v>
      </c>
      <c r="F1002" s="2" t="s">
        <v>282</v>
      </c>
      <c r="G1002" s="2" t="s">
        <v>205</v>
      </c>
      <c r="H1002" s="2">
        <v>2.36</v>
      </c>
      <c r="I1002" s="2">
        <v>20</v>
      </c>
      <c r="J1002" s="2">
        <v>3.35</v>
      </c>
      <c r="K1002" s="2">
        <v>38</v>
      </c>
      <c r="L1002" s="2">
        <v>2</v>
      </c>
      <c r="M1002" s="2">
        <v>10</v>
      </c>
      <c r="N1002" s="2" t="s">
        <v>95</v>
      </c>
      <c r="O1002" s="10">
        <v>2</v>
      </c>
      <c r="P1002" s="10">
        <v>0</v>
      </c>
      <c r="Q1002" s="184">
        <v>5</v>
      </c>
      <c r="R1002" s="181">
        <v>0</v>
      </c>
      <c r="S1002" s="178">
        <f t="shared" si="112"/>
        <v>2</v>
      </c>
      <c r="T1002" s="186">
        <f t="shared" si="113"/>
        <v>5</v>
      </c>
      <c r="U1002" s="179">
        <f t="shared" si="114"/>
        <v>3</v>
      </c>
      <c r="V1002" s="1">
        <f t="shared" si="115"/>
        <v>25</v>
      </c>
      <c r="W1002" s="8">
        <f t="shared" si="116"/>
        <v>6.25</v>
      </c>
      <c r="X1002" s="15">
        <f t="shared" si="117"/>
        <v>5662.5</v>
      </c>
      <c r="Y1002"/>
      <c r="Z1002"/>
      <c r="AA1002"/>
      <c r="AB1002"/>
      <c r="AC1002"/>
      <c r="AD1002"/>
    </row>
    <row r="1003" spans="1:30">
      <c r="A1003" t="s">
        <v>931</v>
      </c>
      <c r="B1003" s="163" t="s">
        <v>623</v>
      </c>
      <c r="C1003" s="2" t="s">
        <v>149</v>
      </c>
      <c r="D1003" s="2" t="s">
        <v>150</v>
      </c>
      <c r="E1003" s="3">
        <v>45422.791666666664</v>
      </c>
      <c r="F1003" s="2" t="s">
        <v>236</v>
      </c>
      <c r="G1003" s="2" t="s">
        <v>187</v>
      </c>
      <c r="H1003" s="2">
        <v>2.82</v>
      </c>
      <c r="I1003" s="2">
        <v>20</v>
      </c>
      <c r="J1003" s="2">
        <v>2.95</v>
      </c>
      <c r="K1003" s="2">
        <v>23</v>
      </c>
      <c r="L1003" s="2">
        <v>2</v>
      </c>
      <c r="M1003" s="2">
        <v>10</v>
      </c>
      <c r="N1003" s="2" t="s">
        <v>95</v>
      </c>
      <c r="O1003" s="10">
        <v>0</v>
      </c>
      <c r="P1003" s="10">
        <v>2</v>
      </c>
      <c r="Q1003" s="184">
        <v>3</v>
      </c>
      <c r="R1003" s="181">
        <v>2</v>
      </c>
      <c r="S1003" s="178">
        <f t="shared" si="112"/>
        <v>2</v>
      </c>
      <c r="T1003" s="186">
        <f t="shared" si="113"/>
        <v>5</v>
      </c>
      <c r="U1003" s="179">
        <f t="shared" si="114"/>
        <v>3</v>
      </c>
      <c r="V1003" s="1">
        <f t="shared" si="115"/>
        <v>25</v>
      </c>
      <c r="W1003" s="8">
        <f t="shared" si="116"/>
        <v>6.25</v>
      </c>
      <c r="X1003" s="15">
        <f t="shared" si="117"/>
        <v>5668.75</v>
      </c>
      <c r="Y1003"/>
      <c r="Z1003"/>
      <c r="AA1003"/>
      <c r="AB1003"/>
      <c r="AC1003"/>
      <c r="AD1003"/>
    </row>
    <row r="1004" spans="1:30">
      <c r="A1004" t="s">
        <v>931</v>
      </c>
      <c r="B1004" s="163" t="s">
        <v>623</v>
      </c>
      <c r="C1004" s="2" t="s">
        <v>119</v>
      </c>
      <c r="D1004" s="2" t="s">
        <v>120</v>
      </c>
      <c r="E1004" s="3">
        <v>45424.833333333336</v>
      </c>
      <c r="F1004" s="2" t="s">
        <v>834</v>
      </c>
      <c r="G1004" s="2" t="s">
        <v>480</v>
      </c>
      <c r="H1004" s="2">
        <v>4.5999999999999996</v>
      </c>
      <c r="I1004" s="2">
        <v>20</v>
      </c>
      <c r="J1004" s="2">
        <v>2.65</v>
      </c>
      <c r="K1004" s="2">
        <v>30</v>
      </c>
      <c r="L1004" s="2">
        <v>1</v>
      </c>
      <c r="M1004" s="2">
        <v>10</v>
      </c>
      <c r="N1004" s="2" t="s">
        <v>95</v>
      </c>
      <c r="O1004" s="10">
        <v>2</v>
      </c>
      <c r="P1004" s="10">
        <v>1</v>
      </c>
      <c r="Q1004" s="184">
        <v>3</v>
      </c>
      <c r="R1004" s="181">
        <v>2</v>
      </c>
      <c r="S1004" s="178">
        <f t="shared" si="112"/>
        <v>3</v>
      </c>
      <c r="T1004" s="186">
        <f t="shared" si="113"/>
        <v>5</v>
      </c>
      <c r="U1004" s="179">
        <f t="shared" si="114"/>
        <v>2</v>
      </c>
      <c r="V1004" s="1">
        <f t="shared" si="115"/>
        <v>25</v>
      </c>
      <c r="W1004" s="8">
        <f t="shared" si="116"/>
        <v>6.25</v>
      </c>
      <c r="X1004" s="15">
        <f t="shared" si="117"/>
        <v>5675</v>
      </c>
      <c r="Y1004"/>
      <c r="Z1004"/>
      <c r="AA1004"/>
      <c r="AB1004"/>
      <c r="AC1004"/>
      <c r="AD1004"/>
    </row>
    <row r="1005" spans="1:30">
      <c r="A1005" t="s">
        <v>931</v>
      </c>
      <c r="B1005" s="163" t="s">
        <v>623</v>
      </c>
      <c r="C1005" s="2" t="s">
        <v>119</v>
      </c>
      <c r="D1005" s="2" t="s">
        <v>120</v>
      </c>
      <c r="E1005" s="3">
        <v>45426.854166666664</v>
      </c>
      <c r="F1005" s="2" t="s">
        <v>122</v>
      </c>
      <c r="G1005" s="2" t="s">
        <v>835</v>
      </c>
      <c r="H1005" s="2">
        <v>3.7</v>
      </c>
      <c r="I1005" s="2">
        <v>20</v>
      </c>
      <c r="J1005" s="2">
        <v>2.5499999999999998</v>
      </c>
      <c r="K1005" s="2">
        <v>34</v>
      </c>
      <c r="L1005" s="2">
        <v>3</v>
      </c>
      <c r="M1005" s="2">
        <v>10</v>
      </c>
      <c r="N1005" s="2" t="s">
        <v>95</v>
      </c>
      <c r="O1005" s="10">
        <v>3</v>
      </c>
      <c r="P1005" s="10">
        <v>0</v>
      </c>
      <c r="Q1005" s="184">
        <v>5</v>
      </c>
      <c r="R1005" s="181">
        <v>0</v>
      </c>
      <c r="S1005" s="178">
        <f t="shared" si="112"/>
        <v>3</v>
      </c>
      <c r="T1005" s="186">
        <f t="shared" si="113"/>
        <v>5</v>
      </c>
      <c r="U1005" s="179">
        <f t="shared" si="114"/>
        <v>2</v>
      </c>
      <c r="V1005" s="1">
        <f t="shared" si="115"/>
        <v>25</v>
      </c>
      <c r="W1005" s="8">
        <f t="shared" si="116"/>
        <v>6.25</v>
      </c>
      <c r="X1005" s="15">
        <f t="shared" si="117"/>
        <v>5681.25</v>
      </c>
      <c r="Y1005"/>
      <c r="Z1005"/>
      <c r="AA1005"/>
      <c r="AB1005"/>
      <c r="AC1005"/>
      <c r="AD1005"/>
    </row>
    <row r="1006" spans="1:30">
      <c r="A1006" t="s">
        <v>931</v>
      </c>
      <c r="B1006" s="163" t="s">
        <v>623</v>
      </c>
      <c r="C1006" s="2" t="s">
        <v>145</v>
      </c>
      <c r="D1006" s="2" t="s">
        <v>268</v>
      </c>
      <c r="E1006" s="3">
        <v>45429.822916666664</v>
      </c>
      <c r="F1006" s="2" t="s">
        <v>703</v>
      </c>
      <c r="G1006" s="2" t="s">
        <v>845</v>
      </c>
      <c r="H1006" s="2">
        <v>3.85</v>
      </c>
      <c r="I1006" s="2">
        <v>20</v>
      </c>
      <c r="J1006" s="2">
        <v>2.1</v>
      </c>
      <c r="K1006" s="2">
        <v>37</v>
      </c>
      <c r="L1006" s="2">
        <v>1</v>
      </c>
      <c r="M1006" s="2">
        <v>10</v>
      </c>
      <c r="N1006" s="2" t="s">
        <v>95</v>
      </c>
      <c r="O1006" s="10">
        <v>1</v>
      </c>
      <c r="P1006" s="10">
        <v>1</v>
      </c>
      <c r="Q1006" s="184">
        <v>4</v>
      </c>
      <c r="R1006" s="181">
        <v>1</v>
      </c>
      <c r="S1006" s="178">
        <f t="shared" si="112"/>
        <v>2</v>
      </c>
      <c r="T1006" s="186">
        <f t="shared" si="113"/>
        <v>5</v>
      </c>
      <c r="U1006" s="179">
        <f t="shared" si="114"/>
        <v>3</v>
      </c>
      <c r="V1006" s="1">
        <f t="shared" si="115"/>
        <v>25</v>
      </c>
      <c r="W1006" s="8">
        <f t="shared" si="116"/>
        <v>6.25</v>
      </c>
      <c r="X1006" s="15">
        <f t="shared" si="117"/>
        <v>5687.5</v>
      </c>
      <c r="Y1006"/>
      <c r="Z1006"/>
      <c r="AA1006"/>
      <c r="AB1006"/>
      <c r="AC1006"/>
      <c r="AD1006"/>
    </row>
    <row r="1007" spans="1:30">
      <c r="A1007" t="s">
        <v>931</v>
      </c>
      <c r="B1007" s="163" t="s">
        <v>623</v>
      </c>
      <c r="C1007" s="2" t="s">
        <v>145</v>
      </c>
      <c r="D1007" s="2" t="s">
        <v>268</v>
      </c>
      <c r="E1007" s="3">
        <v>45429.822916666664</v>
      </c>
      <c r="F1007" s="2" t="s">
        <v>846</v>
      </c>
      <c r="G1007" s="2" t="s">
        <v>484</v>
      </c>
      <c r="H1007" s="2">
        <v>5.6</v>
      </c>
      <c r="I1007" s="2">
        <v>20</v>
      </c>
      <c r="J1007" s="2">
        <v>2.5</v>
      </c>
      <c r="K1007" s="2">
        <v>32</v>
      </c>
      <c r="L1007" s="2">
        <v>1</v>
      </c>
      <c r="M1007" s="2">
        <v>10</v>
      </c>
      <c r="N1007" s="2" t="s">
        <v>95</v>
      </c>
      <c r="O1007" s="10">
        <v>2</v>
      </c>
      <c r="P1007" s="10">
        <v>0</v>
      </c>
      <c r="Q1007" s="184">
        <v>3</v>
      </c>
      <c r="R1007" s="181">
        <v>2</v>
      </c>
      <c r="S1007" s="178">
        <f t="shared" si="112"/>
        <v>2</v>
      </c>
      <c r="T1007" s="186">
        <f t="shared" si="113"/>
        <v>5</v>
      </c>
      <c r="U1007" s="179">
        <f t="shared" si="114"/>
        <v>3</v>
      </c>
      <c r="V1007" s="1">
        <f t="shared" si="115"/>
        <v>25</v>
      </c>
      <c r="W1007" s="8">
        <f t="shared" si="116"/>
        <v>6.25</v>
      </c>
      <c r="X1007" s="15">
        <f t="shared" si="117"/>
        <v>5693.75</v>
      </c>
      <c r="Y1007"/>
      <c r="Z1007"/>
      <c r="AA1007"/>
      <c r="AB1007"/>
      <c r="AC1007"/>
      <c r="AD1007"/>
    </row>
    <row r="1008" spans="1:30">
      <c r="A1008" t="s">
        <v>931</v>
      </c>
      <c r="B1008" s="163" t="s">
        <v>623</v>
      </c>
      <c r="C1008" s="2" t="s">
        <v>13</v>
      </c>
      <c r="D1008" s="2" t="s">
        <v>37</v>
      </c>
      <c r="E1008" s="3">
        <v>45430.520833333336</v>
      </c>
      <c r="F1008" s="2" t="s">
        <v>99</v>
      </c>
      <c r="G1008" s="2" t="s">
        <v>351</v>
      </c>
      <c r="H1008" s="2">
        <v>2.8</v>
      </c>
      <c r="I1008" s="2">
        <v>20</v>
      </c>
      <c r="J1008" s="2">
        <v>2.95</v>
      </c>
      <c r="K1008" s="2">
        <v>29</v>
      </c>
      <c r="L1008" s="2">
        <v>1</v>
      </c>
      <c r="M1008" s="2">
        <v>10</v>
      </c>
      <c r="N1008" s="2" t="s">
        <v>95</v>
      </c>
      <c r="O1008" s="10">
        <v>2</v>
      </c>
      <c r="P1008" s="10">
        <v>2</v>
      </c>
      <c r="Q1008" s="184">
        <v>3</v>
      </c>
      <c r="R1008" s="181">
        <v>2</v>
      </c>
      <c r="S1008" s="178">
        <f t="shared" si="112"/>
        <v>4</v>
      </c>
      <c r="T1008" s="186">
        <f t="shared" si="113"/>
        <v>5</v>
      </c>
      <c r="U1008" s="179">
        <f t="shared" si="114"/>
        <v>1</v>
      </c>
      <c r="V1008" s="1">
        <f t="shared" si="115"/>
        <v>25</v>
      </c>
      <c r="W1008" s="8">
        <f t="shared" si="116"/>
        <v>6.25</v>
      </c>
      <c r="X1008" s="15">
        <f t="shared" si="117"/>
        <v>5700</v>
      </c>
      <c r="Y1008"/>
      <c r="Z1008"/>
      <c r="AA1008"/>
      <c r="AB1008"/>
      <c r="AC1008"/>
      <c r="AD1008"/>
    </row>
    <row r="1009" spans="1:30">
      <c r="A1009" t="s">
        <v>931</v>
      </c>
      <c r="B1009" s="163" t="s">
        <v>623</v>
      </c>
      <c r="C1009" s="2" t="s">
        <v>77</v>
      </c>
      <c r="D1009" s="2" t="s">
        <v>234</v>
      </c>
      <c r="E1009" s="3">
        <v>45431.604166666664</v>
      </c>
      <c r="F1009" s="2" t="s">
        <v>632</v>
      </c>
      <c r="G1009" s="2" t="s">
        <v>413</v>
      </c>
      <c r="H1009" s="2">
        <v>6</v>
      </c>
      <c r="I1009" s="2">
        <v>20</v>
      </c>
      <c r="J1009" s="2">
        <v>2.75</v>
      </c>
      <c r="K1009" s="2">
        <v>25</v>
      </c>
      <c r="L1009" s="2">
        <v>1</v>
      </c>
      <c r="M1009" s="2">
        <v>10</v>
      </c>
      <c r="N1009" s="2" t="s">
        <v>95</v>
      </c>
      <c r="O1009" s="10">
        <v>2</v>
      </c>
      <c r="P1009" s="10">
        <v>1</v>
      </c>
      <c r="Q1009" s="184">
        <v>3</v>
      </c>
      <c r="R1009" s="181">
        <v>2</v>
      </c>
      <c r="S1009" s="178">
        <f t="shared" si="112"/>
        <v>3</v>
      </c>
      <c r="T1009" s="186">
        <f t="shared" si="113"/>
        <v>5</v>
      </c>
      <c r="U1009" s="179">
        <f t="shared" si="114"/>
        <v>2</v>
      </c>
      <c r="V1009" s="1">
        <f t="shared" si="115"/>
        <v>25</v>
      </c>
      <c r="W1009" s="8">
        <f t="shared" si="116"/>
        <v>6.25</v>
      </c>
      <c r="X1009" s="15">
        <f t="shared" si="117"/>
        <v>5706.25</v>
      </c>
      <c r="Y1009"/>
      <c r="Z1009"/>
      <c r="AA1009"/>
      <c r="AB1009"/>
      <c r="AC1009"/>
      <c r="AD1009"/>
    </row>
    <row r="1010" spans="1:30">
      <c r="A1010" t="s">
        <v>931</v>
      </c>
      <c r="B1010" s="163" t="s">
        <v>623</v>
      </c>
      <c r="C1010" s="2" t="s">
        <v>6</v>
      </c>
      <c r="D1010" s="2" t="s">
        <v>62</v>
      </c>
      <c r="E1010" s="3">
        <v>45431.666666666664</v>
      </c>
      <c r="F1010" s="2" t="s">
        <v>66</v>
      </c>
      <c r="G1010" s="2" t="s">
        <v>102</v>
      </c>
      <c r="H1010" s="2">
        <v>6.4</v>
      </c>
      <c r="I1010" s="2">
        <v>20</v>
      </c>
      <c r="J1010" s="2">
        <v>3.5</v>
      </c>
      <c r="K1010" s="2">
        <v>30</v>
      </c>
      <c r="L1010" s="2">
        <v>3</v>
      </c>
      <c r="M1010" s="2">
        <v>10</v>
      </c>
      <c r="N1010" s="2" t="s">
        <v>95</v>
      </c>
      <c r="O1010" s="10">
        <v>2</v>
      </c>
      <c r="P1010" s="10">
        <v>0</v>
      </c>
      <c r="Q1010" s="184">
        <v>5</v>
      </c>
      <c r="R1010" s="181">
        <v>0</v>
      </c>
      <c r="S1010" s="178">
        <f t="shared" si="112"/>
        <v>2</v>
      </c>
      <c r="T1010" s="186">
        <f t="shared" si="113"/>
        <v>5</v>
      </c>
      <c r="U1010" s="179">
        <f t="shared" si="114"/>
        <v>3</v>
      </c>
      <c r="V1010" s="1">
        <f t="shared" si="115"/>
        <v>25</v>
      </c>
      <c r="W1010" s="8">
        <f t="shared" si="116"/>
        <v>6.25</v>
      </c>
      <c r="X1010" s="15">
        <f t="shared" si="117"/>
        <v>5712.5</v>
      </c>
      <c r="Y1010"/>
      <c r="Z1010"/>
      <c r="AA1010"/>
      <c r="AB1010"/>
      <c r="AC1010"/>
      <c r="AD1010"/>
    </row>
    <row r="1011" spans="1:30">
      <c r="A1011" t="s">
        <v>931</v>
      </c>
      <c r="B1011" s="163" t="s">
        <v>623</v>
      </c>
      <c r="C1011" s="2" t="s">
        <v>119</v>
      </c>
      <c r="D1011" s="2" t="s">
        <v>120</v>
      </c>
      <c r="E1011" s="3">
        <v>45431.75</v>
      </c>
      <c r="F1011" s="2" t="s">
        <v>349</v>
      </c>
      <c r="G1011" s="2" t="s">
        <v>348</v>
      </c>
      <c r="H1011" s="2">
        <v>5.5</v>
      </c>
      <c r="I1011" s="2">
        <v>20</v>
      </c>
      <c r="J1011" s="2">
        <v>2.9</v>
      </c>
      <c r="K1011" s="2">
        <v>32</v>
      </c>
      <c r="L1011" s="2">
        <v>1</v>
      </c>
      <c r="M1011" s="2">
        <v>10</v>
      </c>
      <c r="N1011" s="2" t="s">
        <v>95</v>
      </c>
      <c r="O1011" s="10">
        <v>0</v>
      </c>
      <c r="P1011" s="10">
        <v>1</v>
      </c>
      <c r="Q1011" s="184">
        <v>1</v>
      </c>
      <c r="R1011" s="181">
        <v>4</v>
      </c>
      <c r="S1011" s="178">
        <f t="shared" si="112"/>
        <v>1</v>
      </c>
      <c r="T1011" s="186">
        <f t="shared" si="113"/>
        <v>5</v>
      </c>
      <c r="U1011" s="179">
        <f t="shared" si="114"/>
        <v>4</v>
      </c>
      <c r="V1011" s="1">
        <f t="shared" si="115"/>
        <v>25</v>
      </c>
      <c r="W1011" s="8">
        <f t="shared" si="116"/>
        <v>6.25</v>
      </c>
      <c r="X1011" s="15">
        <f t="shared" si="117"/>
        <v>5718.75</v>
      </c>
      <c r="Y1011"/>
      <c r="Z1011"/>
      <c r="AA1011"/>
      <c r="AB1011"/>
      <c r="AC1011"/>
      <c r="AD1011"/>
    </row>
    <row r="1012" spans="1:30">
      <c r="A1012" t="s">
        <v>931</v>
      </c>
      <c r="B1012" s="163" t="s">
        <v>623</v>
      </c>
      <c r="C1012" s="2" t="s">
        <v>145</v>
      </c>
      <c r="D1012" s="2" t="s">
        <v>190</v>
      </c>
      <c r="E1012" s="3">
        <v>45431.833333333336</v>
      </c>
      <c r="F1012" s="2" t="s">
        <v>227</v>
      </c>
      <c r="G1012" s="2" t="s">
        <v>611</v>
      </c>
      <c r="H1012" s="2">
        <v>5.7</v>
      </c>
      <c r="I1012" s="2">
        <v>20</v>
      </c>
      <c r="J1012" s="2">
        <v>3</v>
      </c>
      <c r="K1012" s="2">
        <v>28</v>
      </c>
      <c r="L1012" s="2">
        <v>2</v>
      </c>
      <c r="M1012" s="2">
        <v>10</v>
      </c>
      <c r="N1012" s="2" t="s">
        <v>95</v>
      </c>
      <c r="O1012" s="9">
        <v>2</v>
      </c>
      <c r="P1012" s="9">
        <v>0</v>
      </c>
      <c r="Q1012" s="184">
        <v>5</v>
      </c>
      <c r="R1012" s="181">
        <v>0</v>
      </c>
      <c r="S1012" s="178">
        <f t="shared" si="112"/>
        <v>2</v>
      </c>
      <c r="T1012" s="186">
        <f t="shared" si="113"/>
        <v>5</v>
      </c>
      <c r="U1012" s="179">
        <f t="shared" si="114"/>
        <v>3</v>
      </c>
      <c r="V1012" s="1">
        <f t="shared" si="115"/>
        <v>25</v>
      </c>
      <c r="W1012" s="8">
        <f t="shared" si="116"/>
        <v>6.25</v>
      </c>
      <c r="X1012" s="15">
        <f t="shared" si="117"/>
        <v>5725</v>
      </c>
      <c r="Y1012"/>
      <c r="Z1012"/>
      <c r="AA1012"/>
      <c r="AB1012"/>
      <c r="AC1012"/>
      <c r="AD1012"/>
    </row>
    <row r="1013" spans="1:30">
      <c r="A1013" t="s">
        <v>931</v>
      </c>
      <c r="B1013" s="163" t="s">
        <v>623</v>
      </c>
      <c r="C1013" s="2" t="s">
        <v>626</v>
      </c>
      <c r="D1013" s="2" t="s">
        <v>627</v>
      </c>
      <c r="E1013" s="3">
        <v>45436.729166666664</v>
      </c>
      <c r="F1013" s="2" t="s">
        <v>628</v>
      </c>
      <c r="G1013" s="2" t="s">
        <v>774</v>
      </c>
      <c r="H1013" s="2">
        <v>4.3</v>
      </c>
      <c r="I1013" s="2">
        <v>20</v>
      </c>
      <c r="J1013" s="2">
        <v>3.2</v>
      </c>
      <c r="K1013" s="2">
        <v>28</v>
      </c>
      <c r="L1013" s="2">
        <v>2</v>
      </c>
      <c r="M1013" s="2">
        <v>10</v>
      </c>
      <c r="N1013" s="2" t="s">
        <v>95</v>
      </c>
      <c r="O1013" s="10">
        <v>0</v>
      </c>
      <c r="P1013" s="10">
        <v>1</v>
      </c>
      <c r="Q1013" s="184">
        <v>3</v>
      </c>
      <c r="R1013" s="181">
        <v>2</v>
      </c>
      <c r="S1013" s="178">
        <f t="shared" si="112"/>
        <v>1</v>
      </c>
      <c r="T1013" s="186">
        <f t="shared" si="113"/>
        <v>5</v>
      </c>
      <c r="U1013" s="179">
        <f t="shared" si="114"/>
        <v>4</v>
      </c>
      <c r="V1013" s="1">
        <f t="shared" si="115"/>
        <v>25</v>
      </c>
      <c r="W1013" s="8">
        <f t="shared" si="116"/>
        <v>6.25</v>
      </c>
      <c r="X1013" s="15">
        <f t="shared" si="117"/>
        <v>5731.25</v>
      </c>
      <c r="Y1013"/>
      <c r="Z1013"/>
      <c r="AA1013"/>
      <c r="AB1013"/>
      <c r="AC1013"/>
      <c r="AD1013"/>
    </row>
    <row r="1014" spans="1:30">
      <c r="A1014" t="s">
        <v>931</v>
      </c>
      <c r="B1014" s="163" t="s">
        <v>623</v>
      </c>
      <c r="C1014" s="2" t="s">
        <v>434</v>
      </c>
      <c r="D1014" s="2" t="s">
        <v>435</v>
      </c>
      <c r="E1014" s="3">
        <v>45438.666666666664</v>
      </c>
      <c r="F1014" s="2" t="s">
        <v>436</v>
      </c>
      <c r="G1014" s="2" t="s">
        <v>464</v>
      </c>
      <c r="H1014" s="2">
        <v>5.2</v>
      </c>
      <c r="I1014" s="2">
        <v>20</v>
      </c>
      <c r="J1014" s="2">
        <v>2.8</v>
      </c>
      <c r="K1014" s="2">
        <v>29</v>
      </c>
      <c r="L1014" s="2">
        <v>2</v>
      </c>
      <c r="M1014" s="2">
        <v>10</v>
      </c>
      <c r="N1014" s="2" t="s">
        <v>95</v>
      </c>
      <c r="O1014" s="10">
        <v>1</v>
      </c>
      <c r="P1014" s="10">
        <v>1</v>
      </c>
      <c r="Q1014" s="184">
        <v>2</v>
      </c>
      <c r="R1014" s="181">
        <v>3</v>
      </c>
      <c r="S1014" s="178">
        <f t="shared" si="112"/>
        <v>2</v>
      </c>
      <c r="T1014" s="186">
        <f t="shared" si="113"/>
        <v>5</v>
      </c>
      <c r="U1014" s="179">
        <f t="shared" si="114"/>
        <v>3</v>
      </c>
      <c r="V1014" s="1">
        <f t="shared" si="115"/>
        <v>25</v>
      </c>
      <c r="W1014" s="8">
        <f t="shared" si="116"/>
        <v>6.25</v>
      </c>
      <c r="X1014" s="15">
        <f t="shared" si="117"/>
        <v>5737.5</v>
      </c>
      <c r="Y1014"/>
      <c r="Z1014"/>
      <c r="AA1014"/>
      <c r="AB1014"/>
      <c r="AC1014"/>
      <c r="AD1014"/>
    </row>
    <row r="1015" spans="1:30">
      <c r="A1015" t="s">
        <v>931</v>
      </c>
      <c r="B1015" s="163" t="s">
        <v>623</v>
      </c>
      <c r="C1015" s="2" t="s">
        <v>119</v>
      </c>
      <c r="D1015" s="2" t="s">
        <v>166</v>
      </c>
      <c r="E1015" s="3">
        <v>45438.729166666664</v>
      </c>
      <c r="F1015" s="2" t="s">
        <v>850</v>
      </c>
      <c r="G1015" s="2" t="s">
        <v>895</v>
      </c>
      <c r="H1015" s="2">
        <v>5.4</v>
      </c>
      <c r="I1015" s="2">
        <v>20</v>
      </c>
      <c r="J1015" s="2">
        <v>2.1</v>
      </c>
      <c r="K1015" s="2">
        <v>36</v>
      </c>
      <c r="L1015" s="2">
        <v>0</v>
      </c>
      <c r="M1015" s="2">
        <v>10</v>
      </c>
      <c r="N1015" s="2" t="s">
        <v>95</v>
      </c>
      <c r="O1015" s="10">
        <v>0</v>
      </c>
      <c r="P1015" s="10">
        <v>0</v>
      </c>
      <c r="Q1015" s="184">
        <v>3</v>
      </c>
      <c r="R1015" s="181">
        <v>2</v>
      </c>
      <c r="S1015" s="178">
        <f t="shared" si="112"/>
        <v>0</v>
      </c>
      <c r="T1015" s="186">
        <f t="shared" si="113"/>
        <v>5</v>
      </c>
      <c r="U1015" s="179">
        <f t="shared" si="114"/>
        <v>5</v>
      </c>
      <c r="V1015" s="1">
        <f t="shared" si="115"/>
        <v>25</v>
      </c>
      <c r="W1015" s="8">
        <f t="shared" si="116"/>
        <v>6.25</v>
      </c>
      <c r="X1015" s="15">
        <f t="shared" si="117"/>
        <v>5743.75</v>
      </c>
      <c r="Y1015"/>
      <c r="Z1015"/>
      <c r="AA1015"/>
      <c r="AB1015"/>
      <c r="AC1015"/>
      <c r="AD1015"/>
    </row>
    <row r="1016" spans="1:30">
      <c r="A1016" t="s">
        <v>931</v>
      </c>
      <c r="B1016" s="163" t="s">
        <v>498</v>
      </c>
      <c r="C1016" s="2" t="s">
        <v>6</v>
      </c>
      <c r="D1016" s="2" t="s">
        <v>14</v>
      </c>
      <c r="E1016" s="3">
        <v>45356.833333333336</v>
      </c>
      <c r="F1016" s="2" t="s">
        <v>291</v>
      </c>
      <c r="G1016" s="2" t="s">
        <v>201</v>
      </c>
      <c r="H1016" s="2">
        <v>63</v>
      </c>
      <c r="I1016" s="2">
        <v>80</v>
      </c>
      <c r="J1016" s="2">
        <v>1.55</v>
      </c>
      <c r="K1016" s="2">
        <v>20</v>
      </c>
      <c r="L1016" s="2"/>
      <c r="M1016" s="2"/>
      <c r="N1016" s="2" t="s">
        <v>95</v>
      </c>
      <c r="O1016" s="10">
        <v>0</v>
      </c>
      <c r="P1016" s="10">
        <v>0</v>
      </c>
      <c r="Q1016" s="184">
        <v>3</v>
      </c>
      <c r="R1016" s="187">
        <v>2</v>
      </c>
      <c r="S1016" s="178">
        <f t="shared" si="112"/>
        <v>0</v>
      </c>
      <c r="T1016" s="186">
        <f t="shared" si="113"/>
        <v>5</v>
      </c>
      <c r="U1016" s="179">
        <f t="shared" si="114"/>
        <v>5</v>
      </c>
      <c r="V1016" s="1">
        <f t="shared" si="115"/>
        <v>25</v>
      </c>
      <c r="W1016" s="8">
        <f t="shared" si="116"/>
        <v>6.25</v>
      </c>
      <c r="X1016" s="15">
        <f t="shared" si="117"/>
        <v>5750</v>
      </c>
      <c r="Y1016"/>
      <c r="Z1016"/>
      <c r="AA1016"/>
      <c r="AB1016"/>
      <c r="AC1016"/>
      <c r="AD1016"/>
    </row>
    <row r="1017" spans="1:30">
      <c r="A1017" t="s">
        <v>931</v>
      </c>
      <c r="B1017" s="163" t="s">
        <v>498</v>
      </c>
      <c r="C1017" s="2" t="s">
        <v>58</v>
      </c>
      <c r="D1017" s="2" t="s">
        <v>59</v>
      </c>
      <c r="E1017" s="3">
        <v>45389.645833333336</v>
      </c>
      <c r="F1017" s="2" t="s">
        <v>165</v>
      </c>
      <c r="G1017" s="2" t="s">
        <v>128</v>
      </c>
      <c r="H1017" s="2">
        <v>66</v>
      </c>
      <c r="I1017" s="2">
        <v>80</v>
      </c>
      <c r="J1017" s="2">
        <v>1.5</v>
      </c>
      <c r="K1017" s="2">
        <v>20</v>
      </c>
      <c r="L1017" s="2"/>
      <c r="M1017" s="2"/>
      <c r="N1017" s="2" t="s">
        <v>95</v>
      </c>
      <c r="O1017" s="10">
        <v>1</v>
      </c>
      <c r="P1017" s="10">
        <v>0</v>
      </c>
      <c r="Q1017" s="184">
        <v>2</v>
      </c>
      <c r="R1017" s="187">
        <v>3</v>
      </c>
      <c r="S1017" s="178">
        <f t="shared" si="112"/>
        <v>1</v>
      </c>
      <c r="T1017" s="186">
        <f t="shared" si="113"/>
        <v>5</v>
      </c>
      <c r="U1017" s="179">
        <f t="shared" si="114"/>
        <v>4</v>
      </c>
      <c r="V1017" s="1">
        <f t="shared" si="115"/>
        <v>25</v>
      </c>
      <c r="W1017" s="8">
        <f t="shared" si="116"/>
        <v>6.25</v>
      </c>
      <c r="X1017" s="15">
        <f t="shared" si="117"/>
        <v>5756.25</v>
      </c>
      <c r="Y1017"/>
      <c r="Z1017"/>
      <c r="AA1017"/>
      <c r="AB1017"/>
      <c r="AC1017"/>
      <c r="AD1017"/>
    </row>
    <row r="1018" spans="1:30">
      <c r="A1018" t="s">
        <v>931</v>
      </c>
      <c r="B1018" s="163" t="s">
        <v>498</v>
      </c>
      <c r="C1018" s="2" t="s">
        <v>13</v>
      </c>
      <c r="D1018" s="2" t="s">
        <v>37</v>
      </c>
      <c r="E1018" s="3">
        <v>45416.625</v>
      </c>
      <c r="F1018" s="2" t="s">
        <v>38</v>
      </c>
      <c r="G1018" s="2" t="s">
        <v>39</v>
      </c>
      <c r="H1018" s="2">
        <v>63</v>
      </c>
      <c r="I1018" s="2">
        <v>85</v>
      </c>
      <c r="J1018" s="2">
        <v>1.9</v>
      </c>
      <c r="K1018" s="2">
        <v>20</v>
      </c>
      <c r="L1018" s="2"/>
      <c r="M1018" s="2"/>
      <c r="N1018" s="2" t="s">
        <v>95</v>
      </c>
      <c r="O1018" s="10">
        <v>2</v>
      </c>
      <c r="P1018" s="10">
        <v>0</v>
      </c>
      <c r="Q1018" s="184">
        <v>4</v>
      </c>
      <c r="R1018" s="187">
        <v>1</v>
      </c>
      <c r="S1018" s="178">
        <f t="shared" si="112"/>
        <v>2</v>
      </c>
      <c r="T1018" s="186">
        <f t="shared" si="113"/>
        <v>5</v>
      </c>
      <c r="U1018" s="179">
        <f t="shared" si="114"/>
        <v>3</v>
      </c>
      <c r="V1018" s="1">
        <f t="shared" si="115"/>
        <v>25</v>
      </c>
      <c r="W1018" s="8">
        <f t="shared" si="116"/>
        <v>6.25</v>
      </c>
      <c r="X1018" s="15">
        <f t="shared" si="117"/>
        <v>5762.5</v>
      </c>
      <c r="Y1018"/>
      <c r="Z1018"/>
      <c r="AA1018"/>
      <c r="AB1018"/>
      <c r="AC1018"/>
      <c r="AD1018"/>
    </row>
    <row r="1019" spans="1:30">
      <c r="A1019" t="s">
        <v>931</v>
      </c>
      <c r="B1019" s="163" t="s">
        <v>473</v>
      </c>
      <c r="C1019" s="2" t="s">
        <v>6</v>
      </c>
      <c r="D1019" s="2" t="s">
        <v>11</v>
      </c>
      <c r="E1019" s="3">
        <v>45398.822916666664</v>
      </c>
      <c r="F1019" s="2" t="s">
        <v>634</v>
      </c>
      <c r="G1019" s="2" t="s">
        <v>742</v>
      </c>
      <c r="H1019" s="2">
        <v>65</v>
      </c>
      <c r="I1019" s="2">
        <v>95</v>
      </c>
      <c r="J1019" s="2">
        <v>20</v>
      </c>
      <c r="K1019" s="2">
        <v>3.45</v>
      </c>
      <c r="L1019" s="2"/>
      <c r="M1019" s="2"/>
      <c r="N1019" s="2" t="s">
        <v>95</v>
      </c>
      <c r="O1019" s="10">
        <v>1</v>
      </c>
      <c r="P1019" s="10">
        <v>1</v>
      </c>
      <c r="Q1019" s="184">
        <v>3</v>
      </c>
      <c r="R1019" s="187">
        <v>2</v>
      </c>
      <c r="S1019" s="178">
        <f t="shared" si="112"/>
        <v>2</v>
      </c>
      <c r="T1019" s="186">
        <f t="shared" si="113"/>
        <v>5</v>
      </c>
      <c r="U1019" s="179">
        <f t="shared" si="114"/>
        <v>3</v>
      </c>
      <c r="V1019" s="1">
        <f t="shared" si="115"/>
        <v>25</v>
      </c>
      <c r="W1019" s="8">
        <f t="shared" si="116"/>
        <v>6.25</v>
      </c>
      <c r="X1019" s="15">
        <f t="shared" si="117"/>
        <v>5768.75</v>
      </c>
      <c r="Y1019"/>
      <c r="Z1019"/>
      <c r="AA1019"/>
      <c r="AB1019"/>
      <c r="AC1019"/>
      <c r="AD1019"/>
    </row>
    <row r="1020" spans="1:30">
      <c r="A1020" t="s">
        <v>931</v>
      </c>
      <c r="B1020" s="163" t="s">
        <v>473</v>
      </c>
      <c r="C1020" s="2" t="s">
        <v>434</v>
      </c>
      <c r="D1020" s="2" t="s">
        <v>435</v>
      </c>
      <c r="E1020" s="3">
        <v>45410.708333333336</v>
      </c>
      <c r="F1020" s="2" t="s">
        <v>476</v>
      </c>
      <c r="G1020" s="2" t="s">
        <v>464</v>
      </c>
      <c r="H1020" s="2">
        <v>69</v>
      </c>
      <c r="I1020" s="2">
        <v>80</v>
      </c>
      <c r="J1020" s="2">
        <v>20</v>
      </c>
      <c r="K1020" s="2">
        <v>2.5499999999999998</v>
      </c>
      <c r="L1020" s="2"/>
      <c r="M1020" s="2"/>
      <c r="N1020" s="2" t="s">
        <v>95</v>
      </c>
      <c r="O1020" s="10">
        <v>0</v>
      </c>
      <c r="P1020" s="10">
        <v>0</v>
      </c>
      <c r="Q1020" s="184">
        <v>3</v>
      </c>
      <c r="R1020" s="187">
        <v>2</v>
      </c>
      <c r="S1020" s="178">
        <f t="shared" si="112"/>
        <v>0</v>
      </c>
      <c r="T1020" s="186">
        <f t="shared" si="113"/>
        <v>5</v>
      </c>
      <c r="U1020" s="179">
        <f t="shared" si="114"/>
        <v>5</v>
      </c>
      <c r="V1020" s="1">
        <f t="shared" si="115"/>
        <v>25</v>
      </c>
      <c r="W1020" s="8">
        <f t="shared" si="116"/>
        <v>6.25</v>
      </c>
      <c r="X1020" s="15">
        <f t="shared" si="117"/>
        <v>5775</v>
      </c>
      <c r="Y1020"/>
      <c r="Z1020"/>
      <c r="AA1020"/>
      <c r="AB1020"/>
      <c r="AC1020"/>
      <c r="AD1020"/>
    </row>
    <row r="1021" spans="1:30">
      <c r="A1021" t="s">
        <v>931</v>
      </c>
      <c r="B1021" s="163" t="s">
        <v>473</v>
      </c>
      <c r="C1021" s="2" t="s">
        <v>133</v>
      </c>
      <c r="D1021" s="2" t="s">
        <v>78</v>
      </c>
      <c r="E1021" s="3">
        <v>45427.75</v>
      </c>
      <c r="F1021" s="2" t="s">
        <v>137</v>
      </c>
      <c r="G1021" s="2" t="s">
        <v>466</v>
      </c>
      <c r="H1021" s="2">
        <v>69</v>
      </c>
      <c r="I1021" s="2">
        <v>95</v>
      </c>
      <c r="J1021" s="2">
        <v>20</v>
      </c>
      <c r="K1021" s="2">
        <v>3.45</v>
      </c>
      <c r="L1021" s="2"/>
      <c r="M1021" s="2"/>
      <c r="N1021" s="2" t="s">
        <v>95</v>
      </c>
      <c r="O1021" s="10">
        <v>1</v>
      </c>
      <c r="P1021" s="10">
        <v>0</v>
      </c>
      <c r="Q1021" s="184">
        <v>4</v>
      </c>
      <c r="R1021" s="187">
        <v>1</v>
      </c>
      <c r="S1021" s="178">
        <f t="shared" si="112"/>
        <v>1</v>
      </c>
      <c r="T1021" s="186">
        <f t="shared" si="113"/>
        <v>5</v>
      </c>
      <c r="U1021" s="179">
        <f t="shared" si="114"/>
        <v>4</v>
      </c>
      <c r="V1021" s="1">
        <f t="shared" si="115"/>
        <v>25</v>
      </c>
      <c r="W1021" s="8">
        <f t="shared" si="116"/>
        <v>6.25</v>
      </c>
      <c r="X1021" s="15">
        <f t="shared" si="117"/>
        <v>5781.25</v>
      </c>
      <c r="Y1021"/>
      <c r="Z1021"/>
      <c r="AA1021"/>
      <c r="AB1021"/>
      <c r="AC1021"/>
      <c r="AD1021"/>
    </row>
    <row r="1022" spans="1:30">
      <c r="A1022" t="s">
        <v>931</v>
      </c>
      <c r="B1022" s="163" t="s">
        <v>474</v>
      </c>
      <c r="C1022" s="2" t="s">
        <v>80</v>
      </c>
      <c r="D1022" s="2" t="s">
        <v>81</v>
      </c>
      <c r="E1022" s="3">
        <v>45361.666666666664</v>
      </c>
      <c r="F1022" s="2" t="s">
        <v>314</v>
      </c>
      <c r="G1022" s="2" t="s">
        <v>243</v>
      </c>
      <c r="H1022" s="2">
        <v>56</v>
      </c>
      <c r="I1022" s="2">
        <v>3.8</v>
      </c>
      <c r="J1022" s="2">
        <v>20</v>
      </c>
      <c r="K1022" s="2">
        <v>70</v>
      </c>
      <c r="L1022" s="2">
        <v>95</v>
      </c>
      <c r="M1022" s="2"/>
      <c r="N1022" s="2" t="s">
        <v>95</v>
      </c>
      <c r="O1022" s="10">
        <v>0</v>
      </c>
      <c r="P1022" s="10">
        <v>1</v>
      </c>
      <c r="Q1022" s="184">
        <v>4</v>
      </c>
      <c r="R1022" s="187">
        <v>1</v>
      </c>
      <c r="S1022" s="178">
        <f t="shared" si="112"/>
        <v>1</v>
      </c>
      <c r="T1022" s="186">
        <f t="shared" si="113"/>
        <v>5</v>
      </c>
      <c r="U1022" s="179">
        <f t="shared" si="114"/>
        <v>4</v>
      </c>
      <c r="V1022" s="1">
        <f t="shared" si="115"/>
        <v>25</v>
      </c>
      <c r="W1022" s="8">
        <f t="shared" si="116"/>
        <v>6.25</v>
      </c>
      <c r="X1022" s="15">
        <f t="shared" si="117"/>
        <v>5787.5</v>
      </c>
      <c r="Y1022"/>
      <c r="Z1022"/>
      <c r="AA1022"/>
      <c r="AB1022"/>
      <c r="AC1022"/>
      <c r="AD1022"/>
    </row>
    <row r="1023" spans="1:30">
      <c r="A1023" t="s">
        <v>931</v>
      </c>
      <c r="B1023" s="163" t="s">
        <v>474</v>
      </c>
      <c r="C1023" s="2" t="s">
        <v>145</v>
      </c>
      <c r="D1023" s="2" t="s">
        <v>268</v>
      </c>
      <c r="E1023" s="3">
        <v>45381.75</v>
      </c>
      <c r="F1023" s="2" t="s">
        <v>638</v>
      </c>
      <c r="G1023" s="2" t="s">
        <v>639</v>
      </c>
      <c r="H1023" s="2">
        <v>52</v>
      </c>
      <c r="I1023" s="2">
        <v>2.9</v>
      </c>
      <c r="J1023" s="2">
        <v>20</v>
      </c>
      <c r="K1023" s="2">
        <v>60</v>
      </c>
      <c r="L1023" s="2">
        <v>90</v>
      </c>
      <c r="M1023" s="2"/>
      <c r="N1023" s="2" t="s">
        <v>95</v>
      </c>
      <c r="O1023" s="10">
        <v>0</v>
      </c>
      <c r="P1023" s="10">
        <v>1</v>
      </c>
      <c r="Q1023" s="184">
        <v>2</v>
      </c>
      <c r="R1023" s="187">
        <v>3</v>
      </c>
      <c r="S1023" s="178">
        <f t="shared" si="112"/>
        <v>1</v>
      </c>
      <c r="T1023" s="186">
        <f t="shared" si="113"/>
        <v>5</v>
      </c>
      <c r="U1023" s="179">
        <f t="shared" si="114"/>
        <v>4</v>
      </c>
      <c r="V1023" s="1">
        <f t="shared" si="115"/>
        <v>25</v>
      </c>
      <c r="W1023" s="8">
        <f t="shared" si="116"/>
        <v>6.25</v>
      </c>
      <c r="X1023" s="15">
        <f t="shared" si="117"/>
        <v>5793.75</v>
      </c>
      <c r="Y1023"/>
      <c r="Z1023"/>
      <c r="AA1023"/>
      <c r="AB1023"/>
      <c r="AC1023"/>
      <c r="AD1023"/>
    </row>
    <row r="1024" spans="1:30">
      <c r="A1024" t="s">
        <v>931</v>
      </c>
      <c r="B1024" s="163" t="s">
        <v>474</v>
      </c>
      <c r="C1024" s="2" t="s">
        <v>77</v>
      </c>
      <c r="D1024" s="2" t="s">
        <v>156</v>
      </c>
      <c r="E1024" s="3">
        <v>45388.604166666664</v>
      </c>
      <c r="F1024" s="2" t="s">
        <v>260</v>
      </c>
      <c r="G1024" s="2" t="s">
        <v>157</v>
      </c>
      <c r="H1024" s="2">
        <v>50</v>
      </c>
      <c r="I1024" s="2">
        <v>3.55</v>
      </c>
      <c r="J1024" s="2">
        <v>20</v>
      </c>
      <c r="K1024" s="2">
        <v>70</v>
      </c>
      <c r="L1024" s="2">
        <v>85</v>
      </c>
      <c r="M1024" s="2"/>
      <c r="N1024" s="2" t="s">
        <v>95</v>
      </c>
      <c r="O1024" s="10">
        <v>0</v>
      </c>
      <c r="P1024" s="10">
        <v>2</v>
      </c>
      <c r="Q1024" s="184">
        <v>3</v>
      </c>
      <c r="R1024" s="187">
        <v>2</v>
      </c>
      <c r="S1024" s="178">
        <f t="shared" si="112"/>
        <v>2</v>
      </c>
      <c r="T1024" s="186">
        <f t="shared" si="113"/>
        <v>5</v>
      </c>
      <c r="U1024" s="179">
        <f t="shared" si="114"/>
        <v>3</v>
      </c>
      <c r="V1024" s="1">
        <f t="shared" si="115"/>
        <v>25</v>
      </c>
      <c r="W1024" s="8">
        <f t="shared" si="116"/>
        <v>6.25</v>
      </c>
      <c r="X1024" s="15">
        <f t="shared" si="117"/>
        <v>5800</v>
      </c>
      <c r="Y1024"/>
      <c r="Z1024"/>
      <c r="AA1024"/>
      <c r="AB1024"/>
      <c r="AC1024"/>
      <c r="AD1024"/>
    </row>
    <row r="1025" spans="1:30">
      <c r="A1025" t="s">
        <v>931</v>
      </c>
      <c r="B1025" s="163" t="s">
        <v>474</v>
      </c>
      <c r="C1025" s="2" t="s">
        <v>149</v>
      </c>
      <c r="D1025" s="2" t="s">
        <v>150</v>
      </c>
      <c r="E1025" s="3">
        <v>45390.791666666664</v>
      </c>
      <c r="F1025" s="2" t="s">
        <v>700</v>
      </c>
      <c r="G1025" s="2" t="s">
        <v>329</v>
      </c>
      <c r="H1025" s="2">
        <v>50</v>
      </c>
      <c r="I1025" s="2">
        <v>3.35</v>
      </c>
      <c r="J1025" s="2">
        <v>20</v>
      </c>
      <c r="K1025" s="2">
        <v>75</v>
      </c>
      <c r="L1025" s="2">
        <v>90</v>
      </c>
      <c r="M1025" s="2"/>
      <c r="N1025" s="2" t="s">
        <v>95</v>
      </c>
      <c r="O1025" s="10">
        <v>1</v>
      </c>
      <c r="P1025" s="10">
        <v>2</v>
      </c>
      <c r="Q1025" s="184">
        <v>3</v>
      </c>
      <c r="R1025" s="187">
        <v>2</v>
      </c>
      <c r="S1025" s="178">
        <f t="shared" ref="S1025:S1088" si="118">SUM(O1025:P1025)</f>
        <v>3</v>
      </c>
      <c r="T1025" s="186">
        <f t="shared" ref="T1025:T1088" si="119">SUM(Q1025:R1025)</f>
        <v>5</v>
      </c>
      <c r="U1025" s="179">
        <f t="shared" ref="U1025:U1088" si="120">SUM(T1025-S1025)</f>
        <v>2</v>
      </c>
      <c r="V1025" s="1">
        <f t="shared" si="115"/>
        <v>25</v>
      </c>
      <c r="W1025" s="8">
        <f t="shared" si="116"/>
        <v>6.25</v>
      </c>
      <c r="X1025" s="15">
        <f t="shared" si="117"/>
        <v>5806.25</v>
      </c>
      <c r="Y1025"/>
      <c r="Z1025"/>
      <c r="AA1025"/>
      <c r="AB1025"/>
      <c r="AC1025"/>
      <c r="AD1025"/>
    </row>
    <row r="1026" spans="1:30">
      <c r="A1026" t="s">
        <v>931</v>
      </c>
      <c r="B1026" s="163" t="s">
        <v>474</v>
      </c>
      <c r="C1026" s="2" t="s">
        <v>149</v>
      </c>
      <c r="D1026" s="2" t="s">
        <v>150</v>
      </c>
      <c r="E1026" s="3">
        <v>45401.791666666664</v>
      </c>
      <c r="F1026" s="2" t="s">
        <v>187</v>
      </c>
      <c r="G1026" s="2" t="s">
        <v>329</v>
      </c>
      <c r="H1026" s="2">
        <v>50</v>
      </c>
      <c r="I1026" s="2">
        <v>3.5</v>
      </c>
      <c r="J1026" s="2">
        <v>20</v>
      </c>
      <c r="K1026" s="2">
        <v>70</v>
      </c>
      <c r="L1026" s="2">
        <v>95</v>
      </c>
      <c r="M1026" s="2"/>
      <c r="N1026" s="2" t="s">
        <v>95</v>
      </c>
      <c r="O1026" s="10">
        <v>2</v>
      </c>
      <c r="P1026" s="10">
        <v>0</v>
      </c>
      <c r="Q1026" s="184">
        <v>2</v>
      </c>
      <c r="R1026" s="187">
        <v>3</v>
      </c>
      <c r="S1026" s="178">
        <f t="shared" si="118"/>
        <v>2</v>
      </c>
      <c r="T1026" s="186">
        <f t="shared" si="119"/>
        <v>5</v>
      </c>
      <c r="U1026" s="179">
        <f t="shared" si="120"/>
        <v>3</v>
      </c>
      <c r="V1026" s="1">
        <f t="shared" si="115"/>
        <v>25</v>
      </c>
      <c r="W1026" s="8">
        <f t="shared" si="116"/>
        <v>6.25</v>
      </c>
      <c r="X1026" s="15">
        <f t="shared" si="117"/>
        <v>5812.5</v>
      </c>
      <c r="Y1026"/>
      <c r="Z1026"/>
      <c r="AA1026"/>
      <c r="AB1026"/>
      <c r="AC1026"/>
      <c r="AD1026"/>
    </row>
    <row r="1027" spans="1:30">
      <c r="A1027" t="s">
        <v>931</v>
      </c>
      <c r="B1027" s="163" t="s">
        <v>474</v>
      </c>
      <c r="C1027" s="2" t="s">
        <v>77</v>
      </c>
      <c r="D1027" s="2" t="s">
        <v>156</v>
      </c>
      <c r="E1027" s="3">
        <v>45408.8125</v>
      </c>
      <c r="F1027" s="2" t="s">
        <v>239</v>
      </c>
      <c r="G1027" s="2" t="s">
        <v>158</v>
      </c>
      <c r="H1027" s="2">
        <v>53</v>
      </c>
      <c r="I1027" s="2">
        <v>3.45</v>
      </c>
      <c r="J1027" s="2">
        <v>20</v>
      </c>
      <c r="K1027" s="2">
        <v>75</v>
      </c>
      <c r="L1027" s="2">
        <v>95</v>
      </c>
      <c r="M1027" s="2"/>
      <c r="N1027" s="2" t="s">
        <v>95</v>
      </c>
      <c r="O1027" s="10">
        <v>2</v>
      </c>
      <c r="P1027" s="10">
        <v>0</v>
      </c>
      <c r="Q1027" s="184">
        <v>3</v>
      </c>
      <c r="R1027" s="187">
        <v>2</v>
      </c>
      <c r="S1027" s="178">
        <f t="shared" si="118"/>
        <v>2</v>
      </c>
      <c r="T1027" s="186">
        <f t="shared" si="119"/>
        <v>5</v>
      </c>
      <c r="U1027" s="179">
        <f t="shared" si="120"/>
        <v>3</v>
      </c>
      <c r="V1027" s="1">
        <f t="shared" si="115"/>
        <v>25</v>
      </c>
      <c r="W1027" s="8">
        <f t="shared" si="116"/>
        <v>6.25</v>
      </c>
      <c r="X1027" s="15">
        <f t="shared" si="117"/>
        <v>5818.75</v>
      </c>
      <c r="Y1027"/>
      <c r="Z1027"/>
      <c r="AA1027"/>
      <c r="AB1027"/>
      <c r="AC1027"/>
      <c r="AD1027"/>
    </row>
    <row r="1028" spans="1:30">
      <c r="A1028" t="s">
        <v>931</v>
      </c>
      <c r="B1028" s="163" t="s">
        <v>474</v>
      </c>
      <c r="C1028" s="2" t="s">
        <v>133</v>
      </c>
      <c r="D1028" s="2" t="s">
        <v>78</v>
      </c>
      <c r="E1028" s="3">
        <v>45410.625</v>
      </c>
      <c r="F1028" s="2" t="s">
        <v>488</v>
      </c>
      <c r="G1028" s="2" t="s">
        <v>394</v>
      </c>
      <c r="H1028" s="2">
        <v>52</v>
      </c>
      <c r="I1028" s="2">
        <v>3.7</v>
      </c>
      <c r="J1028" s="2">
        <v>20</v>
      </c>
      <c r="K1028" s="2">
        <v>95</v>
      </c>
      <c r="L1028" s="2">
        <v>100</v>
      </c>
      <c r="M1028" s="2"/>
      <c r="N1028" s="2" t="s">
        <v>95</v>
      </c>
      <c r="O1028" s="10">
        <v>2</v>
      </c>
      <c r="P1028" s="10">
        <v>0</v>
      </c>
      <c r="Q1028" s="184">
        <v>4</v>
      </c>
      <c r="R1028" s="187">
        <v>1</v>
      </c>
      <c r="S1028" s="178">
        <f t="shared" si="118"/>
        <v>2</v>
      </c>
      <c r="T1028" s="186">
        <f t="shared" si="119"/>
        <v>5</v>
      </c>
      <c r="U1028" s="179">
        <f t="shared" si="120"/>
        <v>3</v>
      </c>
      <c r="V1028" s="1">
        <f t="shared" si="115"/>
        <v>25</v>
      </c>
      <c r="W1028" s="8">
        <f t="shared" si="116"/>
        <v>6.25</v>
      </c>
      <c r="X1028" s="15">
        <f t="shared" si="117"/>
        <v>5825</v>
      </c>
      <c r="Y1028"/>
      <c r="Z1028"/>
      <c r="AA1028"/>
      <c r="AB1028"/>
      <c r="AC1028"/>
      <c r="AD1028"/>
    </row>
    <row r="1029" spans="1:30">
      <c r="A1029" t="s">
        <v>931</v>
      </c>
      <c r="B1029" s="163" t="s">
        <v>474</v>
      </c>
      <c r="C1029" s="2" t="s">
        <v>149</v>
      </c>
      <c r="D1029" s="2" t="s">
        <v>153</v>
      </c>
      <c r="E1029" s="3">
        <v>45417.791666666664</v>
      </c>
      <c r="F1029" s="2" t="s">
        <v>282</v>
      </c>
      <c r="G1029" s="2" t="s">
        <v>205</v>
      </c>
      <c r="H1029" s="2">
        <v>53</v>
      </c>
      <c r="I1029" s="2">
        <v>3.35</v>
      </c>
      <c r="J1029" s="2">
        <v>20</v>
      </c>
      <c r="K1029" s="2">
        <v>65</v>
      </c>
      <c r="L1029" s="2">
        <v>85</v>
      </c>
      <c r="M1029" s="2"/>
      <c r="N1029" s="2" t="s">
        <v>95</v>
      </c>
      <c r="O1029" s="10">
        <v>2</v>
      </c>
      <c r="P1029" s="10">
        <v>0</v>
      </c>
      <c r="Q1029" s="184">
        <v>5</v>
      </c>
      <c r="R1029" s="187">
        <v>0</v>
      </c>
      <c r="S1029" s="178">
        <f t="shared" si="118"/>
        <v>2</v>
      </c>
      <c r="T1029" s="186">
        <f t="shared" si="119"/>
        <v>5</v>
      </c>
      <c r="U1029" s="179">
        <f t="shared" si="120"/>
        <v>3</v>
      </c>
      <c r="V1029" s="1">
        <f t="shared" ref="V1029:V1092" si="121">SUM($X$1*0.05)</f>
        <v>25</v>
      </c>
      <c r="W1029" s="8">
        <f t="shared" si="116"/>
        <v>6.25</v>
      </c>
      <c r="X1029" s="15">
        <f t="shared" si="117"/>
        <v>5831.25</v>
      </c>
      <c r="Y1029"/>
      <c r="Z1029"/>
      <c r="AA1029"/>
      <c r="AB1029"/>
      <c r="AC1029"/>
      <c r="AD1029"/>
    </row>
    <row r="1030" spans="1:30">
      <c r="A1030" t="s">
        <v>931</v>
      </c>
      <c r="B1030" s="163" t="s">
        <v>474</v>
      </c>
      <c r="C1030" s="2" t="s">
        <v>133</v>
      </c>
      <c r="D1030" s="2" t="s">
        <v>78</v>
      </c>
      <c r="E1030" s="3">
        <v>45427.75</v>
      </c>
      <c r="F1030" s="2" t="s">
        <v>137</v>
      </c>
      <c r="G1030" s="2" t="s">
        <v>466</v>
      </c>
      <c r="H1030" s="2">
        <v>57</v>
      </c>
      <c r="I1030" s="2">
        <v>3.45</v>
      </c>
      <c r="J1030" s="2">
        <v>20</v>
      </c>
      <c r="K1030" s="2">
        <v>80</v>
      </c>
      <c r="L1030" s="2">
        <v>95</v>
      </c>
      <c r="M1030" s="2"/>
      <c r="N1030" s="2" t="s">
        <v>95</v>
      </c>
      <c r="O1030" s="10">
        <v>1</v>
      </c>
      <c r="P1030" s="10">
        <v>0</v>
      </c>
      <c r="Q1030" s="184">
        <v>4</v>
      </c>
      <c r="R1030" s="187">
        <v>1</v>
      </c>
      <c r="S1030" s="178">
        <f t="shared" si="118"/>
        <v>1</v>
      </c>
      <c r="T1030" s="186">
        <f t="shared" si="119"/>
        <v>5</v>
      </c>
      <c r="U1030" s="179">
        <f t="shared" si="120"/>
        <v>4</v>
      </c>
      <c r="V1030" s="1">
        <f t="shared" si="121"/>
        <v>25</v>
      </c>
      <c r="W1030" s="8">
        <f t="shared" si="116"/>
        <v>6.25</v>
      </c>
      <c r="X1030" s="15">
        <f t="shared" si="117"/>
        <v>5837.5</v>
      </c>
      <c r="Y1030"/>
      <c r="Z1030"/>
      <c r="AA1030"/>
      <c r="AB1030"/>
      <c r="AC1030"/>
      <c r="AD1030"/>
    </row>
    <row r="1031" spans="1:30">
      <c r="A1031" t="s">
        <v>931</v>
      </c>
      <c r="B1031" s="163" t="s">
        <v>474</v>
      </c>
      <c r="C1031" s="2" t="s">
        <v>77</v>
      </c>
      <c r="D1031" s="2" t="s">
        <v>234</v>
      </c>
      <c r="E1031" s="3">
        <v>45431.604166666664</v>
      </c>
      <c r="F1031" s="2" t="s">
        <v>631</v>
      </c>
      <c r="G1031" s="2" t="s">
        <v>687</v>
      </c>
      <c r="H1031" s="2">
        <v>50</v>
      </c>
      <c r="I1031" s="2">
        <v>3.25</v>
      </c>
      <c r="J1031" s="2">
        <v>20</v>
      </c>
      <c r="K1031" s="2">
        <v>75</v>
      </c>
      <c r="L1031" s="2">
        <v>90</v>
      </c>
      <c r="M1031" s="2"/>
      <c r="N1031" s="2" t="s">
        <v>95</v>
      </c>
      <c r="O1031" s="10">
        <v>1</v>
      </c>
      <c r="P1031" s="10">
        <v>0</v>
      </c>
      <c r="Q1031" s="184">
        <v>5</v>
      </c>
      <c r="R1031" s="187">
        <v>0</v>
      </c>
      <c r="S1031" s="178">
        <f t="shared" si="118"/>
        <v>1</v>
      </c>
      <c r="T1031" s="186">
        <f t="shared" si="119"/>
        <v>5</v>
      </c>
      <c r="U1031" s="179">
        <f t="shared" si="120"/>
        <v>4</v>
      </c>
      <c r="V1031" s="1">
        <f t="shared" si="121"/>
        <v>25</v>
      </c>
      <c r="W1031" s="8">
        <f t="shared" si="116"/>
        <v>6.25</v>
      </c>
      <c r="X1031" s="15">
        <f t="shared" si="117"/>
        <v>5843.75</v>
      </c>
      <c r="Y1031"/>
      <c r="Z1031"/>
      <c r="AA1031"/>
      <c r="AB1031"/>
      <c r="AC1031"/>
      <c r="AD1031"/>
    </row>
    <row r="1032" spans="1:30">
      <c r="A1032" t="s">
        <v>931</v>
      </c>
      <c r="B1032" s="163" t="s">
        <v>177</v>
      </c>
      <c r="C1032" s="2" t="s">
        <v>77</v>
      </c>
      <c r="D1032" s="2" t="s">
        <v>156</v>
      </c>
      <c r="E1032" s="3">
        <v>45430.604166666664</v>
      </c>
      <c r="F1032" s="2" t="s">
        <v>158</v>
      </c>
      <c r="G1032" s="2" t="s">
        <v>157</v>
      </c>
      <c r="H1032" s="2">
        <v>4.0999999999999996</v>
      </c>
      <c r="I1032" s="2">
        <v>95</v>
      </c>
      <c r="J1032" s="2">
        <v>80</v>
      </c>
      <c r="K1032" s="2">
        <v>29</v>
      </c>
      <c r="L1032" s="2">
        <v>80</v>
      </c>
      <c r="M1032" s="2">
        <v>3.52</v>
      </c>
      <c r="N1032" s="2" t="s">
        <v>95</v>
      </c>
      <c r="O1032" s="10">
        <v>1</v>
      </c>
      <c r="P1032" s="10">
        <v>2</v>
      </c>
      <c r="Q1032" s="184">
        <v>4</v>
      </c>
      <c r="R1032" s="181">
        <v>2</v>
      </c>
      <c r="S1032" s="178">
        <f t="shared" si="118"/>
        <v>3</v>
      </c>
      <c r="T1032" s="186">
        <f t="shared" si="119"/>
        <v>6</v>
      </c>
      <c r="U1032" s="179">
        <f t="shared" si="120"/>
        <v>3</v>
      </c>
      <c r="V1032" s="1">
        <f t="shared" si="121"/>
        <v>25</v>
      </c>
      <c r="W1032" s="8">
        <f t="shared" si="116"/>
        <v>6.25</v>
      </c>
      <c r="X1032" s="15">
        <f t="shared" si="117"/>
        <v>5850</v>
      </c>
      <c r="Y1032"/>
      <c r="Z1032"/>
      <c r="AA1032"/>
      <c r="AB1032"/>
      <c r="AC1032"/>
      <c r="AD1032"/>
    </row>
    <row r="1033" spans="1:30">
      <c r="A1033" t="s">
        <v>931</v>
      </c>
      <c r="B1033" s="163" t="s">
        <v>406</v>
      </c>
      <c r="C1033" s="2" t="s">
        <v>77</v>
      </c>
      <c r="D1033" s="2" t="s">
        <v>156</v>
      </c>
      <c r="E1033" s="3">
        <v>45382.6875</v>
      </c>
      <c r="F1033" s="2" t="s">
        <v>168</v>
      </c>
      <c r="G1033" s="2" t="s">
        <v>260</v>
      </c>
      <c r="H1033" s="2">
        <v>1.29</v>
      </c>
      <c r="I1033" s="2">
        <v>12.5</v>
      </c>
      <c r="J1033" s="2">
        <v>3.05</v>
      </c>
      <c r="K1033" s="2">
        <v>3.7</v>
      </c>
      <c r="L1033" s="2">
        <v>3.29</v>
      </c>
      <c r="M1033" s="2"/>
      <c r="N1033" s="2" t="s">
        <v>95</v>
      </c>
      <c r="O1033" s="10">
        <v>1</v>
      </c>
      <c r="P1033" s="10">
        <v>0</v>
      </c>
      <c r="Q1033" s="184">
        <v>3</v>
      </c>
      <c r="R1033" s="181">
        <v>3</v>
      </c>
      <c r="S1033" s="178">
        <f t="shared" si="118"/>
        <v>1</v>
      </c>
      <c r="T1033" s="186">
        <f t="shared" si="119"/>
        <v>6</v>
      </c>
      <c r="U1033" s="179">
        <f t="shared" si="120"/>
        <v>5</v>
      </c>
      <c r="V1033" s="1">
        <f t="shared" si="121"/>
        <v>25</v>
      </c>
      <c r="W1033" s="8">
        <f t="shared" si="116"/>
        <v>6.25</v>
      </c>
      <c r="X1033" s="15">
        <f t="shared" si="117"/>
        <v>5856.25</v>
      </c>
      <c r="Y1033"/>
      <c r="Z1033"/>
      <c r="AA1033"/>
      <c r="AB1033"/>
      <c r="AC1033"/>
      <c r="AD1033"/>
    </row>
    <row r="1034" spans="1:30">
      <c r="A1034" t="s">
        <v>931</v>
      </c>
      <c r="B1034" s="163" t="s">
        <v>406</v>
      </c>
      <c r="C1034" s="2" t="s">
        <v>80</v>
      </c>
      <c r="D1034" s="2" t="s">
        <v>81</v>
      </c>
      <c r="E1034" s="3">
        <v>45385.770833333336</v>
      </c>
      <c r="F1034" s="2" t="s">
        <v>314</v>
      </c>
      <c r="G1034" s="2" t="s">
        <v>676</v>
      </c>
      <c r="H1034" s="2">
        <v>1.25</v>
      </c>
      <c r="I1034" s="2">
        <v>14</v>
      </c>
      <c r="J1034" s="2">
        <v>3.15</v>
      </c>
      <c r="K1034" s="2">
        <v>3.5</v>
      </c>
      <c r="L1034" s="2">
        <v>2.67</v>
      </c>
      <c r="M1034" s="2"/>
      <c r="N1034" s="2" t="s">
        <v>95</v>
      </c>
      <c r="O1034" s="10">
        <v>1</v>
      </c>
      <c r="P1034" s="10">
        <v>1</v>
      </c>
      <c r="Q1034" s="184">
        <v>4</v>
      </c>
      <c r="R1034" s="181">
        <v>2</v>
      </c>
      <c r="S1034" s="178">
        <f t="shared" si="118"/>
        <v>2</v>
      </c>
      <c r="T1034" s="186">
        <f t="shared" si="119"/>
        <v>6</v>
      </c>
      <c r="U1034" s="179">
        <f t="shared" si="120"/>
        <v>4</v>
      </c>
      <c r="V1034" s="1">
        <f t="shared" si="121"/>
        <v>25</v>
      </c>
      <c r="W1034" s="8">
        <f t="shared" si="116"/>
        <v>6.25</v>
      </c>
      <c r="X1034" s="15">
        <f t="shared" si="117"/>
        <v>5862.5</v>
      </c>
      <c r="Y1034"/>
      <c r="Z1034"/>
      <c r="AA1034"/>
      <c r="AB1034"/>
      <c r="AC1034"/>
      <c r="AD1034"/>
    </row>
    <row r="1035" spans="1:30">
      <c r="A1035" t="s">
        <v>931</v>
      </c>
      <c r="B1035" s="163" t="s">
        <v>406</v>
      </c>
      <c r="C1035" s="2" t="s">
        <v>412</v>
      </c>
      <c r="D1035" s="2" t="s">
        <v>156</v>
      </c>
      <c r="E1035" s="3">
        <v>45403.666666666664</v>
      </c>
      <c r="F1035" s="2" t="s">
        <v>500</v>
      </c>
      <c r="G1035" s="2" t="s">
        <v>462</v>
      </c>
      <c r="H1035" s="2">
        <v>1.27</v>
      </c>
      <c r="I1035" s="2">
        <v>15</v>
      </c>
      <c r="J1035" s="2">
        <v>2.6</v>
      </c>
      <c r="K1035" s="2">
        <v>4.3</v>
      </c>
      <c r="L1035" s="2">
        <v>2.34</v>
      </c>
      <c r="M1035" s="2"/>
      <c r="N1035" s="2" t="s">
        <v>95</v>
      </c>
      <c r="O1035" s="10">
        <v>1</v>
      </c>
      <c r="P1035" s="10">
        <v>1</v>
      </c>
      <c r="Q1035" s="184">
        <v>4</v>
      </c>
      <c r="R1035" s="181">
        <v>2</v>
      </c>
      <c r="S1035" s="178">
        <f t="shared" si="118"/>
        <v>2</v>
      </c>
      <c r="T1035" s="186">
        <f t="shared" si="119"/>
        <v>6</v>
      </c>
      <c r="U1035" s="179">
        <f t="shared" si="120"/>
        <v>4</v>
      </c>
      <c r="V1035" s="1">
        <f t="shared" si="121"/>
        <v>25</v>
      </c>
      <c r="W1035" s="8">
        <f t="shared" si="116"/>
        <v>6.25</v>
      </c>
      <c r="X1035" s="15">
        <f t="shared" si="117"/>
        <v>5868.75</v>
      </c>
      <c r="Y1035"/>
      <c r="Z1035"/>
      <c r="AA1035"/>
      <c r="AB1035"/>
      <c r="AC1035"/>
      <c r="AD1035"/>
    </row>
    <row r="1036" spans="1:30">
      <c r="A1036" t="s">
        <v>931</v>
      </c>
      <c r="B1036" s="163" t="s">
        <v>531</v>
      </c>
      <c r="C1036" s="2" t="s">
        <v>77</v>
      </c>
      <c r="D1036" s="2" t="s">
        <v>156</v>
      </c>
      <c r="E1036" s="3">
        <v>45366.8125</v>
      </c>
      <c r="F1036" s="2" t="s">
        <v>438</v>
      </c>
      <c r="G1036" s="2" t="s">
        <v>181</v>
      </c>
      <c r="H1036" s="2">
        <v>6.2</v>
      </c>
      <c r="I1036" s="2">
        <v>24</v>
      </c>
      <c r="J1036" s="2">
        <v>2.96</v>
      </c>
      <c r="K1036" s="2">
        <v>36</v>
      </c>
      <c r="L1036" s="2">
        <v>2</v>
      </c>
      <c r="M1036" s="2"/>
      <c r="N1036" s="2" t="s">
        <v>95</v>
      </c>
      <c r="O1036" s="10">
        <v>1</v>
      </c>
      <c r="P1036" s="10">
        <v>1</v>
      </c>
      <c r="Q1036" s="184">
        <v>1</v>
      </c>
      <c r="R1036" s="181">
        <v>5</v>
      </c>
      <c r="S1036" s="178">
        <f t="shared" si="118"/>
        <v>2</v>
      </c>
      <c r="T1036" s="186">
        <f t="shared" si="119"/>
        <v>6</v>
      </c>
      <c r="U1036" s="179">
        <f t="shared" si="120"/>
        <v>4</v>
      </c>
      <c r="V1036" s="1">
        <f t="shared" si="121"/>
        <v>25</v>
      </c>
      <c r="W1036" s="8">
        <f t="shared" si="116"/>
        <v>6.25</v>
      </c>
      <c r="X1036" s="15">
        <f t="shared" si="117"/>
        <v>5875</v>
      </c>
      <c r="Y1036"/>
      <c r="Z1036"/>
      <c r="AA1036"/>
      <c r="AB1036"/>
      <c r="AC1036"/>
      <c r="AD1036"/>
    </row>
    <row r="1037" spans="1:30">
      <c r="A1037" t="s">
        <v>931</v>
      </c>
      <c r="B1037" s="163" t="s">
        <v>531</v>
      </c>
      <c r="C1037" s="2" t="s">
        <v>13</v>
      </c>
      <c r="D1037" s="2" t="s">
        <v>14</v>
      </c>
      <c r="E1037" s="3">
        <v>45366.822916666664</v>
      </c>
      <c r="F1037" s="2" t="s">
        <v>130</v>
      </c>
      <c r="G1037" s="2" t="s">
        <v>15</v>
      </c>
      <c r="H1037" s="2">
        <v>5.5</v>
      </c>
      <c r="I1037" s="2">
        <v>28</v>
      </c>
      <c r="J1037" s="2">
        <v>2.5</v>
      </c>
      <c r="K1037" s="2">
        <v>30</v>
      </c>
      <c r="L1037" s="2">
        <v>2</v>
      </c>
      <c r="M1037" s="2"/>
      <c r="N1037" s="2" t="s">
        <v>95</v>
      </c>
      <c r="O1037" s="10">
        <v>1</v>
      </c>
      <c r="P1037" s="10">
        <v>1</v>
      </c>
      <c r="Q1037" s="184">
        <v>1</v>
      </c>
      <c r="R1037" s="181">
        <v>5</v>
      </c>
      <c r="S1037" s="178">
        <f t="shared" si="118"/>
        <v>2</v>
      </c>
      <c r="T1037" s="186">
        <f t="shared" si="119"/>
        <v>6</v>
      </c>
      <c r="U1037" s="179">
        <f t="shared" si="120"/>
        <v>4</v>
      </c>
      <c r="V1037" s="1">
        <f t="shared" si="121"/>
        <v>25</v>
      </c>
      <c r="W1037" s="8">
        <f t="shared" si="116"/>
        <v>6.25</v>
      </c>
      <c r="X1037" s="15">
        <f t="shared" si="117"/>
        <v>5881.25</v>
      </c>
      <c r="Y1037"/>
      <c r="Z1037"/>
      <c r="AA1037"/>
      <c r="AB1037"/>
      <c r="AC1037"/>
      <c r="AD1037"/>
    </row>
    <row r="1038" spans="1:30">
      <c r="A1038" t="s">
        <v>931</v>
      </c>
      <c r="B1038" s="163" t="s">
        <v>531</v>
      </c>
      <c r="C1038" s="2" t="s">
        <v>6</v>
      </c>
      <c r="D1038" s="2" t="s">
        <v>62</v>
      </c>
      <c r="E1038" s="3">
        <v>45388.520833333336</v>
      </c>
      <c r="F1038" s="2" t="s">
        <v>66</v>
      </c>
      <c r="G1038" s="2" t="s">
        <v>72</v>
      </c>
      <c r="H1038" s="2">
        <v>5.0999999999999996</v>
      </c>
      <c r="I1038" s="2">
        <v>28</v>
      </c>
      <c r="J1038" s="2">
        <v>3</v>
      </c>
      <c r="K1038" s="2">
        <v>35</v>
      </c>
      <c r="L1038" s="2">
        <v>1</v>
      </c>
      <c r="M1038" s="2">
        <v>14</v>
      </c>
      <c r="N1038" s="2" t="s">
        <v>95</v>
      </c>
      <c r="O1038" s="10">
        <v>1</v>
      </c>
      <c r="P1038" s="10">
        <v>1</v>
      </c>
      <c r="Q1038" s="184">
        <v>2</v>
      </c>
      <c r="R1038" s="181">
        <v>4</v>
      </c>
      <c r="S1038" s="178">
        <f t="shared" si="118"/>
        <v>2</v>
      </c>
      <c r="T1038" s="186">
        <f t="shared" si="119"/>
        <v>6</v>
      </c>
      <c r="U1038" s="179">
        <f t="shared" si="120"/>
        <v>4</v>
      </c>
      <c r="V1038" s="1">
        <f t="shared" si="121"/>
        <v>25</v>
      </c>
      <c r="W1038" s="8">
        <f t="shared" si="116"/>
        <v>6.25</v>
      </c>
      <c r="X1038" s="15">
        <f t="shared" si="117"/>
        <v>5887.5</v>
      </c>
      <c r="Y1038"/>
      <c r="Z1038"/>
      <c r="AA1038"/>
      <c r="AB1038"/>
      <c r="AC1038"/>
      <c r="AD1038"/>
    </row>
    <row r="1039" spans="1:30">
      <c r="A1039" t="s">
        <v>931</v>
      </c>
      <c r="B1039" s="163" t="s">
        <v>531</v>
      </c>
      <c r="C1039" s="2" t="s">
        <v>13</v>
      </c>
      <c r="D1039" s="2" t="s">
        <v>11</v>
      </c>
      <c r="E1039" s="3">
        <v>45409.625</v>
      </c>
      <c r="F1039" s="2" t="s">
        <v>615</v>
      </c>
      <c r="G1039" s="2" t="s">
        <v>140</v>
      </c>
      <c r="H1039" s="2">
        <v>5.3</v>
      </c>
      <c r="I1039" s="2">
        <v>34</v>
      </c>
      <c r="J1039" s="2">
        <v>3.53</v>
      </c>
      <c r="K1039" s="2">
        <v>25</v>
      </c>
      <c r="L1039" s="2">
        <v>5</v>
      </c>
      <c r="M1039" s="2">
        <v>17</v>
      </c>
      <c r="N1039" s="2" t="s">
        <v>95</v>
      </c>
      <c r="O1039" s="10">
        <v>1</v>
      </c>
      <c r="P1039" s="10">
        <v>1</v>
      </c>
      <c r="Q1039" s="184">
        <v>3</v>
      </c>
      <c r="R1039" s="181">
        <v>3</v>
      </c>
      <c r="S1039" s="178">
        <f t="shared" si="118"/>
        <v>2</v>
      </c>
      <c r="T1039" s="186">
        <f t="shared" si="119"/>
        <v>6</v>
      </c>
      <c r="U1039" s="179">
        <f t="shared" si="120"/>
        <v>4</v>
      </c>
      <c r="V1039" s="1">
        <f t="shared" si="121"/>
        <v>25</v>
      </c>
      <c r="W1039" s="8">
        <f t="shared" si="116"/>
        <v>6.25</v>
      </c>
      <c r="X1039" s="15">
        <f t="shared" si="117"/>
        <v>5893.75</v>
      </c>
      <c r="Y1039"/>
      <c r="Z1039"/>
      <c r="AA1039"/>
      <c r="AB1039"/>
      <c r="AC1039"/>
      <c r="AD1039"/>
    </row>
    <row r="1040" spans="1:30">
      <c r="A1040" t="s">
        <v>931</v>
      </c>
      <c r="B1040" s="163" t="s">
        <v>531</v>
      </c>
      <c r="C1040" s="2" t="s">
        <v>77</v>
      </c>
      <c r="D1040" s="2" t="s">
        <v>156</v>
      </c>
      <c r="E1040" s="3">
        <v>45424.604166666664</v>
      </c>
      <c r="F1040" s="2" t="s">
        <v>345</v>
      </c>
      <c r="G1040" s="2" t="s">
        <v>158</v>
      </c>
      <c r="H1040" s="2">
        <v>4.8</v>
      </c>
      <c r="I1040" s="2">
        <v>32</v>
      </c>
      <c r="J1040" s="2">
        <v>3.66</v>
      </c>
      <c r="K1040" s="2">
        <v>24</v>
      </c>
      <c r="L1040" s="2">
        <v>1</v>
      </c>
      <c r="M1040" s="2">
        <v>16</v>
      </c>
      <c r="N1040" s="2" t="s">
        <v>95</v>
      </c>
      <c r="O1040" s="10">
        <v>0</v>
      </c>
      <c r="P1040" s="10">
        <v>5</v>
      </c>
      <c r="Q1040" s="184">
        <v>0</v>
      </c>
      <c r="R1040" s="181">
        <v>6</v>
      </c>
      <c r="S1040" s="178">
        <f t="shared" si="118"/>
        <v>5</v>
      </c>
      <c r="T1040" s="186">
        <f t="shared" si="119"/>
        <v>6</v>
      </c>
      <c r="U1040" s="179">
        <f t="shared" si="120"/>
        <v>1</v>
      </c>
      <c r="V1040" s="1">
        <f t="shared" si="121"/>
        <v>25</v>
      </c>
      <c r="W1040" s="8">
        <f t="shared" si="116"/>
        <v>6.25</v>
      </c>
      <c r="X1040" s="15">
        <f t="shared" si="117"/>
        <v>5900</v>
      </c>
      <c r="Y1040"/>
      <c r="Z1040"/>
      <c r="AA1040"/>
      <c r="AB1040"/>
      <c r="AC1040"/>
      <c r="AD1040"/>
    </row>
    <row r="1041" spans="1:30">
      <c r="A1041" t="s">
        <v>931</v>
      </c>
      <c r="B1041" s="163" t="s">
        <v>531</v>
      </c>
      <c r="C1041" s="2" t="s">
        <v>412</v>
      </c>
      <c r="D1041" s="2" t="s">
        <v>156</v>
      </c>
      <c r="E1041" s="3">
        <v>45424.666666666664</v>
      </c>
      <c r="F1041" s="2" t="s">
        <v>833</v>
      </c>
      <c r="G1041" s="2" t="s">
        <v>500</v>
      </c>
      <c r="H1041" s="2">
        <v>5.6</v>
      </c>
      <c r="I1041" s="2">
        <v>30</v>
      </c>
      <c r="J1041" s="2">
        <v>2.9</v>
      </c>
      <c r="K1041" s="2">
        <v>22</v>
      </c>
      <c r="L1041" s="2">
        <v>3</v>
      </c>
      <c r="M1041" s="2">
        <v>15</v>
      </c>
      <c r="N1041" s="2" t="s">
        <v>95</v>
      </c>
      <c r="O1041" s="10">
        <v>1</v>
      </c>
      <c r="P1041" s="10">
        <v>3</v>
      </c>
      <c r="Q1041" s="184">
        <v>1</v>
      </c>
      <c r="R1041" s="181">
        <v>5</v>
      </c>
      <c r="S1041" s="178">
        <f t="shared" si="118"/>
        <v>4</v>
      </c>
      <c r="T1041" s="186">
        <f t="shared" si="119"/>
        <v>6</v>
      </c>
      <c r="U1041" s="179">
        <f t="shared" si="120"/>
        <v>2</v>
      </c>
      <c r="V1041" s="1">
        <f t="shared" si="121"/>
        <v>25</v>
      </c>
      <c r="W1041" s="8">
        <f t="shared" si="116"/>
        <v>6.25</v>
      </c>
      <c r="X1041" s="15">
        <f t="shared" si="117"/>
        <v>5906.25</v>
      </c>
      <c r="Y1041"/>
      <c r="Z1041"/>
      <c r="AA1041"/>
      <c r="AB1041"/>
      <c r="AC1041"/>
      <c r="AD1041"/>
    </row>
    <row r="1042" spans="1:30">
      <c r="A1042" t="s">
        <v>931</v>
      </c>
      <c r="B1042" s="163" t="s">
        <v>531</v>
      </c>
      <c r="C1042" s="2" t="s">
        <v>6</v>
      </c>
      <c r="D1042" s="2" t="s">
        <v>62</v>
      </c>
      <c r="E1042" s="3">
        <v>45425.833333333336</v>
      </c>
      <c r="F1042" s="2" t="s">
        <v>102</v>
      </c>
      <c r="G1042" s="2" t="s">
        <v>285</v>
      </c>
      <c r="H1042" s="2">
        <v>5.5</v>
      </c>
      <c r="I1042" s="2">
        <v>36</v>
      </c>
      <c r="J1042" s="2">
        <v>3.47</v>
      </c>
      <c r="K1042" s="2">
        <v>33</v>
      </c>
      <c r="L1042" s="2">
        <v>2</v>
      </c>
      <c r="M1042" s="2">
        <v>18</v>
      </c>
      <c r="N1042" s="2" t="s">
        <v>95</v>
      </c>
      <c r="O1042" s="10">
        <v>1</v>
      </c>
      <c r="P1042" s="10">
        <v>2</v>
      </c>
      <c r="Q1042" s="184">
        <v>3</v>
      </c>
      <c r="R1042" s="181">
        <v>3</v>
      </c>
      <c r="S1042" s="178">
        <f t="shared" si="118"/>
        <v>3</v>
      </c>
      <c r="T1042" s="186">
        <f t="shared" si="119"/>
        <v>6</v>
      </c>
      <c r="U1042" s="179">
        <f t="shared" si="120"/>
        <v>3</v>
      </c>
      <c r="V1042" s="1">
        <f t="shared" si="121"/>
        <v>25</v>
      </c>
      <c r="W1042" s="8">
        <f t="shared" si="116"/>
        <v>6.25</v>
      </c>
      <c r="X1042" s="15">
        <f t="shared" si="117"/>
        <v>5912.5</v>
      </c>
      <c r="Y1042"/>
      <c r="Z1042"/>
      <c r="AA1042"/>
      <c r="AB1042"/>
      <c r="AC1042"/>
      <c r="AD1042"/>
    </row>
    <row r="1043" spans="1:30">
      <c r="A1043" t="s">
        <v>931</v>
      </c>
      <c r="B1043" s="163" t="s">
        <v>531</v>
      </c>
      <c r="C1043" s="2" t="s">
        <v>13</v>
      </c>
      <c r="D1043" s="2" t="s">
        <v>37</v>
      </c>
      <c r="E1043" s="3">
        <v>45430.520833333336</v>
      </c>
      <c r="F1043" s="2" t="s">
        <v>305</v>
      </c>
      <c r="G1043" s="2" t="s">
        <v>79</v>
      </c>
      <c r="H1043" s="2">
        <v>5.3</v>
      </c>
      <c r="I1043" s="2">
        <v>36</v>
      </c>
      <c r="J1043" s="2">
        <v>2.4700000000000002</v>
      </c>
      <c r="K1043" s="2">
        <v>30</v>
      </c>
      <c r="L1043" s="2">
        <v>1</v>
      </c>
      <c r="M1043" s="2">
        <v>18</v>
      </c>
      <c r="N1043" s="2" t="s">
        <v>95</v>
      </c>
      <c r="O1043" s="10">
        <v>1</v>
      </c>
      <c r="P1043" s="10">
        <v>0</v>
      </c>
      <c r="Q1043" s="184">
        <v>3</v>
      </c>
      <c r="R1043" s="181">
        <v>3</v>
      </c>
      <c r="S1043" s="178">
        <f t="shared" si="118"/>
        <v>1</v>
      </c>
      <c r="T1043" s="186">
        <f t="shared" si="119"/>
        <v>6</v>
      </c>
      <c r="U1043" s="179">
        <f t="shared" si="120"/>
        <v>5</v>
      </c>
      <c r="V1043" s="1">
        <f t="shared" si="121"/>
        <v>25</v>
      </c>
      <c r="W1043" s="8">
        <f t="shared" si="116"/>
        <v>6.25</v>
      </c>
      <c r="X1043" s="15">
        <f t="shared" si="117"/>
        <v>5918.75</v>
      </c>
      <c r="Y1043"/>
      <c r="Z1043"/>
      <c r="AA1043"/>
      <c r="AB1043"/>
      <c r="AC1043"/>
      <c r="AD1043"/>
    </row>
    <row r="1044" spans="1:30">
      <c r="A1044" t="s">
        <v>931</v>
      </c>
      <c r="B1044" s="163" t="s">
        <v>531</v>
      </c>
      <c r="C1044" s="2" t="s">
        <v>77</v>
      </c>
      <c r="D1044" s="2" t="s">
        <v>156</v>
      </c>
      <c r="E1044" s="3">
        <v>45430.604166666664</v>
      </c>
      <c r="F1044" s="2" t="s">
        <v>158</v>
      </c>
      <c r="G1044" s="2" t="s">
        <v>157</v>
      </c>
      <c r="H1044" s="2">
        <v>6</v>
      </c>
      <c r="I1044" s="2">
        <v>32</v>
      </c>
      <c r="J1044" s="2">
        <v>3.88</v>
      </c>
      <c r="K1044" s="2">
        <v>26</v>
      </c>
      <c r="L1044" s="2">
        <v>5</v>
      </c>
      <c r="M1044" s="2">
        <v>16</v>
      </c>
      <c r="N1044" s="2" t="s">
        <v>95</v>
      </c>
      <c r="O1044" s="10">
        <v>1</v>
      </c>
      <c r="P1044" s="10">
        <v>2</v>
      </c>
      <c r="Q1044" s="184">
        <v>4</v>
      </c>
      <c r="R1044" s="181">
        <v>2</v>
      </c>
      <c r="S1044" s="178">
        <f t="shared" si="118"/>
        <v>3</v>
      </c>
      <c r="T1044" s="186">
        <f t="shared" si="119"/>
        <v>6</v>
      </c>
      <c r="U1044" s="179">
        <f t="shared" si="120"/>
        <v>3</v>
      </c>
      <c r="V1044" s="1">
        <f t="shared" si="121"/>
        <v>25</v>
      </c>
      <c r="W1044" s="8">
        <f t="shared" si="116"/>
        <v>6.25</v>
      </c>
      <c r="X1044" s="15">
        <f t="shared" si="117"/>
        <v>5925</v>
      </c>
      <c r="Y1044"/>
      <c r="Z1044"/>
      <c r="AA1044"/>
      <c r="AB1044"/>
      <c r="AC1044"/>
      <c r="AD1044"/>
    </row>
    <row r="1045" spans="1:30">
      <c r="A1045" t="s">
        <v>931</v>
      </c>
      <c r="B1045" s="163" t="s">
        <v>512</v>
      </c>
      <c r="C1045" s="2" t="s">
        <v>6</v>
      </c>
      <c r="D1045" s="2" t="s">
        <v>14</v>
      </c>
      <c r="E1045" s="3">
        <v>45360.625</v>
      </c>
      <c r="F1045" s="2" t="s">
        <v>56</v>
      </c>
      <c r="G1045" s="2" t="s">
        <v>503</v>
      </c>
      <c r="H1045" s="2">
        <v>4.8</v>
      </c>
      <c r="I1045" s="2">
        <v>20</v>
      </c>
      <c r="J1045" s="2">
        <v>2.7</v>
      </c>
      <c r="K1045" s="2">
        <v>36</v>
      </c>
      <c r="L1045" s="2">
        <v>4</v>
      </c>
      <c r="M1045" s="2"/>
      <c r="N1045" s="2" t="s">
        <v>95</v>
      </c>
      <c r="O1045" s="10">
        <v>2</v>
      </c>
      <c r="P1045" s="10">
        <v>0</v>
      </c>
      <c r="Q1045" s="184">
        <v>4</v>
      </c>
      <c r="R1045" s="181">
        <v>2</v>
      </c>
      <c r="S1045" s="178">
        <f t="shared" si="118"/>
        <v>2</v>
      </c>
      <c r="T1045" s="186">
        <f t="shared" si="119"/>
        <v>6</v>
      </c>
      <c r="U1045" s="179">
        <f t="shared" si="120"/>
        <v>4</v>
      </c>
      <c r="V1045" s="1">
        <f t="shared" si="121"/>
        <v>25</v>
      </c>
      <c r="W1045" s="8">
        <f t="shared" si="116"/>
        <v>6.25</v>
      </c>
      <c r="X1045" s="15">
        <f t="shared" si="117"/>
        <v>5931.25</v>
      </c>
      <c r="Y1045"/>
      <c r="Z1045"/>
      <c r="AA1045"/>
      <c r="AB1045"/>
      <c r="AC1045"/>
      <c r="AD1045"/>
    </row>
    <row r="1046" spans="1:30">
      <c r="A1046" t="s">
        <v>931</v>
      </c>
      <c r="B1046" s="163" t="s">
        <v>623</v>
      </c>
      <c r="C1046" s="2" t="s">
        <v>410</v>
      </c>
      <c r="D1046" s="2" t="s">
        <v>411</v>
      </c>
      <c r="E1046" s="3">
        <v>45381.583333333336</v>
      </c>
      <c r="F1046" s="2" t="s">
        <v>580</v>
      </c>
      <c r="G1046" s="2" t="s">
        <v>460</v>
      </c>
      <c r="H1046" s="2">
        <v>3.15</v>
      </c>
      <c r="I1046" s="2">
        <v>20</v>
      </c>
      <c r="J1046" s="2">
        <v>3</v>
      </c>
      <c r="K1046" s="2">
        <v>22</v>
      </c>
      <c r="L1046" s="2">
        <v>3</v>
      </c>
      <c r="M1046" s="2">
        <v>10</v>
      </c>
      <c r="N1046" s="2" t="s">
        <v>95</v>
      </c>
      <c r="O1046" s="10">
        <v>2</v>
      </c>
      <c r="P1046" s="10">
        <v>0</v>
      </c>
      <c r="Q1046" s="184">
        <v>6</v>
      </c>
      <c r="R1046" s="181">
        <v>0</v>
      </c>
      <c r="S1046" s="178">
        <f t="shared" si="118"/>
        <v>2</v>
      </c>
      <c r="T1046" s="186">
        <f t="shared" si="119"/>
        <v>6</v>
      </c>
      <c r="U1046" s="179">
        <f t="shared" si="120"/>
        <v>4</v>
      </c>
      <c r="V1046" s="1">
        <f t="shared" si="121"/>
        <v>25</v>
      </c>
      <c r="W1046" s="8">
        <f t="shared" ref="W1046:W1109" si="122">IF(N1046="won",V1046*0.25,-V1046)</f>
        <v>6.25</v>
      </c>
      <c r="X1046" s="15">
        <f t="shared" ref="X1046:X1109" si="123">SUM(X1045,W1046)</f>
        <v>5937.5</v>
      </c>
      <c r="Y1046"/>
      <c r="Z1046"/>
      <c r="AA1046"/>
      <c r="AB1046"/>
      <c r="AC1046"/>
      <c r="AD1046"/>
    </row>
    <row r="1047" spans="1:30">
      <c r="A1047" t="s">
        <v>931</v>
      </c>
      <c r="B1047" s="163" t="s">
        <v>623</v>
      </c>
      <c r="C1047" s="2" t="s">
        <v>149</v>
      </c>
      <c r="D1047" s="2" t="s">
        <v>153</v>
      </c>
      <c r="E1047" s="3">
        <v>45382.5625</v>
      </c>
      <c r="F1047" s="2" t="s">
        <v>282</v>
      </c>
      <c r="G1047" s="2" t="s">
        <v>250</v>
      </c>
      <c r="H1047" s="2">
        <v>4</v>
      </c>
      <c r="I1047" s="2">
        <v>20</v>
      </c>
      <c r="J1047" s="2">
        <v>2.1</v>
      </c>
      <c r="K1047" s="2">
        <v>34</v>
      </c>
      <c r="L1047" s="2">
        <v>1</v>
      </c>
      <c r="M1047" s="2">
        <v>10</v>
      </c>
      <c r="N1047" s="2" t="s">
        <v>95</v>
      </c>
      <c r="O1047" s="10">
        <v>1</v>
      </c>
      <c r="P1047" s="10">
        <v>2</v>
      </c>
      <c r="Q1047" s="184">
        <v>4</v>
      </c>
      <c r="R1047" s="181">
        <v>2</v>
      </c>
      <c r="S1047" s="178">
        <f t="shared" si="118"/>
        <v>3</v>
      </c>
      <c r="T1047" s="186">
        <f t="shared" si="119"/>
        <v>6</v>
      </c>
      <c r="U1047" s="179">
        <f t="shared" si="120"/>
        <v>3</v>
      </c>
      <c r="V1047" s="1">
        <f t="shared" si="121"/>
        <v>25</v>
      </c>
      <c r="W1047" s="8">
        <f t="shared" si="122"/>
        <v>6.25</v>
      </c>
      <c r="X1047" s="15">
        <f t="shared" si="123"/>
        <v>5943.75</v>
      </c>
      <c r="Y1047"/>
      <c r="Z1047"/>
      <c r="AA1047"/>
      <c r="AB1047"/>
      <c r="AC1047"/>
      <c r="AD1047"/>
    </row>
    <row r="1048" spans="1:30">
      <c r="A1048" t="s">
        <v>931</v>
      </c>
      <c r="B1048" s="163" t="s">
        <v>623</v>
      </c>
      <c r="C1048" s="2" t="s">
        <v>77</v>
      </c>
      <c r="D1048" s="2" t="s">
        <v>156</v>
      </c>
      <c r="E1048" s="3">
        <v>45382.6875</v>
      </c>
      <c r="F1048" s="2" t="s">
        <v>168</v>
      </c>
      <c r="G1048" s="2" t="s">
        <v>260</v>
      </c>
      <c r="H1048" s="2">
        <v>3.7</v>
      </c>
      <c r="I1048" s="2">
        <v>20</v>
      </c>
      <c r="J1048" s="2">
        <v>3.05</v>
      </c>
      <c r="K1048" s="2">
        <v>24</v>
      </c>
      <c r="L1048" s="2">
        <v>1</v>
      </c>
      <c r="M1048" s="2">
        <v>10</v>
      </c>
      <c r="N1048" s="2" t="s">
        <v>95</v>
      </c>
      <c r="O1048" s="10">
        <v>1</v>
      </c>
      <c r="P1048" s="10">
        <v>0</v>
      </c>
      <c r="Q1048" s="184">
        <v>3</v>
      </c>
      <c r="R1048" s="181">
        <v>3</v>
      </c>
      <c r="S1048" s="178">
        <f t="shared" si="118"/>
        <v>1</v>
      </c>
      <c r="T1048" s="186">
        <f t="shared" si="119"/>
        <v>6</v>
      </c>
      <c r="U1048" s="179">
        <f t="shared" si="120"/>
        <v>5</v>
      </c>
      <c r="V1048" s="1">
        <f t="shared" si="121"/>
        <v>25</v>
      </c>
      <c r="W1048" s="8">
        <f t="shared" si="122"/>
        <v>6.25</v>
      </c>
      <c r="X1048" s="15">
        <f t="shared" si="123"/>
        <v>5950</v>
      </c>
      <c r="Y1048"/>
      <c r="Z1048"/>
      <c r="AA1048"/>
      <c r="AB1048"/>
      <c r="AC1048"/>
      <c r="AD1048"/>
    </row>
    <row r="1049" spans="1:30">
      <c r="A1049" t="s">
        <v>931</v>
      </c>
      <c r="B1049" s="163" t="s">
        <v>623</v>
      </c>
      <c r="C1049" s="2" t="s">
        <v>80</v>
      </c>
      <c r="D1049" s="2" t="s">
        <v>81</v>
      </c>
      <c r="E1049" s="3">
        <v>45385.770833333336</v>
      </c>
      <c r="F1049" s="2" t="s">
        <v>314</v>
      </c>
      <c r="G1049" s="2" t="s">
        <v>676</v>
      </c>
      <c r="H1049" s="2">
        <v>3.5</v>
      </c>
      <c r="I1049" s="2">
        <v>20</v>
      </c>
      <c r="J1049" s="2">
        <v>3.15</v>
      </c>
      <c r="K1049" s="2">
        <v>24</v>
      </c>
      <c r="L1049" s="2">
        <v>3</v>
      </c>
      <c r="M1049" s="2">
        <v>10</v>
      </c>
      <c r="N1049" s="2" t="s">
        <v>95</v>
      </c>
      <c r="O1049" s="10">
        <v>1</v>
      </c>
      <c r="P1049" s="10">
        <v>1</v>
      </c>
      <c r="Q1049" s="184">
        <v>4</v>
      </c>
      <c r="R1049" s="181">
        <v>2</v>
      </c>
      <c r="S1049" s="178">
        <f t="shared" si="118"/>
        <v>2</v>
      </c>
      <c r="T1049" s="186">
        <f t="shared" si="119"/>
        <v>6</v>
      </c>
      <c r="U1049" s="179">
        <f t="shared" si="120"/>
        <v>4</v>
      </c>
      <c r="V1049" s="1">
        <f t="shared" si="121"/>
        <v>25</v>
      </c>
      <c r="W1049" s="8">
        <f t="shared" si="122"/>
        <v>6.25</v>
      </c>
      <c r="X1049" s="15">
        <f t="shared" si="123"/>
        <v>5956.25</v>
      </c>
      <c r="Y1049"/>
      <c r="Z1049"/>
      <c r="AA1049"/>
      <c r="AB1049"/>
      <c r="AC1049"/>
      <c r="AD1049"/>
    </row>
    <row r="1050" spans="1:30">
      <c r="A1050" t="s">
        <v>931</v>
      </c>
      <c r="B1050" s="163" t="s">
        <v>623</v>
      </c>
      <c r="C1050" s="2" t="s">
        <v>149</v>
      </c>
      <c r="D1050" s="2" t="s">
        <v>153</v>
      </c>
      <c r="E1050" s="3">
        <v>45385.791666666664</v>
      </c>
      <c r="F1050" s="2" t="s">
        <v>250</v>
      </c>
      <c r="G1050" s="2" t="s">
        <v>205</v>
      </c>
      <c r="H1050" s="2">
        <v>6.2</v>
      </c>
      <c r="I1050" s="2">
        <v>20</v>
      </c>
      <c r="J1050" s="2">
        <v>3.3</v>
      </c>
      <c r="K1050" s="2">
        <v>39</v>
      </c>
      <c r="L1050" s="2">
        <v>3</v>
      </c>
      <c r="M1050" s="2">
        <v>10</v>
      </c>
      <c r="N1050" s="2" t="s">
        <v>95</v>
      </c>
      <c r="O1050" s="10">
        <v>0</v>
      </c>
      <c r="P1050" s="10">
        <v>0</v>
      </c>
      <c r="Q1050" s="184">
        <v>5</v>
      </c>
      <c r="R1050" s="181">
        <v>1</v>
      </c>
      <c r="S1050" s="178">
        <f t="shared" si="118"/>
        <v>0</v>
      </c>
      <c r="T1050" s="186">
        <f t="shared" si="119"/>
        <v>6</v>
      </c>
      <c r="U1050" s="179">
        <f t="shared" si="120"/>
        <v>6</v>
      </c>
      <c r="V1050" s="1">
        <f t="shared" si="121"/>
        <v>25</v>
      </c>
      <c r="W1050" s="8">
        <f t="shared" si="122"/>
        <v>6.25</v>
      </c>
      <c r="X1050" s="15">
        <f t="shared" si="123"/>
        <v>5962.5</v>
      </c>
      <c r="Y1050"/>
      <c r="Z1050"/>
      <c r="AA1050"/>
      <c r="AB1050"/>
      <c r="AC1050"/>
      <c r="AD1050"/>
    </row>
    <row r="1051" spans="1:30">
      <c r="A1051" t="s">
        <v>931</v>
      </c>
      <c r="B1051" s="163" t="s">
        <v>623</v>
      </c>
      <c r="C1051" s="2" t="s">
        <v>6</v>
      </c>
      <c r="D1051" s="2" t="s">
        <v>62</v>
      </c>
      <c r="E1051" s="3">
        <v>45395.625</v>
      </c>
      <c r="F1051" s="2" t="s">
        <v>72</v>
      </c>
      <c r="G1051" s="2" t="s">
        <v>86</v>
      </c>
      <c r="H1051" s="2">
        <v>2.48</v>
      </c>
      <c r="I1051" s="2">
        <v>20</v>
      </c>
      <c r="J1051" s="2">
        <v>3.5</v>
      </c>
      <c r="K1051" s="2">
        <v>23</v>
      </c>
      <c r="L1051" s="2">
        <v>1</v>
      </c>
      <c r="M1051" s="2">
        <v>10</v>
      </c>
      <c r="N1051" s="2" t="s">
        <v>95</v>
      </c>
      <c r="O1051" s="10">
        <v>1</v>
      </c>
      <c r="P1051" s="10">
        <v>0</v>
      </c>
      <c r="Q1051" s="184">
        <v>5</v>
      </c>
      <c r="R1051" s="181">
        <v>1</v>
      </c>
      <c r="S1051" s="178">
        <f t="shared" si="118"/>
        <v>1</v>
      </c>
      <c r="T1051" s="186">
        <f t="shared" si="119"/>
        <v>6</v>
      </c>
      <c r="U1051" s="179">
        <f t="shared" si="120"/>
        <v>5</v>
      </c>
      <c r="V1051" s="1">
        <f t="shared" si="121"/>
        <v>25</v>
      </c>
      <c r="W1051" s="8">
        <f t="shared" si="122"/>
        <v>6.25</v>
      </c>
      <c r="X1051" s="15">
        <f t="shared" si="123"/>
        <v>5968.75</v>
      </c>
      <c r="Y1051"/>
      <c r="Z1051"/>
      <c r="AA1051"/>
      <c r="AB1051"/>
      <c r="AC1051"/>
      <c r="AD1051"/>
    </row>
    <row r="1052" spans="1:30">
      <c r="A1052" t="s">
        <v>931</v>
      </c>
      <c r="B1052" s="163" t="s">
        <v>623</v>
      </c>
      <c r="C1052" s="2" t="s">
        <v>6</v>
      </c>
      <c r="D1052" s="2" t="s">
        <v>7</v>
      </c>
      <c r="E1052" s="3">
        <v>45402.625</v>
      </c>
      <c r="F1052" s="2" t="s">
        <v>18</v>
      </c>
      <c r="G1052" s="2" t="s">
        <v>420</v>
      </c>
      <c r="H1052" s="2">
        <v>4.8</v>
      </c>
      <c r="I1052" s="2">
        <v>20</v>
      </c>
      <c r="J1052" s="2">
        <v>2.75</v>
      </c>
      <c r="K1052" s="2">
        <v>28</v>
      </c>
      <c r="L1052" s="2">
        <v>1</v>
      </c>
      <c r="M1052" s="2">
        <v>10</v>
      </c>
      <c r="N1052" s="2" t="s">
        <v>95</v>
      </c>
      <c r="O1052" s="10">
        <v>2</v>
      </c>
      <c r="P1052" s="10">
        <v>1</v>
      </c>
      <c r="Q1052" s="184">
        <v>4</v>
      </c>
      <c r="R1052" s="181">
        <v>2</v>
      </c>
      <c r="S1052" s="178">
        <f t="shared" si="118"/>
        <v>3</v>
      </c>
      <c r="T1052" s="186">
        <f t="shared" si="119"/>
        <v>6</v>
      </c>
      <c r="U1052" s="179">
        <f t="shared" si="120"/>
        <v>3</v>
      </c>
      <c r="V1052" s="1">
        <f t="shared" si="121"/>
        <v>25</v>
      </c>
      <c r="W1052" s="8">
        <f t="shared" si="122"/>
        <v>6.25</v>
      </c>
      <c r="X1052" s="15">
        <f t="shared" si="123"/>
        <v>5975</v>
      </c>
      <c r="Y1052"/>
      <c r="Z1052"/>
      <c r="AA1052"/>
      <c r="AB1052"/>
      <c r="AC1052"/>
      <c r="AD1052"/>
    </row>
    <row r="1053" spans="1:30">
      <c r="A1053" t="s">
        <v>931</v>
      </c>
      <c r="B1053" s="163" t="s">
        <v>623</v>
      </c>
      <c r="C1053" s="2" t="s">
        <v>412</v>
      </c>
      <c r="D1053" s="2" t="s">
        <v>156</v>
      </c>
      <c r="E1053" s="3">
        <v>45403.666666666664</v>
      </c>
      <c r="F1053" s="2" t="s">
        <v>500</v>
      </c>
      <c r="G1053" s="2" t="s">
        <v>462</v>
      </c>
      <c r="H1053" s="2">
        <v>4.3</v>
      </c>
      <c r="I1053" s="2">
        <v>20</v>
      </c>
      <c r="J1053" s="2">
        <v>2.6</v>
      </c>
      <c r="K1053" s="2">
        <v>35</v>
      </c>
      <c r="L1053" s="2">
        <v>2</v>
      </c>
      <c r="M1053" s="2">
        <v>10</v>
      </c>
      <c r="N1053" s="2" t="s">
        <v>95</v>
      </c>
      <c r="O1053" s="10">
        <v>1</v>
      </c>
      <c r="P1053" s="10">
        <v>1</v>
      </c>
      <c r="Q1053" s="184">
        <v>4</v>
      </c>
      <c r="R1053" s="181">
        <v>2</v>
      </c>
      <c r="S1053" s="178">
        <f t="shared" si="118"/>
        <v>2</v>
      </c>
      <c r="T1053" s="186">
        <f t="shared" si="119"/>
        <v>6</v>
      </c>
      <c r="U1053" s="179">
        <f t="shared" si="120"/>
        <v>4</v>
      </c>
      <c r="V1053" s="1">
        <f t="shared" si="121"/>
        <v>25</v>
      </c>
      <c r="W1053" s="8">
        <f t="shared" si="122"/>
        <v>6.25</v>
      </c>
      <c r="X1053" s="15">
        <f t="shared" si="123"/>
        <v>5981.25</v>
      </c>
      <c r="Y1053"/>
      <c r="Z1053"/>
      <c r="AA1053"/>
      <c r="AB1053"/>
      <c r="AC1053"/>
      <c r="AD1053"/>
    </row>
    <row r="1054" spans="1:30">
      <c r="A1054" t="s">
        <v>931</v>
      </c>
      <c r="B1054" s="163" t="s">
        <v>623</v>
      </c>
      <c r="C1054" s="2" t="s">
        <v>6</v>
      </c>
      <c r="D1054" s="2" t="s">
        <v>62</v>
      </c>
      <c r="E1054" s="3">
        <v>45406.833333333336</v>
      </c>
      <c r="F1054" s="2" t="s">
        <v>383</v>
      </c>
      <c r="G1054" s="2" t="s">
        <v>85</v>
      </c>
      <c r="H1054" s="2">
        <v>3.8</v>
      </c>
      <c r="I1054" s="2">
        <v>20</v>
      </c>
      <c r="J1054" s="2">
        <v>3.1</v>
      </c>
      <c r="K1054" s="2">
        <v>29</v>
      </c>
      <c r="L1054" s="2">
        <v>0</v>
      </c>
      <c r="M1054" s="2">
        <v>10</v>
      </c>
      <c r="N1054" s="2" t="s">
        <v>95</v>
      </c>
      <c r="O1054" s="10">
        <v>1</v>
      </c>
      <c r="P1054" s="10">
        <v>1</v>
      </c>
      <c r="Q1054" s="184">
        <v>4</v>
      </c>
      <c r="R1054" s="181">
        <v>2</v>
      </c>
      <c r="S1054" s="178">
        <f t="shared" si="118"/>
        <v>2</v>
      </c>
      <c r="T1054" s="186">
        <f t="shared" si="119"/>
        <v>6</v>
      </c>
      <c r="U1054" s="179">
        <f t="shared" si="120"/>
        <v>4</v>
      </c>
      <c r="V1054" s="1">
        <f t="shared" si="121"/>
        <v>25</v>
      </c>
      <c r="W1054" s="8">
        <f t="shared" si="122"/>
        <v>6.25</v>
      </c>
      <c r="X1054" s="15">
        <f t="shared" si="123"/>
        <v>5987.5</v>
      </c>
      <c r="Y1054"/>
      <c r="Z1054"/>
      <c r="AA1054"/>
      <c r="AB1054"/>
      <c r="AC1054"/>
      <c r="AD1054"/>
    </row>
    <row r="1055" spans="1:30">
      <c r="A1055" t="s">
        <v>931</v>
      </c>
      <c r="B1055" s="163" t="s">
        <v>623</v>
      </c>
      <c r="C1055" s="2" t="s">
        <v>6</v>
      </c>
      <c r="D1055" s="2" t="s">
        <v>7</v>
      </c>
      <c r="E1055" s="3">
        <v>45409.625</v>
      </c>
      <c r="F1055" s="2" t="s">
        <v>163</v>
      </c>
      <c r="G1055" s="2" t="s">
        <v>9</v>
      </c>
      <c r="H1055" s="2">
        <v>5.6</v>
      </c>
      <c r="I1055" s="2">
        <v>20</v>
      </c>
      <c r="J1055" s="2">
        <v>3.45</v>
      </c>
      <c r="K1055" s="2">
        <v>23</v>
      </c>
      <c r="L1055" s="2">
        <v>0</v>
      </c>
      <c r="M1055" s="2">
        <v>10</v>
      </c>
      <c r="N1055" s="2" t="s">
        <v>95</v>
      </c>
      <c r="O1055" s="10">
        <v>2</v>
      </c>
      <c r="P1055" s="10">
        <v>2</v>
      </c>
      <c r="Q1055" s="184">
        <v>3</v>
      </c>
      <c r="R1055" s="181">
        <v>3</v>
      </c>
      <c r="S1055" s="178">
        <f t="shared" si="118"/>
        <v>4</v>
      </c>
      <c r="T1055" s="186">
        <f t="shared" si="119"/>
        <v>6</v>
      </c>
      <c r="U1055" s="179">
        <f t="shared" si="120"/>
        <v>2</v>
      </c>
      <c r="V1055" s="1">
        <f t="shared" si="121"/>
        <v>25</v>
      </c>
      <c r="W1055" s="8">
        <f t="shared" si="122"/>
        <v>6.25</v>
      </c>
      <c r="X1055" s="15">
        <f t="shared" si="123"/>
        <v>5993.75</v>
      </c>
      <c r="Y1055"/>
      <c r="Z1055"/>
      <c r="AA1055"/>
      <c r="AB1055"/>
      <c r="AC1055"/>
      <c r="AD1055"/>
    </row>
    <row r="1056" spans="1:30">
      <c r="A1056" t="s">
        <v>931</v>
      </c>
      <c r="B1056" s="163" t="s">
        <v>623</v>
      </c>
      <c r="C1056" s="2" t="s">
        <v>145</v>
      </c>
      <c r="D1056" s="2" t="s">
        <v>190</v>
      </c>
      <c r="E1056" s="3">
        <v>45409.833333333336</v>
      </c>
      <c r="F1056" s="2" t="s">
        <v>553</v>
      </c>
      <c r="G1056" s="2" t="s">
        <v>612</v>
      </c>
      <c r="H1056" s="2">
        <v>4.9000000000000004</v>
      </c>
      <c r="I1056" s="2">
        <v>20</v>
      </c>
      <c r="J1056" s="2">
        <v>3.1</v>
      </c>
      <c r="K1056" s="2">
        <v>28</v>
      </c>
      <c r="L1056" s="2">
        <v>2</v>
      </c>
      <c r="M1056" s="2">
        <v>10</v>
      </c>
      <c r="N1056" s="2" t="s">
        <v>95</v>
      </c>
      <c r="O1056" s="10">
        <v>1</v>
      </c>
      <c r="P1056" s="10">
        <v>2</v>
      </c>
      <c r="Q1056" s="184">
        <v>3</v>
      </c>
      <c r="R1056" s="181">
        <v>3</v>
      </c>
      <c r="S1056" s="178">
        <f t="shared" si="118"/>
        <v>3</v>
      </c>
      <c r="T1056" s="186">
        <f t="shared" si="119"/>
        <v>6</v>
      </c>
      <c r="U1056" s="179">
        <f t="shared" si="120"/>
        <v>3</v>
      </c>
      <c r="V1056" s="1">
        <f t="shared" si="121"/>
        <v>25</v>
      </c>
      <c r="W1056" s="8">
        <f t="shared" si="122"/>
        <v>6.25</v>
      </c>
      <c r="X1056" s="15">
        <f t="shared" si="123"/>
        <v>6000</v>
      </c>
      <c r="Y1056"/>
      <c r="Z1056"/>
      <c r="AA1056"/>
      <c r="AB1056"/>
      <c r="AC1056"/>
      <c r="AD1056"/>
    </row>
    <row r="1057" spans="1:30">
      <c r="A1057" t="s">
        <v>931</v>
      </c>
      <c r="B1057" s="163" t="s">
        <v>623</v>
      </c>
      <c r="C1057" s="2" t="s">
        <v>80</v>
      </c>
      <c r="D1057" s="2" t="s">
        <v>81</v>
      </c>
      <c r="E1057" s="3">
        <v>45410.583333333336</v>
      </c>
      <c r="F1057" s="2" t="s">
        <v>293</v>
      </c>
      <c r="G1057" s="2" t="s">
        <v>310</v>
      </c>
      <c r="H1057" s="2">
        <v>4.2</v>
      </c>
      <c r="I1057" s="2">
        <v>20</v>
      </c>
      <c r="J1057" s="2">
        <v>2.9</v>
      </c>
      <c r="K1057" s="2">
        <v>49</v>
      </c>
      <c r="L1057" s="2">
        <v>1</v>
      </c>
      <c r="M1057" s="2">
        <v>10</v>
      </c>
      <c r="N1057" s="2" t="s">
        <v>95</v>
      </c>
      <c r="O1057" s="10">
        <v>3</v>
      </c>
      <c r="P1057" s="10">
        <v>0</v>
      </c>
      <c r="Q1057" s="184">
        <v>6</v>
      </c>
      <c r="R1057" s="181">
        <v>0</v>
      </c>
      <c r="S1057" s="178">
        <f t="shared" si="118"/>
        <v>3</v>
      </c>
      <c r="T1057" s="186">
        <f t="shared" si="119"/>
        <v>6</v>
      </c>
      <c r="U1057" s="179">
        <f t="shared" si="120"/>
        <v>3</v>
      </c>
      <c r="V1057" s="1">
        <f t="shared" si="121"/>
        <v>25</v>
      </c>
      <c r="W1057" s="8">
        <f t="shared" si="122"/>
        <v>6.25</v>
      </c>
      <c r="X1057" s="15">
        <f t="shared" si="123"/>
        <v>6006.25</v>
      </c>
      <c r="Y1057"/>
      <c r="Z1057"/>
      <c r="AA1057"/>
      <c r="AB1057"/>
      <c r="AC1057"/>
      <c r="AD1057"/>
    </row>
    <row r="1058" spans="1:30">
      <c r="A1058" t="s">
        <v>931</v>
      </c>
      <c r="B1058" s="163" t="s">
        <v>623</v>
      </c>
      <c r="C1058" s="2" t="s">
        <v>119</v>
      </c>
      <c r="D1058" s="2" t="s">
        <v>120</v>
      </c>
      <c r="E1058" s="3">
        <v>45411.833333333336</v>
      </c>
      <c r="F1058" s="2" t="s">
        <v>361</v>
      </c>
      <c r="G1058" s="2" t="s">
        <v>350</v>
      </c>
      <c r="H1058" s="2">
        <v>5.8</v>
      </c>
      <c r="I1058" s="2">
        <v>20</v>
      </c>
      <c r="J1058" s="2">
        <v>2.95</v>
      </c>
      <c r="K1058" s="2">
        <v>42</v>
      </c>
      <c r="L1058" s="2">
        <v>3</v>
      </c>
      <c r="M1058" s="2">
        <v>10</v>
      </c>
      <c r="N1058" s="2" t="s">
        <v>95</v>
      </c>
      <c r="O1058" s="10">
        <v>1</v>
      </c>
      <c r="P1058" s="10">
        <v>2</v>
      </c>
      <c r="Q1058" s="184">
        <v>4</v>
      </c>
      <c r="R1058" s="181">
        <v>2</v>
      </c>
      <c r="S1058" s="178">
        <f t="shared" si="118"/>
        <v>3</v>
      </c>
      <c r="T1058" s="186">
        <f t="shared" si="119"/>
        <v>6</v>
      </c>
      <c r="U1058" s="179">
        <f t="shared" si="120"/>
        <v>3</v>
      </c>
      <c r="V1058" s="1">
        <f t="shared" si="121"/>
        <v>25</v>
      </c>
      <c r="W1058" s="8">
        <f t="shared" si="122"/>
        <v>6.25</v>
      </c>
      <c r="X1058" s="15">
        <f t="shared" si="123"/>
        <v>6012.5</v>
      </c>
      <c r="Y1058"/>
      <c r="Z1058"/>
      <c r="AA1058"/>
      <c r="AB1058"/>
      <c r="AC1058"/>
      <c r="AD1058"/>
    </row>
    <row r="1059" spans="1:30">
      <c r="A1059" t="s">
        <v>931</v>
      </c>
      <c r="B1059" s="163" t="s">
        <v>623</v>
      </c>
      <c r="C1059" s="2" t="s">
        <v>77</v>
      </c>
      <c r="D1059" s="2" t="s">
        <v>156</v>
      </c>
      <c r="E1059" s="3">
        <v>45416.604166666664</v>
      </c>
      <c r="F1059" s="2" t="s">
        <v>552</v>
      </c>
      <c r="G1059" s="2" t="s">
        <v>284</v>
      </c>
      <c r="H1059" s="2">
        <v>5.8</v>
      </c>
      <c r="I1059" s="2">
        <v>20</v>
      </c>
      <c r="J1059" s="2">
        <v>3.35</v>
      </c>
      <c r="K1059" s="2">
        <v>25</v>
      </c>
      <c r="L1059" s="2">
        <v>2</v>
      </c>
      <c r="M1059" s="2">
        <v>10</v>
      </c>
      <c r="N1059" s="2" t="s">
        <v>95</v>
      </c>
      <c r="O1059" s="10">
        <v>4</v>
      </c>
      <c r="P1059" s="10">
        <v>1</v>
      </c>
      <c r="Q1059" s="184">
        <v>5</v>
      </c>
      <c r="R1059" s="181">
        <v>1</v>
      </c>
      <c r="S1059" s="178">
        <f t="shared" si="118"/>
        <v>5</v>
      </c>
      <c r="T1059" s="186">
        <f t="shared" si="119"/>
        <v>6</v>
      </c>
      <c r="U1059" s="179">
        <f t="shared" si="120"/>
        <v>1</v>
      </c>
      <c r="V1059" s="1">
        <f t="shared" si="121"/>
        <v>25</v>
      </c>
      <c r="W1059" s="8">
        <f t="shared" si="122"/>
        <v>6.25</v>
      </c>
      <c r="X1059" s="15">
        <f t="shared" si="123"/>
        <v>6018.75</v>
      </c>
      <c r="Y1059"/>
      <c r="Z1059"/>
      <c r="AA1059"/>
      <c r="AB1059"/>
      <c r="AC1059"/>
      <c r="AD1059"/>
    </row>
    <row r="1060" spans="1:30">
      <c r="A1060" t="s">
        <v>931</v>
      </c>
      <c r="B1060" s="163" t="s">
        <v>623</v>
      </c>
      <c r="C1060" s="2" t="s">
        <v>6</v>
      </c>
      <c r="D1060" s="2" t="s">
        <v>62</v>
      </c>
      <c r="E1060" s="3">
        <v>45416.729166666664</v>
      </c>
      <c r="F1060" s="2" t="s">
        <v>72</v>
      </c>
      <c r="G1060" s="2" t="s">
        <v>64</v>
      </c>
      <c r="H1060" s="2">
        <v>2.3199999999999998</v>
      </c>
      <c r="I1060" s="2">
        <v>20</v>
      </c>
      <c r="J1060" s="2">
        <v>3.05</v>
      </c>
      <c r="K1060" s="2">
        <v>27</v>
      </c>
      <c r="L1060" s="2">
        <v>2</v>
      </c>
      <c r="M1060" s="2">
        <v>10</v>
      </c>
      <c r="N1060" s="2" t="s">
        <v>95</v>
      </c>
      <c r="O1060" s="10">
        <v>3</v>
      </c>
      <c r="P1060" s="10">
        <v>0</v>
      </c>
      <c r="Q1060" s="184">
        <v>5</v>
      </c>
      <c r="R1060" s="181">
        <v>1</v>
      </c>
      <c r="S1060" s="178">
        <f t="shared" si="118"/>
        <v>3</v>
      </c>
      <c r="T1060" s="186">
        <f t="shared" si="119"/>
        <v>6</v>
      </c>
      <c r="U1060" s="179">
        <f t="shared" si="120"/>
        <v>3</v>
      </c>
      <c r="V1060" s="1">
        <f t="shared" si="121"/>
        <v>25</v>
      </c>
      <c r="W1060" s="8">
        <f t="shared" si="122"/>
        <v>6.25</v>
      </c>
      <c r="X1060" s="15">
        <f t="shared" si="123"/>
        <v>6025</v>
      </c>
      <c r="Y1060"/>
      <c r="Z1060"/>
      <c r="AA1060"/>
      <c r="AB1060"/>
      <c r="AC1060"/>
      <c r="AD1060"/>
    </row>
    <row r="1061" spans="1:30">
      <c r="A1061" t="s">
        <v>931</v>
      </c>
      <c r="B1061" s="163" t="s">
        <v>623</v>
      </c>
      <c r="C1061" s="2" t="s">
        <v>149</v>
      </c>
      <c r="D1061" s="2" t="s">
        <v>153</v>
      </c>
      <c r="E1061" s="3">
        <v>45417.46875</v>
      </c>
      <c r="F1061" s="2" t="s">
        <v>188</v>
      </c>
      <c r="G1061" s="2" t="s">
        <v>395</v>
      </c>
      <c r="H1061" s="2">
        <v>2.38</v>
      </c>
      <c r="I1061" s="2">
        <v>20</v>
      </c>
      <c r="J1061" s="2">
        <v>3.4</v>
      </c>
      <c r="K1061" s="2">
        <v>27</v>
      </c>
      <c r="L1061" s="2">
        <v>4</v>
      </c>
      <c r="M1061" s="2">
        <v>10</v>
      </c>
      <c r="N1061" s="2" t="s">
        <v>95</v>
      </c>
      <c r="O1061" s="10">
        <v>2</v>
      </c>
      <c r="P1061" s="10">
        <v>2</v>
      </c>
      <c r="Q1061" s="184">
        <v>4</v>
      </c>
      <c r="R1061" s="181">
        <v>2</v>
      </c>
      <c r="S1061" s="178">
        <f t="shared" si="118"/>
        <v>4</v>
      </c>
      <c r="T1061" s="186">
        <f t="shared" si="119"/>
        <v>6</v>
      </c>
      <c r="U1061" s="179">
        <f t="shared" si="120"/>
        <v>2</v>
      </c>
      <c r="V1061" s="1">
        <f t="shared" si="121"/>
        <v>25</v>
      </c>
      <c r="W1061" s="8">
        <f t="shared" si="122"/>
        <v>6.25</v>
      </c>
      <c r="X1061" s="15">
        <f t="shared" si="123"/>
        <v>6031.25</v>
      </c>
      <c r="Y1061"/>
      <c r="Z1061"/>
      <c r="AA1061"/>
      <c r="AB1061"/>
      <c r="AC1061"/>
      <c r="AD1061"/>
    </row>
    <row r="1062" spans="1:30">
      <c r="A1062" t="s">
        <v>931</v>
      </c>
      <c r="B1062" s="163" t="s">
        <v>623</v>
      </c>
      <c r="C1062" s="2" t="s">
        <v>6</v>
      </c>
      <c r="D1062" s="2" t="s">
        <v>62</v>
      </c>
      <c r="E1062" s="3">
        <v>45417.6875</v>
      </c>
      <c r="F1062" s="2" t="s">
        <v>285</v>
      </c>
      <c r="G1062" s="2" t="s">
        <v>116</v>
      </c>
      <c r="H1062" s="2">
        <v>3.5</v>
      </c>
      <c r="I1062" s="2">
        <v>20</v>
      </c>
      <c r="J1062" s="2">
        <v>3.45</v>
      </c>
      <c r="K1062" s="2">
        <v>21</v>
      </c>
      <c r="L1062" s="2">
        <v>3</v>
      </c>
      <c r="M1062" s="2">
        <v>10</v>
      </c>
      <c r="N1062" s="2" t="s">
        <v>95</v>
      </c>
      <c r="O1062" s="10">
        <v>2</v>
      </c>
      <c r="P1062" s="10">
        <v>0</v>
      </c>
      <c r="Q1062" s="184">
        <v>4</v>
      </c>
      <c r="R1062" s="181">
        <v>2</v>
      </c>
      <c r="S1062" s="178">
        <f t="shared" si="118"/>
        <v>2</v>
      </c>
      <c r="T1062" s="186">
        <f t="shared" si="119"/>
        <v>6</v>
      </c>
      <c r="U1062" s="179">
        <f t="shared" si="120"/>
        <v>4</v>
      </c>
      <c r="V1062" s="1">
        <f t="shared" si="121"/>
        <v>25</v>
      </c>
      <c r="W1062" s="8">
        <f t="shared" si="122"/>
        <v>6.25</v>
      </c>
      <c r="X1062" s="15">
        <f t="shared" si="123"/>
        <v>6037.5</v>
      </c>
      <c r="Y1062"/>
      <c r="Z1062"/>
      <c r="AA1062"/>
      <c r="AB1062"/>
      <c r="AC1062"/>
      <c r="AD1062"/>
    </row>
    <row r="1063" spans="1:30">
      <c r="A1063" t="s">
        <v>931</v>
      </c>
      <c r="B1063" s="163" t="s">
        <v>623</v>
      </c>
      <c r="C1063" s="2" t="s">
        <v>20</v>
      </c>
      <c r="D1063" s="2" t="s">
        <v>21</v>
      </c>
      <c r="E1063" s="3">
        <v>45423.822916666664</v>
      </c>
      <c r="F1063" s="2" t="s">
        <v>109</v>
      </c>
      <c r="G1063" s="2" t="s">
        <v>335</v>
      </c>
      <c r="H1063" s="2">
        <v>5.8</v>
      </c>
      <c r="I1063" s="2">
        <v>20</v>
      </c>
      <c r="J1063" s="2">
        <v>2.7</v>
      </c>
      <c r="K1063" s="2">
        <v>27</v>
      </c>
      <c r="L1063" s="2">
        <v>0</v>
      </c>
      <c r="M1063" s="2">
        <v>10</v>
      </c>
      <c r="N1063" s="2" t="s">
        <v>95</v>
      </c>
      <c r="O1063" s="10">
        <v>1</v>
      </c>
      <c r="P1063" s="10">
        <v>0</v>
      </c>
      <c r="Q1063" s="184">
        <v>5</v>
      </c>
      <c r="R1063" s="181">
        <v>1</v>
      </c>
      <c r="S1063" s="178">
        <f t="shared" si="118"/>
        <v>1</v>
      </c>
      <c r="T1063" s="186">
        <f t="shared" si="119"/>
        <v>6</v>
      </c>
      <c r="U1063" s="179">
        <f t="shared" si="120"/>
        <v>5</v>
      </c>
      <c r="V1063" s="1">
        <f t="shared" si="121"/>
        <v>25</v>
      </c>
      <c r="W1063" s="8">
        <f t="shared" si="122"/>
        <v>6.25</v>
      </c>
      <c r="X1063" s="15">
        <f t="shared" si="123"/>
        <v>6043.75</v>
      </c>
      <c r="Y1063"/>
      <c r="Z1063"/>
      <c r="AA1063"/>
      <c r="AB1063"/>
      <c r="AC1063"/>
      <c r="AD1063"/>
    </row>
    <row r="1064" spans="1:30">
      <c r="A1064" t="s">
        <v>931</v>
      </c>
      <c r="B1064" s="163" t="s">
        <v>623</v>
      </c>
      <c r="C1064" s="2" t="s">
        <v>13</v>
      </c>
      <c r="D1064" s="2" t="s">
        <v>37</v>
      </c>
      <c r="E1064" s="3">
        <v>45427.822916666664</v>
      </c>
      <c r="F1064" s="2" t="s">
        <v>319</v>
      </c>
      <c r="G1064" s="2" t="s">
        <v>39</v>
      </c>
      <c r="H1064" s="2">
        <v>5.8</v>
      </c>
      <c r="I1064" s="2">
        <v>20</v>
      </c>
      <c r="J1064" s="2">
        <v>2.9</v>
      </c>
      <c r="K1064" s="2">
        <v>31</v>
      </c>
      <c r="L1064" s="2">
        <v>0</v>
      </c>
      <c r="M1064" s="2">
        <v>10</v>
      </c>
      <c r="N1064" s="2" t="s">
        <v>95</v>
      </c>
      <c r="O1064" s="10">
        <v>0</v>
      </c>
      <c r="P1064" s="10">
        <v>0</v>
      </c>
      <c r="Q1064" s="184">
        <v>5</v>
      </c>
      <c r="R1064" s="181">
        <v>1</v>
      </c>
      <c r="S1064" s="178">
        <f t="shared" si="118"/>
        <v>0</v>
      </c>
      <c r="T1064" s="186">
        <f t="shared" si="119"/>
        <v>6</v>
      </c>
      <c r="U1064" s="179">
        <f t="shared" si="120"/>
        <v>6</v>
      </c>
      <c r="V1064" s="1">
        <f t="shared" si="121"/>
        <v>25</v>
      </c>
      <c r="W1064" s="8">
        <f t="shared" si="122"/>
        <v>6.25</v>
      </c>
      <c r="X1064" s="15">
        <f t="shared" si="123"/>
        <v>6050</v>
      </c>
      <c r="Y1064"/>
      <c r="Z1064"/>
      <c r="AA1064"/>
      <c r="AB1064"/>
      <c r="AC1064"/>
      <c r="AD1064"/>
    </row>
    <row r="1065" spans="1:30">
      <c r="A1065" t="s">
        <v>931</v>
      </c>
      <c r="B1065" s="163" t="s">
        <v>623</v>
      </c>
      <c r="C1065" s="2" t="s">
        <v>149</v>
      </c>
      <c r="D1065" s="2" t="s">
        <v>153</v>
      </c>
      <c r="E1065" s="3">
        <v>45431.5625</v>
      </c>
      <c r="F1065" s="2" t="s">
        <v>245</v>
      </c>
      <c r="G1065" s="2" t="s">
        <v>250</v>
      </c>
      <c r="H1065" s="2">
        <v>4.5</v>
      </c>
      <c r="I1065" s="2">
        <v>20</v>
      </c>
      <c r="J1065" s="2">
        <v>3</v>
      </c>
      <c r="K1065" s="2">
        <v>20</v>
      </c>
      <c r="L1065" s="2">
        <v>3</v>
      </c>
      <c r="M1065" s="2">
        <v>10</v>
      </c>
      <c r="N1065" s="2" t="s">
        <v>95</v>
      </c>
      <c r="O1065" s="10">
        <v>3</v>
      </c>
      <c r="P1065" s="10">
        <v>0</v>
      </c>
      <c r="Q1065" s="184">
        <v>3</v>
      </c>
      <c r="R1065" s="181">
        <v>3</v>
      </c>
      <c r="S1065" s="178">
        <f t="shared" si="118"/>
        <v>3</v>
      </c>
      <c r="T1065" s="186">
        <f t="shared" si="119"/>
        <v>6</v>
      </c>
      <c r="U1065" s="179">
        <f t="shared" si="120"/>
        <v>3</v>
      </c>
      <c r="V1065" s="1">
        <f t="shared" si="121"/>
        <v>25</v>
      </c>
      <c r="W1065" s="8">
        <f t="shared" si="122"/>
        <v>6.25</v>
      </c>
      <c r="X1065" s="15">
        <f t="shared" si="123"/>
        <v>6056.25</v>
      </c>
      <c r="Y1065"/>
      <c r="Z1065"/>
      <c r="AA1065"/>
      <c r="AB1065"/>
      <c r="AC1065"/>
      <c r="AD1065"/>
    </row>
    <row r="1066" spans="1:30">
      <c r="A1066" t="s">
        <v>931</v>
      </c>
      <c r="B1066" s="163" t="s">
        <v>623</v>
      </c>
      <c r="C1066" s="2" t="s">
        <v>20</v>
      </c>
      <c r="D1066" s="2" t="s">
        <v>21</v>
      </c>
      <c r="E1066" s="3">
        <v>45437.822916666664</v>
      </c>
      <c r="F1066" s="2" t="s">
        <v>109</v>
      </c>
      <c r="G1066" s="2" t="s">
        <v>110</v>
      </c>
      <c r="H1066" s="2">
        <v>2.2999999999999998</v>
      </c>
      <c r="I1066" s="2">
        <v>20</v>
      </c>
      <c r="J1066" s="2">
        <v>3</v>
      </c>
      <c r="K1066" s="2">
        <v>21</v>
      </c>
      <c r="L1066" s="2">
        <v>1</v>
      </c>
      <c r="M1066" s="2">
        <v>10</v>
      </c>
      <c r="N1066" s="2" t="s">
        <v>95</v>
      </c>
      <c r="O1066" s="10">
        <v>2</v>
      </c>
      <c r="P1066" s="10">
        <v>0</v>
      </c>
      <c r="Q1066" s="184">
        <v>3</v>
      </c>
      <c r="R1066" s="181">
        <v>3</v>
      </c>
      <c r="S1066" s="178">
        <f t="shared" si="118"/>
        <v>2</v>
      </c>
      <c r="T1066" s="186">
        <f t="shared" si="119"/>
        <v>6</v>
      </c>
      <c r="U1066" s="179">
        <f t="shared" si="120"/>
        <v>4</v>
      </c>
      <c r="V1066" s="1">
        <f t="shared" si="121"/>
        <v>25</v>
      </c>
      <c r="W1066" s="8">
        <f t="shared" si="122"/>
        <v>6.25</v>
      </c>
      <c r="X1066" s="15">
        <f t="shared" si="123"/>
        <v>6062.5</v>
      </c>
      <c r="Y1066"/>
      <c r="Z1066"/>
      <c r="AA1066"/>
      <c r="AB1066"/>
      <c r="AC1066"/>
      <c r="AD1066"/>
    </row>
    <row r="1067" spans="1:30">
      <c r="A1067" t="s">
        <v>931</v>
      </c>
      <c r="B1067" s="163" t="s">
        <v>623</v>
      </c>
      <c r="C1067" s="2" t="s">
        <v>434</v>
      </c>
      <c r="D1067" s="2" t="s">
        <v>435</v>
      </c>
      <c r="E1067" s="3">
        <v>45438.666666666664</v>
      </c>
      <c r="F1067" s="2" t="s">
        <v>437</v>
      </c>
      <c r="G1067" s="2" t="s">
        <v>702</v>
      </c>
      <c r="H1067" s="2">
        <v>4.0999999999999996</v>
      </c>
      <c r="I1067" s="2">
        <v>20</v>
      </c>
      <c r="J1067" s="2">
        <v>3.3</v>
      </c>
      <c r="K1067" s="2">
        <v>27</v>
      </c>
      <c r="L1067" s="2">
        <v>1</v>
      </c>
      <c r="M1067" s="2">
        <v>10</v>
      </c>
      <c r="N1067" s="2" t="s">
        <v>95</v>
      </c>
      <c r="O1067" s="10">
        <v>0</v>
      </c>
      <c r="P1067" s="10">
        <v>2</v>
      </c>
      <c r="Q1067" s="184">
        <v>3</v>
      </c>
      <c r="R1067" s="181">
        <v>3</v>
      </c>
      <c r="S1067" s="178">
        <f t="shared" si="118"/>
        <v>2</v>
      </c>
      <c r="T1067" s="186">
        <f t="shared" si="119"/>
        <v>6</v>
      </c>
      <c r="U1067" s="179">
        <f t="shared" si="120"/>
        <v>4</v>
      </c>
      <c r="V1067" s="1">
        <f t="shared" si="121"/>
        <v>25</v>
      </c>
      <c r="W1067" s="8">
        <f t="shared" si="122"/>
        <v>6.25</v>
      </c>
      <c r="X1067" s="15">
        <f t="shared" si="123"/>
        <v>6068.75</v>
      </c>
      <c r="Y1067"/>
      <c r="Z1067"/>
      <c r="AA1067"/>
      <c r="AB1067"/>
      <c r="AC1067"/>
      <c r="AD1067"/>
    </row>
    <row r="1068" spans="1:30">
      <c r="A1068" t="s">
        <v>931</v>
      </c>
      <c r="B1068" s="163" t="s">
        <v>623</v>
      </c>
      <c r="C1068" s="2" t="s">
        <v>80</v>
      </c>
      <c r="D1068" s="2" t="s">
        <v>81</v>
      </c>
      <c r="E1068" s="3">
        <v>45438.708333333336</v>
      </c>
      <c r="F1068" s="2" t="s">
        <v>314</v>
      </c>
      <c r="G1068" s="2" t="s">
        <v>310</v>
      </c>
      <c r="H1068" s="2">
        <v>1.54</v>
      </c>
      <c r="I1068" s="2">
        <v>20</v>
      </c>
      <c r="J1068" s="2">
        <v>3.35</v>
      </c>
      <c r="K1068" s="2">
        <v>32</v>
      </c>
      <c r="L1068" s="2">
        <v>3</v>
      </c>
      <c r="M1068" s="2">
        <v>10</v>
      </c>
      <c r="N1068" s="2" t="s">
        <v>95</v>
      </c>
      <c r="O1068" s="10">
        <v>3</v>
      </c>
      <c r="P1068" s="10">
        <v>0</v>
      </c>
      <c r="Q1068" s="184">
        <v>6</v>
      </c>
      <c r="R1068" s="181">
        <v>0</v>
      </c>
      <c r="S1068" s="178">
        <f t="shared" si="118"/>
        <v>3</v>
      </c>
      <c r="T1068" s="186">
        <f t="shared" si="119"/>
        <v>6</v>
      </c>
      <c r="U1068" s="179">
        <f t="shared" si="120"/>
        <v>3</v>
      </c>
      <c r="V1068" s="1">
        <f t="shared" si="121"/>
        <v>25</v>
      </c>
      <c r="W1068" s="8">
        <f t="shared" si="122"/>
        <v>6.25</v>
      </c>
      <c r="X1068" s="15">
        <f t="shared" si="123"/>
        <v>6075</v>
      </c>
      <c r="Y1068"/>
      <c r="Z1068"/>
      <c r="AA1068"/>
      <c r="AB1068"/>
      <c r="AC1068"/>
      <c r="AD1068"/>
    </row>
    <row r="1069" spans="1:30">
      <c r="A1069" t="s">
        <v>931</v>
      </c>
      <c r="B1069" s="163" t="s">
        <v>498</v>
      </c>
      <c r="C1069" s="2" t="s">
        <v>77</v>
      </c>
      <c r="D1069" s="2" t="s">
        <v>234</v>
      </c>
      <c r="E1069" s="3">
        <v>45417.520833333336</v>
      </c>
      <c r="F1069" s="2" t="s">
        <v>499</v>
      </c>
      <c r="G1069" s="2" t="s">
        <v>475</v>
      </c>
      <c r="H1069" s="2">
        <v>74</v>
      </c>
      <c r="I1069" s="2">
        <v>85</v>
      </c>
      <c r="J1069" s="2">
        <v>1.35</v>
      </c>
      <c r="K1069" s="2">
        <v>20</v>
      </c>
      <c r="L1069" s="2"/>
      <c r="M1069" s="2"/>
      <c r="N1069" s="2" t="s">
        <v>95</v>
      </c>
      <c r="O1069" s="10">
        <v>1</v>
      </c>
      <c r="P1069" s="10">
        <v>1</v>
      </c>
      <c r="Q1069" s="184">
        <v>4</v>
      </c>
      <c r="R1069" s="187">
        <v>2</v>
      </c>
      <c r="S1069" s="178">
        <f t="shared" si="118"/>
        <v>2</v>
      </c>
      <c r="T1069" s="186">
        <f t="shared" si="119"/>
        <v>6</v>
      </c>
      <c r="U1069" s="179">
        <f t="shared" si="120"/>
        <v>4</v>
      </c>
      <c r="V1069" s="1">
        <f t="shared" si="121"/>
        <v>25</v>
      </c>
      <c r="W1069" s="8">
        <f t="shared" si="122"/>
        <v>6.25</v>
      </c>
      <c r="X1069" s="15">
        <f t="shared" si="123"/>
        <v>6081.25</v>
      </c>
      <c r="Y1069"/>
      <c r="Z1069"/>
      <c r="AA1069"/>
      <c r="AB1069"/>
      <c r="AC1069"/>
      <c r="AD1069"/>
    </row>
    <row r="1070" spans="1:30">
      <c r="A1070" t="s">
        <v>931</v>
      </c>
      <c r="B1070" s="163" t="s">
        <v>498</v>
      </c>
      <c r="C1070" s="2" t="s">
        <v>13</v>
      </c>
      <c r="D1070" s="2" t="s">
        <v>37</v>
      </c>
      <c r="E1070" s="3">
        <v>45427.822916666664</v>
      </c>
      <c r="F1070" s="2" t="s">
        <v>319</v>
      </c>
      <c r="G1070" s="2" t="s">
        <v>39</v>
      </c>
      <c r="H1070" s="2">
        <v>66</v>
      </c>
      <c r="I1070" s="2">
        <v>80</v>
      </c>
      <c r="J1070" s="2">
        <v>1.7</v>
      </c>
      <c r="K1070" s="2">
        <v>20</v>
      </c>
      <c r="L1070" s="2"/>
      <c r="M1070" s="2"/>
      <c r="N1070" s="2" t="s">
        <v>95</v>
      </c>
      <c r="O1070" s="10">
        <v>0</v>
      </c>
      <c r="P1070" s="10">
        <v>0</v>
      </c>
      <c r="Q1070" s="184">
        <v>5</v>
      </c>
      <c r="R1070" s="187">
        <v>1</v>
      </c>
      <c r="S1070" s="178">
        <f t="shared" si="118"/>
        <v>0</v>
      </c>
      <c r="T1070" s="186">
        <f t="shared" si="119"/>
        <v>6</v>
      </c>
      <c r="U1070" s="179">
        <f t="shared" si="120"/>
        <v>6</v>
      </c>
      <c r="V1070" s="1">
        <f t="shared" si="121"/>
        <v>25</v>
      </c>
      <c r="W1070" s="8">
        <f t="shared" si="122"/>
        <v>6.25</v>
      </c>
      <c r="X1070" s="15">
        <f t="shared" si="123"/>
        <v>6087.5</v>
      </c>
      <c r="Y1070"/>
      <c r="Z1070"/>
      <c r="AA1070"/>
      <c r="AB1070"/>
      <c r="AC1070"/>
      <c r="AD1070"/>
    </row>
    <row r="1071" spans="1:30">
      <c r="A1071" t="s">
        <v>931</v>
      </c>
      <c r="B1071" s="163" t="s">
        <v>498</v>
      </c>
      <c r="C1071" s="2" t="s">
        <v>13</v>
      </c>
      <c r="D1071" s="2" t="s">
        <v>37</v>
      </c>
      <c r="E1071" s="3">
        <v>45430.520833333336</v>
      </c>
      <c r="F1071" s="2" t="s">
        <v>305</v>
      </c>
      <c r="G1071" s="2" t="s">
        <v>79</v>
      </c>
      <c r="H1071" s="2">
        <v>65</v>
      </c>
      <c r="I1071" s="2">
        <v>90</v>
      </c>
      <c r="J1071" s="2">
        <v>1.4</v>
      </c>
      <c r="K1071" s="2">
        <v>20</v>
      </c>
      <c r="L1071" s="2"/>
      <c r="M1071" s="2"/>
      <c r="N1071" s="2" t="s">
        <v>95</v>
      </c>
      <c r="O1071" s="10">
        <v>1</v>
      </c>
      <c r="P1071" s="10">
        <v>0</v>
      </c>
      <c r="Q1071" s="184">
        <v>3</v>
      </c>
      <c r="R1071" s="187">
        <v>3</v>
      </c>
      <c r="S1071" s="178">
        <f t="shared" si="118"/>
        <v>1</v>
      </c>
      <c r="T1071" s="186">
        <f t="shared" si="119"/>
        <v>6</v>
      </c>
      <c r="U1071" s="179">
        <f t="shared" si="120"/>
        <v>5</v>
      </c>
      <c r="V1071" s="1">
        <f t="shared" si="121"/>
        <v>25</v>
      </c>
      <c r="W1071" s="8">
        <f t="shared" si="122"/>
        <v>6.25</v>
      </c>
      <c r="X1071" s="15">
        <f t="shared" si="123"/>
        <v>6093.75</v>
      </c>
      <c r="Y1071"/>
      <c r="Z1071"/>
      <c r="AA1071"/>
      <c r="AB1071"/>
      <c r="AC1071"/>
      <c r="AD1071"/>
    </row>
    <row r="1072" spans="1:30">
      <c r="A1072" t="s">
        <v>931</v>
      </c>
      <c r="B1072" s="163" t="s">
        <v>473</v>
      </c>
      <c r="C1072" s="2" t="s">
        <v>119</v>
      </c>
      <c r="D1072" s="2" t="s">
        <v>166</v>
      </c>
      <c r="E1072" s="3">
        <v>45361.541666666664</v>
      </c>
      <c r="F1072" s="2" t="s">
        <v>560</v>
      </c>
      <c r="G1072" s="2" t="s">
        <v>327</v>
      </c>
      <c r="H1072" s="2">
        <v>64</v>
      </c>
      <c r="I1072" s="2">
        <v>90</v>
      </c>
      <c r="J1072" s="2">
        <v>20</v>
      </c>
      <c r="K1072" s="2">
        <v>2.65</v>
      </c>
      <c r="L1072" s="2"/>
      <c r="M1072" s="2"/>
      <c r="N1072" s="2" t="s">
        <v>95</v>
      </c>
      <c r="O1072" s="10">
        <v>0</v>
      </c>
      <c r="P1072" s="10">
        <v>1</v>
      </c>
      <c r="Q1072" s="184">
        <v>4</v>
      </c>
      <c r="R1072" s="187">
        <v>2</v>
      </c>
      <c r="S1072" s="178">
        <f t="shared" si="118"/>
        <v>1</v>
      </c>
      <c r="T1072" s="186">
        <f t="shared" si="119"/>
        <v>6</v>
      </c>
      <c r="U1072" s="179">
        <f t="shared" si="120"/>
        <v>5</v>
      </c>
      <c r="V1072" s="1">
        <f t="shared" si="121"/>
        <v>25</v>
      </c>
      <c r="W1072" s="8">
        <f t="shared" si="122"/>
        <v>6.25</v>
      </c>
      <c r="X1072" s="15">
        <f t="shared" si="123"/>
        <v>6100</v>
      </c>
      <c r="Y1072"/>
      <c r="Z1072"/>
      <c r="AA1072"/>
      <c r="AB1072"/>
      <c r="AC1072"/>
      <c r="AD1072"/>
    </row>
    <row r="1073" spans="1:30">
      <c r="A1073" t="s">
        <v>931</v>
      </c>
      <c r="B1073" s="163" t="s">
        <v>473</v>
      </c>
      <c r="C1073" s="2" t="s">
        <v>6</v>
      </c>
      <c r="D1073" s="2" t="s">
        <v>7</v>
      </c>
      <c r="E1073" s="3">
        <v>45383.625</v>
      </c>
      <c r="F1073" s="2" t="s">
        <v>378</v>
      </c>
      <c r="G1073" s="2" t="s">
        <v>429</v>
      </c>
      <c r="H1073" s="2">
        <v>64</v>
      </c>
      <c r="I1073" s="2">
        <v>80</v>
      </c>
      <c r="J1073" s="2">
        <v>20</v>
      </c>
      <c r="K1073" s="2">
        <v>2.7</v>
      </c>
      <c r="L1073" s="2"/>
      <c r="M1073" s="2"/>
      <c r="N1073" s="2" t="s">
        <v>95</v>
      </c>
      <c r="O1073" s="10">
        <v>0</v>
      </c>
      <c r="P1073" s="10">
        <v>1</v>
      </c>
      <c r="Q1073" s="184">
        <v>5</v>
      </c>
      <c r="R1073" s="187">
        <v>1</v>
      </c>
      <c r="S1073" s="178">
        <f t="shared" si="118"/>
        <v>1</v>
      </c>
      <c r="T1073" s="186">
        <f t="shared" si="119"/>
        <v>6</v>
      </c>
      <c r="U1073" s="179">
        <f t="shared" si="120"/>
        <v>5</v>
      </c>
      <c r="V1073" s="1">
        <f t="shared" si="121"/>
        <v>25</v>
      </c>
      <c r="W1073" s="8">
        <f t="shared" si="122"/>
        <v>6.25</v>
      </c>
      <c r="X1073" s="15">
        <f t="shared" si="123"/>
        <v>6106.25</v>
      </c>
      <c r="Y1073"/>
      <c r="Z1073"/>
      <c r="AA1073"/>
      <c r="AB1073"/>
      <c r="AC1073"/>
      <c r="AD1073"/>
    </row>
    <row r="1074" spans="1:30">
      <c r="A1074" t="s">
        <v>931</v>
      </c>
      <c r="B1074" s="163" t="s">
        <v>473</v>
      </c>
      <c r="C1074" s="2" t="s">
        <v>13</v>
      </c>
      <c r="D1074" s="2" t="s">
        <v>14</v>
      </c>
      <c r="E1074" s="3">
        <v>45415.822916666664</v>
      </c>
      <c r="F1074" s="2" t="s">
        <v>682</v>
      </c>
      <c r="G1074" s="2" t="s">
        <v>130</v>
      </c>
      <c r="H1074" s="2">
        <v>65</v>
      </c>
      <c r="I1074" s="2">
        <v>85</v>
      </c>
      <c r="J1074" s="2">
        <v>20</v>
      </c>
      <c r="K1074" s="2">
        <v>3</v>
      </c>
      <c r="L1074" s="2"/>
      <c r="M1074" s="2"/>
      <c r="N1074" s="2" t="s">
        <v>95</v>
      </c>
      <c r="O1074" s="10">
        <v>1</v>
      </c>
      <c r="P1074" s="10">
        <v>3</v>
      </c>
      <c r="Q1074" s="184">
        <v>3</v>
      </c>
      <c r="R1074" s="187">
        <v>3</v>
      </c>
      <c r="S1074" s="178">
        <f t="shared" si="118"/>
        <v>4</v>
      </c>
      <c r="T1074" s="186">
        <f t="shared" si="119"/>
        <v>6</v>
      </c>
      <c r="U1074" s="179">
        <f t="shared" si="120"/>
        <v>2</v>
      </c>
      <c r="V1074" s="1">
        <f t="shared" si="121"/>
        <v>25</v>
      </c>
      <c r="W1074" s="8">
        <f t="shared" si="122"/>
        <v>6.25</v>
      </c>
      <c r="X1074" s="15">
        <f t="shared" si="123"/>
        <v>6112.5</v>
      </c>
      <c r="Y1074"/>
      <c r="Z1074"/>
      <c r="AA1074"/>
      <c r="AB1074"/>
      <c r="AC1074"/>
      <c r="AD1074"/>
    </row>
    <row r="1075" spans="1:30">
      <c r="A1075" t="s">
        <v>931</v>
      </c>
      <c r="B1075" s="163" t="s">
        <v>473</v>
      </c>
      <c r="C1075" s="2" t="s">
        <v>640</v>
      </c>
      <c r="D1075" s="2" t="s">
        <v>641</v>
      </c>
      <c r="E1075" s="3">
        <v>45424.5625</v>
      </c>
      <c r="F1075" s="2" t="s">
        <v>824</v>
      </c>
      <c r="G1075" s="2" t="s">
        <v>643</v>
      </c>
      <c r="H1075" s="2">
        <v>67</v>
      </c>
      <c r="I1075" s="2">
        <v>85</v>
      </c>
      <c r="J1075" s="2">
        <v>20</v>
      </c>
      <c r="K1075" s="2">
        <v>3.3</v>
      </c>
      <c r="L1075" s="2"/>
      <c r="M1075" s="2"/>
      <c r="N1075" s="2" t="s">
        <v>95</v>
      </c>
      <c r="O1075" s="10">
        <v>1</v>
      </c>
      <c r="P1075" s="10">
        <v>1</v>
      </c>
      <c r="Q1075" s="184">
        <v>2</v>
      </c>
      <c r="R1075" s="187">
        <v>4</v>
      </c>
      <c r="S1075" s="178">
        <f t="shared" si="118"/>
        <v>2</v>
      </c>
      <c r="T1075" s="186">
        <f t="shared" si="119"/>
        <v>6</v>
      </c>
      <c r="U1075" s="179">
        <f t="shared" si="120"/>
        <v>4</v>
      </c>
      <c r="V1075" s="1">
        <f t="shared" si="121"/>
        <v>25</v>
      </c>
      <c r="W1075" s="8">
        <f t="shared" si="122"/>
        <v>6.25</v>
      </c>
      <c r="X1075" s="15">
        <f t="shared" si="123"/>
        <v>6118.75</v>
      </c>
      <c r="Y1075"/>
      <c r="Z1075"/>
      <c r="AA1075"/>
      <c r="AB1075"/>
      <c r="AC1075"/>
      <c r="AD1075"/>
    </row>
    <row r="1076" spans="1:30">
      <c r="A1076" t="s">
        <v>931</v>
      </c>
      <c r="B1076" s="163" t="s">
        <v>473</v>
      </c>
      <c r="C1076" s="2" t="s">
        <v>13</v>
      </c>
      <c r="D1076" s="2" t="s">
        <v>37</v>
      </c>
      <c r="E1076" s="3">
        <v>45427.822916666664</v>
      </c>
      <c r="F1076" s="2" t="s">
        <v>319</v>
      </c>
      <c r="G1076" s="2" t="s">
        <v>39</v>
      </c>
      <c r="H1076" s="2">
        <v>66</v>
      </c>
      <c r="I1076" s="2">
        <v>80</v>
      </c>
      <c r="J1076" s="2">
        <v>20</v>
      </c>
      <c r="K1076" s="2">
        <v>2.9</v>
      </c>
      <c r="L1076" s="2"/>
      <c r="M1076" s="2"/>
      <c r="N1076" s="2" t="s">
        <v>95</v>
      </c>
      <c r="O1076" s="10">
        <v>0</v>
      </c>
      <c r="P1076" s="10">
        <v>0</v>
      </c>
      <c r="Q1076" s="184">
        <v>5</v>
      </c>
      <c r="R1076" s="187">
        <v>1</v>
      </c>
      <c r="S1076" s="178">
        <f t="shared" si="118"/>
        <v>0</v>
      </c>
      <c r="T1076" s="186">
        <f t="shared" si="119"/>
        <v>6</v>
      </c>
      <c r="U1076" s="179">
        <f t="shared" si="120"/>
        <v>6</v>
      </c>
      <c r="V1076" s="1">
        <f t="shared" si="121"/>
        <v>25</v>
      </c>
      <c r="W1076" s="8">
        <f t="shared" si="122"/>
        <v>6.25</v>
      </c>
      <c r="X1076" s="15">
        <f t="shared" si="123"/>
        <v>6125</v>
      </c>
      <c r="Y1076"/>
      <c r="Z1076"/>
      <c r="AA1076"/>
      <c r="AB1076"/>
      <c r="AC1076"/>
      <c r="AD1076"/>
    </row>
    <row r="1077" spans="1:30">
      <c r="A1077" t="s">
        <v>931</v>
      </c>
      <c r="B1077" s="163" t="s">
        <v>474</v>
      </c>
      <c r="C1077" s="2" t="s">
        <v>77</v>
      </c>
      <c r="D1077" s="2" t="s">
        <v>251</v>
      </c>
      <c r="E1077" s="3">
        <v>45395.541666666664</v>
      </c>
      <c r="F1077" s="2" t="s">
        <v>295</v>
      </c>
      <c r="G1077" s="2" t="s">
        <v>549</v>
      </c>
      <c r="H1077" s="2">
        <v>52</v>
      </c>
      <c r="I1077" s="2">
        <v>3.3</v>
      </c>
      <c r="J1077" s="2">
        <v>20</v>
      </c>
      <c r="K1077" s="2">
        <v>65</v>
      </c>
      <c r="L1077" s="2">
        <v>85</v>
      </c>
      <c r="M1077" s="2"/>
      <c r="N1077" s="2" t="s">
        <v>95</v>
      </c>
      <c r="O1077" s="10">
        <v>0</v>
      </c>
      <c r="P1077" s="10">
        <v>0</v>
      </c>
      <c r="Q1077" s="184">
        <v>4</v>
      </c>
      <c r="R1077" s="187">
        <v>2</v>
      </c>
      <c r="S1077" s="178">
        <f t="shared" si="118"/>
        <v>0</v>
      </c>
      <c r="T1077" s="186">
        <f t="shared" si="119"/>
        <v>6</v>
      </c>
      <c r="U1077" s="179">
        <f t="shared" si="120"/>
        <v>6</v>
      </c>
      <c r="V1077" s="1">
        <f t="shared" si="121"/>
        <v>25</v>
      </c>
      <c r="W1077" s="8">
        <f t="shared" si="122"/>
        <v>6.25</v>
      </c>
      <c r="X1077" s="15">
        <f t="shared" si="123"/>
        <v>6131.25</v>
      </c>
      <c r="Y1077"/>
      <c r="Z1077"/>
      <c r="AA1077"/>
      <c r="AB1077"/>
      <c r="AC1077"/>
      <c r="AD1077"/>
    </row>
    <row r="1078" spans="1:30">
      <c r="A1078" t="s">
        <v>931</v>
      </c>
      <c r="B1078" s="163" t="s">
        <v>474</v>
      </c>
      <c r="C1078" s="2" t="s">
        <v>20</v>
      </c>
      <c r="D1078" s="2" t="s">
        <v>21</v>
      </c>
      <c r="E1078" s="3">
        <v>45396.583333333336</v>
      </c>
      <c r="F1078" s="2" t="s">
        <v>370</v>
      </c>
      <c r="G1078" s="2" t="s">
        <v>109</v>
      </c>
      <c r="H1078" s="2">
        <v>51</v>
      </c>
      <c r="I1078" s="2">
        <v>3.5</v>
      </c>
      <c r="J1078" s="2">
        <v>20</v>
      </c>
      <c r="K1078" s="2">
        <v>70</v>
      </c>
      <c r="L1078" s="2">
        <v>85</v>
      </c>
      <c r="M1078" s="2"/>
      <c r="N1078" s="2" t="s">
        <v>95</v>
      </c>
      <c r="O1078" s="10">
        <v>2</v>
      </c>
      <c r="P1078" s="10">
        <v>1</v>
      </c>
      <c r="Q1078" s="184">
        <v>3</v>
      </c>
      <c r="R1078" s="187">
        <v>3</v>
      </c>
      <c r="S1078" s="178">
        <f t="shared" si="118"/>
        <v>3</v>
      </c>
      <c r="T1078" s="186">
        <f t="shared" si="119"/>
        <v>6</v>
      </c>
      <c r="U1078" s="179">
        <f t="shared" si="120"/>
        <v>3</v>
      </c>
      <c r="V1078" s="1">
        <f t="shared" si="121"/>
        <v>25</v>
      </c>
      <c r="W1078" s="8">
        <f t="shared" si="122"/>
        <v>6.25</v>
      </c>
      <c r="X1078" s="15">
        <f t="shared" si="123"/>
        <v>6137.5</v>
      </c>
      <c r="Y1078"/>
      <c r="Z1078"/>
      <c r="AA1078"/>
      <c r="AB1078"/>
      <c r="AC1078"/>
      <c r="AD1078"/>
    </row>
    <row r="1079" spans="1:30">
      <c r="A1079" t="s">
        <v>931</v>
      </c>
      <c r="B1079" s="163" t="s">
        <v>474</v>
      </c>
      <c r="C1079" s="2" t="s">
        <v>6</v>
      </c>
      <c r="D1079" s="2" t="s">
        <v>62</v>
      </c>
      <c r="E1079" s="3">
        <v>45402.625</v>
      </c>
      <c r="F1079" s="2" t="s">
        <v>86</v>
      </c>
      <c r="G1079" s="2" t="s">
        <v>63</v>
      </c>
      <c r="H1079" s="2">
        <v>51</v>
      </c>
      <c r="I1079" s="2">
        <v>3.55</v>
      </c>
      <c r="J1079" s="2">
        <v>20</v>
      </c>
      <c r="K1079" s="2">
        <v>75</v>
      </c>
      <c r="L1079" s="2">
        <v>85</v>
      </c>
      <c r="M1079" s="2"/>
      <c r="N1079" s="2" t="s">
        <v>95</v>
      </c>
      <c r="O1079" s="10">
        <v>0</v>
      </c>
      <c r="P1079" s="10">
        <v>2</v>
      </c>
      <c r="Q1079" s="184">
        <v>1</v>
      </c>
      <c r="R1079" s="187">
        <v>5</v>
      </c>
      <c r="S1079" s="178">
        <f t="shared" si="118"/>
        <v>2</v>
      </c>
      <c r="T1079" s="186">
        <f t="shared" si="119"/>
        <v>6</v>
      </c>
      <c r="U1079" s="179">
        <f t="shared" si="120"/>
        <v>4</v>
      </c>
      <c r="V1079" s="1">
        <f t="shared" si="121"/>
        <v>25</v>
      </c>
      <c r="W1079" s="8">
        <f t="shared" si="122"/>
        <v>6.25</v>
      </c>
      <c r="X1079" s="15">
        <f t="shared" si="123"/>
        <v>6143.75</v>
      </c>
      <c r="Y1079"/>
      <c r="Z1079"/>
      <c r="AA1079"/>
      <c r="AB1079"/>
      <c r="AC1079"/>
      <c r="AD1079"/>
    </row>
    <row r="1080" spans="1:30">
      <c r="A1080" t="s">
        <v>931</v>
      </c>
      <c r="B1080" s="163" t="s">
        <v>474</v>
      </c>
      <c r="C1080" s="2" t="s">
        <v>80</v>
      </c>
      <c r="D1080" s="2" t="s">
        <v>81</v>
      </c>
      <c r="E1080" s="3">
        <v>45438.708333333336</v>
      </c>
      <c r="F1080" s="2" t="s">
        <v>550</v>
      </c>
      <c r="G1080" s="2" t="s">
        <v>311</v>
      </c>
      <c r="H1080" s="2">
        <v>52</v>
      </c>
      <c r="I1080" s="2">
        <v>3.25</v>
      </c>
      <c r="J1080" s="2">
        <v>20</v>
      </c>
      <c r="K1080" s="2">
        <v>60</v>
      </c>
      <c r="L1080" s="2">
        <v>85</v>
      </c>
      <c r="M1080" s="2"/>
      <c r="N1080" s="2" t="s">
        <v>95</v>
      </c>
      <c r="O1080" s="10">
        <v>0</v>
      </c>
      <c r="P1080" s="10">
        <v>1</v>
      </c>
      <c r="Q1080" s="184">
        <v>4</v>
      </c>
      <c r="R1080" s="187">
        <v>2</v>
      </c>
      <c r="S1080" s="178">
        <f t="shared" si="118"/>
        <v>1</v>
      </c>
      <c r="T1080" s="186">
        <f t="shared" si="119"/>
        <v>6</v>
      </c>
      <c r="U1080" s="179">
        <f t="shared" si="120"/>
        <v>5</v>
      </c>
      <c r="V1080" s="1">
        <f t="shared" si="121"/>
        <v>25</v>
      </c>
      <c r="W1080" s="8">
        <f t="shared" si="122"/>
        <v>6.25</v>
      </c>
      <c r="X1080" s="15">
        <f t="shared" si="123"/>
        <v>6150</v>
      </c>
      <c r="Y1080"/>
      <c r="Z1080"/>
      <c r="AA1080"/>
      <c r="AB1080"/>
      <c r="AC1080"/>
      <c r="AD1080"/>
    </row>
    <row r="1081" spans="1:30">
      <c r="A1081" t="s">
        <v>931</v>
      </c>
      <c r="B1081" s="163" t="s">
        <v>406</v>
      </c>
      <c r="C1081" s="2" t="s">
        <v>6</v>
      </c>
      <c r="D1081" s="2" t="s">
        <v>14</v>
      </c>
      <c r="E1081" s="3">
        <v>45342.822916666664</v>
      </c>
      <c r="F1081" s="2" t="s">
        <v>291</v>
      </c>
      <c r="G1081" s="2" t="s">
        <v>262</v>
      </c>
      <c r="H1081" s="2">
        <v>1.27</v>
      </c>
      <c r="I1081" s="2">
        <v>16.5</v>
      </c>
      <c r="J1081" s="2">
        <v>3.35</v>
      </c>
      <c r="K1081" s="2">
        <v>4.4000000000000004</v>
      </c>
      <c r="L1081" s="2">
        <v>2.72</v>
      </c>
      <c r="M1081" s="2"/>
      <c r="N1081" s="2" t="s">
        <v>95</v>
      </c>
      <c r="O1081" s="10">
        <v>3</v>
      </c>
      <c r="P1081" s="10">
        <v>1</v>
      </c>
      <c r="Q1081" s="184">
        <v>4</v>
      </c>
      <c r="R1081" s="181">
        <v>3</v>
      </c>
      <c r="S1081" s="178">
        <f t="shared" si="118"/>
        <v>4</v>
      </c>
      <c r="T1081" s="186">
        <f t="shared" si="119"/>
        <v>7</v>
      </c>
      <c r="U1081" s="179">
        <f t="shared" si="120"/>
        <v>3</v>
      </c>
      <c r="V1081" s="1">
        <f t="shared" si="121"/>
        <v>25</v>
      </c>
      <c r="W1081" s="8">
        <f t="shared" si="122"/>
        <v>6.25</v>
      </c>
      <c r="X1081" s="15">
        <f t="shared" si="123"/>
        <v>6156.25</v>
      </c>
      <c r="Y1081"/>
      <c r="Z1081"/>
      <c r="AA1081"/>
      <c r="AB1081"/>
      <c r="AC1081"/>
      <c r="AD1081"/>
    </row>
    <row r="1082" spans="1:30">
      <c r="A1082" t="s">
        <v>931</v>
      </c>
      <c r="B1082" s="163" t="s">
        <v>531</v>
      </c>
      <c r="C1082" s="2" t="s">
        <v>77</v>
      </c>
      <c r="D1082" s="2" t="s">
        <v>156</v>
      </c>
      <c r="E1082" s="3">
        <v>45367.604166666664</v>
      </c>
      <c r="F1082" s="2" t="s">
        <v>345</v>
      </c>
      <c r="G1082" s="2" t="s">
        <v>157</v>
      </c>
      <c r="H1082" s="2">
        <v>2.36</v>
      </c>
      <c r="I1082" s="2">
        <v>25</v>
      </c>
      <c r="J1082" s="2">
        <v>3.6</v>
      </c>
      <c r="K1082" s="2">
        <v>20</v>
      </c>
      <c r="L1082" s="2">
        <v>3</v>
      </c>
      <c r="M1082" s="2">
        <v>12</v>
      </c>
      <c r="N1082" s="2" t="s">
        <v>95</v>
      </c>
      <c r="O1082" s="10">
        <v>1</v>
      </c>
      <c r="P1082" s="10">
        <v>2</v>
      </c>
      <c r="Q1082" s="184">
        <v>2</v>
      </c>
      <c r="R1082" s="181">
        <v>5</v>
      </c>
      <c r="S1082" s="178">
        <f t="shared" si="118"/>
        <v>3</v>
      </c>
      <c r="T1082" s="186">
        <f t="shared" si="119"/>
        <v>7</v>
      </c>
      <c r="U1082" s="179">
        <f t="shared" si="120"/>
        <v>4</v>
      </c>
      <c r="V1082" s="1">
        <f t="shared" si="121"/>
        <v>25</v>
      </c>
      <c r="W1082" s="8">
        <f t="shared" si="122"/>
        <v>6.25</v>
      </c>
      <c r="X1082" s="15">
        <f t="shared" si="123"/>
        <v>6162.5</v>
      </c>
      <c r="Y1082"/>
      <c r="Z1082"/>
      <c r="AA1082"/>
      <c r="AB1082"/>
      <c r="AC1082"/>
      <c r="AD1082"/>
    </row>
    <row r="1083" spans="1:30">
      <c r="A1083" t="s">
        <v>931</v>
      </c>
      <c r="B1083" s="163" t="s">
        <v>531</v>
      </c>
      <c r="C1083" s="2" t="s">
        <v>80</v>
      </c>
      <c r="D1083" s="2" t="s">
        <v>81</v>
      </c>
      <c r="E1083" s="3">
        <v>45368.541666666664</v>
      </c>
      <c r="F1083" s="2" t="s">
        <v>609</v>
      </c>
      <c r="G1083" s="2" t="s">
        <v>144</v>
      </c>
      <c r="H1083" s="2">
        <v>4.5</v>
      </c>
      <c r="I1083" s="2">
        <v>28</v>
      </c>
      <c r="J1083" s="2">
        <v>2.82</v>
      </c>
      <c r="K1083" s="2">
        <v>28</v>
      </c>
      <c r="L1083" s="2">
        <v>1</v>
      </c>
      <c r="M1083" s="2">
        <v>14</v>
      </c>
      <c r="N1083" s="2" t="s">
        <v>95</v>
      </c>
      <c r="O1083" s="10">
        <v>0</v>
      </c>
      <c r="P1083" s="10">
        <v>1</v>
      </c>
      <c r="Q1083" s="184">
        <v>3</v>
      </c>
      <c r="R1083" s="181">
        <v>4</v>
      </c>
      <c r="S1083" s="178">
        <f t="shared" si="118"/>
        <v>1</v>
      </c>
      <c r="T1083" s="186">
        <f t="shared" si="119"/>
        <v>7</v>
      </c>
      <c r="U1083" s="179">
        <f t="shared" si="120"/>
        <v>6</v>
      </c>
      <c r="V1083" s="1">
        <f t="shared" si="121"/>
        <v>25</v>
      </c>
      <c r="W1083" s="8">
        <f t="shared" si="122"/>
        <v>6.25</v>
      </c>
      <c r="X1083" s="15">
        <f t="shared" si="123"/>
        <v>6168.75</v>
      </c>
      <c r="Y1083"/>
      <c r="Z1083"/>
      <c r="AA1083"/>
      <c r="AB1083"/>
      <c r="AC1083"/>
      <c r="AD1083"/>
    </row>
    <row r="1084" spans="1:30">
      <c r="A1084" t="s">
        <v>931</v>
      </c>
      <c r="B1084" s="163" t="s">
        <v>531</v>
      </c>
      <c r="C1084" s="2" t="s">
        <v>412</v>
      </c>
      <c r="D1084" s="2" t="s">
        <v>156</v>
      </c>
      <c r="E1084" s="3">
        <v>45406.729166666664</v>
      </c>
      <c r="F1084" s="2" t="s">
        <v>462</v>
      </c>
      <c r="G1084" s="2" t="s">
        <v>500</v>
      </c>
      <c r="H1084" s="2">
        <v>6.2</v>
      </c>
      <c r="I1084" s="2">
        <v>26</v>
      </c>
      <c r="J1084" s="2">
        <v>2.73</v>
      </c>
      <c r="K1084" s="2">
        <v>28</v>
      </c>
      <c r="L1084" s="2">
        <v>2</v>
      </c>
      <c r="M1084" s="2">
        <v>13</v>
      </c>
      <c r="N1084" s="2" t="s">
        <v>95</v>
      </c>
      <c r="O1084" s="10">
        <v>0</v>
      </c>
      <c r="P1084" s="10">
        <v>2</v>
      </c>
      <c r="Q1084" s="184">
        <v>4</v>
      </c>
      <c r="R1084" s="181">
        <v>3</v>
      </c>
      <c r="S1084" s="178">
        <f t="shared" si="118"/>
        <v>2</v>
      </c>
      <c r="T1084" s="186">
        <f t="shared" si="119"/>
        <v>7</v>
      </c>
      <c r="U1084" s="179">
        <f t="shared" si="120"/>
        <v>5</v>
      </c>
      <c r="V1084" s="1">
        <f t="shared" si="121"/>
        <v>25</v>
      </c>
      <c r="W1084" s="8">
        <f t="shared" si="122"/>
        <v>6.25</v>
      </c>
      <c r="X1084" s="15">
        <f t="shared" si="123"/>
        <v>6175</v>
      </c>
      <c r="Y1084"/>
      <c r="Z1084"/>
      <c r="AA1084"/>
      <c r="AB1084"/>
      <c r="AC1084"/>
      <c r="AD1084"/>
    </row>
    <row r="1085" spans="1:30">
      <c r="A1085" t="s">
        <v>931</v>
      </c>
      <c r="B1085" s="163" t="s">
        <v>512</v>
      </c>
      <c r="C1085" s="2" t="s">
        <v>6</v>
      </c>
      <c r="D1085" s="2" t="s">
        <v>62</v>
      </c>
      <c r="E1085" s="3">
        <v>45364.8125</v>
      </c>
      <c r="F1085" s="2" t="s">
        <v>117</v>
      </c>
      <c r="G1085" s="2" t="s">
        <v>86</v>
      </c>
      <c r="H1085" s="2">
        <v>4.8</v>
      </c>
      <c r="I1085" s="2">
        <v>20</v>
      </c>
      <c r="J1085" s="2">
        <v>3.25</v>
      </c>
      <c r="K1085" s="2">
        <v>25</v>
      </c>
      <c r="L1085" s="2">
        <v>1</v>
      </c>
      <c r="M1085" s="2">
        <v>10</v>
      </c>
      <c r="N1085" s="2" t="s">
        <v>95</v>
      </c>
      <c r="O1085" s="10">
        <v>0</v>
      </c>
      <c r="P1085" s="10">
        <v>3</v>
      </c>
      <c r="Q1085" s="184">
        <v>4</v>
      </c>
      <c r="R1085" s="181">
        <v>3</v>
      </c>
      <c r="S1085" s="178">
        <f t="shared" si="118"/>
        <v>3</v>
      </c>
      <c r="T1085" s="186">
        <f t="shared" si="119"/>
        <v>7</v>
      </c>
      <c r="U1085" s="179">
        <f t="shared" si="120"/>
        <v>4</v>
      </c>
      <c r="V1085" s="1">
        <f t="shared" si="121"/>
        <v>25</v>
      </c>
      <c r="W1085" s="8">
        <f t="shared" si="122"/>
        <v>6.25</v>
      </c>
      <c r="X1085" s="15">
        <f t="shared" si="123"/>
        <v>6181.25</v>
      </c>
      <c r="Y1085"/>
      <c r="Z1085"/>
      <c r="AA1085"/>
      <c r="AB1085"/>
      <c r="AC1085"/>
      <c r="AD1085"/>
    </row>
    <row r="1086" spans="1:30">
      <c r="A1086" t="s">
        <v>931</v>
      </c>
      <c r="B1086" s="167" t="s">
        <v>623</v>
      </c>
      <c r="C1086" s="2" t="s">
        <v>6</v>
      </c>
      <c r="D1086" s="2" t="s">
        <v>62</v>
      </c>
      <c r="E1086" s="3">
        <v>45386.84375</v>
      </c>
      <c r="F1086" s="2" t="s">
        <v>65</v>
      </c>
      <c r="G1086" s="2" t="s">
        <v>383</v>
      </c>
      <c r="H1086" s="2">
        <v>6.4</v>
      </c>
      <c r="I1086" s="2">
        <v>20</v>
      </c>
      <c r="J1086" s="2">
        <v>3.4</v>
      </c>
      <c r="K1086" s="2">
        <v>27</v>
      </c>
      <c r="L1086" s="2">
        <v>2</v>
      </c>
      <c r="M1086" s="2">
        <v>10</v>
      </c>
      <c r="N1086" s="2" t="s">
        <v>95</v>
      </c>
      <c r="O1086" s="10">
        <v>2</v>
      </c>
      <c r="P1086" s="10">
        <v>2</v>
      </c>
      <c r="Q1086" s="184">
        <v>4</v>
      </c>
      <c r="R1086" s="181">
        <v>3</v>
      </c>
      <c r="S1086" s="178">
        <f t="shared" si="118"/>
        <v>4</v>
      </c>
      <c r="T1086" s="186">
        <f t="shared" si="119"/>
        <v>7</v>
      </c>
      <c r="U1086" s="179">
        <f t="shared" si="120"/>
        <v>3</v>
      </c>
      <c r="V1086" s="1">
        <f t="shared" si="121"/>
        <v>25</v>
      </c>
      <c r="W1086" s="8">
        <f t="shared" si="122"/>
        <v>6.25</v>
      </c>
      <c r="X1086" s="15">
        <f t="shared" si="123"/>
        <v>6187.5</v>
      </c>
      <c r="Y1086"/>
      <c r="Z1086"/>
      <c r="AA1086"/>
      <c r="AB1086"/>
      <c r="AC1086"/>
      <c r="AD1086"/>
    </row>
    <row r="1087" spans="1:30">
      <c r="A1087" t="s">
        <v>931</v>
      </c>
      <c r="B1087" s="163" t="s">
        <v>623</v>
      </c>
      <c r="C1087" s="2" t="s">
        <v>77</v>
      </c>
      <c r="D1087" s="2" t="s">
        <v>234</v>
      </c>
      <c r="E1087" s="3">
        <v>45396.520833333336</v>
      </c>
      <c r="F1087" s="2" t="s">
        <v>555</v>
      </c>
      <c r="G1087" s="2" t="s">
        <v>499</v>
      </c>
      <c r="H1087" s="2">
        <v>5</v>
      </c>
      <c r="I1087" s="2">
        <v>20</v>
      </c>
      <c r="J1087" s="2">
        <v>3.15</v>
      </c>
      <c r="K1087" s="2">
        <v>25</v>
      </c>
      <c r="L1087" s="2">
        <v>1</v>
      </c>
      <c r="M1087" s="2">
        <v>10</v>
      </c>
      <c r="N1087" s="2" t="s">
        <v>95</v>
      </c>
      <c r="O1087" s="10">
        <v>1</v>
      </c>
      <c r="P1087" s="10">
        <v>0</v>
      </c>
      <c r="Q1087" s="184">
        <v>3</v>
      </c>
      <c r="R1087" s="181">
        <v>4</v>
      </c>
      <c r="S1087" s="178">
        <f t="shared" si="118"/>
        <v>1</v>
      </c>
      <c r="T1087" s="186">
        <f t="shared" si="119"/>
        <v>7</v>
      </c>
      <c r="U1087" s="179">
        <f t="shared" si="120"/>
        <v>6</v>
      </c>
      <c r="V1087" s="1">
        <f t="shared" si="121"/>
        <v>25</v>
      </c>
      <c r="W1087" s="8">
        <f t="shared" si="122"/>
        <v>6.25</v>
      </c>
      <c r="X1087" s="15">
        <f t="shared" si="123"/>
        <v>6193.75</v>
      </c>
      <c r="Y1087"/>
      <c r="Z1087"/>
      <c r="AA1087"/>
      <c r="AB1087"/>
      <c r="AC1087"/>
      <c r="AD1087"/>
    </row>
    <row r="1088" spans="1:30">
      <c r="A1088" t="s">
        <v>931</v>
      </c>
      <c r="B1088" s="163" t="s">
        <v>498</v>
      </c>
      <c r="C1088" s="2" t="s">
        <v>77</v>
      </c>
      <c r="D1088" s="2" t="s">
        <v>156</v>
      </c>
      <c r="E1088" s="3">
        <v>45367.604166666664</v>
      </c>
      <c r="F1088" s="2" t="s">
        <v>345</v>
      </c>
      <c r="G1088" s="2" t="s">
        <v>157</v>
      </c>
      <c r="H1088" s="2">
        <v>68</v>
      </c>
      <c r="I1088" s="2">
        <v>80</v>
      </c>
      <c r="J1088" s="2">
        <v>1.85</v>
      </c>
      <c r="K1088" s="2">
        <v>20</v>
      </c>
      <c r="L1088" s="2"/>
      <c r="M1088" s="2"/>
      <c r="N1088" s="2" t="s">
        <v>95</v>
      </c>
      <c r="O1088" s="10">
        <v>1</v>
      </c>
      <c r="P1088" s="10">
        <v>2</v>
      </c>
      <c r="Q1088" s="184">
        <v>2</v>
      </c>
      <c r="R1088" s="187">
        <v>5</v>
      </c>
      <c r="S1088" s="178">
        <f t="shared" si="118"/>
        <v>3</v>
      </c>
      <c r="T1088" s="186">
        <f t="shared" si="119"/>
        <v>7</v>
      </c>
      <c r="U1088" s="179">
        <f t="shared" si="120"/>
        <v>4</v>
      </c>
      <c r="V1088" s="1">
        <f t="shared" si="121"/>
        <v>25</v>
      </c>
      <c r="W1088" s="8">
        <f t="shared" si="122"/>
        <v>6.25</v>
      </c>
      <c r="X1088" s="15">
        <f t="shared" si="123"/>
        <v>6200</v>
      </c>
      <c r="Y1088"/>
      <c r="Z1088"/>
      <c r="AA1088"/>
      <c r="AB1088"/>
      <c r="AC1088"/>
      <c r="AD1088"/>
    </row>
    <row r="1089" spans="1:30">
      <c r="A1089" t="s">
        <v>931</v>
      </c>
      <c r="B1089" s="163" t="s">
        <v>474</v>
      </c>
      <c r="C1089" s="2" t="s">
        <v>77</v>
      </c>
      <c r="D1089" s="2" t="s">
        <v>234</v>
      </c>
      <c r="E1089" s="3">
        <v>45396.520833333336</v>
      </c>
      <c r="F1089" s="2" t="s">
        <v>555</v>
      </c>
      <c r="G1089" s="2" t="s">
        <v>499</v>
      </c>
      <c r="H1089" s="2">
        <v>50</v>
      </c>
      <c r="I1089" s="2">
        <v>3.15</v>
      </c>
      <c r="J1089" s="2">
        <v>20</v>
      </c>
      <c r="K1089" s="2">
        <v>60</v>
      </c>
      <c r="L1089" s="2">
        <v>85</v>
      </c>
      <c r="M1089" s="2"/>
      <c r="N1089" s="2" t="s">
        <v>95</v>
      </c>
      <c r="O1089" s="10">
        <v>1</v>
      </c>
      <c r="P1089" s="10">
        <v>0</v>
      </c>
      <c r="Q1089" s="184">
        <v>3</v>
      </c>
      <c r="R1089" s="187">
        <v>4</v>
      </c>
      <c r="S1089" s="178">
        <f t="shared" ref="S1089:S1152" si="124">SUM(O1089:P1089)</f>
        <v>1</v>
      </c>
      <c r="T1089" s="186">
        <f t="shared" ref="T1089:T1152" si="125">SUM(Q1089:R1089)</f>
        <v>7</v>
      </c>
      <c r="U1089" s="179">
        <f t="shared" ref="U1089:U1152" si="126">SUM(T1089-S1089)</f>
        <v>6</v>
      </c>
      <c r="V1089" s="1">
        <f t="shared" si="121"/>
        <v>25</v>
      </c>
      <c r="W1089" s="8">
        <f t="shared" si="122"/>
        <v>6.25</v>
      </c>
      <c r="X1089" s="15">
        <f t="shared" si="123"/>
        <v>6206.25</v>
      </c>
      <c r="Y1089"/>
      <c r="Z1089"/>
      <c r="AA1089"/>
      <c r="AB1089"/>
      <c r="AC1089"/>
      <c r="AD1089"/>
    </row>
    <row r="1090" spans="1:30">
      <c r="A1090" t="s">
        <v>931</v>
      </c>
      <c r="B1090" s="163" t="s">
        <v>474</v>
      </c>
      <c r="C1090" s="2" t="s">
        <v>6</v>
      </c>
      <c r="D1090" s="2" t="s">
        <v>7</v>
      </c>
      <c r="E1090" s="3">
        <v>45398.822916666664</v>
      </c>
      <c r="F1090" s="2" t="s">
        <v>8</v>
      </c>
      <c r="G1090" s="2" t="s">
        <v>18</v>
      </c>
      <c r="H1090" s="2">
        <v>50</v>
      </c>
      <c r="I1090" s="2">
        <v>3.45</v>
      </c>
      <c r="J1090" s="2">
        <v>20</v>
      </c>
      <c r="K1090" s="2">
        <v>75</v>
      </c>
      <c r="L1090" s="2">
        <v>90</v>
      </c>
      <c r="M1090" s="2"/>
      <c r="N1090" s="2" t="s">
        <v>95</v>
      </c>
      <c r="O1090" s="10">
        <v>0</v>
      </c>
      <c r="P1090" s="10">
        <v>3</v>
      </c>
      <c r="Q1090" s="184">
        <v>2</v>
      </c>
      <c r="R1090" s="187">
        <v>5</v>
      </c>
      <c r="S1090" s="178">
        <f t="shared" si="124"/>
        <v>3</v>
      </c>
      <c r="T1090" s="186">
        <f t="shared" si="125"/>
        <v>7</v>
      </c>
      <c r="U1090" s="179">
        <f t="shared" si="126"/>
        <v>4</v>
      </c>
      <c r="V1090" s="1">
        <f t="shared" si="121"/>
        <v>25</v>
      </c>
      <c r="W1090" s="8">
        <f t="shared" si="122"/>
        <v>6.25</v>
      </c>
      <c r="X1090" s="15">
        <f t="shared" si="123"/>
        <v>6212.5</v>
      </c>
      <c r="Y1090"/>
      <c r="Z1090"/>
      <c r="AA1090"/>
      <c r="AB1090"/>
      <c r="AC1090"/>
      <c r="AD1090"/>
    </row>
    <row r="1091" spans="1:30">
      <c r="A1091" t="s">
        <v>931</v>
      </c>
      <c r="B1091" s="163" t="s">
        <v>406</v>
      </c>
      <c r="C1091" s="2" t="s">
        <v>6</v>
      </c>
      <c r="D1091" s="2" t="s">
        <v>14</v>
      </c>
      <c r="E1091" s="3">
        <v>45332.625</v>
      </c>
      <c r="F1091" s="2" t="s">
        <v>56</v>
      </c>
      <c r="G1091" s="2" t="s">
        <v>421</v>
      </c>
      <c r="H1091" s="2">
        <v>1.28</v>
      </c>
      <c r="I1091" s="2">
        <v>13</v>
      </c>
      <c r="J1091" s="2">
        <v>2.8</v>
      </c>
      <c r="K1091" s="2">
        <v>4.2</v>
      </c>
      <c r="L1091" s="2">
        <v>2.38</v>
      </c>
      <c r="M1091" s="2"/>
      <c r="N1091" s="2" t="s">
        <v>95</v>
      </c>
      <c r="O1091" s="10">
        <v>0</v>
      </c>
      <c r="P1091" s="9">
        <v>2</v>
      </c>
      <c r="Q1091" s="184">
        <v>5</v>
      </c>
      <c r="R1091" s="181">
        <v>3</v>
      </c>
      <c r="S1091" s="178">
        <f t="shared" si="124"/>
        <v>2</v>
      </c>
      <c r="T1091" s="186">
        <f t="shared" si="125"/>
        <v>8</v>
      </c>
      <c r="U1091" s="179">
        <f t="shared" si="126"/>
        <v>6</v>
      </c>
      <c r="V1091" s="1">
        <f t="shared" si="121"/>
        <v>25</v>
      </c>
      <c r="W1091" s="8">
        <f t="shared" si="122"/>
        <v>6.25</v>
      </c>
      <c r="X1091" s="15">
        <f t="shared" si="123"/>
        <v>6218.75</v>
      </c>
      <c r="Y1091"/>
      <c r="Z1091"/>
      <c r="AA1091"/>
      <c r="AB1091"/>
      <c r="AC1091"/>
      <c r="AD1091"/>
    </row>
    <row r="1092" spans="1:30">
      <c r="A1092" t="s">
        <v>931</v>
      </c>
      <c r="B1092" s="163" t="s">
        <v>406</v>
      </c>
      <c r="C1092" s="2" t="s">
        <v>80</v>
      </c>
      <c r="D1092" s="2" t="s">
        <v>81</v>
      </c>
      <c r="E1092" s="3">
        <v>45359.708333333336</v>
      </c>
      <c r="F1092" s="2" t="s">
        <v>144</v>
      </c>
      <c r="G1092" s="2" t="s">
        <v>530</v>
      </c>
      <c r="H1092" s="2">
        <v>1.27</v>
      </c>
      <c r="I1092" s="2">
        <v>13</v>
      </c>
      <c r="J1092" s="2">
        <v>2.9</v>
      </c>
      <c r="K1092" s="2">
        <v>3.2</v>
      </c>
      <c r="L1092" s="2">
        <v>2.4900000000000002</v>
      </c>
      <c r="M1092" s="2"/>
      <c r="N1092" s="2" t="s">
        <v>95</v>
      </c>
      <c r="O1092" s="10">
        <v>4</v>
      </c>
      <c r="P1092" s="10">
        <v>1</v>
      </c>
      <c r="Q1092" s="184">
        <v>6</v>
      </c>
      <c r="R1092" s="181">
        <v>2</v>
      </c>
      <c r="S1092" s="178">
        <f t="shared" si="124"/>
        <v>5</v>
      </c>
      <c r="T1092" s="186">
        <f t="shared" si="125"/>
        <v>8</v>
      </c>
      <c r="U1092" s="179">
        <f t="shared" si="126"/>
        <v>3</v>
      </c>
      <c r="V1092" s="1">
        <f t="shared" si="121"/>
        <v>25</v>
      </c>
      <c r="W1092" s="8">
        <f t="shared" si="122"/>
        <v>6.25</v>
      </c>
      <c r="X1092" s="15">
        <f t="shared" si="123"/>
        <v>6225</v>
      </c>
      <c r="Y1092"/>
      <c r="Z1092"/>
      <c r="AA1092"/>
      <c r="AB1092"/>
      <c r="AC1092"/>
      <c r="AD1092"/>
    </row>
    <row r="1093" spans="1:30">
      <c r="A1093" t="s">
        <v>931</v>
      </c>
      <c r="B1093" s="163" t="s">
        <v>531</v>
      </c>
      <c r="C1093" s="2" t="s">
        <v>149</v>
      </c>
      <c r="D1093" s="2" t="s">
        <v>153</v>
      </c>
      <c r="E1093" s="3">
        <v>45407.739583333336</v>
      </c>
      <c r="F1093" s="2" t="s">
        <v>206</v>
      </c>
      <c r="G1093" s="2" t="s">
        <v>188</v>
      </c>
      <c r="H1093" s="2">
        <v>3.8</v>
      </c>
      <c r="I1093" s="2">
        <v>30</v>
      </c>
      <c r="J1093" s="2">
        <v>3.7</v>
      </c>
      <c r="K1093" s="2">
        <v>27</v>
      </c>
      <c r="L1093" s="2">
        <v>7</v>
      </c>
      <c r="M1093" s="2">
        <v>15</v>
      </c>
      <c r="N1093" s="2" t="s">
        <v>95</v>
      </c>
      <c r="O1093" s="9">
        <v>0</v>
      </c>
      <c r="P1093" s="9">
        <v>5</v>
      </c>
      <c r="Q1093" s="184">
        <v>0</v>
      </c>
      <c r="R1093" s="181">
        <v>8</v>
      </c>
      <c r="S1093" s="178">
        <f t="shared" si="124"/>
        <v>5</v>
      </c>
      <c r="T1093" s="186">
        <f t="shared" si="125"/>
        <v>8</v>
      </c>
      <c r="U1093" s="179">
        <f t="shared" si="126"/>
        <v>3</v>
      </c>
      <c r="V1093" s="1">
        <f t="shared" ref="V1093:V1156" si="127">SUM($X$1*0.05)</f>
        <v>25</v>
      </c>
      <c r="W1093" s="8">
        <f t="shared" si="122"/>
        <v>6.25</v>
      </c>
      <c r="X1093" s="15">
        <f t="shared" si="123"/>
        <v>6231.25</v>
      </c>
      <c r="Y1093"/>
      <c r="Z1093"/>
      <c r="AA1093"/>
      <c r="AB1093"/>
      <c r="AC1093"/>
      <c r="AD1093"/>
    </row>
    <row r="1094" spans="1:30">
      <c r="A1094" t="s">
        <v>931</v>
      </c>
      <c r="B1094" s="163" t="s">
        <v>406</v>
      </c>
      <c r="C1094" s="2" t="s">
        <v>77</v>
      </c>
      <c r="D1094" s="2" t="s">
        <v>156</v>
      </c>
      <c r="E1094" s="3">
        <v>45360.604166666664</v>
      </c>
      <c r="F1094" s="2" t="s">
        <v>157</v>
      </c>
      <c r="G1094" s="2" t="s">
        <v>160</v>
      </c>
      <c r="H1094" s="2">
        <v>1.26</v>
      </c>
      <c r="I1094" s="2">
        <v>15</v>
      </c>
      <c r="J1094" s="2">
        <v>3.1</v>
      </c>
      <c r="K1094" s="2">
        <v>3.55</v>
      </c>
      <c r="L1094" s="2">
        <v>3.05</v>
      </c>
      <c r="M1094" s="2"/>
      <c r="N1094" s="2" t="s">
        <v>95</v>
      </c>
      <c r="O1094" s="10">
        <v>3</v>
      </c>
      <c r="P1094" s="10">
        <v>1</v>
      </c>
      <c r="Q1094" s="184">
        <v>8</v>
      </c>
      <c r="R1094" s="181">
        <v>1</v>
      </c>
      <c r="S1094" s="178">
        <f t="shared" si="124"/>
        <v>4</v>
      </c>
      <c r="T1094" s="186">
        <f t="shared" si="125"/>
        <v>9</v>
      </c>
      <c r="U1094" s="179">
        <f t="shared" si="126"/>
        <v>5</v>
      </c>
      <c r="V1094" s="1">
        <f t="shared" si="127"/>
        <v>25</v>
      </c>
      <c r="W1094" s="8">
        <f t="shared" si="122"/>
        <v>6.25</v>
      </c>
      <c r="X1094" s="15">
        <f t="shared" si="123"/>
        <v>6237.5</v>
      </c>
      <c r="Y1094"/>
      <c r="Z1094"/>
      <c r="AA1094"/>
      <c r="AB1094"/>
      <c r="AC1094"/>
      <c r="AD1094"/>
    </row>
    <row r="1095" spans="1:30">
      <c r="B1095" s="167" t="s">
        <v>514</v>
      </c>
      <c r="C1095" s="2" t="s">
        <v>149</v>
      </c>
      <c r="D1095" s="2" t="s">
        <v>153</v>
      </c>
      <c r="E1095" s="3">
        <v>45386.739583333336</v>
      </c>
      <c r="F1095" s="2" t="s">
        <v>244</v>
      </c>
      <c r="G1095" s="2" t="s">
        <v>282</v>
      </c>
      <c r="H1095" s="2">
        <v>0</v>
      </c>
      <c r="I1095" s="2">
        <v>2.12</v>
      </c>
      <c r="J1095" s="2">
        <v>980</v>
      </c>
      <c r="K1095" s="2">
        <v>20</v>
      </c>
      <c r="L1095" s="2">
        <v>40</v>
      </c>
      <c r="M1095" s="2">
        <v>23</v>
      </c>
      <c r="N1095" s="2" t="s">
        <v>96</v>
      </c>
      <c r="O1095" s="10">
        <v>0</v>
      </c>
      <c r="P1095" s="10">
        <v>0</v>
      </c>
      <c r="Q1095" s="184">
        <v>0</v>
      </c>
      <c r="R1095" s="181">
        <v>0</v>
      </c>
      <c r="S1095" s="178">
        <f t="shared" si="124"/>
        <v>0</v>
      </c>
      <c r="T1095" s="186">
        <f t="shared" si="125"/>
        <v>0</v>
      </c>
      <c r="U1095" s="179">
        <f t="shared" si="126"/>
        <v>0</v>
      </c>
      <c r="V1095" s="1">
        <f t="shared" si="127"/>
        <v>25</v>
      </c>
      <c r="W1095" s="8">
        <f t="shared" si="122"/>
        <v>-25</v>
      </c>
      <c r="X1095" s="15">
        <f t="shared" si="123"/>
        <v>6212.5</v>
      </c>
      <c r="Y1095"/>
      <c r="Z1095"/>
      <c r="AA1095"/>
      <c r="AB1095"/>
      <c r="AC1095"/>
      <c r="AD1095"/>
    </row>
    <row r="1096" spans="1:30">
      <c r="B1096" s="163" t="s">
        <v>514</v>
      </c>
      <c r="C1096" s="2" t="s">
        <v>13</v>
      </c>
      <c r="D1096" s="2" t="s">
        <v>37</v>
      </c>
      <c r="E1096" s="3">
        <v>45399.833333333336</v>
      </c>
      <c r="F1096" s="2" t="s">
        <v>306</v>
      </c>
      <c r="G1096" s="2" t="s">
        <v>79</v>
      </c>
      <c r="H1096" s="2">
        <v>170</v>
      </c>
      <c r="I1096" s="2">
        <v>4</v>
      </c>
      <c r="J1096" s="2">
        <v>0</v>
      </c>
      <c r="K1096" s="2">
        <v>20</v>
      </c>
      <c r="L1096" s="2">
        <v>5</v>
      </c>
      <c r="M1096" s="2">
        <v>27</v>
      </c>
      <c r="N1096" s="2" t="s">
        <v>96</v>
      </c>
      <c r="O1096" s="10">
        <v>0</v>
      </c>
      <c r="P1096" s="10">
        <v>0</v>
      </c>
      <c r="Q1096" s="184">
        <v>0</v>
      </c>
      <c r="R1096" s="181">
        <v>0</v>
      </c>
      <c r="S1096" s="178">
        <f t="shared" si="124"/>
        <v>0</v>
      </c>
      <c r="T1096" s="186">
        <f t="shared" si="125"/>
        <v>0</v>
      </c>
      <c r="U1096" s="179">
        <f t="shared" si="126"/>
        <v>0</v>
      </c>
      <c r="V1096" s="1">
        <f t="shared" si="127"/>
        <v>25</v>
      </c>
      <c r="W1096" s="8">
        <f t="shared" si="122"/>
        <v>-25</v>
      </c>
      <c r="X1096" s="15">
        <f t="shared" si="123"/>
        <v>6187.5</v>
      </c>
      <c r="Y1096"/>
      <c r="Z1096"/>
      <c r="AA1096"/>
      <c r="AB1096"/>
      <c r="AC1096"/>
      <c r="AD1096"/>
    </row>
    <row r="1097" spans="1:30">
      <c r="B1097" s="163" t="s">
        <v>514</v>
      </c>
      <c r="C1097" s="2" t="s">
        <v>119</v>
      </c>
      <c r="D1097" s="2" t="s">
        <v>120</v>
      </c>
      <c r="E1097" s="3">
        <v>45437.833333333336</v>
      </c>
      <c r="F1097" s="2" t="s">
        <v>122</v>
      </c>
      <c r="G1097" s="2" t="s">
        <v>834</v>
      </c>
      <c r="H1097" s="2">
        <v>3.35</v>
      </c>
      <c r="I1097" s="2">
        <v>85</v>
      </c>
      <c r="J1097" s="2">
        <v>0</v>
      </c>
      <c r="K1097" s="2">
        <v>20</v>
      </c>
      <c r="L1097" s="2">
        <v>15</v>
      </c>
      <c r="M1097" s="2">
        <v>27</v>
      </c>
      <c r="N1097" s="2" t="s">
        <v>96</v>
      </c>
      <c r="O1097" s="10">
        <v>0</v>
      </c>
      <c r="P1097" s="10">
        <v>0</v>
      </c>
      <c r="Q1097" s="184">
        <v>0</v>
      </c>
      <c r="R1097" s="181">
        <v>0</v>
      </c>
      <c r="S1097" s="178">
        <f t="shared" si="124"/>
        <v>0</v>
      </c>
      <c r="T1097" s="186">
        <f t="shared" si="125"/>
        <v>0</v>
      </c>
      <c r="U1097" s="179">
        <f t="shared" si="126"/>
        <v>0</v>
      </c>
      <c r="V1097" s="1">
        <f t="shared" si="127"/>
        <v>25</v>
      </c>
      <c r="W1097" s="8">
        <f t="shared" si="122"/>
        <v>-25</v>
      </c>
      <c r="X1097" s="15">
        <f t="shared" si="123"/>
        <v>6162.5</v>
      </c>
      <c r="Y1097"/>
      <c r="Z1097"/>
      <c r="AA1097"/>
      <c r="AB1097"/>
      <c r="AC1097"/>
      <c r="AD1097"/>
    </row>
    <row r="1098" spans="1:30">
      <c r="B1098" s="163" t="s">
        <v>514</v>
      </c>
      <c r="C1098" s="2" t="s">
        <v>6</v>
      </c>
      <c r="D1098" s="2" t="s">
        <v>7</v>
      </c>
      <c r="E1098" s="3">
        <v>45363.822916666664</v>
      </c>
      <c r="F1098" s="2" t="s">
        <v>141</v>
      </c>
      <c r="G1098" s="2" t="s">
        <v>84</v>
      </c>
      <c r="H1098" s="2">
        <v>4.3</v>
      </c>
      <c r="I1098" s="2">
        <v>0</v>
      </c>
      <c r="J1098" s="2">
        <v>400</v>
      </c>
      <c r="K1098" s="2">
        <v>20</v>
      </c>
      <c r="L1098" s="2">
        <v>10</v>
      </c>
      <c r="M1098" s="2">
        <v>31</v>
      </c>
      <c r="N1098" s="2" t="s">
        <v>95</v>
      </c>
      <c r="O1098" s="10">
        <v>0</v>
      </c>
      <c r="P1098" s="10">
        <v>0</v>
      </c>
      <c r="Q1098" s="184">
        <v>1</v>
      </c>
      <c r="R1098" s="181">
        <v>0</v>
      </c>
      <c r="S1098" s="178">
        <f t="shared" si="124"/>
        <v>0</v>
      </c>
      <c r="T1098" s="186">
        <f t="shared" si="125"/>
        <v>1</v>
      </c>
      <c r="U1098" s="179">
        <f t="shared" si="126"/>
        <v>1</v>
      </c>
      <c r="V1098" s="1">
        <f t="shared" si="127"/>
        <v>25</v>
      </c>
      <c r="W1098" s="8">
        <f t="shared" si="122"/>
        <v>6.25</v>
      </c>
      <c r="X1098" s="15">
        <f t="shared" si="123"/>
        <v>6168.75</v>
      </c>
      <c r="Y1098"/>
      <c r="Z1098"/>
      <c r="AA1098"/>
      <c r="AB1098"/>
      <c r="AC1098"/>
      <c r="AD1098"/>
    </row>
    <row r="1099" spans="1:30">
      <c r="B1099" s="163" t="s">
        <v>514</v>
      </c>
      <c r="C1099" s="2" t="s">
        <v>13</v>
      </c>
      <c r="D1099" s="2" t="s">
        <v>37</v>
      </c>
      <c r="E1099" s="3">
        <v>45368.5</v>
      </c>
      <c r="F1099" s="2" t="s">
        <v>306</v>
      </c>
      <c r="G1099" s="2" t="s">
        <v>79</v>
      </c>
      <c r="H1099" s="2">
        <v>180</v>
      </c>
      <c r="I1099" s="2">
        <v>4.3</v>
      </c>
      <c r="J1099" s="2">
        <v>980</v>
      </c>
      <c r="K1099" s="2">
        <v>20</v>
      </c>
      <c r="L1099" s="2">
        <v>15</v>
      </c>
      <c r="M1099" s="2">
        <v>25</v>
      </c>
      <c r="N1099" s="2" t="s">
        <v>95</v>
      </c>
      <c r="O1099" s="10">
        <v>0</v>
      </c>
      <c r="P1099" s="10">
        <v>0</v>
      </c>
      <c r="Q1099" s="184">
        <v>1</v>
      </c>
      <c r="R1099" s="181">
        <v>0</v>
      </c>
      <c r="S1099" s="178">
        <f t="shared" si="124"/>
        <v>0</v>
      </c>
      <c r="T1099" s="186">
        <f t="shared" si="125"/>
        <v>1</v>
      </c>
      <c r="U1099" s="179">
        <f t="shared" si="126"/>
        <v>1</v>
      </c>
      <c r="V1099" s="1">
        <f t="shared" si="127"/>
        <v>25</v>
      </c>
      <c r="W1099" s="8">
        <f t="shared" si="122"/>
        <v>6.25</v>
      </c>
      <c r="X1099" s="15">
        <f t="shared" si="123"/>
        <v>6175</v>
      </c>
      <c r="Y1099"/>
      <c r="Z1099"/>
      <c r="AA1099"/>
      <c r="AB1099"/>
      <c r="AC1099"/>
      <c r="AD1099"/>
    </row>
    <row r="1100" spans="1:30">
      <c r="B1100" s="163" t="s">
        <v>514</v>
      </c>
      <c r="C1100" s="2" t="s">
        <v>58</v>
      </c>
      <c r="D1100" s="2" t="s">
        <v>59</v>
      </c>
      <c r="E1100" s="3">
        <v>45368.75</v>
      </c>
      <c r="F1100" s="2" t="s">
        <v>111</v>
      </c>
      <c r="G1100" s="2" t="s">
        <v>60</v>
      </c>
      <c r="H1100" s="2">
        <v>0</v>
      </c>
      <c r="I1100" s="2">
        <v>5.7</v>
      </c>
      <c r="J1100" s="2">
        <v>980</v>
      </c>
      <c r="K1100" s="2">
        <v>20</v>
      </c>
      <c r="L1100" s="2">
        <v>10</v>
      </c>
      <c r="M1100" s="2">
        <v>44</v>
      </c>
      <c r="N1100" s="2" t="s">
        <v>95</v>
      </c>
      <c r="O1100" s="10">
        <v>0</v>
      </c>
      <c r="P1100" s="10">
        <v>0</v>
      </c>
      <c r="Q1100" s="184">
        <v>0</v>
      </c>
      <c r="R1100" s="181">
        <v>1</v>
      </c>
      <c r="S1100" s="178">
        <f t="shared" si="124"/>
        <v>0</v>
      </c>
      <c r="T1100" s="186">
        <f t="shared" si="125"/>
        <v>1</v>
      </c>
      <c r="U1100" s="179">
        <f t="shared" si="126"/>
        <v>1</v>
      </c>
      <c r="V1100" s="1">
        <f t="shared" si="127"/>
        <v>25</v>
      </c>
      <c r="W1100" s="8">
        <f t="shared" si="122"/>
        <v>6.25</v>
      </c>
      <c r="X1100" s="15">
        <f t="shared" si="123"/>
        <v>6181.25</v>
      </c>
      <c r="Y1100"/>
      <c r="Z1100"/>
      <c r="AA1100"/>
      <c r="AB1100"/>
      <c r="AC1100"/>
      <c r="AD1100"/>
    </row>
    <row r="1101" spans="1:30">
      <c r="B1101" s="163" t="s">
        <v>514</v>
      </c>
      <c r="C1101" s="2" t="s">
        <v>149</v>
      </c>
      <c r="D1101" s="2" t="s">
        <v>153</v>
      </c>
      <c r="E1101" s="3">
        <v>45368.791666666664</v>
      </c>
      <c r="F1101" s="2" t="s">
        <v>188</v>
      </c>
      <c r="G1101" s="2" t="s">
        <v>242</v>
      </c>
      <c r="H1101" s="2">
        <v>5.0999999999999996</v>
      </c>
      <c r="I1101" s="2">
        <v>0</v>
      </c>
      <c r="J1101" s="2">
        <v>0</v>
      </c>
      <c r="K1101" s="2">
        <v>20</v>
      </c>
      <c r="L1101" s="2">
        <v>10</v>
      </c>
      <c r="M1101" s="2">
        <v>22</v>
      </c>
      <c r="N1101" s="2" t="s">
        <v>95</v>
      </c>
      <c r="O1101" s="10">
        <v>0</v>
      </c>
      <c r="P1101" s="10">
        <v>0</v>
      </c>
      <c r="Q1101" s="184">
        <v>1</v>
      </c>
      <c r="R1101" s="181">
        <v>0</v>
      </c>
      <c r="S1101" s="178">
        <f t="shared" si="124"/>
        <v>0</v>
      </c>
      <c r="T1101" s="186">
        <f t="shared" si="125"/>
        <v>1</v>
      </c>
      <c r="U1101" s="179">
        <f t="shared" si="126"/>
        <v>1</v>
      </c>
      <c r="V1101" s="1">
        <f t="shared" si="127"/>
        <v>25</v>
      </c>
      <c r="W1101" s="8">
        <f t="shared" si="122"/>
        <v>6.25</v>
      </c>
      <c r="X1101" s="15">
        <f t="shared" si="123"/>
        <v>6187.5</v>
      </c>
      <c r="Y1101"/>
      <c r="Z1101"/>
      <c r="AA1101"/>
      <c r="AB1101"/>
      <c r="AC1101"/>
      <c r="AD1101"/>
    </row>
    <row r="1102" spans="1:30">
      <c r="B1102" s="163" t="s">
        <v>514</v>
      </c>
      <c r="C1102" s="2" t="s">
        <v>58</v>
      </c>
      <c r="D1102" s="2" t="s">
        <v>59</v>
      </c>
      <c r="E1102" s="3">
        <v>45380.75</v>
      </c>
      <c r="F1102" s="2" t="s">
        <v>60</v>
      </c>
      <c r="G1102" s="2" t="s">
        <v>165</v>
      </c>
      <c r="H1102" s="2">
        <v>2.64</v>
      </c>
      <c r="I1102" s="2">
        <v>650</v>
      </c>
      <c r="J1102" s="2">
        <v>0</v>
      </c>
      <c r="K1102" s="2">
        <v>20</v>
      </c>
      <c r="L1102" s="2">
        <v>25</v>
      </c>
      <c r="M1102" s="2">
        <v>33</v>
      </c>
      <c r="N1102" s="2" t="s">
        <v>95</v>
      </c>
      <c r="O1102" s="10">
        <v>0</v>
      </c>
      <c r="P1102" s="10">
        <v>0</v>
      </c>
      <c r="Q1102" s="184">
        <v>1</v>
      </c>
      <c r="R1102" s="181">
        <v>0</v>
      </c>
      <c r="S1102" s="178">
        <f t="shared" si="124"/>
        <v>0</v>
      </c>
      <c r="T1102" s="186">
        <f t="shared" si="125"/>
        <v>1</v>
      </c>
      <c r="U1102" s="179">
        <f t="shared" si="126"/>
        <v>1</v>
      </c>
      <c r="V1102" s="1">
        <f t="shared" si="127"/>
        <v>25</v>
      </c>
      <c r="W1102" s="8">
        <f t="shared" si="122"/>
        <v>6.25</v>
      </c>
      <c r="X1102" s="15">
        <f t="shared" si="123"/>
        <v>6193.75</v>
      </c>
      <c r="Y1102"/>
      <c r="Z1102"/>
      <c r="AA1102"/>
      <c r="AB1102"/>
      <c r="AC1102"/>
      <c r="AD1102"/>
    </row>
    <row r="1103" spans="1:30">
      <c r="B1103" s="163" t="s">
        <v>514</v>
      </c>
      <c r="C1103" s="2" t="s">
        <v>119</v>
      </c>
      <c r="D1103" s="2" t="s">
        <v>120</v>
      </c>
      <c r="E1103" s="3">
        <v>45381.833333333336</v>
      </c>
      <c r="F1103" s="2" t="s">
        <v>361</v>
      </c>
      <c r="G1103" s="2" t="s">
        <v>389</v>
      </c>
      <c r="H1103" s="2">
        <v>3.85</v>
      </c>
      <c r="I1103" s="2">
        <v>140</v>
      </c>
      <c r="J1103" s="2">
        <v>0</v>
      </c>
      <c r="K1103" s="2">
        <v>20</v>
      </c>
      <c r="L1103" s="2">
        <v>20</v>
      </c>
      <c r="M1103" s="2">
        <v>34</v>
      </c>
      <c r="N1103" s="2" t="s">
        <v>95</v>
      </c>
      <c r="O1103" s="10">
        <v>0</v>
      </c>
      <c r="P1103" s="10">
        <v>0</v>
      </c>
      <c r="Q1103" s="184">
        <v>1</v>
      </c>
      <c r="R1103" s="181">
        <v>0</v>
      </c>
      <c r="S1103" s="178">
        <f t="shared" si="124"/>
        <v>0</v>
      </c>
      <c r="T1103" s="186">
        <f t="shared" si="125"/>
        <v>1</v>
      </c>
      <c r="U1103" s="179">
        <f t="shared" si="126"/>
        <v>1</v>
      </c>
      <c r="V1103" s="1">
        <f t="shared" si="127"/>
        <v>25</v>
      </c>
      <c r="W1103" s="8">
        <f t="shared" si="122"/>
        <v>6.25</v>
      </c>
      <c r="X1103" s="15">
        <f t="shared" si="123"/>
        <v>6200</v>
      </c>
      <c r="Y1103"/>
      <c r="Z1103"/>
      <c r="AA1103"/>
      <c r="AB1103"/>
      <c r="AC1103"/>
      <c r="AD1103"/>
    </row>
    <row r="1104" spans="1:30">
      <c r="B1104" s="163" t="s">
        <v>514</v>
      </c>
      <c r="C1104" s="2" t="s">
        <v>149</v>
      </c>
      <c r="D1104" s="2" t="s">
        <v>153</v>
      </c>
      <c r="E1104" s="3">
        <v>45382.5625</v>
      </c>
      <c r="F1104" s="2" t="s">
        <v>242</v>
      </c>
      <c r="G1104" s="2" t="s">
        <v>155</v>
      </c>
      <c r="H1104" s="2">
        <v>3.45</v>
      </c>
      <c r="I1104" s="2">
        <v>310</v>
      </c>
      <c r="J1104" s="2">
        <v>0</v>
      </c>
      <c r="K1104" s="2">
        <v>20</v>
      </c>
      <c r="L1104" s="2">
        <v>20</v>
      </c>
      <c r="M1104" s="2">
        <v>24</v>
      </c>
      <c r="N1104" s="2" t="s">
        <v>95</v>
      </c>
      <c r="O1104" s="10">
        <v>0</v>
      </c>
      <c r="P1104" s="10">
        <v>0</v>
      </c>
      <c r="Q1104" s="184">
        <v>1</v>
      </c>
      <c r="R1104" s="181">
        <v>0</v>
      </c>
      <c r="S1104" s="178">
        <f t="shared" si="124"/>
        <v>0</v>
      </c>
      <c r="T1104" s="186">
        <f t="shared" si="125"/>
        <v>1</v>
      </c>
      <c r="U1104" s="179">
        <f t="shared" si="126"/>
        <v>1</v>
      </c>
      <c r="V1104" s="1">
        <f t="shared" si="127"/>
        <v>25</v>
      </c>
      <c r="W1104" s="8">
        <f t="shared" si="122"/>
        <v>6.25</v>
      </c>
      <c r="X1104" s="15">
        <f t="shared" si="123"/>
        <v>6206.25</v>
      </c>
      <c r="Y1104"/>
      <c r="Z1104"/>
      <c r="AA1104"/>
      <c r="AB1104"/>
      <c r="AC1104"/>
      <c r="AD1104"/>
    </row>
    <row r="1105" spans="2:30">
      <c r="B1105" s="163" t="s">
        <v>514</v>
      </c>
      <c r="C1105" s="2" t="s">
        <v>77</v>
      </c>
      <c r="D1105" s="2" t="s">
        <v>234</v>
      </c>
      <c r="E1105" s="3">
        <v>45408.729166666664</v>
      </c>
      <c r="F1105" s="2" t="s">
        <v>555</v>
      </c>
      <c r="G1105" s="2" t="s">
        <v>646</v>
      </c>
      <c r="H1105" s="2">
        <v>4.5</v>
      </c>
      <c r="I1105" s="2">
        <v>170</v>
      </c>
      <c r="J1105" s="2">
        <v>980</v>
      </c>
      <c r="K1105" s="2">
        <v>20</v>
      </c>
      <c r="L1105" s="2">
        <v>10</v>
      </c>
      <c r="M1105" s="2">
        <v>26</v>
      </c>
      <c r="N1105" s="2" t="s">
        <v>95</v>
      </c>
      <c r="O1105" s="10">
        <v>0</v>
      </c>
      <c r="P1105" s="10">
        <v>0</v>
      </c>
      <c r="Q1105" s="184">
        <v>1</v>
      </c>
      <c r="R1105" s="181">
        <v>0</v>
      </c>
      <c r="S1105" s="178">
        <f t="shared" si="124"/>
        <v>0</v>
      </c>
      <c r="T1105" s="186">
        <f t="shared" si="125"/>
        <v>1</v>
      </c>
      <c r="U1105" s="179">
        <f t="shared" si="126"/>
        <v>1</v>
      </c>
      <c r="V1105" s="1">
        <f t="shared" si="127"/>
        <v>25</v>
      </c>
      <c r="W1105" s="8">
        <f t="shared" si="122"/>
        <v>6.25</v>
      </c>
      <c r="X1105" s="15">
        <f t="shared" si="123"/>
        <v>6212.5</v>
      </c>
      <c r="Y1105"/>
      <c r="Z1105"/>
      <c r="AA1105"/>
      <c r="AB1105"/>
      <c r="AC1105"/>
      <c r="AD1105"/>
    </row>
    <row r="1106" spans="2:30">
      <c r="B1106" s="163" t="s">
        <v>514</v>
      </c>
      <c r="C1106" s="2" t="s">
        <v>133</v>
      </c>
      <c r="D1106" s="2" t="s">
        <v>78</v>
      </c>
      <c r="E1106" s="3">
        <v>45409.75</v>
      </c>
      <c r="F1106" s="2" t="s">
        <v>134</v>
      </c>
      <c r="G1106" s="2" t="s">
        <v>789</v>
      </c>
      <c r="H1106" s="2">
        <v>5.2</v>
      </c>
      <c r="I1106" s="2">
        <v>230</v>
      </c>
      <c r="J1106" s="2">
        <v>980</v>
      </c>
      <c r="K1106" s="2">
        <v>20</v>
      </c>
      <c r="L1106" s="2">
        <v>20</v>
      </c>
      <c r="M1106" s="2">
        <v>28</v>
      </c>
      <c r="N1106" s="2" t="s">
        <v>95</v>
      </c>
      <c r="O1106" s="10">
        <v>0</v>
      </c>
      <c r="P1106" s="10">
        <v>0</v>
      </c>
      <c r="Q1106" s="184">
        <v>0</v>
      </c>
      <c r="R1106" s="181">
        <v>1</v>
      </c>
      <c r="S1106" s="178">
        <f t="shared" si="124"/>
        <v>0</v>
      </c>
      <c r="T1106" s="186">
        <f t="shared" si="125"/>
        <v>1</v>
      </c>
      <c r="U1106" s="179">
        <f t="shared" si="126"/>
        <v>1</v>
      </c>
      <c r="V1106" s="1">
        <f t="shared" si="127"/>
        <v>25</v>
      </c>
      <c r="W1106" s="8">
        <f t="shared" si="122"/>
        <v>6.25</v>
      </c>
      <c r="X1106" s="15">
        <f t="shared" si="123"/>
        <v>6218.75</v>
      </c>
      <c r="Y1106"/>
      <c r="Z1106"/>
      <c r="AA1106"/>
      <c r="AB1106"/>
      <c r="AC1106"/>
      <c r="AD1106"/>
    </row>
    <row r="1107" spans="2:30">
      <c r="B1107" s="163" t="s">
        <v>514</v>
      </c>
      <c r="C1107" s="2" t="s">
        <v>149</v>
      </c>
      <c r="D1107" s="2" t="s">
        <v>153</v>
      </c>
      <c r="E1107" s="3">
        <v>45410.5625</v>
      </c>
      <c r="F1107" s="2" t="s">
        <v>395</v>
      </c>
      <c r="G1107" s="2" t="s">
        <v>244</v>
      </c>
      <c r="H1107" s="2">
        <v>2.92</v>
      </c>
      <c r="I1107" s="2">
        <v>80</v>
      </c>
      <c r="J1107" s="2">
        <v>0</v>
      </c>
      <c r="K1107" s="2">
        <v>20</v>
      </c>
      <c r="L1107" s="2">
        <v>20</v>
      </c>
      <c r="M1107" s="2">
        <v>23</v>
      </c>
      <c r="N1107" s="2" t="s">
        <v>95</v>
      </c>
      <c r="O1107" s="10">
        <v>0</v>
      </c>
      <c r="P1107" s="10">
        <v>0</v>
      </c>
      <c r="Q1107" s="184">
        <v>1</v>
      </c>
      <c r="R1107" s="181">
        <v>0</v>
      </c>
      <c r="S1107" s="178">
        <f t="shared" si="124"/>
        <v>0</v>
      </c>
      <c r="T1107" s="186">
        <f t="shared" si="125"/>
        <v>1</v>
      </c>
      <c r="U1107" s="179">
        <f t="shared" si="126"/>
        <v>1</v>
      </c>
      <c r="V1107" s="1">
        <f t="shared" si="127"/>
        <v>25</v>
      </c>
      <c r="W1107" s="8">
        <f t="shared" si="122"/>
        <v>6.25</v>
      </c>
      <c r="X1107" s="15">
        <f t="shared" si="123"/>
        <v>6225</v>
      </c>
      <c r="Y1107"/>
      <c r="Z1107"/>
      <c r="AA1107"/>
      <c r="AB1107"/>
      <c r="AC1107"/>
      <c r="AD1107"/>
    </row>
    <row r="1108" spans="2:30">
      <c r="B1108" s="163" t="s">
        <v>514</v>
      </c>
      <c r="C1108" s="2" t="s">
        <v>58</v>
      </c>
      <c r="D1108" s="2" t="s">
        <v>59</v>
      </c>
      <c r="E1108" s="3">
        <v>45423.75</v>
      </c>
      <c r="F1108" s="2" t="s">
        <v>105</v>
      </c>
      <c r="G1108" s="2" t="s">
        <v>125</v>
      </c>
      <c r="H1108" s="2">
        <v>0</v>
      </c>
      <c r="I1108" s="2">
        <v>5.2</v>
      </c>
      <c r="J1108" s="2">
        <v>0</v>
      </c>
      <c r="K1108" s="2">
        <v>20</v>
      </c>
      <c r="L1108" s="2">
        <v>15</v>
      </c>
      <c r="M1108" s="2">
        <v>28</v>
      </c>
      <c r="N1108" s="2" t="s">
        <v>95</v>
      </c>
      <c r="O1108" s="10">
        <v>0</v>
      </c>
      <c r="P1108" s="10">
        <v>0</v>
      </c>
      <c r="Q1108" s="184">
        <v>0</v>
      </c>
      <c r="R1108" s="181">
        <v>1</v>
      </c>
      <c r="S1108" s="178">
        <f t="shared" si="124"/>
        <v>0</v>
      </c>
      <c r="T1108" s="186">
        <f t="shared" si="125"/>
        <v>1</v>
      </c>
      <c r="U1108" s="179">
        <f t="shared" si="126"/>
        <v>1</v>
      </c>
      <c r="V1108" s="1">
        <f t="shared" si="127"/>
        <v>25</v>
      </c>
      <c r="W1108" s="8">
        <f t="shared" si="122"/>
        <v>6.25</v>
      </c>
      <c r="X1108" s="15">
        <f t="shared" si="123"/>
        <v>6231.25</v>
      </c>
      <c r="Y1108"/>
      <c r="Z1108"/>
      <c r="AA1108"/>
      <c r="AB1108"/>
      <c r="AC1108"/>
      <c r="AD1108"/>
    </row>
    <row r="1109" spans="2:30">
      <c r="B1109" s="163" t="s">
        <v>514</v>
      </c>
      <c r="C1109" s="2" t="s">
        <v>119</v>
      </c>
      <c r="D1109" s="2" t="s">
        <v>120</v>
      </c>
      <c r="E1109" s="3">
        <v>45424.635416666664</v>
      </c>
      <c r="F1109" s="2" t="s">
        <v>349</v>
      </c>
      <c r="G1109" s="2" t="s">
        <v>479</v>
      </c>
      <c r="H1109" s="2">
        <v>5.0999999999999996</v>
      </c>
      <c r="I1109" s="2">
        <v>120</v>
      </c>
      <c r="J1109" s="2">
        <v>0</v>
      </c>
      <c r="K1109" s="2">
        <v>20</v>
      </c>
      <c r="L1109" s="2">
        <v>10</v>
      </c>
      <c r="M1109" s="2">
        <v>27</v>
      </c>
      <c r="N1109" s="2" t="s">
        <v>95</v>
      </c>
      <c r="O1109" s="10">
        <v>0</v>
      </c>
      <c r="P1109" s="10">
        <v>0</v>
      </c>
      <c r="Q1109" s="184">
        <v>1</v>
      </c>
      <c r="R1109" s="181">
        <v>0</v>
      </c>
      <c r="S1109" s="178">
        <f t="shared" si="124"/>
        <v>0</v>
      </c>
      <c r="T1109" s="186">
        <f t="shared" si="125"/>
        <v>1</v>
      </c>
      <c r="U1109" s="179">
        <f t="shared" si="126"/>
        <v>1</v>
      </c>
      <c r="V1109" s="1">
        <f t="shared" si="127"/>
        <v>25</v>
      </c>
      <c r="W1109" s="8">
        <f t="shared" si="122"/>
        <v>6.25</v>
      </c>
      <c r="X1109" s="15">
        <f t="shared" si="123"/>
        <v>6237.5</v>
      </c>
      <c r="Y1109"/>
      <c r="Z1109"/>
      <c r="AA1109"/>
      <c r="AB1109"/>
      <c r="AC1109"/>
      <c r="AD1109"/>
    </row>
    <row r="1110" spans="2:30">
      <c r="B1110" s="163" t="s">
        <v>514</v>
      </c>
      <c r="C1110" s="2" t="s">
        <v>145</v>
      </c>
      <c r="D1110" s="2" t="s">
        <v>190</v>
      </c>
      <c r="E1110" s="3">
        <v>45424.833333333336</v>
      </c>
      <c r="F1110" s="2" t="s">
        <v>611</v>
      </c>
      <c r="G1110" s="2" t="s">
        <v>571</v>
      </c>
      <c r="H1110" s="2">
        <v>32</v>
      </c>
      <c r="I1110" s="2">
        <v>4.9000000000000004</v>
      </c>
      <c r="J1110" s="2">
        <v>0</v>
      </c>
      <c r="K1110" s="2">
        <v>20</v>
      </c>
      <c r="L1110" s="2">
        <v>20</v>
      </c>
      <c r="M1110" s="2">
        <v>26</v>
      </c>
      <c r="N1110" s="2" t="s">
        <v>95</v>
      </c>
      <c r="O1110" s="10">
        <v>0</v>
      </c>
      <c r="P1110" s="10">
        <v>0</v>
      </c>
      <c r="Q1110" s="184">
        <v>0</v>
      </c>
      <c r="R1110" s="181">
        <v>1</v>
      </c>
      <c r="S1110" s="178">
        <f t="shared" si="124"/>
        <v>0</v>
      </c>
      <c r="T1110" s="186">
        <f t="shared" si="125"/>
        <v>1</v>
      </c>
      <c r="U1110" s="179">
        <f t="shared" si="126"/>
        <v>1</v>
      </c>
      <c r="V1110" s="1">
        <f t="shared" si="127"/>
        <v>25</v>
      </c>
      <c r="W1110" s="8">
        <f t="shared" ref="W1110:W1173" si="128">IF(N1110="won",V1110*0.25,-V1110)</f>
        <v>6.25</v>
      </c>
      <c r="X1110" s="15">
        <f t="shared" ref="X1110:X1173" si="129">SUM(X1109,W1110)</f>
        <v>6243.75</v>
      </c>
      <c r="Y1110"/>
      <c r="Z1110"/>
      <c r="AA1110"/>
      <c r="AB1110"/>
      <c r="AC1110"/>
      <c r="AD1110"/>
    </row>
    <row r="1111" spans="2:30">
      <c r="B1111" s="163" t="s">
        <v>514</v>
      </c>
      <c r="C1111" s="2" t="s">
        <v>119</v>
      </c>
      <c r="D1111" s="2" t="s">
        <v>120</v>
      </c>
      <c r="E1111" s="3">
        <v>45426.875</v>
      </c>
      <c r="F1111" s="2" t="s">
        <v>453</v>
      </c>
      <c r="G1111" s="2" t="s">
        <v>362</v>
      </c>
      <c r="H1111" s="2">
        <v>5.0999999999999996</v>
      </c>
      <c r="I1111" s="2">
        <v>22</v>
      </c>
      <c r="J1111" s="2">
        <v>130</v>
      </c>
      <c r="K1111" s="2">
        <v>20</v>
      </c>
      <c r="L1111" s="2">
        <v>30</v>
      </c>
      <c r="M1111" s="2">
        <v>24</v>
      </c>
      <c r="N1111" s="2" t="s">
        <v>95</v>
      </c>
      <c r="O1111" s="10">
        <v>0</v>
      </c>
      <c r="P1111" s="10">
        <v>0</v>
      </c>
      <c r="Q1111" s="184">
        <v>0</v>
      </c>
      <c r="R1111" s="181">
        <v>1</v>
      </c>
      <c r="S1111" s="178">
        <f t="shared" si="124"/>
        <v>0</v>
      </c>
      <c r="T1111" s="186">
        <f t="shared" si="125"/>
        <v>1</v>
      </c>
      <c r="U1111" s="179">
        <f t="shared" si="126"/>
        <v>1</v>
      </c>
      <c r="V1111" s="1">
        <f t="shared" si="127"/>
        <v>25</v>
      </c>
      <c r="W1111" s="8">
        <f t="shared" si="128"/>
        <v>6.25</v>
      </c>
      <c r="X1111" s="15">
        <f t="shared" si="129"/>
        <v>6250</v>
      </c>
      <c r="Y1111"/>
      <c r="Z1111"/>
      <c r="AA1111"/>
      <c r="AB1111"/>
      <c r="AC1111"/>
      <c r="AD1111"/>
    </row>
    <row r="1112" spans="2:30">
      <c r="B1112" s="163" t="s">
        <v>514</v>
      </c>
      <c r="C1112" s="2" t="s">
        <v>149</v>
      </c>
      <c r="D1112" s="2" t="s">
        <v>150</v>
      </c>
      <c r="E1112" s="3">
        <v>45362.791666666664</v>
      </c>
      <c r="F1112" s="2" t="s">
        <v>179</v>
      </c>
      <c r="G1112" s="2" t="s">
        <v>237</v>
      </c>
      <c r="H1112" s="2">
        <v>4.5999999999999996</v>
      </c>
      <c r="I1112" s="2">
        <v>30</v>
      </c>
      <c r="J1112" s="2">
        <v>0</v>
      </c>
      <c r="K1112" s="2">
        <v>20</v>
      </c>
      <c r="L1112" s="2">
        <v>10</v>
      </c>
      <c r="M1112" s="2">
        <v>22</v>
      </c>
      <c r="N1112" s="2" t="s">
        <v>95</v>
      </c>
      <c r="O1112" s="10">
        <v>0</v>
      </c>
      <c r="P1112" s="10">
        <v>0</v>
      </c>
      <c r="Q1112" s="184">
        <v>0</v>
      </c>
      <c r="R1112" s="181">
        <v>2</v>
      </c>
      <c r="S1112" s="178">
        <f t="shared" si="124"/>
        <v>0</v>
      </c>
      <c r="T1112" s="186">
        <f t="shared" si="125"/>
        <v>2</v>
      </c>
      <c r="U1112" s="179">
        <f t="shared" si="126"/>
        <v>2</v>
      </c>
      <c r="V1112" s="1">
        <f t="shared" si="127"/>
        <v>25</v>
      </c>
      <c r="W1112" s="8">
        <f t="shared" si="128"/>
        <v>6.25</v>
      </c>
      <c r="X1112" s="15">
        <f t="shared" si="129"/>
        <v>6256.25</v>
      </c>
      <c r="Y1112"/>
      <c r="Z1112"/>
      <c r="AA1112"/>
      <c r="AB1112"/>
      <c r="AC1112"/>
      <c r="AD1112"/>
    </row>
    <row r="1113" spans="2:30">
      <c r="B1113" s="163" t="s">
        <v>514</v>
      </c>
      <c r="C1113" s="2" t="s">
        <v>149</v>
      </c>
      <c r="D1113" s="2" t="s">
        <v>153</v>
      </c>
      <c r="E1113" s="3">
        <v>45384.791666666664</v>
      </c>
      <c r="F1113" s="2" t="s">
        <v>647</v>
      </c>
      <c r="G1113" s="2" t="s">
        <v>188</v>
      </c>
      <c r="H1113" s="2">
        <v>200</v>
      </c>
      <c r="I1113" s="2">
        <v>2.02</v>
      </c>
      <c r="J1113" s="2">
        <v>770</v>
      </c>
      <c r="K1113" s="2">
        <v>20</v>
      </c>
      <c r="L1113" s="2">
        <v>30</v>
      </c>
      <c r="M1113" s="2">
        <v>31</v>
      </c>
      <c r="N1113" s="2" t="s">
        <v>95</v>
      </c>
      <c r="O1113" s="10">
        <v>0</v>
      </c>
      <c r="P1113" s="10">
        <v>0</v>
      </c>
      <c r="Q1113" s="184">
        <v>0</v>
      </c>
      <c r="R1113" s="181">
        <v>2</v>
      </c>
      <c r="S1113" s="178">
        <f t="shared" si="124"/>
        <v>0</v>
      </c>
      <c r="T1113" s="186">
        <f t="shared" si="125"/>
        <v>2</v>
      </c>
      <c r="U1113" s="179">
        <f t="shared" si="126"/>
        <v>2</v>
      </c>
      <c r="V1113" s="1">
        <f t="shared" si="127"/>
        <v>25</v>
      </c>
      <c r="W1113" s="8">
        <f t="shared" si="128"/>
        <v>6.25</v>
      </c>
      <c r="X1113" s="15">
        <f t="shared" si="129"/>
        <v>6262.5</v>
      </c>
      <c r="Y1113"/>
      <c r="Z1113"/>
      <c r="AA1113"/>
      <c r="AB1113"/>
      <c r="AC1113"/>
      <c r="AD1113"/>
    </row>
    <row r="1114" spans="2:30">
      <c r="B1114" s="163" t="s">
        <v>514</v>
      </c>
      <c r="C1114" s="2" t="s">
        <v>434</v>
      </c>
      <c r="D1114" s="2" t="s">
        <v>435</v>
      </c>
      <c r="E1114" s="3">
        <v>45390.75</v>
      </c>
      <c r="F1114" s="2" t="s">
        <v>436</v>
      </c>
      <c r="G1114" s="2" t="s">
        <v>702</v>
      </c>
      <c r="H1114" s="2">
        <v>6.4</v>
      </c>
      <c r="I1114" s="2">
        <v>170</v>
      </c>
      <c r="J1114" s="2">
        <v>610</v>
      </c>
      <c r="K1114" s="2">
        <v>20</v>
      </c>
      <c r="L1114" s="2">
        <v>15</v>
      </c>
      <c r="M1114" s="2">
        <v>29</v>
      </c>
      <c r="N1114" s="2" t="s">
        <v>95</v>
      </c>
      <c r="O1114" s="10">
        <v>0</v>
      </c>
      <c r="P1114" s="10">
        <v>0</v>
      </c>
      <c r="Q1114" s="184">
        <v>1</v>
      </c>
      <c r="R1114" s="181">
        <v>1</v>
      </c>
      <c r="S1114" s="178">
        <f t="shared" si="124"/>
        <v>0</v>
      </c>
      <c r="T1114" s="186">
        <f t="shared" si="125"/>
        <v>2</v>
      </c>
      <c r="U1114" s="179">
        <f t="shared" si="126"/>
        <v>2</v>
      </c>
      <c r="V1114" s="1">
        <f t="shared" si="127"/>
        <v>25</v>
      </c>
      <c r="W1114" s="8">
        <f t="shared" si="128"/>
        <v>6.25</v>
      </c>
      <c r="X1114" s="15">
        <f t="shared" si="129"/>
        <v>6268.75</v>
      </c>
      <c r="Y1114"/>
      <c r="Z1114"/>
      <c r="AA1114"/>
      <c r="AB1114"/>
      <c r="AC1114"/>
      <c r="AD1114"/>
    </row>
    <row r="1115" spans="2:30">
      <c r="B1115" s="163" t="s">
        <v>514</v>
      </c>
      <c r="C1115" s="2" t="s">
        <v>149</v>
      </c>
      <c r="D1115" s="2" t="s">
        <v>150</v>
      </c>
      <c r="E1115" s="3">
        <v>45390.791666666664</v>
      </c>
      <c r="F1115" s="2" t="s">
        <v>256</v>
      </c>
      <c r="G1115" s="2" t="s">
        <v>236</v>
      </c>
      <c r="H1115" s="2">
        <v>100</v>
      </c>
      <c r="I1115" s="2">
        <v>4.5999999999999996</v>
      </c>
      <c r="J1115" s="2">
        <v>950</v>
      </c>
      <c r="K1115" s="2">
        <v>20</v>
      </c>
      <c r="L1115" s="2">
        <v>20</v>
      </c>
      <c r="M1115" s="2">
        <v>29</v>
      </c>
      <c r="N1115" s="2" t="s">
        <v>95</v>
      </c>
      <c r="O1115" s="10">
        <v>0</v>
      </c>
      <c r="P1115" s="10">
        <v>0</v>
      </c>
      <c r="Q1115" s="184">
        <v>1</v>
      </c>
      <c r="R1115" s="181">
        <v>1</v>
      </c>
      <c r="S1115" s="178">
        <f t="shared" si="124"/>
        <v>0</v>
      </c>
      <c r="T1115" s="186">
        <f t="shared" si="125"/>
        <v>2</v>
      </c>
      <c r="U1115" s="179">
        <f t="shared" si="126"/>
        <v>2</v>
      </c>
      <c r="V1115" s="1">
        <f t="shared" si="127"/>
        <v>25</v>
      </c>
      <c r="W1115" s="8">
        <f t="shared" si="128"/>
        <v>6.25</v>
      </c>
      <c r="X1115" s="15">
        <f t="shared" si="129"/>
        <v>6275</v>
      </c>
      <c r="Y1115"/>
      <c r="Z1115"/>
      <c r="AA1115"/>
      <c r="AB1115"/>
      <c r="AC1115"/>
      <c r="AD1115"/>
    </row>
    <row r="1116" spans="2:30">
      <c r="B1116" s="163" t="s">
        <v>514</v>
      </c>
      <c r="C1116" s="2" t="s">
        <v>145</v>
      </c>
      <c r="D1116" s="2" t="s">
        <v>268</v>
      </c>
      <c r="E1116" s="3">
        <v>45390.822916666664</v>
      </c>
      <c r="F1116" s="2" t="s">
        <v>703</v>
      </c>
      <c r="G1116" s="2" t="s">
        <v>638</v>
      </c>
      <c r="H1116" s="2">
        <v>6</v>
      </c>
      <c r="I1116" s="2">
        <v>110</v>
      </c>
      <c r="J1116" s="2">
        <v>0</v>
      </c>
      <c r="K1116" s="2">
        <v>20</v>
      </c>
      <c r="L1116" s="2">
        <v>10</v>
      </c>
      <c r="M1116" s="2">
        <v>36</v>
      </c>
      <c r="N1116" s="2" t="s">
        <v>95</v>
      </c>
      <c r="O1116" s="10">
        <v>0</v>
      </c>
      <c r="P1116" s="10">
        <v>0</v>
      </c>
      <c r="Q1116" s="184">
        <v>2</v>
      </c>
      <c r="R1116" s="181">
        <v>0</v>
      </c>
      <c r="S1116" s="178">
        <f t="shared" si="124"/>
        <v>0</v>
      </c>
      <c r="T1116" s="186">
        <f t="shared" si="125"/>
        <v>2</v>
      </c>
      <c r="U1116" s="179">
        <f t="shared" si="126"/>
        <v>2</v>
      </c>
      <c r="V1116" s="1">
        <f t="shared" si="127"/>
        <v>25</v>
      </c>
      <c r="W1116" s="8">
        <f t="shared" si="128"/>
        <v>6.25</v>
      </c>
      <c r="X1116" s="15">
        <f t="shared" si="129"/>
        <v>6281.25</v>
      </c>
      <c r="Y1116"/>
      <c r="Z1116"/>
      <c r="AA1116"/>
      <c r="AB1116"/>
      <c r="AC1116"/>
      <c r="AD1116"/>
    </row>
    <row r="1117" spans="2:30">
      <c r="B1117" s="163" t="s">
        <v>514</v>
      </c>
      <c r="C1117" s="2" t="s">
        <v>44</v>
      </c>
      <c r="D1117" s="2" t="s">
        <v>45</v>
      </c>
      <c r="E1117" s="3">
        <v>45395.354166666664</v>
      </c>
      <c r="F1117" s="2" t="s">
        <v>233</v>
      </c>
      <c r="G1117" s="2" t="s">
        <v>52</v>
      </c>
      <c r="H1117" s="2">
        <v>5.4</v>
      </c>
      <c r="I1117" s="2">
        <v>22</v>
      </c>
      <c r="J1117" s="2">
        <v>120</v>
      </c>
      <c r="K1117" s="2">
        <v>20</v>
      </c>
      <c r="L1117" s="2">
        <v>10</v>
      </c>
      <c r="M1117" s="2">
        <v>19</v>
      </c>
      <c r="N1117" s="2" t="s">
        <v>95</v>
      </c>
      <c r="O1117" s="10">
        <v>0</v>
      </c>
      <c r="P1117" s="10">
        <v>0</v>
      </c>
      <c r="Q1117" s="184">
        <v>0</v>
      </c>
      <c r="R1117" s="181">
        <v>2</v>
      </c>
      <c r="S1117" s="178">
        <f t="shared" si="124"/>
        <v>0</v>
      </c>
      <c r="T1117" s="186">
        <f t="shared" si="125"/>
        <v>2</v>
      </c>
      <c r="U1117" s="179">
        <f t="shared" si="126"/>
        <v>2</v>
      </c>
      <c r="V1117" s="1">
        <f t="shared" si="127"/>
        <v>25</v>
      </c>
      <c r="W1117" s="8">
        <f t="shared" si="128"/>
        <v>6.25</v>
      </c>
      <c r="X1117" s="15">
        <f t="shared" si="129"/>
        <v>6287.5</v>
      </c>
      <c r="Y1117"/>
      <c r="Z1117"/>
      <c r="AA1117"/>
      <c r="AB1117"/>
      <c r="AC1117"/>
      <c r="AD1117"/>
    </row>
    <row r="1118" spans="2:30">
      <c r="B1118" s="163" t="s">
        <v>514</v>
      </c>
      <c r="C1118" s="2" t="s">
        <v>6</v>
      </c>
      <c r="D1118" s="2" t="s">
        <v>62</v>
      </c>
      <c r="E1118" s="3">
        <v>45395.625</v>
      </c>
      <c r="F1118" s="2" t="s">
        <v>63</v>
      </c>
      <c r="G1118" s="2" t="s">
        <v>85</v>
      </c>
      <c r="H1118" s="2">
        <v>5.0999999999999996</v>
      </c>
      <c r="I1118" s="2">
        <v>85</v>
      </c>
      <c r="J1118" s="2">
        <v>590</v>
      </c>
      <c r="K1118" s="2">
        <v>20</v>
      </c>
      <c r="L1118" s="2">
        <v>15</v>
      </c>
      <c r="M1118" s="2">
        <v>29</v>
      </c>
      <c r="N1118" s="2" t="s">
        <v>95</v>
      </c>
      <c r="O1118" s="10">
        <v>0</v>
      </c>
      <c r="P1118" s="10">
        <v>0</v>
      </c>
      <c r="Q1118" s="184">
        <v>2</v>
      </c>
      <c r="R1118" s="181">
        <v>0</v>
      </c>
      <c r="S1118" s="178">
        <f t="shared" si="124"/>
        <v>0</v>
      </c>
      <c r="T1118" s="186">
        <f t="shared" si="125"/>
        <v>2</v>
      </c>
      <c r="U1118" s="179">
        <f t="shared" si="126"/>
        <v>2</v>
      </c>
      <c r="V1118" s="1">
        <f t="shared" si="127"/>
        <v>25</v>
      </c>
      <c r="W1118" s="8">
        <f t="shared" si="128"/>
        <v>6.25</v>
      </c>
      <c r="X1118" s="15">
        <f t="shared" si="129"/>
        <v>6293.75</v>
      </c>
      <c r="Y1118"/>
      <c r="Z1118"/>
      <c r="AA1118"/>
      <c r="AB1118"/>
      <c r="AC1118"/>
      <c r="AD1118"/>
    </row>
    <row r="1119" spans="2:30">
      <c r="B1119" s="163" t="s">
        <v>514</v>
      </c>
      <c r="C1119" s="2" t="s">
        <v>6</v>
      </c>
      <c r="D1119" s="2" t="s">
        <v>62</v>
      </c>
      <c r="E1119" s="3">
        <v>45396.6875</v>
      </c>
      <c r="F1119" s="2" t="s">
        <v>73</v>
      </c>
      <c r="G1119" s="2" t="s">
        <v>102</v>
      </c>
      <c r="H1119" s="2">
        <v>4</v>
      </c>
      <c r="I1119" s="2">
        <v>110</v>
      </c>
      <c r="J1119" s="2">
        <v>350</v>
      </c>
      <c r="K1119" s="2">
        <v>20</v>
      </c>
      <c r="L1119" s="2">
        <v>25</v>
      </c>
      <c r="M1119" s="2">
        <v>23</v>
      </c>
      <c r="N1119" s="2" t="s">
        <v>95</v>
      </c>
      <c r="O1119" s="10">
        <v>0</v>
      </c>
      <c r="P1119" s="10">
        <v>0</v>
      </c>
      <c r="Q1119" s="184">
        <v>0</v>
      </c>
      <c r="R1119" s="181">
        <v>2</v>
      </c>
      <c r="S1119" s="178">
        <f t="shared" si="124"/>
        <v>0</v>
      </c>
      <c r="T1119" s="186">
        <f t="shared" si="125"/>
        <v>2</v>
      </c>
      <c r="U1119" s="179">
        <f t="shared" si="126"/>
        <v>2</v>
      </c>
      <c r="V1119" s="1">
        <f t="shared" si="127"/>
        <v>25</v>
      </c>
      <c r="W1119" s="8">
        <f t="shared" si="128"/>
        <v>6.25</v>
      </c>
      <c r="X1119" s="15">
        <f t="shared" si="129"/>
        <v>6300</v>
      </c>
      <c r="Y1119"/>
      <c r="Z1119"/>
      <c r="AA1119"/>
      <c r="AB1119"/>
      <c r="AC1119"/>
      <c r="AD1119"/>
    </row>
    <row r="1120" spans="2:30">
      <c r="B1120" s="163" t="s">
        <v>514</v>
      </c>
      <c r="C1120" s="2" t="s">
        <v>6</v>
      </c>
      <c r="D1120" s="2" t="s">
        <v>11</v>
      </c>
      <c r="E1120" s="3">
        <v>45402.625</v>
      </c>
      <c r="F1120" s="2" t="s">
        <v>300</v>
      </c>
      <c r="G1120" s="2" t="s">
        <v>710</v>
      </c>
      <c r="H1120" s="2">
        <v>6</v>
      </c>
      <c r="I1120" s="2">
        <v>150</v>
      </c>
      <c r="J1120" s="2">
        <v>980</v>
      </c>
      <c r="K1120" s="2">
        <v>20</v>
      </c>
      <c r="L1120" s="2">
        <v>10</v>
      </c>
      <c r="M1120" s="2">
        <v>31</v>
      </c>
      <c r="N1120" s="2" t="s">
        <v>95</v>
      </c>
      <c r="O1120" s="10">
        <v>0</v>
      </c>
      <c r="P1120" s="10">
        <v>0</v>
      </c>
      <c r="Q1120" s="184">
        <v>2</v>
      </c>
      <c r="R1120" s="181">
        <v>0</v>
      </c>
      <c r="S1120" s="178">
        <f t="shared" si="124"/>
        <v>0</v>
      </c>
      <c r="T1120" s="186">
        <f t="shared" si="125"/>
        <v>2</v>
      </c>
      <c r="U1120" s="179">
        <f t="shared" si="126"/>
        <v>2</v>
      </c>
      <c r="V1120" s="1">
        <f t="shared" si="127"/>
        <v>25</v>
      </c>
      <c r="W1120" s="8">
        <f t="shared" si="128"/>
        <v>6.25</v>
      </c>
      <c r="X1120" s="15">
        <f t="shared" si="129"/>
        <v>6306.25</v>
      </c>
      <c r="Y1120"/>
      <c r="Z1120"/>
      <c r="AA1120"/>
      <c r="AB1120"/>
      <c r="AC1120"/>
      <c r="AD1120"/>
    </row>
    <row r="1121" spans="2:30">
      <c r="B1121" s="163" t="s">
        <v>514</v>
      </c>
      <c r="C1121" s="2" t="s">
        <v>145</v>
      </c>
      <c r="D1121" s="2" t="s">
        <v>190</v>
      </c>
      <c r="E1121" s="3">
        <v>45424.833333333336</v>
      </c>
      <c r="F1121" s="2" t="s">
        <v>390</v>
      </c>
      <c r="G1121" s="2" t="s">
        <v>364</v>
      </c>
      <c r="H1121" s="2">
        <v>16</v>
      </c>
      <c r="I1121" s="2">
        <v>5</v>
      </c>
      <c r="J1121" s="2">
        <v>0</v>
      </c>
      <c r="K1121" s="2">
        <v>20</v>
      </c>
      <c r="L1121" s="2">
        <v>15</v>
      </c>
      <c r="M1121" s="2">
        <v>22</v>
      </c>
      <c r="N1121" s="2" t="s">
        <v>95</v>
      </c>
      <c r="O1121" s="10">
        <v>0</v>
      </c>
      <c r="P1121" s="10">
        <v>0</v>
      </c>
      <c r="Q1121" s="184">
        <v>0</v>
      </c>
      <c r="R1121" s="181">
        <v>2</v>
      </c>
      <c r="S1121" s="178">
        <f t="shared" si="124"/>
        <v>0</v>
      </c>
      <c r="T1121" s="186">
        <f t="shared" si="125"/>
        <v>2</v>
      </c>
      <c r="U1121" s="179">
        <f t="shared" si="126"/>
        <v>2</v>
      </c>
      <c r="V1121" s="1">
        <f t="shared" si="127"/>
        <v>25</v>
      </c>
      <c r="W1121" s="8">
        <f t="shared" si="128"/>
        <v>6.25</v>
      </c>
      <c r="X1121" s="15">
        <f t="shared" si="129"/>
        <v>6312.5</v>
      </c>
      <c r="Y1121"/>
      <c r="Z1121"/>
      <c r="AA1121"/>
      <c r="AB1121"/>
      <c r="AC1121"/>
      <c r="AD1121"/>
    </row>
    <row r="1122" spans="2:30">
      <c r="B1122" s="163" t="s">
        <v>514</v>
      </c>
      <c r="C1122" s="2" t="s">
        <v>13</v>
      </c>
      <c r="D1122" s="2" t="s">
        <v>37</v>
      </c>
      <c r="E1122" s="3">
        <v>45382.5</v>
      </c>
      <c r="F1122" s="2" t="s">
        <v>39</v>
      </c>
      <c r="G1122" s="2" t="s">
        <v>99</v>
      </c>
      <c r="H1122" s="2">
        <v>240</v>
      </c>
      <c r="I1122" s="2">
        <v>3.45</v>
      </c>
      <c r="J1122" s="2">
        <v>1000</v>
      </c>
      <c r="K1122" s="2">
        <v>20</v>
      </c>
      <c r="L1122" s="2">
        <v>5</v>
      </c>
      <c r="M1122" s="2">
        <v>35</v>
      </c>
      <c r="N1122" s="2" t="s">
        <v>95</v>
      </c>
      <c r="O1122" s="10">
        <v>0</v>
      </c>
      <c r="P1122" s="10">
        <v>0</v>
      </c>
      <c r="Q1122" s="184">
        <v>0</v>
      </c>
      <c r="R1122" s="181">
        <v>3</v>
      </c>
      <c r="S1122" s="178">
        <f t="shared" si="124"/>
        <v>0</v>
      </c>
      <c r="T1122" s="186">
        <f t="shared" si="125"/>
        <v>3</v>
      </c>
      <c r="U1122" s="179">
        <f t="shared" si="126"/>
        <v>3</v>
      </c>
      <c r="V1122" s="1">
        <f t="shared" si="127"/>
        <v>25</v>
      </c>
      <c r="W1122" s="8">
        <f t="shared" si="128"/>
        <v>6.25</v>
      </c>
      <c r="X1122" s="15">
        <f t="shared" si="129"/>
        <v>6318.75</v>
      </c>
      <c r="Y1122"/>
      <c r="Z1122"/>
      <c r="AA1122"/>
      <c r="AB1122"/>
      <c r="AC1122"/>
      <c r="AD1122"/>
    </row>
    <row r="1123" spans="2:30">
      <c r="B1123" s="163" t="s">
        <v>514</v>
      </c>
      <c r="C1123" s="2" t="s">
        <v>44</v>
      </c>
      <c r="D1123" s="2" t="s">
        <v>45</v>
      </c>
      <c r="E1123" s="3">
        <v>45395.447916666664</v>
      </c>
      <c r="F1123" s="2" t="s">
        <v>46</v>
      </c>
      <c r="G1123" s="2" t="s">
        <v>321</v>
      </c>
      <c r="H1123" s="2">
        <v>5.7</v>
      </c>
      <c r="I1123" s="2">
        <v>32</v>
      </c>
      <c r="J1123" s="2">
        <v>85</v>
      </c>
      <c r="K1123" s="2">
        <v>20</v>
      </c>
      <c r="L1123" s="2">
        <v>20</v>
      </c>
      <c r="M1123" s="2">
        <v>38</v>
      </c>
      <c r="N1123" s="2" t="s">
        <v>95</v>
      </c>
      <c r="O1123" s="10">
        <v>0</v>
      </c>
      <c r="P1123" s="10">
        <v>0</v>
      </c>
      <c r="Q1123" s="184">
        <v>2</v>
      </c>
      <c r="R1123" s="181">
        <v>1</v>
      </c>
      <c r="S1123" s="178">
        <f t="shared" si="124"/>
        <v>0</v>
      </c>
      <c r="T1123" s="186">
        <f t="shared" si="125"/>
        <v>3</v>
      </c>
      <c r="U1123" s="179">
        <f t="shared" si="126"/>
        <v>3</v>
      </c>
      <c r="V1123" s="1">
        <f t="shared" si="127"/>
        <v>25</v>
      </c>
      <c r="W1123" s="8">
        <f t="shared" si="128"/>
        <v>6.25</v>
      </c>
      <c r="X1123" s="15">
        <f t="shared" si="129"/>
        <v>6325</v>
      </c>
      <c r="Y1123"/>
      <c r="Z1123"/>
      <c r="AA1123"/>
      <c r="AB1123"/>
      <c r="AC1123"/>
      <c r="AD1123"/>
    </row>
    <row r="1124" spans="2:30">
      <c r="B1124" s="163" t="s">
        <v>514</v>
      </c>
      <c r="C1124" s="2" t="s">
        <v>13</v>
      </c>
      <c r="D1124" s="2" t="s">
        <v>37</v>
      </c>
      <c r="E1124" s="3">
        <v>45395.625</v>
      </c>
      <c r="F1124" s="2" t="s">
        <v>99</v>
      </c>
      <c r="G1124" s="2" t="s">
        <v>351</v>
      </c>
      <c r="H1124" s="2">
        <v>2.82</v>
      </c>
      <c r="I1124" s="2">
        <v>0</v>
      </c>
      <c r="J1124" s="2">
        <v>0</v>
      </c>
      <c r="K1124" s="2">
        <v>20</v>
      </c>
      <c r="L1124" s="2">
        <v>20</v>
      </c>
      <c r="M1124" s="2">
        <v>32</v>
      </c>
      <c r="N1124" s="2" t="s">
        <v>95</v>
      </c>
      <c r="O1124" s="10">
        <v>0</v>
      </c>
      <c r="P1124" s="10">
        <v>0</v>
      </c>
      <c r="Q1124" s="184">
        <v>3</v>
      </c>
      <c r="R1124" s="181">
        <v>0</v>
      </c>
      <c r="S1124" s="178">
        <f t="shared" si="124"/>
        <v>0</v>
      </c>
      <c r="T1124" s="186">
        <f t="shared" si="125"/>
        <v>3</v>
      </c>
      <c r="U1124" s="179">
        <f t="shared" si="126"/>
        <v>3</v>
      </c>
      <c r="V1124" s="1">
        <f t="shared" si="127"/>
        <v>25</v>
      </c>
      <c r="W1124" s="8">
        <f t="shared" si="128"/>
        <v>6.25</v>
      </c>
      <c r="X1124" s="15">
        <f t="shared" si="129"/>
        <v>6331.25</v>
      </c>
      <c r="Y1124"/>
      <c r="Z1124"/>
      <c r="AA1124"/>
      <c r="AB1124"/>
      <c r="AC1124"/>
      <c r="AD1124"/>
    </row>
    <row r="1125" spans="2:30">
      <c r="B1125" s="163" t="s">
        <v>514</v>
      </c>
      <c r="C1125" s="2" t="s">
        <v>58</v>
      </c>
      <c r="D1125" s="2" t="s">
        <v>59</v>
      </c>
      <c r="E1125" s="3">
        <v>45402.854166666664</v>
      </c>
      <c r="F1125" s="2" t="s">
        <v>112</v>
      </c>
      <c r="G1125" s="2" t="s">
        <v>121</v>
      </c>
      <c r="H1125" s="2">
        <v>3.75</v>
      </c>
      <c r="I1125" s="2">
        <v>0</v>
      </c>
      <c r="J1125" s="2">
        <v>0</v>
      </c>
      <c r="K1125" s="2">
        <v>20</v>
      </c>
      <c r="L1125" s="2">
        <v>20</v>
      </c>
      <c r="M1125" s="2">
        <v>29</v>
      </c>
      <c r="N1125" s="2" t="s">
        <v>95</v>
      </c>
      <c r="O1125" s="10">
        <v>0</v>
      </c>
      <c r="P1125" s="10">
        <v>0</v>
      </c>
      <c r="Q1125" s="184">
        <v>2</v>
      </c>
      <c r="R1125" s="181">
        <v>1</v>
      </c>
      <c r="S1125" s="178">
        <f t="shared" si="124"/>
        <v>0</v>
      </c>
      <c r="T1125" s="186">
        <f t="shared" si="125"/>
        <v>3</v>
      </c>
      <c r="U1125" s="179">
        <f t="shared" si="126"/>
        <v>3</v>
      </c>
      <c r="V1125" s="1">
        <f t="shared" si="127"/>
        <v>25</v>
      </c>
      <c r="W1125" s="8">
        <f t="shared" si="128"/>
        <v>6.25</v>
      </c>
      <c r="X1125" s="15">
        <f t="shared" si="129"/>
        <v>6337.5</v>
      </c>
      <c r="Y1125"/>
      <c r="Z1125"/>
      <c r="AA1125"/>
      <c r="AB1125"/>
      <c r="AC1125"/>
      <c r="AD1125"/>
    </row>
    <row r="1126" spans="2:30">
      <c r="B1126" s="163" t="s">
        <v>514</v>
      </c>
      <c r="C1126" s="2" t="s">
        <v>145</v>
      </c>
      <c r="D1126" s="2" t="s">
        <v>268</v>
      </c>
      <c r="E1126" s="3">
        <v>45429.822916666664</v>
      </c>
      <c r="F1126" s="2" t="s">
        <v>848</v>
      </c>
      <c r="G1126" s="2" t="s">
        <v>849</v>
      </c>
      <c r="H1126" s="2">
        <v>48</v>
      </c>
      <c r="I1126" s="2">
        <v>5.3</v>
      </c>
      <c r="J1126" s="2">
        <v>280</v>
      </c>
      <c r="K1126" s="2">
        <v>20</v>
      </c>
      <c r="L1126" s="2">
        <v>10</v>
      </c>
      <c r="M1126" s="2">
        <v>36</v>
      </c>
      <c r="N1126" s="2" t="s">
        <v>95</v>
      </c>
      <c r="O1126" s="10">
        <v>0</v>
      </c>
      <c r="P1126" s="10">
        <v>0</v>
      </c>
      <c r="Q1126" s="184">
        <v>2</v>
      </c>
      <c r="R1126" s="181">
        <v>1</v>
      </c>
      <c r="S1126" s="178">
        <f t="shared" si="124"/>
        <v>0</v>
      </c>
      <c r="T1126" s="186">
        <f t="shared" si="125"/>
        <v>3</v>
      </c>
      <c r="U1126" s="179">
        <f t="shared" si="126"/>
        <v>3</v>
      </c>
      <c r="V1126" s="1">
        <f t="shared" si="127"/>
        <v>25</v>
      </c>
      <c r="W1126" s="8">
        <f t="shared" si="128"/>
        <v>6.25</v>
      </c>
      <c r="X1126" s="15">
        <f t="shared" si="129"/>
        <v>6343.75</v>
      </c>
      <c r="Y1126"/>
      <c r="Z1126"/>
      <c r="AA1126"/>
      <c r="AB1126"/>
      <c r="AC1126"/>
      <c r="AD1126"/>
    </row>
    <row r="1127" spans="2:30">
      <c r="B1127" s="163" t="s">
        <v>514</v>
      </c>
      <c r="C1127" s="2" t="s">
        <v>149</v>
      </c>
      <c r="D1127" s="2" t="s">
        <v>153</v>
      </c>
      <c r="E1127" s="3">
        <v>45431.5625</v>
      </c>
      <c r="F1127" s="2" t="s">
        <v>395</v>
      </c>
      <c r="G1127" s="2" t="s">
        <v>206</v>
      </c>
      <c r="H1127" s="2">
        <v>6.4</v>
      </c>
      <c r="I1127" s="2">
        <v>26</v>
      </c>
      <c r="J1127" s="2">
        <v>0</v>
      </c>
      <c r="K1127" s="2">
        <v>20</v>
      </c>
      <c r="L1127" s="2">
        <v>15</v>
      </c>
      <c r="M1127" s="2">
        <v>28</v>
      </c>
      <c r="N1127" s="2" t="s">
        <v>95</v>
      </c>
      <c r="O1127" s="10">
        <v>0</v>
      </c>
      <c r="P1127" s="10">
        <v>0</v>
      </c>
      <c r="Q1127" s="184">
        <v>2</v>
      </c>
      <c r="R1127" s="181">
        <v>1</v>
      </c>
      <c r="S1127" s="178">
        <f t="shared" si="124"/>
        <v>0</v>
      </c>
      <c r="T1127" s="186">
        <f t="shared" si="125"/>
        <v>3</v>
      </c>
      <c r="U1127" s="179">
        <f t="shared" si="126"/>
        <v>3</v>
      </c>
      <c r="V1127" s="1">
        <f t="shared" si="127"/>
        <v>25</v>
      </c>
      <c r="W1127" s="8">
        <f t="shared" si="128"/>
        <v>6.25</v>
      </c>
      <c r="X1127" s="15">
        <f t="shared" si="129"/>
        <v>6350</v>
      </c>
      <c r="Y1127"/>
      <c r="Z1127"/>
      <c r="AA1127"/>
      <c r="AB1127"/>
      <c r="AC1127"/>
      <c r="AD1127"/>
    </row>
    <row r="1128" spans="2:30">
      <c r="B1128" s="163" t="s">
        <v>514</v>
      </c>
      <c r="C1128" s="2" t="s">
        <v>149</v>
      </c>
      <c r="D1128" s="2" t="s">
        <v>153</v>
      </c>
      <c r="E1128" s="3">
        <v>45431.5625</v>
      </c>
      <c r="F1128" s="2" t="s">
        <v>205</v>
      </c>
      <c r="G1128" s="2" t="s">
        <v>242</v>
      </c>
      <c r="H1128" s="2">
        <v>120</v>
      </c>
      <c r="I1128" s="2">
        <v>3.35</v>
      </c>
      <c r="J1128" s="2">
        <v>0</v>
      </c>
      <c r="K1128" s="2">
        <v>20</v>
      </c>
      <c r="L1128" s="2">
        <v>5</v>
      </c>
      <c r="M1128" s="2">
        <v>27</v>
      </c>
      <c r="N1128" s="2" t="s">
        <v>95</v>
      </c>
      <c r="O1128" s="10">
        <v>0</v>
      </c>
      <c r="P1128" s="10">
        <v>0</v>
      </c>
      <c r="Q1128" s="184">
        <v>1</v>
      </c>
      <c r="R1128" s="181">
        <v>2</v>
      </c>
      <c r="S1128" s="178">
        <f t="shared" si="124"/>
        <v>0</v>
      </c>
      <c r="T1128" s="186">
        <f t="shared" si="125"/>
        <v>3</v>
      </c>
      <c r="U1128" s="179">
        <f t="shared" si="126"/>
        <v>3</v>
      </c>
      <c r="V1128" s="1">
        <f t="shared" si="127"/>
        <v>25</v>
      </c>
      <c r="W1128" s="8">
        <f t="shared" si="128"/>
        <v>6.25</v>
      </c>
      <c r="X1128" s="15">
        <f t="shared" si="129"/>
        <v>6356.25</v>
      </c>
      <c r="Y1128"/>
      <c r="Z1128"/>
      <c r="AA1128"/>
      <c r="AB1128"/>
      <c r="AC1128"/>
      <c r="AD1128"/>
    </row>
    <row r="1129" spans="2:30">
      <c r="B1129" s="163" t="s">
        <v>514</v>
      </c>
      <c r="C1129" s="2" t="s">
        <v>6</v>
      </c>
      <c r="D1129" s="2" t="s">
        <v>11</v>
      </c>
      <c r="E1129" s="3">
        <v>45360.625</v>
      </c>
      <c r="F1129" s="2" t="s">
        <v>232</v>
      </c>
      <c r="G1129" s="2" t="s">
        <v>12</v>
      </c>
      <c r="H1129" s="2">
        <v>0</v>
      </c>
      <c r="I1129" s="2">
        <v>6</v>
      </c>
      <c r="J1129" s="2">
        <v>350</v>
      </c>
      <c r="K1129" s="2">
        <v>20</v>
      </c>
      <c r="L1129" s="2">
        <v>5</v>
      </c>
      <c r="M1129" s="2"/>
      <c r="N1129" s="2" t="s">
        <v>95</v>
      </c>
      <c r="O1129" s="10">
        <v>0</v>
      </c>
      <c r="P1129" s="10">
        <v>0</v>
      </c>
      <c r="Q1129" s="184">
        <v>1</v>
      </c>
      <c r="R1129" s="181">
        <v>3</v>
      </c>
      <c r="S1129" s="178">
        <f t="shared" si="124"/>
        <v>0</v>
      </c>
      <c r="T1129" s="186">
        <f t="shared" si="125"/>
        <v>4</v>
      </c>
      <c r="U1129" s="179">
        <f t="shared" si="126"/>
        <v>4</v>
      </c>
      <c r="V1129" s="1">
        <f t="shared" si="127"/>
        <v>25</v>
      </c>
      <c r="W1129" s="8">
        <f t="shared" si="128"/>
        <v>6.25</v>
      </c>
      <c r="X1129" s="15">
        <f t="shared" si="129"/>
        <v>6362.5</v>
      </c>
      <c r="Y1129"/>
      <c r="Z1129"/>
      <c r="AA1129"/>
      <c r="AB1129"/>
      <c r="AC1129"/>
      <c r="AD1129"/>
    </row>
    <row r="1130" spans="2:30">
      <c r="B1130" s="163" t="s">
        <v>514</v>
      </c>
      <c r="C1130" s="2" t="s">
        <v>149</v>
      </c>
      <c r="D1130" s="2" t="s">
        <v>153</v>
      </c>
      <c r="E1130" s="3">
        <v>45431.5625</v>
      </c>
      <c r="F1130" s="2" t="s">
        <v>282</v>
      </c>
      <c r="G1130" s="2" t="s">
        <v>647</v>
      </c>
      <c r="H1130" s="2">
        <v>2.62</v>
      </c>
      <c r="I1130" s="2">
        <v>44</v>
      </c>
      <c r="J1130" s="2">
        <v>150</v>
      </c>
      <c r="K1130" s="2">
        <v>20</v>
      </c>
      <c r="L1130" s="2">
        <v>35</v>
      </c>
      <c r="M1130" s="2">
        <v>28</v>
      </c>
      <c r="N1130" s="2" t="s">
        <v>95</v>
      </c>
      <c r="O1130" s="10">
        <v>0</v>
      </c>
      <c r="P1130" s="10">
        <v>0</v>
      </c>
      <c r="Q1130" s="184">
        <v>4</v>
      </c>
      <c r="R1130" s="181">
        <v>0</v>
      </c>
      <c r="S1130" s="178">
        <f t="shared" si="124"/>
        <v>0</v>
      </c>
      <c r="T1130" s="186">
        <f t="shared" si="125"/>
        <v>4</v>
      </c>
      <c r="U1130" s="179">
        <f t="shared" si="126"/>
        <v>4</v>
      </c>
      <c r="V1130" s="1">
        <f t="shared" si="127"/>
        <v>25</v>
      </c>
      <c r="W1130" s="8">
        <f t="shared" si="128"/>
        <v>6.25</v>
      </c>
      <c r="X1130" s="15">
        <f t="shared" si="129"/>
        <v>6368.75</v>
      </c>
      <c r="Y1130"/>
      <c r="Z1130"/>
      <c r="AA1130"/>
      <c r="AB1130"/>
      <c r="AC1130"/>
      <c r="AD1130"/>
    </row>
    <row r="1131" spans="2:30">
      <c r="B1131" s="163" t="s">
        <v>514</v>
      </c>
      <c r="C1131" s="2" t="s">
        <v>119</v>
      </c>
      <c r="D1131" s="2" t="s">
        <v>166</v>
      </c>
      <c r="E1131" s="3">
        <v>45438.729166666664</v>
      </c>
      <c r="F1131" s="2" t="s">
        <v>850</v>
      </c>
      <c r="G1131" s="2" t="s">
        <v>895</v>
      </c>
      <c r="H1131" s="2">
        <v>5.4</v>
      </c>
      <c r="I1131" s="2">
        <v>0</v>
      </c>
      <c r="J1131" s="2">
        <v>0</v>
      </c>
      <c r="K1131" s="2">
        <v>20</v>
      </c>
      <c r="L1131" s="2">
        <v>5</v>
      </c>
      <c r="M1131" s="2">
        <v>36</v>
      </c>
      <c r="N1131" s="2" t="s">
        <v>95</v>
      </c>
      <c r="O1131" s="10">
        <v>0</v>
      </c>
      <c r="P1131" s="10">
        <v>0</v>
      </c>
      <c r="Q1131" s="184">
        <v>3</v>
      </c>
      <c r="R1131" s="181">
        <v>2</v>
      </c>
      <c r="S1131" s="178">
        <f t="shared" si="124"/>
        <v>0</v>
      </c>
      <c r="T1131" s="186">
        <f t="shared" si="125"/>
        <v>5</v>
      </c>
      <c r="U1131" s="179">
        <f t="shared" si="126"/>
        <v>5</v>
      </c>
      <c r="V1131" s="1">
        <f t="shared" si="127"/>
        <v>25</v>
      </c>
      <c r="W1131" s="8">
        <f t="shared" si="128"/>
        <v>6.25</v>
      </c>
      <c r="X1131" s="15">
        <f t="shared" si="129"/>
        <v>6375</v>
      </c>
      <c r="Y1131"/>
      <c r="Z1131"/>
      <c r="AA1131"/>
      <c r="AB1131"/>
      <c r="AC1131"/>
      <c r="AD1131"/>
    </row>
    <row r="1132" spans="2:30">
      <c r="B1132" s="163" t="s">
        <v>514</v>
      </c>
      <c r="C1132" s="2" t="s">
        <v>149</v>
      </c>
      <c r="D1132" s="2" t="s">
        <v>153</v>
      </c>
      <c r="E1132" s="3">
        <v>45385.791666666664</v>
      </c>
      <c r="F1132" s="2" t="s">
        <v>250</v>
      </c>
      <c r="G1132" s="2" t="s">
        <v>205</v>
      </c>
      <c r="H1132" s="2">
        <v>6.2</v>
      </c>
      <c r="I1132" s="2">
        <v>110</v>
      </c>
      <c r="J1132" s="2">
        <v>0</v>
      </c>
      <c r="K1132" s="2">
        <v>20</v>
      </c>
      <c r="L1132" s="2">
        <v>30</v>
      </c>
      <c r="M1132" s="2">
        <v>39</v>
      </c>
      <c r="N1132" s="2" t="s">
        <v>95</v>
      </c>
      <c r="O1132" s="10">
        <v>0</v>
      </c>
      <c r="P1132" s="10">
        <v>0</v>
      </c>
      <c r="Q1132" s="184">
        <v>5</v>
      </c>
      <c r="R1132" s="181">
        <v>1</v>
      </c>
      <c r="S1132" s="178">
        <f t="shared" si="124"/>
        <v>0</v>
      </c>
      <c r="T1132" s="186">
        <f t="shared" si="125"/>
        <v>6</v>
      </c>
      <c r="U1132" s="179">
        <f t="shared" si="126"/>
        <v>6</v>
      </c>
      <c r="V1132" s="1">
        <f t="shared" si="127"/>
        <v>25</v>
      </c>
      <c r="W1132" s="8">
        <f t="shared" si="128"/>
        <v>6.25</v>
      </c>
      <c r="X1132" s="15">
        <f t="shared" si="129"/>
        <v>6381.25</v>
      </c>
      <c r="Y1132"/>
      <c r="Z1132"/>
      <c r="AA1132"/>
      <c r="AB1132"/>
      <c r="AC1132"/>
      <c r="AD1132"/>
    </row>
    <row r="1133" spans="2:30">
      <c r="B1133" s="163" t="s">
        <v>270</v>
      </c>
      <c r="C1133" s="2" t="s">
        <v>20</v>
      </c>
      <c r="D1133" s="2" t="s">
        <v>21</v>
      </c>
      <c r="E1133" s="3">
        <v>45289.729166666664</v>
      </c>
      <c r="F1133" s="2" t="s">
        <v>22</v>
      </c>
      <c r="G1133" s="2" t="s">
        <v>23</v>
      </c>
      <c r="H1133" s="2">
        <v>63</v>
      </c>
      <c r="I1133" s="2">
        <v>0</v>
      </c>
      <c r="J1133" s="2">
        <v>20</v>
      </c>
      <c r="K1133" s="2"/>
      <c r="L1133" s="2"/>
      <c r="M1133" s="2"/>
      <c r="N1133" s="2" t="s">
        <v>96</v>
      </c>
      <c r="O1133" s="9">
        <v>0</v>
      </c>
      <c r="P1133" s="9">
        <v>0</v>
      </c>
      <c r="Q1133" s="184">
        <v>0</v>
      </c>
      <c r="R1133" s="181">
        <v>0</v>
      </c>
      <c r="S1133" s="178">
        <f t="shared" si="124"/>
        <v>0</v>
      </c>
      <c r="T1133" s="186">
        <f t="shared" si="125"/>
        <v>0</v>
      </c>
      <c r="U1133" s="179">
        <f t="shared" si="126"/>
        <v>0</v>
      </c>
      <c r="V1133" s="1">
        <f t="shared" si="127"/>
        <v>25</v>
      </c>
      <c r="W1133" s="8">
        <f t="shared" si="128"/>
        <v>-25</v>
      </c>
      <c r="X1133" s="15">
        <f t="shared" si="129"/>
        <v>6356.25</v>
      </c>
      <c r="Y1133"/>
      <c r="Z1133"/>
      <c r="AA1133"/>
      <c r="AB1133"/>
      <c r="AC1133"/>
      <c r="AD1133"/>
    </row>
    <row r="1134" spans="2:30">
      <c r="B1134" s="163" t="s">
        <v>270</v>
      </c>
      <c r="C1134" s="2" t="s">
        <v>6</v>
      </c>
      <c r="D1134" s="2" t="s">
        <v>62</v>
      </c>
      <c r="E1134" s="3">
        <v>45305.583333333336</v>
      </c>
      <c r="F1134" s="2" t="s">
        <v>71</v>
      </c>
      <c r="G1134" s="2" t="s">
        <v>102</v>
      </c>
      <c r="H1134" s="2">
        <v>59</v>
      </c>
      <c r="I1134" s="2">
        <v>0</v>
      </c>
      <c r="J1134" s="2">
        <v>20</v>
      </c>
      <c r="K1134" s="2"/>
      <c r="L1134" s="2"/>
      <c r="M1134" s="2"/>
      <c r="N1134" s="2" t="s">
        <v>96</v>
      </c>
      <c r="O1134" s="10">
        <v>0</v>
      </c>
      <c r="P1134" s="9">
        <v>0</v>
      </c>
      <c r="Q1134" s="184">
        <v>0</v>
      </c>
      <c r="R1134" s="181">
        <v>0</v>
      </c>
      <c r="S1134" s="178">
        <f t="shared" si="124"/>
        <v>0</v>
      </c>
      <c r="T1134" s="186">
        <f t="shared" si="125"/>
        <v>0</v>
      </c>
      <c r="U1134" s="179">
        <f t="shared" si="126"/>
        <v>0</v>
      </c>
      <c r="V1134" s="1">
        <f t="shared" si="127"/>
        <v>25</v>
      </c>
      <c r="W1134" s="8">
        <f t="shared" si="128"/>
        <v>-25</v>
      </c>
      <c r="X1134" s="15">
        <f t="shared" si="129"/>
        <v>6331.25</v>
      </c>
      <c r="Y1134"/>
      <c r="Z1134"/>
      <c r="AA1134"/>
      <c r="AB1134"/>
      <c r="AC1134"/>
      <c r="AD1134"/>
    </row>
    <row r="1135" spans="2:30">
      <c r="B1135" s="163" t="s">
        <v>270</v>
      </c>
      <c r="C1135" s="2" t="s">
        <v>6</v>
      </c>
      <c r="D1135" s="2" t="s">
        <v>62</v>
      </c>
      <c r="E1135" s="3">
        <v>45313.822916666664</v>
      </c>
      <c r="F1135" s="2" t="s">
        <v>267</v>
      </c>
      <c r="G1135" s="2" t="s">
        <v>64</v>
      </c>
      <c r="H1135" s="2">
        <v>61</v>
      </c>
      <c r="I1135" s="2">
        <v>0</v>
      </c>
      <c r="J1135" s="2">
        <v>20</v>
      </c>
      <c r="K1135" s="2">
        <v>2.41</v>
      </c>
      <c r="L1135" s="2"/>
      <c r="M1135" s="2"/>
      <c r="N1135" s="2" t="s">
        <v>96</v>
      </c>
      <c r="O1135" s="10">
        <v>0</v>
      </c>
      <c r="P1135" s="9">
        <v>0</v>
      </c>
      <c r="Q1135" s="184">
        <v>0</v>
      </c>
      <c r="R1135" s="181">
        <v>0</v>
      </c>
      <c r="S1135" s="178">
        <f t="shared" si="124"/>
        <v>0</v>
      </c>
      <c r="T1135" s="186">
        <f t="shared" si="125"/>
        <v>0</v>
      </c>
      <c r="U1135" s="179">
        <f t="shared" si="126"/>
        <v>0</v>
      </c>
      <c r="V1135" s="1">
        <f t="shared" si="127"/>
        <v>25</v>
      </c>
      <c r="W1135" s="8">
        <f t="shared" si="128"/>
        <v>-25</v>
      </c>
      <c r="X1135" s="15">
        <f t="shared" si="129"/>
        <v>6306.25</v>
      </c>
      <c r="Y1135"/>
      <c r="Z1135"/>
      <c r="AA1135"/>
      <c r="AB1135"/>
      <c r="AC1135"/>
      <c r="AD1135"/>
    </row>
    <row r="1136" spans="2:30">
      <c r="B1136" s="163" t="s">
        <v>270</v>
      </c>
      <c r="C1136" s="2" t="s">
        <v>77</v>
      </c>
      <c r="D1136" s="33" t="s">
        <v>156</v>
      </c>
      <c r="E1136" s="3">
        <v>45332.604166666664</v>
      </c>
      <c r="F1136" s="2" t="s">
        <v>167</v>
      </c>
      <c r="G1136" s="2" t="s">
        <v>345</v>
      </c>
      <c r="H1136" s="2">
        <v>64</v>
      </c>
      <c r="I1136" s="2">
        <v>0</v>
      </c>
      <c r="J1136" s="2">
        <v>20</v>
      </c>
      <c r="K1136" s="2">
        <v>2.68</v>
      </c>
      <c r="L1136" s="2"/>
      <c r="M1136" s="2"/>
      <c r="N1136" s="2" t="s">
        <v>96</v>
      </c>
      <c r="O1136" s="10">
        <v>0</v>
      </c>
      <c r="P1136" s="9">
        <v>0</v>
      </c>
      <c r="Q1136" s="184">
        <v>0</v>
      </c>
      <c r="R1136" s="181">
        <v>0</v>
      </c>
      <c r="S1136" s="178">
        <f t="shared" si="124"/>
        <v>0</v>
      </c>
      <c r="T1136" s="186">
        <f t="shared" si="125"/>
        <v>0</v>
      </c>
      <c r="U1136" s="179">
        <f t="shared" si="126"/>
        <v>0</v>
      </c>
      <c r="V1136" s="1">
        <f t="shared" si="127"/>
        <v>25</v>
      </c>
      <c r="W1136" s="8">
        <f t="shared" si="128"/>
        <v>-25</v>
      </c>
      <c r="X1136" s="15">
        <f t="shared" si="129"/>
        <v>6281.25</v>
      </c>
      <c r="Y1136"/>
      <c r="Z1136"/>
      <c r="AA1136"/>
      <c r="AB1136"/>
      <c r="AC1136"/>
      <c r="AD1136"/>
    </row>
    <row r="1137" spans="2:30">
      <c r="B1137" s="163" t="s">
        <v>270</v>
      </c>
      <c r="C1137" s="2" t="s">
        <v>6</v>
      </c>
      <c r="D1137" s="2" t="s">
        <v>7</v>
      </c>
      <c r="E1137" s="3">
        <v>45339.625</v>
      </c>
      <c r="F1137" s="2" t="s">
        <v>141</v>
      </c>
      <c r="G1137" s="2" t="s">
        <v>378</v>
      </c>
      <c r="H1137" s="2">
        <v>60</v>
      </c>
      <c r="I1137" s="2">
        <v>0</v>
      </c>
      <c r="J1137" s="2">
        <v>20</v>
      </c>
      <c r="K1137" s="2">
        <v>2.34</v>
      </c>
      <c r="L1137" s="2"/>
      <c r="M1137" s="2"/>
      <c r="N1137" s="2" t="s">
        <v>96</v>
      </c>
      <c r="O1137" s="10">
        <v>0</v>
      </c>
      <c r="P1137" s="10">
        <v>0</v>
      </c>
      <c r="Q1137" s="184">
        <v>0</v>
      </c>
      <c r="R1137" s="181">
        <v>0</v>
      </c>
      <c r="S1137" s="178">
        <f t="shared" si="124"/>
        <v>0</v>
      </c>
      <c r="T1137" s="186">
        <f t="shared" si="125"/>
        <v>0</v>
      </c>
      <c r="U1137" s="179">
        <f t="shared" si="126"/>
        <v>0</v>
      </c>
      <c r="V1137" s="1">
        <f t="shared" si="127"/>
        <v>25</v>
      </c>
      <c r="W1137" s="8">
        <f t="shared" si="128"/>
        <v>-25</v>
      </c>
      <c r="X1137" s="15">
        <f t="shared" si="129"/>
        <v>6256.25</v>
      </c>
      <c r="Y1137"/>
      <c r="Z1137"/>
      <c r="AA1137"/>
      <c r="AB1137"/>
      <c r="AC1137"/>
      <c r="AD1137"/>
    </row>
    <row r="1138" spans="2:30">
      <c r="B1138" s="163" t="s">
        <v>270</v>
      </c>
      <c r="C1138" s="2" t="s">
        <v>6</v>
      </c>
      <c r="D1138" s="2" t="s">
        <v>14</v>
      </c>
      <c r="E1138" s="3">
        <v>45353.625</v>
      </c>
      <c r="F1138" s="2" t="s">
        <v>200</v>
      </c>
      <c r="G1138" s="2" t="s">
        <v>387</v>
      </c>
      <c r="H1138" s="2">
        <v>59</v>
      </c>
      <c r="I1138" s="2">
        <v>0</v>
      </c>
      <c r="J1138" s="2">
        <v>20</v>
      </c>
      <c r="K1138" s="2">
        <v>30</v>
      </c>
      <c r="L1138" s="2">
        <v>2.19</v>
      </c>
      <c r="M1138" s="2"/>
      <c r="N1138" s="2" t="s">
        <v>96</v>
      </c>
      <c r="O1138" s="10">
        <v>0</v>
      </c>
      <c r="P1138" s="10">
        <v>0</v>
      </c>
      <c r="Q1138" s="184">
        <v>0</v>
      </c>
      <c r="R1138" s="181">
        <v>0</v>
      </c>
      <c r="S1138" s="178">
        <f t="shared" si="124"/>
        <v>0</v>
      </c>
      <c r="T1138" s="186">
        <f t="shared" si="125"/>
        <v>0</v>
      </c>
      <c r="U1138" s="179">
        <f t="shared" si="126"/>
        <v>0</v>
      </c>
      <c r="V1138" s="1">
        <f t="shared" si="127"/>
        <v>25</v>
      </c>
      <c r="W1138" s="8">
        <f t="shared" si="128"/>
        <v>-25</v>
      </c>
      <c r="X1138" s="15">
        <f t="shared" si="129"/>
        <v>6231.25</v>
      </c>
      <c r="Y1138"/>
      <c r="Z1138"/>
      <c r="AA1138"/>
      <c r="AB1138"/>
      <c r="AC1138"/>
      <c r="AD1138"/>
    </row>
    <row r="1139" spans="2:30">
      <c r="B1139" s="163" t="s">
        <v>270</v>
      </c>
      <c r="C1139" s="2" t="s">
        <v>119</v>
      </c>
      <c r="D1139" s="2" t="s">
        <v>120</v>
      </c>
      <c r="E1139" s="3">
        <v>45354.833333333336</v>
      </c>
      <c r="F1139" s="2" t="s">
        <v>384</v>
      </c>
      <c r="G1139" s="2" t="s">
        <v>361</v>
      </c>
      <c r="H1139" s="2">
        <v>64</v>
      </c>
      <c r="I1139" s="2">
        <v>0</v>
      </c>
      <c r="J1139" s="2">
        <v>20</v>
      </c>
      <c r="K1139" s="2">
        <v>31</v>
      </c>
      <c r="L1139" s="2">
        <v>2.94</v>
      </c>
      <c r="M1139" s="2"/>
      <c r="N1139" s="2" t="s">
        <v>96</v>
      </c>
      <c r="O1139" s="10">
        <v>0</v>
      </c>
      <c r="P1139" s="10">
        <v>0</v>
      </c>
      <c r="Q1139" s="184">
        <v>0</v>
      </c>
      <c r="R1139" s="181">
        <v>0</v>
      </c>
      <c r="S1139" s="178">
        <f t="shared" si="124"/>
        <v>0</v>
      </c>
      <c r="T1139" s="186">
        <f t="shared" si="125"/>
        <v>0</v>
      </c>
      <c r="U1139" s="179">
        <f t="shared" si="126"/>
        <v>0</v>
      </c>
      <c r="V1139" s="1">
        <f t="shared" si="127"/>
        <v>25</v>
      </c>
      <c r="W1139" s="8">
        <f t="shared" si="128"/>
        <v>-25</v>
      </c>
      <c r="X1139" s="15">
        <f t="shared" si="129"/>
        <v>6206.25</v>
      </c>
      <c r="Y1139"/>
      <c r="Z1139"/>
      <c r="AA1139"/>
      <c r="AB1139"/>
      <c r="AC1139"/>
      <c r="AD1139"/>
    </row>
    <row r="1140" spans="2:30">
      <c r="B1140" s="163" t="s">
        <v>270</v>
      </c>
      <c r="C1140" s="2" t="s">
        <v>58</v>
      </c>
      <c r="D1140" s="2" t="s">
        <v>59</v>
      </c>
      <c r="E1140" s="3">
        <v>45360.75</v>
      </c>
      <c r="F1140" s="2" t="s">
        <v>127</v>
      </c>
      <c r="G1140" s="2" t="s">
        <v>112</v>
      </c>
      <c r="H1140" s="2">
        <v>67</v>
      </c>
      <c r="I1140" s="2">
        <v>0</v>
      </c>
      <c r="J1140" s="2">
        <v>20</v>
      </c>
      <c r="K1140" s="2">
        <v>34</v>
      </c>
      <c r="L1140" s="2">
        <v>2.35</v>
      </c>
      <c r="M1140" s="2"/>
      <c r="N1140" s="2" t="s">
        <v>96</v>
      </c>
      <c r="O1140" s="10">
        <v>0</v>
      </c>
      <c r="P1140" s="10">
        <v>0</v>
      </c>
      <c r="Q1140" s="184">
        <v>0</v>
      </c>
      <c r="R1140" s="181">
        <v>0</v>
      </c>
      <c r="S1140" s="178">
        <f t="shared" si="124"/>
        <v>0</v>
      </c>
      <c r="T1140" s="186">
        <f t="shared" si="125"/>
        <v>0</v>
      </c>
      <c r="U1140" s="179">
        <f t="shared" si="126"/>
        <v>0</v>
      </c>
      <c r="V1140" s="1">
        <f t="shared" si="127"/>
        <v>25</v>
      </c>
      <c r="W1140" s="8">
        <f t="shared" si="128"/>
        <v>-25</v>
      </c>
      <c r="X1140" s="15">
        <f t="shared" si="129"/>
        <v>6181.25</v>
      </c>
      <c r="Y1140"/>
      <c r="Z1140"/>
      <c r="AA1140"/>
      <c r="AB1140"/>
      <c r="AC1140"/>
      <c r="AD1140"/>
    </row>
    <row r="1141" spans="2:30">
      <c r="B1141" s="163" t="s">
        <v>270</v>
      </c>
      <c r="C1141" s="2" t="s">
        <v>58</v>
      </c>
      <c r="D1141" s="2" t="s">
        <v>59</v>
      </c>
      <c r="E1141" s="3">
        <v>45362.84375</v>
      </c>
      <c r="F1141" s="2" t="s">
        <v>107</v>
      </c>
      <c r="G1141" s="2" t="s">
        <v>165</v>
      </c>
      <c r="H1141" s="2">
        <v>61</v>
      </c>
      <c r="I1141" s="2">
        <v>0</v>
      </c>
      <c r="J1141" s="2">
        <v>20</v>
      </c>
      <c r="K1141" s="2">
        <v>34</v>
      </c>
      <c r="L1141" s="2">
        <v>2.5</v>
      </c>
      <c r="M1141" s="2"/>
      <c r="N1141" s="2" t="s">
        <v>96</v>
      </c>
      <c r="O1141" s="10">
        <v>0</v>
      </c>
      <c r="P1141" s="10">
        <v>0</v>
      </c>
      <c r="Q1141" s="184">
        <v>0</v>
      </c>
      <c r="R1141" s="181">
        <v>0</v>
      </c>
      <c r="S1141" s="178">
        <f t="shared" si="124"/>
        <v>0</v>
      </c>
      <c r="T1141" s="186">
        <f t="shared" si="125"/>
        <v>0</v>
      </c>
      <c r="U1141" s="179">
        <f t="shared" si="126"/>
        <v>0</v>
      </c>
      <c r="V1141" s="1">
        <f t="shared" si="127"/>
        <v>25</v>
      </c>
      <c r="W1141" s="8">
        <f t="shared" si="128"/>
        <v>-25</v>
      </c>
      <c r="X1141" s="15">
        <f t="shared" si="129"/>
        <v>6156.25</v>
      </c>
      <c r="Y1141"/>
      <c r="Z1141"/>
      <c r="AA1141"/>
      <c r="AB1141"/>
      <c r="AC1141"/>
      <c r="AD1141"/>
    </row>
    <row r="1142" spans="2:30">
      <c r="B1142" s="163" t="s">
        <v>270</v>
      </c>
      <c r="C1142" s="2" t="s">
        <v>6</v>
      </c>
      <c r="D1142" s="2" t="s">
        <v>14</v>
      </c>
      <c r="E1142" s="3">
        <v>45367.625</v>
      </c>
      <c r="F1142" s="2" t="s">
        <v>262</v>
      </c>
      <c r="G1142" s="2" t="s">
        <v>421</v>
      </c>
      <c r="H1142" s="2">
        <v>67</v>
      </c>
      <c r="I1142" s="2">
        <v>0</v>
      </c>
      <c r="J1142" s="2">
        <v>20</v>
      </c>
      <c r="K1142" s="2">
        <v>40</v>
      </c>
      <c r="L1142" s="2">
        <v>1.96</v>
      </c>
      <c r="M1142" s="2"/>
      <c r="N1142" s="2" t="s">
        <v>96</v>
      </c>
      <c r="O1142" s="10">
        <v>0</v>
      </c>
      <c r="P1142" s="10">
        <v>0</v>
      </c>
      <c r="Q1142" s="184">
        <v>0</v>
      </c>
      <c r="R1142" s="181">
        <v>0</v>
      </c>
      <c r="S1142" s="178">
        <f t="shared" si="124"/>
        <v>0</v>
      </c>
      <c r="T1142" s="186">
        <f t="shared" si="125"/>
        <v>0</v>
      </c>
      <c r="U1142" s="179">
        <f t="shared" si="126"/>
        <v>0</v>
      </c>
      <c r="V1142" s="1">
        <f t="shared" si="127"/>
        <v>25</v>
      </c>
      <c r="W1142" s="8">
        <f t="shared" si="128"/>
        <v>-25</v>
      </c>
      <c r="X1142" s="15">
        <f t="shared" si="129"/>
        <v>6131.25</v>
      </c>
      <c r="Y1142"/>
      <c r="Z1142"/>
      <c r="AA1142"/>
      <c r="AB1142"/>
      <c r="AC1142"/>
      <c r="AD1142"/>
    </row>
    <row r="1143" spans="2:30">
      <c r="B1143" s="163" t="s">
        <v>270</v>
      </c>
      <c r="C1143" s="2" t="s">
        <v>626</v>
      </c>
      <c r="D1143" s="2" t="s">
        <v>627</v>
      </c>
      <c r="E1143" s="3">
        <v>45404.625</v>
      </c>
      <c r="F1143" s="2" t="s">
        <v>756</v>
      </c>
      <c r="G1143" s="2" t="s">
        <v>629</v>
      </c>
      <c r="H1143" s="2">
        <v>67</v>
      </c>
      <c r="I1143" s="2">
        <v>0</v>
      </c>
      <c r="J1143" s="2">
        <v>20</v>
      </c>
      <c r="K1143" s="2">
        <v>43</v>
      </c>
      <c r="L1143" s="2">
        <v>0</v>
      </c>
      <c r="M1143" s="2"/>
      <c r="N1143" s="2" t="s">
        <v>96</v>
      </c>
      <c r="O1143" s="10">
        <v>0</v>
      </c>
      <c r="P1143" s="10">
        <v>0</v>
      </c>
      <c r="Q1143" s="184">
        <v>0</v>
      </c>
      <c r="R1143" s="181">
        <v>0</v>
      </c>
      <c r="S1143" s="178">
        <f t="shared" si="124"/>
        <v>0</v>
      </c>
      <c r="T1143" s="186">
        <f t="shared" si="125"/>
        <v>0</v>
      </c>
      <c r="U1143" s="179">
        <f t="shared" si="126"/>
        <v>0</v>
      </c>
      <c r="V1143" s="1">
        <f t="shared" si="127"/>
        <v>25</v>
      </c>
      <c r="W1143" s="8">
        <f t="shared" si="128"/>
        <v>-25</v>
      </c>
      <c r="X1143" s="15">
        <f t="shared" si="129"/>
        <v>6106.25</v>
      </c>
      <c r="Y1143"/>
      <c r="Z1143"/>
      <c r="AA1143"/>
      <c r="AB1143"/>
      <c r="AC1143"/>
      <c r="AD1143"/>
    </row>
    <row r="1144" spans="2:30">
      <c r="B1144" s="163" t="s">
        <v>270</v>
      </c>
      <c r="C1144" s="2" t="s">
        <v>6</v>
      </c>
      <c r="D1144" s="2" t="s">
        <v>11</v>
      </c>
      <c r="E1144" s="3">
        <v>45409.520833333336</v>
      </c>
      <c r="F1144" s="2" t="s">
        <v>710</v>
      </c>
      <c r="G1144" s="2" t="s">
        <v>694</v>
      </c>
      <c r="H1144" s="2">
        <v>59</v>
      </c>
      <c r="I1144" s="2">
        <v>0</v>
      </c>
      <c r="J1144" s="2">
        <v>20</v>
      </c>
      <c r="K1144" s="2">
        <v>28</v>
      </c>
      <c r="L1144" s="2">
        <v>2.0099999999999998</v>
      </c>
      <c r="M1144" s="2"/>
      <c r="N1144" s="2" t="s">
        <v>96</v>
      </c>
      <c r="O1144" s="10">
        <v>0</v>
      </c>
      <c r="P1144" s="10">
        <v>0</v>
      </c>
      <c r="Q1144" s="184">
        <v>0</v>
      </c>
      <c r="R1144" s="181">
        <v>0</v>
      </c>
      <c r="S1144" s="178">
        <f t="shared" si="124"/>
        <v>0</v>
      </c>
      <c r="T1144" s="186">
        <f t="shared" si="125"/>
        <v>0</v>
      </c>
      <c r="U1144" s="179">
        <f t="shared" si="126"/>
        <v>0</v>
      </c>
      <c r="V1144" s="1">
        <f t="shared" si="127"/>
        <v>25</v>
      </c>
      <c r="W1144" s="8">
        <f t="shared" si="128"/>
        <v>-25</v>
      </c>
      <c r="X1144" s="15">
        <f t="shared" si="129"/>
        <v>6081.25</v>
      </c>
      <c r="Y1144"/>
      <c r="Z1144"/>
      <c r="AA1144"/>
      <c r="AB1144"/>
      <c r="AC1144"/>
      <c r="AD1144"/>
    </row>
    <row r="1145" spans="2:30">
      <c r="B1145" s="163" t="s">
        <v>270</v>
      </c>
      <c r="C1145" s="2" t="s">
        <v>434</v>
      </c>
      <c r="D1145" s="2" t="s">
        <v>435</v>
      </c>
      <c r="E1145" s="3">
        <v>45410.541666666664</v>
      </c>
      <c r="F1145" s="2" t="s">
        <v>599</v>
      </c>
      <c r="G1145" s="2" t="s">
        <v>781</v>
      </c>
      <c r="H1145" s="2">
        <v>59</v>
      </c>
      <c r="I1145" s="2">
        <v>0</v>
      </c>
      <c r="J1145" s="2">
        <v>20</v>
      </c>
      <c r="K1145" s="2">
        <v>27</v>
      </c>
      <c r="L1145" s="2">
        <v>2.56</v>
      </c>
      <c r="M1145" s="2"/>
      <c r="N1145" s="2" t="s">
        <v>96</v>
      </c>
      <c r="O1145" s="10">
        <v>0</v>
      </c>
      <c r="P1145" s="10">
        <v>0</v>
      </c>
      <c r="Q1145" s="184">
        <v>0</v>
      </c>
      <c r="R1145" s="181">
        <v>0</v>
      </c>
      <c r="S1145" s="178">
        <f t="shared" si="124"/>
        <v>0</v>
      </c>
      <c r="T1145" s="186">
        <f t="shared" si="125"/>
        <v>0</v>
      </c>
      <c r="U1145" s="179">
        <f t="shared" si="126"/>
        <v>0</v>
      </c>
      <c r="V1145" s="1">
        <f t="shared" si="127"/>
        <v>25</v>
      </c>
      <c r="W1145" s="8">
        <f t="shared" si="128"/>
        <v>-25</v>
      </c>
      <c r="X1145" s="15">
        <f t="shared" si="129"/>
        <v>6056.25</v>
      </c>
      <c r="Y1145"/>
      <c r="Z1145"/>
      <c r="AA1145"/>
      <c r="AB1145"/>
      <c r="AC1145"/>
      <c r="AD1145"/>
    </row>
    <row r="1146" spans="2:30">
      <c r="B1146" s="163" t="s">
        <v>270</v>
      </c>
      <c r="C1146" s="2" t="s">
        <v>626</v>
      </c>
      <c r="D1146" s="2" t="s">
        <v>627</v>
      </c>
      <c r="E1146" s="3">
        <v>45425.708333333336</v>
      </c>
      <c r="F1146" s="2" t="s">
        <v>635</v>
      </c>
      <c r="G1146" s="2" t="s">
        <v>756</v>
      </c>
      <c r="H1146" s="2">
        <v>60</v>
      </c>
      <c r="I1146" s="2">
        <v>0</v>
      </c>
      <c r="J1146" s="2">
        <v>20</v>
      </c>
      <c r="K1146" s="2">
        <v>35</v>
      </c>
      <c r="L1146" s="2">
        <v>0</v>
      </c>
      <c r="M1146" s="2"/>
      <c r="N1146" s="2" t="s">
        <v>96</v>
      </c>
      <c r="O1146" s="10">
        <v>0</v>
      </c>
      <c r="P1146" s="10">
        <v>0</v>
      </c>
      <c r="Q1146" s="184">
        <v>0</v>
      </c>
      <c r="R1146" s="181">
        <v>0</v>
      </c>
      <c r="S1146" s="178">
        <f t="shared" si="124"/>
        <v>0</v>
      </c>
      <c r="T1146" s="186">
        <f t="shared" si="125"/>
        <v>0</v>
      </c>
      <c r="U1146" s="179">
        <f t="shared" si="126"/>
        <v>0</v>
      </c>
      <c r="V1146" s="1">
        <f t="shared" si="127"/>
        <v>25</v>
      </c>
      <c r="W1146" s="8">
        <f t="shared" si="128"/>
        <v>-25</v>
      </c>
      <c r="X1146" s="15">
        <f t="shared" si="129"/>
        <v>6031.25</v>
      </c>
      <c r="Y1146"/>
      <c r="Z1146"/>
      <c r="AA1146"/>
      <c r="AB1146"/>
      <c r="AC1146"/>
      <c r="AD1146"/>
    </row>
    <row r="1147" spans="2:30">
      <c r="B1147" s="163" t="s">
        <v>270</v>
      </c>
      <c r="C1147" s="2" t="s">
        <v>80</v>
      </c>
      <c r="D1147" s="2" t="s">
        <v>81</v>
      </c>
      <c r="E1147" s="3">
        <v>45284.4375</v>
      </c>
      <c r="F1147" s="2" t="s">
        <v>82</v>
      </c>
      <c r="G1147" s="2" t="s">
        <v>83</v>
      </c>
      <c r="H1147" s="2">
        <v>67</v>
      </c>
      <c r="I1147" s="2">
        <v>0</v>
      </c>
      <c r="J1147" s="2">
        <v>20</v>
      </c>
      <c r="K1147" s="2"/>
      <c r="L1147" s="2"/>
      <c r="M1147" s="2"/>
      <c r="N1147" s="2" t="s">
        <v>95</v>
      </c>
      <c r="O1147" s="9">
        <v>0</v>
      </c>
      <c r="P1147" s="9">
        <v>0</v>
      </c>
      <c r="Q1147" s="184">
        <v>2</v>
      </c>
      <c r="R1147" s="181">
        <v>0</v>
      </c>
      <c r="S1147" s="178">
        <f t="shared" si="124"/>
        <v>0</v>
      </c>
      <c r="T1147" s="186">
        <f t="shared" si="125"/>
        <v>2</v>
      </c>
      <c r="U1147" s="179">
        <f t="shared" si="126"/>
        <v>2</v>
      </c>
      <c r="V1147" s="1">
        <f t="shared" si="127"/>
        <v>25</v>
      </c>
      <c r="W1147" s="8">
        <f t="shared" si="128"/>
        <v>6.25</v>
      </c>
      <c r="X1147" s="15">
        <f t="shared" si="129"/>
        <v>6037.5</v>
      </c>
      <c r="Y1147"/>
      <c r="Z1147"/>
      <c r="AA1147"/>
      <c r="AB1147"/>
      <c r="AC1147"/>
      <c r="AD1147"/>
    </row>
    <row r="1148" spans="2:30">
      <c r="B1148" s="163" t="s">
        <v>270</v>
      </c>
      <c r="C1148" s="2" t="s">
        <v>13</v>
      </c>
      <c r="D1148" s="2" t="s">
        <v>37</v>
      </c>
      <c r="E1148" s="3">
        <v>45284.5</v>
      </c>
      <c r="F1148" s="2" t="s">
        <v>38</v>
      </c>
      <c r="G1148" s="2" t="s">
        <v>79</v>
      </c>
      <c r="H1148" s="2">
        <v>70</v>
      </c>
      <c r="I1148" s="2">
        <v>0</v>
      </c>
      <c r="J1148" s="2">
        <v>20</v>
      </c>
      <c r="K1148" s="2"/>
      <c r="L1148" s="2"/>
      <c r="M1148" s="2"/>
      <c r="N1148" s="2" t="s">
        <v>95</v>
      </c>
      <c r="O1148" s="9">
        <v>0</v>
      </c>
      <c r="P1148" s="9">
        <v>2</v>
      </c>
      <c r="Q1148" s="184">
        <v>0</v>
      </c>
      <c r="R1148" s="181">
        <v>2</v>
      </c>
      <c r="S1148" s="178">
        <f t="shared" si="124"/>
        <v>2</v>
      </c>
      <c r="T1148" s="186">
        <f t="shared" si="125"/>
        <v>2</v>
      </c>
      <c r="U1148" s="179">
        <f t="shared" si="126"/>
        <v>0</v>
      </c>
      <c r="V1148" s="1">
        <f t="shared" si="127"/>
        <v>25</v>
      </c>
      <c r="W1148" s="8">
        <f t="shared" si="128"/>
        <v>6.25</v>
      </c>
      <c r="X1148" s="15">
        <f t="shared" si="129"/>
        <v>6043.75</v>
      </c>
      <c r="Y1148"/>
      <c r="Z1148"/>
      <c r="AA1148"/>
      <c r="AB1148"/>
      <c r="AC1148"/>
      <c r="AD1148"/>
    </row>
    <row r="1149" spans="2:30">
      <c r="B1149" s="163" t="s">
        <v>270</v>
      </c>
      <c r="C1149" s="2" t="s">
        <v>6</v>
      </c>
      <c r="D1149" s="2" t="s">
        <v>7</v>
      </c>
      <c r="E1149" s="3">
        <v>45286.625</v>
      </c>
      <c r="F1149" s="2" t="s">
        <v>26</v>
      </c>
      <c r="G1149" s="2" t="s">
        <v>84</v>
      </c>
      <c r="H1149" s="2">
        <v>62</v>
      </c>
      <c r="I1149" s="2">
        <v>0</v>
      </c>
      <c r="J1149" s="2">
        <v>20</v>
      </c>
      <c r="K1149" s="2"/>
      <c r="L1149" s="2"/>
      <c r="M1149" s="2"/>
      <c r="N1149" s="2" t="s">
        <v>95</v>
      </c>
      <c r="O1149" s="10">
        <v>0</v>
      </c>
      <c r="P1149" s="9">
        <v>0</v>
      </c>
      <c r="Q1149" s="184">
        <v>0</v>
      </c>
      <c r="R1149" s="181">
        <v>1</v>
      </c>
      <c r="S1149" s="178">
        <f t="shared" si="124"/>
        <v>0</v>
      </c>
      <c r="T1149" s="186">
        <f t="shared" si="125"/>
        <v>1</v>
      </c>
      <c r="U1149" s="179">
        <f t="shared" si="126"/>
        <v>1</v>
      </c>
      <c r="V1149" s="1">
        <f t="shared" si="127"/>
        <v>25</v>
      </c>
      <c r="W1149" s="8">
        <f t="shared" si="128"/>
        <v>6.25</v>
      </c>
      <c r="X1149" s="15">
        <f t="shared" si="129"/>
        <v>6050</v>
      </c>
      <c r="Y1149"/>
      <c r="Z1149"/>
      <c r="AA1149"/>
      <c r="AB1149"/>
      <c r="AC1149"/>
      <c r="AD1149"/>
    </row>
    <row r="1150" spans="2:30">
      <c r="B1150" s="163" t="s">
        <v>270</v>
      </c>
      <c r="C1150" s="2" t="s">
        <v>67</v>
      </c>
      <c r="D1150" s="2" t="s">
        <v>68</v>
      </c>
      <c r="E1150" s="3">
        <v>45286.625</v>
      </c>
      <c r="F1150" s="2" t="s">
        <v>87</v>
      </c>
      <c r="G1150" s="2" t="s">
        <v>88</v>
      </c>
      <c r="H1150" s="2">
        <v>60</v>
      </c>
      <c r="I1150" s="2">
        <v>0</v>
      </c>
      <c r="J1150" s="2">
        <v>20</v>
      </c>
      <c r="K1150" s="2"/>
      <c r="L1150" s="2"/>
      <c r="M1150" s="2"/>
      <c r="N1150" s="2" t="s">
        <v>95</v>
      </c>
      <c r="O1150" s="10">
        <v>2</v>
      </c>
      <c r="P1150" s="9">
        <v>0</v>
      </c>
      <c r="Q1150" s="184">
        <v>3</v>
      </c>
      <c r="R1150" s="181">
        <v>0</v>
      </c>
      <c r="S1150" s="178">
        <f t="shared" si="124"/>
        <v>2</v>
      </c>
      <c r="T1150" s="186">
        <f t="shared" si="125"/>
        <v>3</v>
      </c>
      <c r="U1150" s="179">
        <f t="shared" si="126"/>
        <v>1</v>
      </c>
      <c r="V1150" s="1">
        <f t="shared" si="127"/>
        <v>25</v>
      </c>
      <c r="W1150" s="8">
        <f t="shared" si="128"/>
        <v>6.25</v>
      </c>
      <c r="X1150" s="15">
        <f t="shared" si="129"/>
        <v>6056.25</v>
      </c>
      <c r="Y1150"/>
      <c r="Z1150"/>
      <c r="AA1150"/>
      <c r="AB1150"/>
      <c r="AC1150"/>
      <c r="AD1150"/>
    </row>
    <row r="1151" spans="2:30">
      <c r="B1151" s="163" t="s">
        <v>270</v>
      </c>
      <c r="C1151" s="2" t="s">
        <v>6</v>
      </c>
      <c r="D1151" s="2" t="s">
        <v>62</v>
      </c>
      <c r="E1151" s="3">
        <v>45286.625</v>
      </c>
      <c r="F1151" s="2" t="s">
        <v>85</v>
      </c>
      <c r="G1151" s="2" t="s">
        <v>86</v>
      </c>
      <c r="H1151" s="2">
        <v>66</v>
      </c>
      <c r="I1151" s="2">
        <v>0</v>
      </c>
      <c r="J1151" s="2">
        <v>20</v>
      </c>
      <c r="K1151" s="2"/>
      <c r="L1151" s="2"/>
      <c r="M1151" s="2"/>
      <c r="N1151" s="2" t="s">
        <v>95</v>
      </c>
      <c r="O1151" s="9">
        <v>0</v>
      </c>
      <c r="P1151" s="9">
        <v>1</v>
      </c>
      <c r="Q1151" s="184">
        <v>2</v>
      </c>
      <c r="R1151" s="181">
        <v>3</v>
      </c>
      <c r="S1151" s="178">
        <f t="shared" si="124"/>
        <v>1</v>
      </c>
      <c r="T1151" s="186">
        <f t="shared" si="125"/>
        <v>5</v>
      </c>
      <c r="U1151" s="179">
        <f t="shared" si="126"/>
        <v>4</v>
      </c>
      <c r="V1151" s="1">
        <f t="shared" si="127"/>
        <v>25</v>
      </c>
      <c r="W1151" s="8">
        <f t="shared" si="128"/>
        <v>6.25</v>
      </c>
      <c r="X1151" s="15">
        <f t="shared" si="129"/>
        <v>6062.5</v>
      </c>
      <c r="Y1151"/>
      <c r="Z1151"/>
      <c r="AA1151"/>
      <c r="AB1151"/>
      <c r="AC1151"/>
      <c r="AD1151"/>
    </row>
    <row r="1152" spans="2:30">
      <c r="B1152" s="163" t="s">
        <v>270</v>
      </c>
      <c r="C1152" s="2" t="s">
        <v>6</v>
      </c>
      <c r="D1152" s="2" t="s">
        <v>62</v>
      </c>
      <c r="E1152" s="3">
        <v>45287.8125</v>
      </c>
      <c r="F1152" s="2" t="s">
        <v>63</v>
      </c>
      <c r="G1152" s="2" t="s">
        <v>64</v>
      </c>
      <c r="H1152" s="2">
        <v>61</v>
      </c>
      <c r="I1152" s="2">
        <v>0</v>
      </c>
      <c r="J1152" s="2">
        <v>20</v>
      </c>
      <c r="K1152" s="2"/>
      <c r="L1152" s="2"/>
      <c r="M1152" s="2"/>
      <c r="N1152" s="2" t="s">
        <v>95</v>
      </c>
      <c r="O1152" s="10">
        <v>1</v>
      </c>
      <c r="P1152" s="9">
        <v>0</v>
      </c>
      <c r="Q1152" s="184">
        <v>1</v>
      </c>
      <c r="R1152" s="181">
        <v>1</v>
      </c>
      <c r="S1152" s="178">
        <f t="shared" si="124"/>
        <v>1</v>
      </c>
      <c r="T1152" s="186">
        <f t="shared" si="125"/>
        <v>2</v>
      </c>
      <c r="U1152" s="179">
        <f t="shared" si="126"/>
        <v>1</v>
      </c>
      <c r="V1152" s="1">
        <f t="shared" si="127"/>
        <v>25</v>
      </c>
      <c r="W1152" s="8">
        <f t="shared" si="128"/>
        <v>6.25</v>
      </c>
      <c r="X1152" s="15">
        <f t="shared" si="129"/>
        <v>6068.75</v>
      </c>
      <c r="Y1152"/>
      <c r="Z1152"/>
      <c r="AA1152"/>
      <c r="AB1152"/>
      <c r="AC1152"/>
      <c r="AD1152"/>
    </row>
    <row r="1153" spans="2:30">
      <c r="B1153" s="163" t="s">
        <v>270</v>
      </c>
      <c r="C1153" s="2" t="s">
        <v>6</v>
      </c>
      <c r="D1153" s="2" t="s">
        <v>62</v>
      </c>
      <c r="E1153" s="3">
        <v>45287.8125</v>
      </c>
      <c r="F1153" s="2" t="s">
        <v>65</v>
      </c>
      <c r="G1153" s="2" t="s">
        <v>66</v>
      </c>
      <c r="H1153" s="2">
        <v>60</v>
      </c>
      <c r="I1153" s="2">
        <v>0</v>
      </c>
      <c r="J1153" s="2">
        <v>20</v>
      </c>
      <c r="K1153" s="2"/>
      <c r="L1153" s="2"/>
      <c r="M1153" s="2"/>
      <c r="N1153" s="2" t="s">
        <v>95</v>
      </c>
      <c r="O1153" s="10">
        <v>1</v>
      </c>
      <c r="P1153" s="9">
        <v>1</v>
      </c>
      <c r="Q1153" s="184">
        <v>2</v>
      </c>
      <c r="R1153" s="181">
        <v>1</v>
      </c>
      <c r="S1153" s="178">
        <f t="shared" ref="S1153:S1216" si="130">SUM(O1153:P1153)</f>
        <v>2</v>
      </c>
      <c r="T1153" s="186">
        <f t="shared" ref="T1153:T1216" si="131">SUM(Q1153:R1153)</f>
        <v>3</v>
      </c>
      <c r="U1153" s="179">
        <f t="shared" ref="U1153:U1216" si="132">SUM(T1153-S1153)</f>
        <v>1</v>
      </c>
      <c r="V1153" s="1">
        <f t="shared" si="127"/>
        <v>25</v>
      </c>
      <c r="W1153" s="8">
        <f t="shared" si="128"/>
        <v>6.25</v>
      </c>
      <c r="X1153" s="15">
        <f t="shared" si="129"/>
        <v>6075</v>
      </c>
      <c r="Y1153"/>
      <c r="Z1153"/>
      <c r="AA1153"/>
      <c r="AB1153"/>
      <c r="AC1153"/>
      <c r="AD1153"/>
    </row>
    <row r="1154" spans="2:30">
      <c r="B1154" s="163" t="s">
        <v>270</v>
      </c>
      <c r="C1154" s="2" t="s">
        <v>67</v>
      </c>
      <c r="D1154" s="2" t="s">
        <v>68</v>
      </c>
      <c r="E1154" s="3">
        <v>45287.822916666664</v>
      </c>
      <c r="F1154" s="2" t="s">
        <v>69</v>
      </c>
      <c r="G1154" s="2" t="s">
        <v>70</v>
      </c>
      <c r="H1154" s="2">
        <v>64</v>
      </c>
      <c r="I1154" s="2">
        <v>0</v>
      </c>
      <c r="J1154" s="2">
        <v>20</v>
      </c>
      <c r="K1154" s="2"/>
      <c r="L1154" s="2"/>
      <c r="M1154" s="2"/>
      <c r="N1154" s="2" t="s">
        <v>95</v>
      </c>
      <c r="O1154" s="10">
        <v>2</v>
      </c>
      <c r="P1154" s="9">
        <v>0</v>
      </c>
      <c r="Q1154" s="184">
        <v>3</v>
      </c>
      <c r="R1154" s="181">
        <v>1</v>
      </c>
      <c r="S1154" s="178">
        <f t="shared" si="130"/>
        <v>2</v>
      </c>
      <c r="T1154" s="186">
        <f t="shared" si="131"/>
        <v>4</v>
      </c>
      <c r="U1154" s="179">
        <f t="shared" si="132"/>
        <v>2</v>
      </c>
      <c r="V1154" s="1">
        <f t="shared" si="127"/>
        <v>25</v>
      </c>
      <c r="W1154" s="8">
        <f t="shared" si="128"/>
        <v>6.25</v>
      </c>
      <c r="X1154" s="15">
        <f t="shared" si="129"/>
        <v>6081.25</v>
      </c>
      <c r="Y1154"/>
      <c r="Z1154"/>
      <c r="AA1154"/>
      <c r="AB1154"/>
      <c r="AC1154"/>
      <c r="AD1154"/>
    </row>
    <row r="1155" spans="2:30">
      <c r="B1155" s="163" t="s">
        <v>270</v>
      </c>
      <c r="C1155" s="2" t="s">
        <v>6</v>
      </c>
      <c r="D1155" s="2" t="s">
        <v>62</v>
      </c>
      <c r="E1155" s="3">
        <v>45287.84375</v>
      </c>
      <c r="F1155" s="2" t="s">
        <v>71</v>
      </c>
      <c r="G1155" s="2" t="s">
        <v>72</v>
      </c>
      <c r="H1155" s="2">
        <v>66</v>
      </c>
      <c r="I1155" s="2">
        <v>0</v>
      </c>
      <c r="J1155" s="2">
        <v>20</v>
      </c>
      <c r="K1155" s="2"/>
      <c r="L1155" s="2"/>
      <c r="M1155" s="2"/>
      <c r="N1155" s="2" t="s">
        <v>95</v>
      </c>
      <c r="O1155" s="10">
        <v>1</v>
      </c>
      <c r="P1155" s="9">
        <v>0</v>
      </c>
      <c r="Q1155" s="184">
        <v>1</v>
      </c>
      <c r="R1155" s="181">
        <v>3</v>
      </c>
      <c r="S1155" s="178">
        <f t="shared" si="130"/>
        <v>1</v>
      </c>
      <c r="T1155" s="186">
        <f t="shared" si="131"/>
        <v>4</v>
      </c>
      <c r="U1155" s="179">
        <f t="shared" si="132"/>
        <v>3</v>
      </c>
      <c r="V1155" s="1">
        <f t="shared" si="127"/>
        <v>25</v>
      </c>
      <c r="W1155" s="8">
        <f t="shared" si="128"/>
        <v>6.25</v>
      </c>
      <c r="X1155" s="15">
        <f t="shared" si="129"/>
        <v>6087.5</v>
      </c>
      <c r="Y1155"/>
      <c r="Z1155"/>
      <c r="AA1155"/>
      <c r="AB1155"/>
      <c r="AC1155"/>
      <c r="AD1155"/>
    </row>
    <row r="1156" spans="2:30">
      <c r="B1156" s="163" t="s">
        <v>270</v>
      </c>
      <c r="C1156" s="2" t="s">
        <v>6</v>
      </c>
      <c r="D1156" s="2" t="s">
        <v>62</v>
      </c>
      <c r="E1156" s="3">
        <v>45288.84375</v>
      </c>
      <c r="F1156" s="2" t="s">
        <v>73</v>
      </c>
      <c r="G1156" s="2" t="s">
        <v>74</v>
      </c>
      <c r="H1156" s="2">
        <v>63</v>
      </c>
      <c r="I1156" s="2">
        <v>0</v>
      </c>
      <c r="J1156" s="2">
        <v>20</v>
      </c>
      <c r="K1156" s="2"/>
      <c r="L1156" s="2"/>
      <c r="M1156" s="2"/>
      <c r="N1156" s="2" t="s">
        <v>95</v>
      </c>
      <c r="O1156" s="10">
        <v>0</v>
      </c>
      <c r="P1156" s="9">
        <v>1</v>
      </c>
      <c r="Q1156" s="184">
        <v>0</v>
      </c>
      <c r="R1156" s="181">
        <v>2</v>
      </c>
      <c r="S1156" s="178">
        <f t="shared" si="130"/>
        <v>1</v>
      </c>
      <c r="T1156" s="186">
        <f t="shared" si="131"/>
        <v>2</v>
      </c>
      <c r="U1156" s="179">
        <f t="shared" si="132"/>
        <v>1</v>
      </c>
      <c r="V1156" s="1">
        <f t="shared" si="127"/>
        <v>25</v>
      </c>
      <c r="W1156" s="8">
        <f t="shared" si="128"/>
        <v>6.25</v>
      </c>
      <c r="X1156" s="15">
        <f t="shared" si="129"/>
        <v>6093.75</v>
      </c>
      <c r="Y1156"/>
      <c r="Z1156"/>
      <c r="AA1156"/>
      <c r="AB1156"/>
      <c r="AC1156"/>
      <c r="AD1156"/>
    </row>
    <row r="1157" spans="2:30">
      <c r="B1157" s="163" t="s">
        <v>270</v>
      </c>
      <c r="C1157" s="2" t="s">
        <v>58</v>
      </c>
      <c r="D1157" s="2" t="s">
        <v>59</v>
      </c>
      <c r="E1157" s="3">
        <v>45288.84375</v>
      </c>
      <c r="F1157" s="2" t="s">
        <v>75</v>
      </c>
      <c r="G1157" s="2" t="s">
        <v>76</v>
      </c>
      <c r="H1157" s="2">
        <v>67</v>
      </c>
      <c r="I1157" s="2">
        <v>0</v>
      </c>
      <c r="J1157" s="2">
        <v>20</v>
      </c>
      <c r="K1157" s="2"/>
      <c r="L1157" s="2"/>
      <c r="M1157" s="2"/>
      <c r="N1157" s="2" t="s">
        <v>95</v>
      </c>
      <c r="O1157" s="10">
        <v>1</v>
      </c>
      <c r="P1157" s="9">
        <v>0</v>
      </c>
      <c r="Q1157" s="184">
        <v>1</v>
      </c>
      <c r="R1157" s="181">
        <v>4</v>
      </c>
      <c r="S1157" s="178">
        <f t="shared" si="130"/>
        <v>1</v>
      </c>
      <c r="T1157" s="186">
        <f t="shared" si="131"/>
        <v>5</v>
      </c>
      <c r="U1157" s="179">
        <f t="shared" si="132"/>
        <v>4</v>
      </c>
      <c r="V1157" s="1">
        <f t="shared" ref="V1157:V1220" si="133">SUM($X$1*0.05)</f>
        <v>25</v>
      </c>
      <c r="W1157" s="8">
        <f t="shared" si="128"/>
        <v>6.25</v>
      </c>
      <c r="X1157" s="15">
        <f t="shared" si="129"/>
        <v>6100</v>
      </c>
      <c r="Y1157"/>
      <c r="Z1157"/>
      <c r="AA1157"/>
      <c r="AB1157"/>
      <c r="AC1157"/>
      <c r="AD1157"/>
    </row>
    <row r="1158" spans="2:30">
      <c r="B1158" s="163" t="s">
        <v>270</v>
      </c>
      <c r="C1158" s="2" t="s">
        <v>6</v>
      </c>
      <c r="D1158" s="2" t="s">
        <v>7</v>
      </c>
      <c r="E1158" s="3">
        <v>45289.822916666664</v>
      </c>
      <c r="F1158" s="2" t="s">
        <v>26</v>
      </c>
      <c r="G1158" s="2" t="s">
        <v>27</v>
      </c>
      <c r="H1158" s="2">
        <v>60</v>
      </c>
      <c r="I1158" s="2">
        <v>0</v>
      </c>
      <c r="J1158" s="2">
        <v>20</v>
      </c>
      <c r="K1158" s="2"/>
      <c r="L1158" s="2"/>
      <c r="M1158" s="2"/>
      <c r="N1158" s="2" t="s">
        <v>95</v>
      </c>
      <c r="O1158" s="10">
        <v>2</v>
      </c>
      <c r="P1158" s="9">
        <v>2</v>
      </c>
      <c r="Q1158" s="184">
        <v>5</v>
      </c>
      <c r="R1158" s="181">
        <v>3</v>
      </c>
      <c r="S1158" s="178">
        <f t="shared" si="130"/>
        <v>4</v>
      </c>
      <c r="T1158" s="186">
        <f t="shared" si="131"/>
        <v>8</v>
      </c>
      <c r="U1158" s="179">
        <f t="shared" si="132"/>
        <v>4</v>
      </c>
      <c r="V1158" s="1">
        <f t="shared" si="133"/>
        <v>25</v>
      </c>
      <c r="W1158" s="8">
        <f t="shared" si="128"/>
        <v>6.25</v>
      </c>
      <c r="X1158" s="15">
        <f t="shared" si="129"/>
        <v>6106.25</v>
      </c>
      <c r="Y1158"/>
      <c r="Z1158"/>
      <c r="AA1158"/>
      <c r="AB1158"/>
      <c r="AC1158"/>
      <c r="AD1158"/>
    </row>
    <row r="1159" spans="2:30">
      <c r="B1159" s="163" t="s">
        <v>270</v>
      </c>
      <c r="C1159" s="2" t="s">
        <v>20</v>
      </c>
      <c r="D1159" s="2" t="s">
        <v>21</v>
      </c>
      <c r="E1159" s="3">
        <v>45289.822916666664</v>
      </c>
      <c r="F1159" s="2" t="s">
        <v>24</v>
      </c>
      <c r="G1159" s="2" t="s">
        <v>25</v>
      </c>
      <c r="H1159" s="2">
        <v>59</v>
      </c>
      <c r="I1159" s="2">
        <v>0</v>
      </c>
      <c r="J1159" s="2">
        <v>20</v>
      </c>
      <c r="K1159" s="2"/>
      <c r="L1159" s="2"/>
      <c r="M1159" s="2"/>
      <c r="N1159" s="2" t="s">
        <v>95</v>
      </c>
      <c r="O1159" s="10">
        <v>1</v>
      </c>
      <c r="P1159" s="9">
        <v>1</v>
      </c>
      <c r="Q1159" s="184">
        <v>1</v>
      </c>
      <c r="R1159" s="181">
        <v>1</v>
      </c>
      <c r="S1159" s="178">
        <f t="shared" si="130"/>
        <v>2</v>
      </c>
      <c r="T1159" s="186">
        <f t="shared" si="131"/>
        <v>2</v>
      </c>
      <c r="U1159" s="179">
        <f t="shared" si="132"/>
        <v>0</v>
      </c>
      <c r="V1159" s="1">
        <f t="shared" si="133"/>
        <v>25</v>
      </c>
      <c r="W1159" s="8">
        <f t="shared" si="128"/>
        <v>6.25</v>
      </c>
      <c r="X1159" s="15">
        <f t="shared" si="129"/>
        <v>6112.5</v>
      </c>
      <c r="Y1159"/>
      <c r="Z1159"/>
      <c r="AA1159"/>
      <c r="AB1159"/>
      <c r="AC1159"/>
      <c r="AD1159"/>
    </row>
    <row r="1160" spans="2:30">
      <c r="B1160" s="163" t="s">
        <v>270</v>
      </c>
      <c r="C1160" s="2" t="s">
        <v>6</v>
      </c>
      <c r="D1160" s="2" t="s">
        <v>62</v>
      </c>
      <c r="E1160" s="3">
        <v>45290.625</v>
      </c>
      <c r="F1160" s="2" t="s">
        <v>102</v>
      </c>
      <c r="G1160" s="2" t="s">
        <v>103</v>
      </c>
      <c r="H1160" s="2">
        <v>62</v>
      </c>
      <c r="I1160" s="2">
        <v>0</v>
      </c>
      <c r="J1160" s="2">
        <v>20</v>
      </c>
      <c r="K1160" s="2"/>
      <c r="L1160" s="2"/>
      <c r="M1160" s="2"/>
      <c r="N1160" s="2" t="s">
        <v>95</v>
      </c>
      <c r="O1160" s="10">
        <v>2</v>
      </c>
      <c r="P1160" s="9">
        <v>1</v>
      </c>
      <c r="Q1160" s="184">
        <v>3</v>
      </c>
      <c r="R1160" s="181">
        <v>2</v>
      </c>
      <c r="S1160" s="178">
        <f t="shared" si="130"/>
        <v>3</v>
      </c>
      <c r="T1160" s="186">
        <f t="shared" si="131"/>
        <v>5</v>
      </c>
      <c r="U1160" s="179">
        <f t="shared" si="132"/>
        <v>2</v>
      </c>
      <c r="V1160" s="1">
        <f t="shared" si="133"/>
        <v>25</v>
      </c>
      <c r="W1160" s="8">
        <f t="shared" si="128"/>
        <v>6.25</v>
      </c>
      <c r="X1160" s="15">
        <f t="shared" si="129"/>
        <v>6118.75</v>
      </c>
      <c r="Y1160"/>
      <c r="Z1160"/>
      <c r="AA1160"/>
      <c r="AB1160"/>
      <c r="AC1160"/>
      <c r="AD1160"/>
    </row>
    <row r="1161" spans="2:30">
      <c r="B1161" s="163" t="s">
        <v>270</v>
      </c>
      <c r="C1161" s="2" t="s">
        <v>6</v>
      </c>
      <c r="D1161" s="2" t="s">
        <v>62</v>
      </c>
      <c r="E1161" s="3">
        <v>45290.625</v>
      </c>
      <c r="F1161" s="2" t="s">
        <v>72</v>
      </c>
      <c r="G1161" s="2" t="s">
        <v>85</v>
      </c>
      <c r="H1161" s="2">
        <v>61</v>
      </c>
      <c r="I1161" s="2">
        <v>0</v>
      </c>
      <c r="J1161" s="2">
        <v>20</v>
      </c>
      <c r="K1161" s="2"/>
      <c r="L1161" s="2"/>
      <c r="M1161" s="2"/>
      <c r="N1161" s="2" t="s">
        <v>95</v>
      </c>
      <c r="O1161" s="10">
        <v>1</v>
      </c>
      <c r="P1161" s="9">
        <v>0</v>
      </c>
      <c r="Q1161" s="184">
        <v>2</v>
      </c>
      <c r="R1161" s="181">
        <v>0</v>
      </c>
      <c r="S1161" s="178">
        <f t="shared" si="130"/>
        <v>1</v>
      </c>
      <c r="T1161" s="186">
        <f t="shared" si="131"/>
        <v>2</v>
      </c>
      <c r="U1161" s="179">
        <f t="shared" si="132"/>
        <v>1</v>
      </c>
      <c r="V1161" s="1">
        <f t="shared" si="133"/>
        <v>25</v>
      </c>
      <c r="W1161" s="8">
        <f t="shared" si="128"/>
        <v>6.25</v>
      </c>
      <c r="X1161" s="15">
        <f t="shared" si="129"/>
        <v>6125</v>
      </c>
      <c r="Y1161"/>
      <c r="Z1161"/>
      <c r="AA1161"/>
      <c r="AB1161"/>
      <c r="AC1161"/>
      <c r="AD1161"/>
    </row>
    <row r="1162" spans="2:30">
      <c r="B1162" s="163" t="s">
        <v>270</v>
      </c>
      <c r="C1162" s="2" t="s">
        <v>13</v>
      </c>
      <c r="D1162" s="2" t="s">
        <v>37</v>
      </c>
      <c r="E1162" s="3">
        <v>45290.625</v>
      </c>
      <c r="F1162" s="2" t="s">
        <v>38</v>
      </c>
      <c r="G1162" s="2" t="s">
        <v>39</v>
      </c>
      <c r="H1162" s="2">
        <v>70</v>
      </c>
      <c r="I1162" s="2">
        <v>0</v>
      </c>
      <c r="J1162" s="2">
        <v>20</v>
      </c>
      <c r="K1162" s="2"/>
      <c r="L1162" s="2"/>
      <c r="M1162" s="2"/>
      <c r="N1162" s="2" t="s">
        <v>95</v>
      </c>
      <c r="O1162" s="10">
        <v>3</v>
      </c>
      <c r="P1162" s="9">
        <v>1</v>
      </c>
      <c r="Q1162" s="184">
        <v>3</v>
      </c>
      <c r="R1162" s="181">
        <v>1</v>
      </c>
      <c r="S1162" s="178">
        <f t="shared" si="130"/>
        <v>4</v>
      </c>
      <c r="T1162" s="186">
        <f t="shared" si="131"/>
        <v>4</v>
      </c>
      <c r="U1162" s="179">
        <f t="shared" si="132"/>
        <v>0</v>
      </c>
      <c r="V1162" s="1">
        <f t="shared" si="133"/>
        <v>25</v>
      </c>
      <c r="W1162" s="8">
        <f t="shared" si="128"/>
        <v>6.25</v>
      </c>
      <c r="X1162" s="15">
        <f t="shared" si="129"/>
        <v>6131.25</v>
      </c>
      <c r="Y1162"/>
      <c r="Z1162"/>
      <c r="AA1162"/>
      <c r="AB1162"/>
      <c r="AC1162"/>
      <c r="AD1162"/>
    </row>
    <row r="1163" spans="2:30">
      <c r="B1163" s="163" t="s">
        <v>270</v>
      </c>
      <c r="C1163" s="2" t="s">
        <v>13</v>
      </c>
      <c r="D1163" s="2" t="s">
        <v>14</v>
      </c>
      <c r="E1163" s="3">
        <v>45290.625</v>
      </c>
      <c r="F1163" s="2" t="s">
        <v>29</v>
      </c>
      <c r="G1163" s="2" t="s">
        <v>30</v>
      </c>
      <c r="H1163" s="2">
        <v>61</v>
      </c>
      <c r="I1163" s="2">
        <v>0</v>
      </c>
      <c r="J1163" s="2">
        <v>20</v>
      </c>
      <c r="K1163" s="2"/>
      <c r="L1163" s="2"/>
      <c r="M1163" s="2"/>
      <c r="N1163" s="2" t="s">
        <v>95</v>
      </c>
      <c r="O1163" s="10">
        <v>1</v>
      </c>
      <c r="P1163" s="9">
        <v>0</v>
      </c>
      <c r="Q1163" s="184">
        <v>2</v>
      </c>
      <c r="R1163" s="181">
        <v>2</v>
      </c>
      <c r="S1163" s="178">
        <f t="shared" si="130"/>
        <v>1</v>
      </c>
      <c r="T1163" s="186">
        <f t="shared" si="131"/>
        <v>4</v>
      </c>
      <c r="U1163" s="179">
        <f t="shared" si="132"/>
        <v>3</v>
      </c>
      <c r="V1163" s="1">
        <f t="shared" si="133"/>
        <v>25</v>
      </c>
      <c r="W1163" s="8">
        <f t="shared" si="128"/>
        <v>6.25</v>
      </c>
      <c r="X1163" s="15">
        <f t="shared" si="129"/>
        <v>6137.5</v>
      </c>
      <c r="Y1163"/>
      <c r="Z1163"/>
      <c r="AA1163"/>
      <c r="AB1163"/>
      <c r="AC1163"/>
      <c r="AD1163"/>
    </row>
    <row r="1164" spans="2:30">
      <c r="B1164" s="163" t="s">
        <v>270</v>
      </c>
      <c r="C1164" s="2" t="s">
        <v>58</v>
      </c>
      <c r="D1164" s="2" t="s">
        <v>59</v>
      </c>
      <c r="E1164" s="3">
        <v>45290.645833333336</v>
      </c>
      <c r="F1164" s="2" t="s">
        <v>105</v>
      </c>
      <c r="G1164" s="2" t="s">
        <v>106</v>
      </c>
      <c r="H1164" s="2">
        <v>64</v>
      </c>
      <c r="I1164" s="2">
        <v>0</v>
      </c>
      <c r="J1164" s="2">
        <v>20</v>
      </c>
      <c r="K1164" s="2"/>
      <c r="L1164" s="2"/>
      <c r="M1164" s="2"/>
      <c r="N1164" s="2" t="s">
        <v>95</v>
      </c>
      <c r="O1164" s="10">
        <v>2</v>
      </c>
      <c r="P1164" s="9">
        <v>0</v>
      </c>
      <c r="Q1164" s="184">
        <v>4</v>
      </c>
      <c r="R1164" s="181">
        <v>0</v>
      </c>
      <c r="S1164" s="178">
        <f t="shared" si="130"/>
        <v>2</v>
      </c>
      <c r="T1164" s="186">
        <f t="shared" si="131"/>
        <v>4</v>
      </c>
      <c r="U1164" s="179">
        <f t="shared" si="132"/>
        <v>2</v>
      </c>
      <c r="V1164" s="1">
        <f t="shared" si="133"/>
        <v>25</v>
      </c>
      <c r="W1164" s="8">
        <f t="shared" si="128"/>
        <v>6.25</v>
      </c>
      <c r="X1164" s="15">
        <f t="shared" si="129"/>
        <v>6143.75</v>
      </c>
      <c r="Y1164"/>
      <c r="Z1164"/>
      <c r="AA1164"/>
      <c r="AB1164"/>
      <c r="AC1164"/>
      <c r="AD1164"/>
    </row>
    <row r="1165" spans="2:30">
      <c r="B1165" s="163" t="s">
        <v>270</v>
      </c>
      <c r="C1165" s="2" t="s">
        <v>58</v>
      </c>
      <c r="D1165" s="2" t="s">
        <v>59</v>
      </c>
      <c r="E1165" s="3">
        <v>45290.645833333336</v>
      </c>
      <c r="F1165" s="2" t="s">
        <v>107</v>
      </c>
      <c r="G1165" s="2" t="s">
        <v>108</v>
      </c>
      <c r="H1165" s="2">
        <v>66</v>
      </c>
      <c r="I1165" s="2">
        <v>0</v>
      </c>
      <c r="J1165" s="2">
        <v>20</v>
      </c>
      <c r="K1165" s="2"/>
      <c r="L1165" s="2"/>
      <c r="M1165" s="2"/>
      <c r="N1165" s="2" t="s">
        <v>95</v>
      </c>
      <c r="O1165" s="10">
        <v>0</v>
      </c>
      <c r="P1165" s="9">
        <v>0</v>
      </c>
      <c r="Q1165" s="184">
        <v>1</v>
      </c>
      <c r="R1165" s="181">
        <v>0</v>
      </c>
      <c r="S1165" s="178">
        <f t="shared" si="130"/>
        <v>0</v>
      </c>
      <c r="T1165" s="186">
        <f t="shared" si="131"/>
        <v>1</v>
      </c>
      <c r="U1165" s="179">
        <f t="shared" si="132"/>
        <v>1</v>
      </c>
      <c r="V1165" s="1">
        <f t="shared" si="133"/>
        <v>25</v>
      </c>
      <c r="W1165" s="8">
        <f t="shared" si="128"/>
        <v>6.25</v>
      </c>
      <c r="X1165" s="15">
        <f t="shared" si="129"/>
        <v>6150</v>
      </c>
      <c r="Y1165"/>
      <c r="Z1165"/>
      <c r="AA1165"/>
      <c r="AB1165"/>
      <c r="AC1165"/>
      <c r="AD1165"/>
    </row>
    <row r="1166" spans="2:30">
      <c r="B1166" s="163" t="s">
        <v>270</v>
      </c>
      <c r="C1166" s="2" t="s">
        <v>6</v>
      </c>
      <c r="D1166" s="2" t="s">
        <v>62</v>
      </c>
      <c r="E1166" s="3">
        <v>45291.583333333336</v>
      </c>
      <c r="F1166" s="2" t="s">
        <v>115</v>
      </c>
      <c r="G1166" s="2" t="s">
        <v>73</v>
      </c>
      <c r="H1166" s="2">
        <v>60</v>
      </c>
      <c r="I1166" s="2">
        <v>0</v>
      </c>
      <c r="J1166" s="2">
        <v>20</v>
      </c>
      <c r="K1166" s="2"/>
      <c r="L1166" s="2"/>
      <c r="M1166" s="2"/>
      <c r="N1166" s="2" t="s">
        <v>95</v>
      </c>
      <c r="O1166" s="10">
        <v>1</v>
      </c>
      <c r="P1166" s="9">
        <v>1</v>
      </c>
      <c r="Q1166" s="184">
        <v>2</v>
      </c>
      <c r="R1166" s="181">
        <v>1</v>
      </c>
      <c r="S1166" s="178">
        <f t="shared" si="130"/>
        <v>2</v>
      </c>
      <c r="T1166" s="186">
        <f t="shared" si="131"/>
        <v>3</v>
      </c>
      <c r="U1166" s="179">
        <f t="shared" si="132"/>
        <v>1</v>
      </c>
      <c r="V1166" s="1">
        <f t="shared" si="133"/>
        <v>25</v>
      </c>
      <c r="W1166" s="8">
        <f t="shared" si="128"/>
        <v>6.25</v>
      </c>
      <c r="X1166" s="15">
        <f t="shared" si="129"/>
        <v>6156.25</v>
      </c>
      <c r="Y1166"/>
      <c r="Z1166"/>
      <c r="AA1166"/>
      <c r="AB1166"/>
      <c r="AC1166"/>
      <c r="AD1166"/>
    </row>
    <row r="1167" spans="2:30">
      <c r="B1167" s="163" t="s">
        <v>270</v>
      </c>
      <c r="C1167" s="2" t="s">
        <v>6</v>
      </c>
      <c r="D1167" s="2" t="s">
        <v>62</v>
      </c>
      <c r="E1167" s="3">
        <v>45291.583333333336</v>
      </c>
      <c r="F1167" s="2" t="s">
        <v>116</v>
      </c>
      <c r="G1167" s="2" t="s">
        <v>117</v>
      </c>
      <c r="H1167" s="2">
        <v>59</v>
      </c>
      <c r="I1167" s="2">
        <v>0</v>
      </c>
      <c r="J1167" s="2">
        <v>20</v>
      </c>
      <c r="K1167" s="2"/>
      <c r="L1167" s="2"/>
      <c r="M1167" s="2"/>
      <c r="N1167" s="2" t="s">
        <v>95</v>
      </c>
      <c r="O1167" s="9">
        <v>1</v>
      </c>
      <c r="P1167" s="9">
        <v>0</v>
      </c>
      <c r="Q1167" s="184">
        <v>3</v>
      </c>
      <c r="R1167" s="181">
        <v>1</v>
      </c>
      <c r="S1167" s="178">
        <f t="shared" si="130"/>
        <v>1</v>
      </c>
      <c r="T1167" s="186">
        <f t="shared" si="131"/>
        <v>4</v>
      </c>
      <c r="U1167" s="179">
        <f t="shared" si="132"/>
        <v>3</v>
      </c>
      <c r="V1167" s="1">
        <f t="shared" si="133"/>
        <v>25</v>
      </c>
      <c r="W1167" s="8">
        <f t="shared" si="128"/>
        <v>6.25</v>
      </c>
      <c r="X1167" s="15">
        <f t="shared" si="129"/>
        <v>6162.5</v>
      </c>
      <c r="Y1167"/>
      <c r="Z1167"/>
      <c r="AA1167"/>
      <c r="AB1167"/>
      <c r="AC1167"/>
      <c r="AD1167"/>
    </row>
    <row r="1168" spans="2:30">
      <c r="B1168" s="163" t="s">
        <v>270</v>
      </c>
      <c r="C1168" s="2" t="s">
        <v>58</v>
      </c>
      <c r="D1168" s="2" t="s">
        <v>59</v>
      </c>
      <c r="E1168" s="3">
        <v>45296.78125</v>
      </c>
      <c r="F1168" s="2" t="s">
        <v>125</v>
      </c>
      <c r="G1168" s="2" t="s">
        <v>105</v>
      </c>
      <c r="H1168" s="2">
        <v>65</v>
      </c>
      <c r="I1168" s="2">
        <v>0</v>
      </c>
      <c r="J1168" s="2">
        <v>20</v>
      </c>
      <c r="K1168" s="2"/>
      <c r="L1168" s="2"/>
      <c r="M1168" s="2"/>
      <c r="N1168" s="2" t="s">
        <v>95</v>
      </c>
      <c r="O1168" s="10">
        <v>2</v>
      </c>
      <c r="P1168" s="9">
        <v>0</v>
      </c>
      <c r="Q1168" s="184">
        <v>5</v>
      </c>
      <c r="R1168" s="181">
        <v>1</v>
      </c>
      <c r="S1168" s="178">
        <f t="shared" si="130"/>
        <v>2</v>
      </c>
      <c r="T1168" s="186">
        <f t="shared" si="131"/>
        <v>6</v>
      </c>
      <c r="U1168" s="179">
        <f t="shared" si="132"/>
        <v>4</v>
      </c>
      <c r="V1168" s="1">
        <f t="shared" si="133"/>
        <v>25</v>
      </c>
      <c r="W1168" s="8">
        <f t="shared" si="128"/>
        <v>6.25</v>
      </c>
      <c r="X1168" s="15">
        <f t="shared" si="129"/>
        <v>6168.75</v>
      </c>
      <c r="Y1168"/>
      <c r="Z1168"/>
      <c r="AA1168"/>
      <c r="AB1168"/>
      <c r="AC1168"/>
      <c r="AD1168"/>
    </row>
    <row r="1169" spans="2:30">
      <c r="B1169" s="163" t="s">
        <v>270</v>
      </c>
      <c r="C1169" s="2" t="s">
        <v>44</v>
      </c>
      <c r="D1169" s="2" t="s">
        <v>45</v>
      </c>
      <c r="E1169" s="3">
        <v>45298.25</v>
      </c>
      <c r="F1169" s="2" t="s">
        <v>53</v>
      </c>
      <c r="G1169" s="2" t="s">
        <v>126</v>
      </c>
      <c r="H1169" s="2">
        <v>62</v>
      </c>
      <c r="I1169" s="2">
        <v>0</v>
      </c>
      <c r="J1169" s="2">
        <v>20</v>
      </c>
      <c r="K1169" s="2"/>
      <c r="L1169" s="2"/>
      <c r="M1169" s="2"/>
      <c r="N1169" s="2" t="s">
        <v>95</v>
      </c>
      <c r="O1169" s="10">
        <v>1</v>
      </c>
      <c r="P1169" s="9">
        <v>0</v>
      </c>
      <c r="Q1169" s="184">
        <v>1</v>
      </c>
      <c r="R1169" s="181">
        <v>2</v>
      </c>
      <c r="S1169" s="178">
        <f t="shared" si="130"/>
        <v>1</v>
      </c>
      <c r="T1169" s="186">
        <f t="shared" si="131"/>
        <v>3</v>
      </c>
      <c r="U1169" s="179">
        <f t="shared" si="132"/>
        <v>2</v>
      </c>
      <c r="V1169" s="1">
        <f t="shared" si="133"/>
        <v>25</v>
      </c>
      <c r="W1169" s="8">
        <f t="shared" si="128"/>
        <v>6.25</v>
      </c>
      <c r="X1169" s="15">
        <f t="shared" si="129"/>
        <v>6175</v>
      </c>
      <c r="Y1169"/>
      <c r="Z1169"/>
      <c r="AA1169"/>
      <c r="AB1169"/>
      <c r="AC1169"/>
      <c r="AD1169"/>
    </row>
    <row r="1170" spans="2:30">
      <c r="B1170" s="163" t="s">
        <v>270</v>
      </c>
      <c r="C1170" s="2" t="s">
        <v>133</v>
      </c>
      <c r="D1170" s="2" t="s">
        <v>78</v>
      </c>
      <c r="E1170" s="3">
        <v>45298.541666666664</v>
      </c>
      <c r="F1170" s="2" t="s">
        <v>134</v>
      </c>
      <c r="G1170" s="2" t="s">
        <v>135</v>
      </c>
      <c r="H1170" s="2">
        <v>59</v>
      </c>
      <c r="I1170" s="2">
        <v>0</v>
      </c>
      <c r="J1170" s="2">
        <v>20</v>
      </c>
      <c r="K1170" s="2"/>
      <c r="L1170" s="2"/>
      <c r="M1170" s="2"/>
      <c r="N1170" s="2" t="s">
        <v>95</v>
      </c>
      <c r="O1170" s="9">
        <v>0</v>
      </c>
      <c r="P1170" s="9">
        <v>1</v>
      </c>
      <c r="Q1170" s="184">
        <v>1</v>
      </c>
      <c r="R1170" s="181">
        <v>2</v>
      </c>
      <c r="S1170" s="178">
        <f t="shared" si="130"/>
        <v>1</v>
      </c>
      <c r="T1170" s="186">
        <f t="shared" si="131"/>
        <v>3</v>
      </c>
      <c r="U1170" s="179">
        <f t="shared" si="132"/>
        <v>2</v>
      </c>
      <c r="V1170" s="1">
        <f t="shared" si="133"/>
        <v>25</v>
      </c>
      <c r="W1170" s="8">
        <f t="shared" si="128"/>
        <v>6.25</v>
      </c>
      <c r="X1170" s="15">
        <f t="shared" si="129"/>
        <v>6181.25</v>
      </c>
      <c r="Y1170"/>
      <c r="Z1170"/>
      <c r="AA1170"/>
      <c r="AB1170"/>
      <c r="AC1170"/>
      <c r="AD1170"/>
    </row>
    <row r="1171" spans="2:30" ht="15.75" thickBot="1">
      <c r="B1171" s="163" t="s">
        <v>270</v>
      </c>
      <c r="C1171" s="2" t="s">
        <v>133</v>
      </c>
      <c r="D1171" s="2" t="s">
        <v>78</v>
      </c>
      <c r="E1171" s="3">
        <v>45298.729166666664</v>
      </c>
      <c r="F1171" s="2" t="s">
        <v>136</v>
      </c>
      <c r="G1171" s="2" t="s">
        <v>137</v>
      </c>
      <c r="H1171" s="2">
        <v>59</v>
      </c>
      <c r="I1171" s="2">
        <v>0</v>
      </c>
      <c r="J1171" s="2">
        <v>20</v>
      </c>
      <c r="K1171" s="2"/>
      <c r="L1171" s="2"/>
      <c r="M1171" s="2"/>
      <c r="N1171" s="2" t="s">
        <v>95</v>
      </c>
      <c r="O1171" s="9">
        <v>0</v>
      </c>
      <c r="P1171" s="9">
        <v>0</v>
      </c>
      <c r="Q1171" s="184">
        <v>2</v>
      </c>
      <c r="R1171" s="181">
        <v>1</v>
      </c>
      <c r="S1171" s="178">
        <f t="shared" si="130"/>
        <v>0</v>
      </c>
      <c r="T1171" s="186">
        <f t="shared" si="131"/>
        <v>3</v>
      </c>
      <c r="U1171" s="179">
        <f t="shared" si="132"/>
        <v>3</v>
      </c>
      <c r="V1171" s="1">
        <f t="shared" si="133"/>
        <v>25</v>
      </c>
      <c r="W1171" s="8">
        <f t="shared" si="128"/>
        <v>6.25</v>
      </c>
      <c r="X1171" s="15">
        <f t="shared" si="129"/>
        <v>6187.5</v>
      </c>
      <c r="Y1171"/>
      <c r="Z1171"/>
      <c r="AA1171"/>
      <c r="AB1171"/>
      <c r="AC1171"/>
      <c r="AD1171"/>
    </row>
    <row r="1172" spans="2:30" ht="15.75" thickBot="1">
      <c r="B1172" s="169" t="s">
        <v>270</v>
      </c>
      <c r="C1172" s="2" t="s">
        <v>58</v>
      </c>
      <c r="D1172" s="2" t="s">
        <v>59</v>
      </c>
      <c r="E1172" s="3">
        <v>45298.75</v>
      </c>
      <c r="F1172" s="2" t="s">
        <v>127</v>
      </c>
      <c r="G1172" s="2" t="s">
        <v>128</v>
      </c>
      <c r="H1172" s="2">
        <v>65</v>
      </c>
      <c r="I1172" s="2">
        <v>0</v>
      </c>
      <c r="J1172" s="2">
        <v>20</v>
      </c>
      <c r="K1172" s="2"/>
      <c r="L1172" s="2"/>
      <c r="M1172" s="2"/>
      <c r="N1172" s="2" t="s">
        <v>95</v>
      </c>
      <c r="O1172" s="10">
        <v>0</v>
      </c>
      <c r="P1172" s="9">
        <v>0</v>
      </c>
      <c r="Q1172" s="184">
        <v>2</v>
      </c>
      <c r="R1172" s="181">
        <v>0</v>
      </c>
      <c r="S1172" s="178">
        <f t="shared" si="130"/>
        <v>0</v>
      </c>
      <c r="T1172" s="186">
        <f t="shared" si="131"/>
        <v>2</v>
      </c>
      <c r="U1172" s="179">
        <f t="shared" si="132"/>
        <v>2</v>
      </c>
      <c r="V1172" s="1">
        <f t="shared" si="133"/>
        <v>25</v>
      </c>
      <c r="W1172" s="8">
        <f t="shared" si="128"/>
        <v>6.25</v>
      </c>
      <c r="X1172" s="15">
        <f t="shared" si="129"/>
        <v>6193.75</v>
      </c>
      <c r="Y1172"/>
      <c r="Z1172"/>
      <c r="AA1172"/>
      <c r="AB1172"/>
      <c r="AC1172"/>
      <c r="AD1172"/>
    </row>
    <row r="1173" spans="2:30">
      <c r="B1173" s="163" t="s">
        <v>270</v>
      </c>
      <c r="C1173" s="2" t="s">
        <v>44</v>
      </c>
      <c r="D1173" s="2" t="s">
        <v>45</v>
      </c>
      <c r="E1173" s="3">
        <v>45299.364583333336</v>
      </c>
      <c r="F1173" s="2" t="s">
        <v>124</v>
      </c>
      <c r="G1173" s="2" t="s">
        <v>143</v>
      </c>
      <c r="H1173" s="2">
        <v>61</v>
      </c>
      <c r="I1173" s="2">
        <v>0</v>
      </c>
      <c r="J1173" s="2">
        <v>20</v>
      </c>
      <c r="K1173" s="2"/>
      <c r="L1173" s="2"/>
      <c r="M1173" s="2"/>
      <c r="N1173" s="2" t="s">
        <v>95</v>
      </c>
      <c r="O1173" s="10">
        <v>1</v>
      </c>
      <c r="P1173" s="9">
        <v>1</v>
      </c>
      <c r="Q1173" s="184">
        <v>1</v>
      </c>
      <c r="R1173" s="181">
        <v>1</v>
      </c>
      <c r="S1173" s="178">
        <f t="shared" si="130"/>
        <v>2</v>
      </c>
      <c r="T1173" s="186">
        <f t="shared" si="131"/>
        <v>2</v>
      </c>
      <c r="U1173" s="179">
        <f t="shared" si="132"/>
        <v>0</v>
      </c>
      <c r="V1173" s="1">
        <f t="shared" si="133"/>
        <v>25</v>
      </c>
      <c r="W1173" s="8">
        <f t="shared" si="128"/>
        <v>6.25</v>
      </c>
      <c r="X1173" s="15">
        <f t="shared" si="129"/>
        <v>6200</v>
      </c>
      <c r="Y1173"/>
      <c r="Z1173"/>
      <c r="AA1173"/>
      <c r="AB1173"/>
      <c r="AC1173"/>
      <c r="AD1173"/>
    </row>
    <row r="1174" spans="2:30">
      <c r="B1174" s="163" t="s">
        <v>270</v>
      </c>
      <c r="C1174" s="2" t="s">
        <v>149</v>
      </c>
      <c r="D1174" s="2" t="s">
        <v>150</v>
      </c>
      <c r="E1174" s="3">
        <v>45303.791666666664</v>
      </c>
      <c r="F1174" s="2" t="s">
        <v>151</v>
      </c>
      <c r="G1174" s="2" t="s">
        <v>152</v>
      </c>
      <c r="H1174" s="2">
        <v>59</v>
      </c>
      <c r="I1174" s="2">
        <v>0</v>
      </c>
      <c r="J1174" s="2">
        <v>20</v>
      </c>
      <c r="K1174" s="2"/>
      <c r="L1174" s="2"/>
      <c r="M1174" s="2"/>
      <c r="N1174" s="2" t="s">
        <v>95</v>
      </c>
      <c r="O1174" s="10">
        <v>3</v>
      </c>
      <c r="P1174" s="9">
        <v>0</v>
      </c>
      <c r="Q1174" s="184">
        <v>5</v>
      </c>
      <c r="R1174" s="181">
        <v>2</v>
      </c>
      <c r="S1174" s="178">
        <f t="shared" si="130"/>
        <v>3</v>
      </c>
      <c r="T1174" s="186">
        <f t="shared" si="131"/>
        <v>7</v>
      </c>
      <c r="U1174" s="179">
        <f t="shared" si="132"/>
        <v>4</v>
      </c>
      <c r="V1174" s="1">
        <f t="shared" si="133"/>
        <v>25</v>
      </c>
      <c r="W1174" s="8">
        <f t="shared" ref="W1174:W1237" si="134">IF(N1174="won",V1174*0.25,-V1174)</f>
        <v>6.25</v>
      </c>
      <c r="X1174" s="15">
        <f t="shared" ref="X1174:X1237" si="135">SUM(X1173,W1174)</f>
        <v>6206.25</v>
      </c>
      <c r="Y1174"/>
      <c r="Z1174"/>
      <c r="AA1174"/>
      <c r="AB1174"/>
      <c r="AC1174"/>
      <c r="AD1174"/>
    </row>
    <row r="1175" spans="2:30">
      <c r="B1175" s="163" t="s">
        <v>270</v>
      </c>
      <c r="C1175" s="2" t="s">
        <v>149</v>
      </c>
      <c r="D1175" s="2" t="s">
        <v>153</v>
      </c>
      <c r="E1175" s="3">
        <v>45303.791666666664</v>
      </c>
      <c r="F1175" s="2" t="s">
        <v>154</v>
      </c>
      <c r="G1175" s="2" t="s">
        <v>155</v>
      </c>
      <c r="H1175" s="2">
        <v>60</v>
      </c>
      <c r="I1175" s="2">
        <v>0</v>
      </c>
      <c r="J1175" s="2">
        <v>20</v>
      </c>
      <c r="K1175" s="2"/>
      <c r="L1175" s="2"/>
      <c r="M1175" s="2"/>
      <c r="N1175" s="2" t="s">
        <v>95</v>
      </c>
      <c r="O1175" s="10">
        <v>0</v>
      </c>
      <c r="P1175" s="9">
        <v>1</v>
      </c>
      <c r="Q1175" s="184">
        <v>1</v>
      </c>
      <c r="R1175" s="181">
        <v>2</v>
      </c>
      <c r="S1175" s="178">
        <f t="shared" si="130"/>
        <v>1</v>
      </c>
      <c r="T1175" s="186">
        <f t="shared" si="131"/>
        <v>3</v>
      </c>
      <c r="U1175" s="179">
        <f t="shared" si="132"/>
        <v>2</v>
      </c>
      <c r="V1175" s="1">
        <f t="shared" si="133"/>
        <v>25</v>
      </c>
      <c r="W1175" s="8">
        <f t="shared" si="134"/>
        <v>6.25</v>
      </c>
      <c r="X1175" s="15">
        <f t="shared" si="135"/>
        <v>6212.5</v>
      </c>
      <c r="Y1175"/>
      <c r="Z1175"/>
      <c r="AA1175"/>
      <c r="AB1175"/>
      <c r="AC1175"/>
      <c r="AD1175"/>
    </row>
    <row r="1176" spans="2:30">
      <c r="B1176" s="163" t="s">
        <v>270</v>
      </c>
      <c r="C1176" s="2" t="s">
        <v>77</v>
      </c>
      <c r="D1176" s="2" t="s">
        <v>156</v>
      </c>
      <c r="E1176" s="3">
        <v>45303.8125</v>
      </c>
      <c r="F1176" s="2" t="s">
        <v>157</v>
      </c>
      <c r="G1176" s="2" t="s">
        <v>158</v>
      </c>
      <c r="H1176" s="2">
        <v>63</v>
      </c>
      <c r="I1176" s="2">
        <v>0</v>
      </c>
      <c r="J1176" s="2">
        <v>20</v>
      </c>
      <c r="K1176" s="2"/>
      <c r="L1176" s="2"/>
      <c r="M1176" s="2"/>
      <c r="N1176" s="2" t="s">
        <v>95</v>
      </c>
      <c r="O1176" s="10">
        <v>1</v>
      </c>
      <c r="P1176" s="9">
        <v>0</v>
      </c>
      <c r="Q1176" s="184">
        <v>3</v>
      </c>
      <c r="R1176" s="181">
        <v>0</v>
      </c>
      <c r="S1176" s="178">
        <f t="shared" si="130"/>
        <v>1</v>
      </c>
      <c r="T1176" s="186">
        <f t="shared" si="131"/>
        <v>3</v>
      </c>
      <c r="U1176" s="179">
        <f t="shared" si="132"/>
        <v>2</v>
      </c>
      <c r="V1176" s="1">
        <f t="shared" si="133"/>
        <v>25</v>
      </c>
      <c r="W1176" s="8">
        <f t="shared" si="134"/>
        <v>6.25</v>
      </c>
      <c r="X1176" s="15">
        <f t="shared" si="135"/>
        <v>6218.75</v>
      </c>
      <c r="Y1176"/>
      <c r="Z1176"/>
      <c r="AA1176"/>
      <c r="AB1176"/>
      <c r="AC1176"/>
      <c r="AD1176"/>
    </row>
    <row r="1177" spans="2:30">
      <c r="B1177" s="163" t="s">
        <v>270</v>
      </c>
      <c r="C1177" s="2" t="s">
        <v>6</v>
      </c>
      <c r="D1177" s="2" t="s">
        <v>62</v>
      </c>
      <c r="E1177" s="3">
        <v>45303.822916666664</v>
      </c>
      <c r="F1177" s="2" t="s">
        <v>103</v>
      </c>
      <c r="G1177" s="2" t="s">
        <v>86</v>
      </c>
      <c r="H1177" s="2">
        <v>64</v>
      </c>
      <c r="I1177" s="2">
        <v>0</v>
      </c>
      <c r="J1177" s="2">
        <v>20</v>
      </c>
      <c r="K1177" s="2"/>
      <c r="L1177" s="2"/>
      <c r="M1177" s="2"/>
      <c r="N1177" s="2" t="s">
        <v>95</v>
      </c>
      <c r="O1177" s="10">
        <v>1</v>
      </c>
      <c r="P1177" s="9">
        <v>0</v>
      </c>
      <c r="Q1177" s="184">
        <v>1</v>
      </c>
      <c r="R1177" s="181">
        <v>1</v>
      </c>
      <c r="S1177" s="178">
        <f t="shared" si="130"/>
        <v>1</v>
      </c>
      <c r="T1177" s="186">
        <f t="shared" si="131"/>
        <v>2</v>
      </c>
      <c r="U1177" s="179">
        <f t="shared" si="132"/>
        <v>1</v>
      </c>
      <c r="V1177" s="1">
        <f t="shared" si="133"/>
        <v>25</v>
      </c>
      <c r="W1177" s="8">
        <f t="shared" si="134"/>
        <v>6.25</v>
      </c>
      <c r="X1177" s="15">
        <f t="shared" si="135"/>
        <v>6225</v>
      </c>
      <c r="Y1177"/>
      <c r="Z1177"/>
      <c r="AA1177"/>
      <c r="AB1177"/>
      <c r="AC1177"/>
      <c r="AD1177"/>
    </row>
    <row r="1178" spans="2:30">
      <c r="B1178" s="163" t="s">
        <v>270</v>
      </c>
      <c r="C1178" s="2" t="s">
        <v>77</v>
      </c>
      <c r="D1178" s="2" t="s">
        <v>156</v>
      </c>
      <c r="E1178" s="3">
        <v>45304.604166666664</v>
      </c>
      <c r="F1178" s="2" t="s">
        <v>160</v>
      </c>
      <c r="G1178" s="2" t="s">
        <v>161</v>
      </c>
      <c r="H1178" s="2">
        <v>63</v>
      </c>
      <c r="I1178" s="2">
        <v>0</v>
      </c>
      <c r="J1178" s="2">
        <v>20</v>
      </c>
      <c r="K1178" s="2"/>
      <c r="L1178" s="2"/>
      <c r="M1178" s="2"/>
      <c r="N1178" s="2" t="s">
        <v>95</v>
      </c>
      <c r="O1178" s="10">
        <v>0</v>
      </c>
      <c r="P1178" s="9">
        <v>1</v>
      </c>
      <c r="Q1178" s="184">
        <v>1</v>
      </c>
      <c r="R1178" s="181">
        <v>1</v>
      </c>
      <c r="S1178" s="178">
        <f t="shared" si="130"/>
        <v>1</v>
      </c>
      <c r="T1178" s="186">
        <f t="shared" si="131"/>
        <v>2</v>
      </c>
      <c r="U1178" s="179">
        <f t="shared" si="132"/>
        <v>1</v>
      </c>
      <c r="V1178" s="1">
        <f t="shared" si="133"/>
        <v>25</v>
      </c>
      <c r="W1178" s="8">
        <f t="shared" si="134"/>
        <v>6.25</v>
      </c>
      <c r="X1178" s="15">
        <f t="shared" si="135"/>
        <v>6231.25</v>
      </c>
      <c r="Y1178"/>
      <c r="Z1178"/>
      <c r="AA1178"/>
      <c r="AB1178"/>
      <c r="AC1178"/>
      <c r="AD1178"/>
    </row>
    <row r="1179" spans="2:30">
      <c r="B1179" s="163" t="s">
        <v>270</v>
      </c>
      <c r="C1179" s="2" t="s">
        <v>6</v>
      </c>
      <c r="D1179" s="2" t="s">
        <v>11</v>
      </c>
      <c r="E1179" s="3">
        <v>45304.625</v>
      </c>
      <c r="F1179" s="2" t="s">
        <v>162</v>
      </c>
      <c r="G1179" s="2" t="s">
        <v>12</v>
      </c>
      <c r="H1179" s="2">
        <v>60</v>
      </c>
      <c r="I1179" s="2">
        <v>0</v>
      </c>
      <c r="J1179" s="2">
        <v>20</v>
      </c>
      <c r="K1179" s="2"/>
      <c r="L1179" s="2"/>
      <c r="M1179" s="2"/>
      <c r="N1179" s="2" t="s">
        <v>95</v>
      </c>
      <c r="O1179" s="10">
        <v>0</v>
      </c>
      <c r="P1179" s="9">
        <v>1</v>
      </c>
      <c r="Q1179" s="184">
        <v>1</v>
      </c>
      <c r="R1179" s="181">
        <v>2</v>
      </c>
      <c r="S1179" s="178">
        <f t="shared" si="130"/>
        <v>1</v>
      </c>
      <c r="T1179" s="186">
        <f t="shared" si="131"/>
        <v>3</v>
      </c>
      <c r="U1179" s="179">
        <f t="shared" si="132"/>
        <v>2</v>
      </c>
      <c r="V1179" s="1">
        <f t="shared" si="133"/>
        <v>25</v>
      </c>
      <c r="W1179" s="8">
        <f t="shared" si="134"/>
        <v>6.25</v>
      </c>
      <c r="X1179" s="15">
        <f t="shared" si="135"/>
        <v>6237.5</v>
      </c>
      <c r="Y1179"/>
      <c r="Z1179"/>
      <c r="AA1179"/>
      <c r="AB1179"/>
      <c r="AC1179"/>
      <c r="AD1179"/>
    </row>
    <row r="1180" spans="2:30">
      <c r="B1180" s="163" t="s">
        <v>270</v>
      </c>
      <c r="C1180" s="2" t="s">
        <v>6</v>
      </c>
      <c r="D1180" s="2" t="s">
        <v>7</v>
      </c>
      <c r="E1180" s="3">
        <v>45304.625</v>
      </c>
      <c r="F1180" s="2" t="s">
        <v>141</v>
      </c>
      <c r="G1180" s="2" t="s">
        <v>163</v>
      </c>
      <c r="H1180" s="2">
        <v>60</v>
      </c>
      <c r="I1180" s="2">
        <v>0</v>
      </c>
      <c r="J1180" s="2">
        <v>20</v>
      </c>
      <c r="K1180" s="2"/>
      <c r="L1180" s="2"/>
      <c r="M1180" s="2"/>
      <c r="N1180" s="2" t="s">
        <v>95</v>
      </c>
      <c r="O1180" s="10">
        <v>1</v>
      </c>
      <c r="P1180" s="9">
        <v>1</v>
      </c>
      <c r="Q1180" s="184">
        <v>2</v>
      </c>
      <c r="R1180" s="181">
        <v>1</v>
      </c>
      <c r="S1180" s="178">
        <f t="shared" si="130"/>
        <v>2</v>
      </c>
      <c r="T1180" s="186">
        <f t="shared" si="131"/>
        <v>3</v>
      </c>
      <c r="U1180" s="179">
        <f t="shared" si="132"/>
        <v>1</v>
      </c>
      <c r="V1180" s="1">
        <f t="shared" si="133"/>
        <v>25</v>
      </c>
      <c r="W1180" s="8">
        <f t="shared" si="134"/>
        <v>6.25</v>
      </c>
      <c r="X1180" s="15">
        <f t="shared" si="135"/>
        <v>6243.75</v>
      </c>
      <c r="Y1180"/>
      <c r="Z1180"/>
      <c r="AA1180"/>
      <c r="AB1180"/>
      <c r="AC1180"/>
      <c r="AD1180"/>
    </row>
    <row r="1181" spans="2:30">
      <c r="B1181" s="163" t="s">
        <v>270</v>
      </c>
      <c r="C1181" s="2" t="s">
        <v>13</v>
      </c>
      <c r="D1181" s="2" t="s">
        <v>14</v>
      </c>
      <c r="E1181" s="3">
        <v>45304.625</v>
      </c>
      <c r="F1181" s="2" t="s">
        <v>29</v>
      </c>
      <c r="G1181" s="2" t="s">
        <v>118</v>
      </c>
      <c r="H1181" s="2">
        <v>62</v>
      </c>
      <c r="I1181" s="2">
        <v>0</v>
      </c>
      <c r="J1181" s="2">
        <v>20</v>
      </c>
      <c r="K1181" s="2"/>
      <c r="L1181" s="2"/>
      <c r="M1181" s="2"/>
      <c r="N1181" s="2" t="s">
        <v>95</v>
      </c>
      <c r="O1181" s="10">
        <v>1</v>
      </c>
      <c r="P1181" s="9">
        <v>1</v>
      </c>
      <c r="Q1181" s="184">
        <v>1</v>
      </c>
      <c r="R1181" s="181">
        <v>2</v>
      </c>
      <c r="S1181" s="178">
        <f t="shared" si="130"/>
        <v>2</v>
      </c>
      <c r="T1181" s="186">
        <f t="shared" si="131"/>
        <v>3</v>
      </c>
      <c r="U1181" s="179">
        <f t="shared" si="132"/>
        <v>1</v>
      </c>
      <c r="V1181" s="1">
        <f t="shared" si="133"/>
        <v>25</v>
      </c>
      <c r="W1181" s="8">
        <f t="shared" si="134"/>
        <v>6.25</v>
      </c>
      <c r="X1181" s="15">
        <f t="shared" si="135"/>
        <v>6250</v>
      </c>
      <c r="Y1181"/>
      <c r="Z1181"/>
      <c r="AA1181"/>
      <c r="AB1181"/>
      <c r="AC1181"/>
      <c r="AD1181"/>
    </row>
    <row r="1182" spans="2:30">
      <c r="B1182" s="163" t="s">
        <v>270</v>
      </c>
      <c r="C1182" s="2" t="s">
        <v>6</v>
      </c>
      <c r="D1182" s="2" t="s">
        <v>62</v>
      </c>
      <c r="E1182" s="3">
        <v>45304.729166666664</v>
      </c>
      <c r="F1182" s="2" t="s">
        <v>164</v>
      </c>
      <c r="G1182" s="2" t="s">
        <v>72</v>
      </c>
      <c r="H1182" s="2">
        <v>63</v>
      </c>
      <c r="I1182" s="2">
        <v>0</v>
      </c>
      <c r="J1182" s="2">
        <v>20</v>
      </c>
      <c r="K1182" s="2"/>
      <c r="L1182" s="2"/>
      <c r="M1182" s="2"/>
      <c r="N1182" s="2" t="s">
        <v>95</v>
      </c>
      <c r="O1182" s="10">
        <v>2</v>
      </c>
      <c r="P1182" s="9">
        <v>1</v>
      </c>
      <c r="Q1182" s="184">
        <v>2</v>
      </c>
      <c r="R1182" s="181">
        <v>3</v>
      </c>
      <c r="S1182" s="178">
        <f t="shared" si="130"/>
        <v>3</v>
      </c>
      <c r="T1182" s="186">
        <f t="shared" si="131"/>
        <v>5</v>
      </c>
      <c r="U1182" s="179">
        <f t="shared" si="132"/>
        <v>2</v>
      </c>
      <c r="V1182" s="1">
        <f t="shared" si="133"/>
        <v>25</v>
      </c>
      <c r="W1182" s="8">
        <f t="shared" si="134"/>
        <v>6.25</v>
      </c>
      <c r="X1182" s="15">
        <f t="shared" si="135"/>
        <v>6256.25</v>
      </c>
      <c r="Y1182"/>
      <c r="Z1182"/>
      <c r="AA1182"/>
      <c r="AB1182"/>
      <c r="AC1182"/>
      <c r="AD1182"/>
    </row>
    <row r="1183" spans="2:30">
      <c r="B1183" s="163" t="s">
        <v>270</v>
      </c>
      <c r="C1183" s="2" t="s">
        <v>58</v>
      </c>
      <c r="D1183" s="2" t="s">
        <v>59</v>
      </c>
      <c r="E1183" s="3">
        <v>45304.75</v>
      </c>
      <c r="F1183" s="2" t="s">
        <v>165</v>
      </c>
      <c r="G1183" s="2" t="s">
        <v>125</v>
      </c>
      <c r="H1183" s="2">
        <v>59</v>
      </c>
      <c r="I1183" s="2">
        <v>0</v>
      </c>
      <c r="J1183" s="2">
        <v>20</v>
      </c>
      <c r="K1183" s="2"/>
      <c r="L1183" s="2"/>
      <c r="M1183" s="2"/>
      <c r="N1183" s="2" t="s">
        <v>95</v>
      </c>
      <c r="O1183" s="10">
        <v>0</v>
      </c>
      <c r="P1183" s="9">
        <v>1</v>
      </c>
      <c r="Q1183" s="184">
        <v>0</v>
      </c>
      <c r="R1183" s="181">
        <v>3</v>
      </c>
      <c r="S1183" s="178">
        <f t="shared" si="130"/>
        <v>1</v>
      </c>
      <c r="T1183" s="186">
        <f t="shared" si="131"/>
        <v>3</v>
      </c>
      <c r="U1183" s="179">
        <f t="shared" si="132"/>
        <v>2</v>
      </c>
      <c r="V1183" s="1">
        <f t="shared" si="133"/>
        <v>25</v>
      </c>
      <c r="W1183" s="8">
        <f t="shared" si="134"/>
        <v>6.25</v>
      </c>
      <c r="X1183" s="15">
        <f t="shared" si="135"/>
        <v>6262.5</v>
      </c>
      <c r="Y1183"/>
      <c r="Z1183"/>
      <c r="AA1183"/>
      <c r="AB1183"/>
      <c r="AC1183"/>
      <c r="AD1183"/>
    </row>
    <row r="1184" spans="2:30">
      <c r="B1184" s="163" t="s">
        <v>270</v>
      </c>
      <c r="C1184" s="2" t="s">
        <v>77</v>
      </c>
      <c r="D1184" s="2" t="s">
        <v>156</v>
      </c>
      <c r="E1184" s="3">
        <v>45305.6875</v>
      </c>
      <c r="F1184" s="2" t="s">
        <v>167</v>
      </c>
      <c r="G1184" s="2" t="s">
        <v>168</v>
      </c>
      <c r="H1184" s="2">
        <v>59</v>
      </c>
      <c r="I1184" s="2">
        <v>0</v>
      </c>
      <c r="J1184" s="2">
        <v>20</v>
      </c>
      <c r="K1184" s="2"/>
      <c r="L1184" s="2"/>
      <c r="M1184" s="2"/>
      <c r="N1184" s="2" t="s">
        <v>95</v>
      </c>
      <c r="O1184" s="10">
        <v>2</v>
      </c>
      <c r="P1184" s="9">
        <v>0</v>
      </c>
      <c r="Q1184" s="184">
        <v>3</v>
      </c>
      <c r="R1184" s="181">
        <v>1</v>
      </c>
      <c r="S1184" s="178">
        <f t="shared" si="130"/>
        <v>2</v>
      </c>
      <c r="T1184" s="186">
        <f t="shared" si="131"/>
        <v>4</v>
      </c>
      <c r="U1184" s="179">
        <f t="shared" si="132"/>
        <v>2</v>
      </c>
      <c r="V1184" s="1">
        <f t="shared" si="133"/>
        <v>25</v>
      </c>
      <c r="W1184" s="8">
        <f t="shared" si="134"/>
        <v>6.25</v>
      </c>
      <c r="X1184" s="15">
        <f t="shared" si="135"/>
        <v>6268.75</v>
      </c>
      <c r="Y1184"/>
      <c r="Z1184"/>
      <c r="AA1184"/>
      <c r="AB1184"/>
      <c r="AC1184"/>
      <c r="AD1184"/>
    </row>
    <row r="1185" spans="2:30">
      <c r="B1185" s="163" t="s">
        <v>270</v>
      </c>
      <c r="C1185" s="2" t="s">
        <v>67</v>
      </c>
      <c r="D1185" s="2" t="s">
        <v>169</v>
      </c>
      <c r="E1185" s="3">
        <v>45305.760416666664</v>
      </c>
      <c r="F1185" s="2" t="s">
        <v>170</v>
      </c>
      <c r="G1185" s="2" t="s">
        <v>171</v>
      </c>
      <c r="H1185" s="2">
        <v>63</v>
      </c>
      <c r="I1185" s="2">
        <v>0</v>
      </c>
      <c r="J1185" s="2">
        <v>20</v>
      </c>
      <c r="K1185" s="2"/>
      <c r="L1185" s="2"/>
      <c r="M1185" s="2"/>
      <c r="N1185" s="2" t="s">
        <v>95</v>
      </c>
      <c r="O1185" s="10">
        <v>1</v>
      </c>
      <c r="P1185" s="9">
        <v>0</v>
      </c>
      <c r="Q1185" s="184">
        <v>3</v>
      </c>
      <c r="R1185" s="181">
        <v>2</v>
      </c>
      <c r="S1185" s="178">
        <f t="shared" si="130"/>
        <v>1</v>
      </c>
      <c r="T1185" s="186">
        <f t="shared" si="131"/>
        <v>5</v>
      </c>
      <c r="U1185" s="179">
        <f t="shared" si="132"/>
        <v>4</v>
      </c>
      <c r="V1185" s="1">
        <f t="shared" si="133"/>
        <v>25</v>
      </c>
      <c r="W1185" s="8">
        <f t="shared" si="134"/>
        <v>6.25</v>
      </c>
      <c r="X1185" s="15">
        <f t="shared" si="135"/>
        <v>6275</v>
      </c>
      <c r="Y1185"/>
      <c r="Z1185"/>
      <c r="AA1185"/>
      <c r="AB1185"/>
      <c r="AC1185"/>
      <c r="AD1185"/>
    </row>
    <row r="1186" spans="2:30">
      <c r="B1186" s="163" t="s">
        <v>270</v>
      </c>
      <c r="C1186" s="2" t="s">
        <v>58</v>
      </c>
      <c r="D1186" s="2" t="s">
        <v>59</v>
      </c>
      <c r="E1186" s="3">
        <v>45305.854166666664</v>
      </c>
      <c r="F1186" s="2" t="s">
        <v>172</v>
      </c>
      <c r="G1186" s="2" t="s">
        <v>112</v>
      </c>
      <c r="H1186" s="2">
        <v>66</v>
      </c>
      <c r="I1186" s="2">
        <v>0</v>
      </c>
      <c r="J1186" s="2">
        <v>20</v>
      </c>
      <c r="K1186" s="2"/>
      <c r="L1186" s="2"/>
      <c r="M1186" s="2"/>
      <c r="N1186" s="2" t="s">
        <v>95</v>
      </c>
      <c r="O1186" s="10">
        <v>1</v>
      </c>
      <c r="P1186" s="9">
        <v>0</v>
      </c>
      <c r="Q1186" s="184">
        <v>2</v>
      </c>
      <c r="R1186" s="181">
        <v>0</v>
      </c>
      <c r="S1186" s="178">
        <f t="shared" si="130"/>
        <v>1</v>
      </c>
      <c r="T1186" s="186">
        <f t="shared" si="131"/>
        <v>2</v>
      </c>
      <c r="U1186" s="179">
        <f t="shared" si="132"/>
        <v>1</v>
      </c>
      <c r="V1186" s="1">
        <f t="shared" si="133"/>
        <v>25</v>
      </c>
      <c r="W1186" s="8">
        <f t="shared" si="134"/>
        <v>6.25</v>
      </c>
      <c r="X1186" s="15">
        <f t="shared" si="135"/>
        <v>6281.25</v>
      </c>
      <c r="Y1186"/>
      <c r="Z1186"/>
      <c r="AA1186"/>
      <c r="AB1186"/>
      <c r="AC1186"/>
      <c r="AD1186"/>
    </row>
    <row r="1187" spans="2:30">
      <c r="B1187" s="163" t="s">
        <v>270</v>
      </c>
      <c r="C1187" s="2" t="s">
        <v>58</v>
      </c>
      <c r="D1187" s="2" t="s">
        <v>59</v>
      </c>
      <c r="E1187" s="3">
        <v>45306.84375</v>
      </c>
      <c r="F1187" s="2" t="s">
        <v>142</v>
      </c>
      <c r="G1187" s="2" t="s">
        <v>76</v>
      </c>
      <c r="H1187" s="2">
        <v>61</v>
      </c>
      <c r="I1187" s="2">
        <v>0</v>
      </c>
      <c r="J1187" s="2">
        <v>20</v>
      </c>
      <c r="K1187" s="2"/>
      <c r="L1187" s="2"/>
      <c r="M1187" s="2"/>
      <c r="N1187" s="2" t="s">
        <v>95</v>
      </c>
      <c r="O1187" s="10">
        <v>1</v>
      </c>
      <c r="P1187" s="9">
        <v>1</v>
      </c>
      <c r="Q1187" s="184">
        <v>2</v>
      </c>
      <c r="R1187" s="181">
        <v>1</v>
      </c>
      <c r="S1187" s="178">
        <f t="shared" si="130"/>
        <v>2</v>
      </c>
      <c r="T1187" s="186">
        <f t="shared" si="131"/>
        <v>3</v>
      </c>
      <c r="U1187" s="179">
        <f t="shared" si="132"/>
        <v>1</v>
      </c>
      <c r="V1187" s="1">
        <f t="shared" si="133"/>
        <v>25</v>
      </c>
      <c r="W1187" s="8">
        <f t="shared" si="134"/>
        <v>6.25</v>
      </c>
      <c r="X1187" s="15">
        <f t="shared" si="135"/>
        <v>6287.5</v>
      </c>
      <c r="Y1187"/>
      <c r="Z1187"/>
      <c r="AA1187"/>
      <c r="AB1187"/>
      <c r="AC1187"/>
      <c r="AD1187"/>
    </row>
    <row r="1188" spans="2:30">
      <c r="B1188" s="163" t="s">
        <v>270</v>
      </c>
      <c r="C1188" s="2" t="s">
        <v>44</v>
      </c>
      <c r="D1188" s="2" t="s">
        <v>45</v>
      </c>
      <c r="E1188" s="3">
        <v>45309.364583333336</v>
      </c>
      <c r="F1188" s="2" t="s">
        <v>233</v>
      </c>
      <c r="G1188" s="2" t="s">
        <v>143</v>
      </c>
      <c r="H1188" s="2">
        <v>61</v>
      </c>
      <c r="I1188" s="2">
        <v>0</v>
      </c>
      <c r="J1188" s="2">
        <v>20</v>
      </c>
      <c r="K1188" s="2"/>
      <c r="L1188" s="2"/>
      <c r="M1188" s="2"/>
      <c r="N1188" s="2" t="s">
        <v>95</v>
      </c>
      <c r="O1188" s="10">
        <v>0</v>
      </c>
      <c r="P1188" s="9">
        <v>1</v>
      </c>
      <c r="Q1188" s="184">
        <v>1</v>
      </c>
      <c r="R1188" s="181">
        <v>3</v>
      </c>
      <c r="S1188" s="178">
        <f t="shared" si="130"/>
        <v>1</v>
      </c>
      <c r="T1188" s="186">
        <f t="shared" si="131"/>
        <v>4</v>
      </c>
      <c r="U1188" s="179">
        <f t="shared" si="132"/>
        <v>3</v>
      </c>
      <c r="V1188" s="1">
        <f t="shared" si="133"/>
        <v>25</v>
      </c>
      <c r="W1188" s="8">
        <f t="shared" si="134"/>
        <v>6.25</v>
      </c>
      <c r="X1188" s="15">
        <f t="shared" si="135"/>
        <v>6293.75</v>
      </c>
      <c r="Y1188"/>
      <c r="Z1188"/>
      <c r="AA1188"/>
      <c r="AB1188"/>
      <c r="AC1188"/>
      <c r="AD1188"/>
    </row>
    <row r="1189" spans="2:30">
      <c r="B1189" s="163" t="s">
        <v>270</v>
      </c>
      <c r="C1189" s="2" t="s">
        <v>6</v>
      </c>
      <c r="D1189" s="2" t="s">
        <v>62</v>
      </c>
      <c r="E1189" s="3">
        <v>45311.520833333336</v>
      </c>
      <c r="F1189" s="2" t="s">
        <v>73</v>
      </c>
      <c r="G1189" s="2" t="s">
        <v>66</v>
      </c>
      <c r="H1189" s="2">
        <v>62</v>
      </c>
      <c r="I1189" s="2">
        <v>0</v>
      </c>
      <c r="J1189" s="2">
        <v>20</v>
      </c>
      <c r="K1189" s="2"/>
      <c r="L1189" s="2"/>
      <c r="M1189" s="2"/>
      <c r="N1189" s="2" t="s">
        <v>95</v>
      </c>
      <c r="O1189" s="10">
        <v>2</v>
      </c>
      <c r="P1189" s="9">
        <v>0</v>
      </c>
      <c r="Q1189" s="184">
        <v>5</v>
      </c>
      <c r="R1189" s="181">
        <v>0</v>
      </c>
      <c r="S1189" s="178">
        <f t="shared" si="130"/>
        <v>2</v>
      </c>
      <c r="T1189" s="186">
        <f t="shared" si="131"/>
        <v>5</v>
      </c>
      <c r="U1189" s="179">
        <f t="shared" si="132"/>
        <v>3</v>
      </c>
      <c r="V1189" s="1">
        <f t="shared" si="133"/>
        <v>25</v>
      </c>
      <c r="W1189" s="8">
        <f t="shared" si="134"/>
        <v>6.25</v>
      </c>
      <c r="X1189" s="15">
        <f t="shared" si="135"/>
        <v>6300</v>
      </c>
      <c r="Y1189"/>
      <c r="Z1189"/>
      <c r="AA1189"/>
      <c r="AB1189"/>
      <c r="AC1189"/>
      <c r="AD1189"/>
    </row>
    <row r="1190" spans="2:30">
      <c r="B1190" s="163" t="s">
        <v>270</v>
      </c>
      <c r="C1190" s="2" t="s">
        <v>77</v>
      </c>
      <c r="D1190" s="2" t="s">
        <v>156</v>
      </c>
      <c r="E1190" s="3">
        <v>45311.604166666664</v>
      </c>
      <c r="F1190" s="2" t="s">
        <v>239</v>
      </c>
      <c r="G1190" s="2" t="s">
        <v>168</v>
      </c>
      <c r="H1190" s="2">
        <v>63</v>
      </c>
      <c r="I1190" s="2">
        <v>0</v>
      </c>
      <c r="J1190" s="2">
        <v>20</v>
      </c>
      <c r="K1190" s="2"/>
      <c r="L1190" s="2"/>
      <c r="M1190" s="2"/>
      <c r="N1190" s="2" t="s">
        <v>95</v>
      </c>
      <c r="O1190" s="10">
        <v>0</v>
      </c>
      <c r="P1190" s="9">
        <v>0</v>
      </c>
      <c r="Q1190" s="184">
        <v>1</v>
      </c>
      <c r="R1190" s="181">
        <v>0</v>
      </c>
      <c r="S1190" s="178">
        <f t="shared" si="130"/>
        <v>0</v>
      </c>
      <c r="T1190" s="186">
        <f t="shared" si="131"/>
        <v>1</v>
      </c>
      <c r="U1190" s="179">
        <f t="shared" si="132"/>
        <v>1</v>
      </c>
      <c r="V1190" s="1">
        <f t="shared" si="133"/>
        <v>25</v>
      </c>
      <c r="W1190" s="8">
        <f t="shared" si="134"/>
        <v>6.25</v>
      </c>
      <c r="X1190" s="15">
        <f t="shared" si="135"/>
        <v>6306.25</v>
      </c>
      <c r="Y1190"/>
      <c r="Z1190"/>
      <c r="AA1190"/>
      <c r="AB1190"/>
      <c r="AC1190"/>
      <c r="AD1190"/>
    </row>
    <row r="1191" spans="2:30">
      <c r="B1191" s="163" t="s">
        <v>270</v>
      </c>
      <c r="C1191" s="2" t="s">
        <v>58</v>
      </c>
      <c r="D1191" s="2" t="s">
        <v>59</v>
      </c>
      <c r="E1191" s="3">
        <v>45311.645833333336</v>
      </c>
      <c r="F1191" s="2" t="s">
        <v>105</v>
      </c>
      <c r="G1191" s="2" t="s">
        <v>76</v>
      </c>
      <c r="H1191" s="2">
        <v>62</v>
      </c>
      <c r="I1191" s="2">
        <v>0</v>
      </c>
      <c r="J1191" s="2">
        <v>20</v>
      </c>
      <c r="K1191" s="2"/>
      <c r="L1191" s="2"/>
      <c r="M1191" s="2"/>
      <c r="N1191" s="2" t="s">
        <v>95</v>
      </c>
      <c r="O1191" s="10">
        <v>1</v>
      </c>
      <c r="P1191" s="9">
        <v>2</v>
      </c>
      <c r="Q1191" s="184">
        <v>1</v>
      </c>
      <c r="R1191" s="181">
        <v>2</v>
      </c>
      <c r="S1191" s="178">
        <f t="shared" si="130"/>
        <v>3</v>
      </c>
      <c r="T1191" s="186">
        <f t="shared" si="131"/>
        <v>3</v>
      </c>
      <c r="U1191" s="179">
        <f t="shared" si="132"/>
        <v>0</v>
      </c>
      <c r="V1191" s="1">
        <f t="shared" si="133"/>
        <v>25</v>
      </c>
      <c r="W1191" s="8">
        <f t="shared" si="134"/>
        <v>6.25</v>
      </c>
      <c r="X1191" s="15">
        <f t="shared" si="135"/>
        <v>6312.5</v>
      </c>
      <c r="Y1191"/>
      <c r="Z1191"/>
      <c r="AA1191"/>
      <c r="AB1191"/>
      <c r="AC1191"/>
      <c r="AD1191"/>
    </row>
    <row r="1192" spans="2:30">
      <c r="B1192" s="163" t="s">
        <v>270</v>
      </c>
      <c r="C1192" s="2" t="s">
        <v>149</v>
      </c>
      <c r="D1192" s="2" t="s">
        <v>153</v>
      </c>
      <c r="E1192" s="3">
        <v>45311.645833333336</v>
      </c>
      <c r="F1192" s="2" t="s">
        <v>241</v>
      </c>
      <c r="G1192" s="2" t="s">
        <v>242</v>
      </c>
      <c r="H1192" s="2">
        <v>62</v>
      </c>
      <c r="I1192" s="2">
        <v>0</v>
      </c>
      <c r="J1192" s="2">
        <v>20</v>
      </c>
      <c r="K1192" s="2"/>
      <c r="L1192" s="2"/>
      <c r="M1192" s="2"/>
      <c r="N1192" s="2" t="s">
        <v>95</v>
      </c>
      <c r="O1192" s="10">
        <v>0</v>
      </c>
      <c r="P1192" s="9">
        <v>0</v>
      </c>
      <c r="Q1192" s="184">
        <v>1</v>
      </c>
      <c r="R1192" s="181">
        <v>0</v>
      </c>
      <c r="S1192" s="178">
        <f t="shared" si="130"/>
        <v>0</v>
      </c>
      <c r="T1192" s="186">
        <f t="shared" si="131"/>
        <v>1</v>
      </c>
      <c r="U1192" s="179">
        <f t="shared" si="132"/>
        <v>1</v>
      </c>
      <c r="V1192" s="1">
        <f t="shared" si="133"/>
        <v>25</v>
      </c>
      <c r="W1192" s="8">
        <f t="shared" si="134"/>
        <v>6.25</v>
      </c>
      <c r="X1192" s="15">
        <f t="shared" si="135"/>
        <v>6318.75</v>
      </c>
      <c r="Y1192"/>
      <c r="Z1192"/>
      <c r="AA1192"/>
      <c r="AB1192"/>
      <c r="AC1192"/>
      <c r="AD1192"/>
    </row>
    <row r="1193" spans="2:30">
      <c r="B1193" s="163" t="s">
        <v>270</v>
      </c>
      <c r="C1193" s="2" t="s">
        <v>80</v>
      </c>
      <c r="D1193" s="2" t="s">
        <v>81</v>
      </c>
      <c r="E1193" s="3">
        <v>45311.666666666664</v>
      </c>
      <c r="F1193" s="2" t="s">
        <v>243</v>
      </c>
      <c r="G1193" s="2" t="s">
        <v>129</v>
      </c>
      <c r="H1193" s="2">
        <v>61</v>
      </c>
      <c r="I1193" s="2">
        <v>0</v>
      </c>
      <c r="J1193" s="2">
        <v>20</v>
      </c>
      <c r="K1193" s="2"/>
      <c r="L1193" s="2"/>
      <c r="M1193" s="2"/>
      <c r="N1193" s="2" t="s">
        <v>95</v>
      </c>
      <c r="O1193" s="10">
        <v>1</v>
      </c>
      <c r="P1193" s="9">
        <v>0</v>
      </c>
      <c r="Q1193" s="184">
        <v>4</v>
      </c>
      <c r="R1193" s="181">
        <v>0</v>
      </c>
      <c r="S1193" s="178">
        <f t="shared" si="130"/>
        <v>1</v>
      </c>
      <c r="T1193" s="186">
        <f t="shared" si="131"/>
        <v>4</v>
      </c>
      <c r="U1193" s="179">
        <f t="shared" si="132"/>
        <v>3</v>
      </c>
      <c r="V1193" s="1">
        <f t="shared" si="133"/>
        <v>25</v>
      </c>
      <c r="W1193" s="8">
        <f t="shared" si="134"/>
        <v>6.25</v>
      </c>
      <c r="X1193" s="15">
        <f t="shared" si="135"/>
        <v>6325</v>
      </c>
      <c r="Y1193"/>
      <c r="Z1193"/>
      <c r="AA1193"/>
      <c r="AB1193"/>
      <c r="AC1193"/>
      <c r="AD1193"/>
    </row>
    <row r="1194" spans="2:30">
      <c r="B1194" s="163" t="s">
        <v>270</v>
      </c>
      <c r="C1194" s="2" t="s">
        <v>149</v>
      </c>
      <c r="D1194" s="2" t="s">
        <v>153</v>
      </c>
      <c r="E1194" s="3">
        <v>45311.739583333336</v>
      </c>
      <c r="F1194" s="2" t="s">
        <v>155</v>
      </c>
      <c r="G1194" s="2" t="s">
        <v>244</v>
      </c>
      <c r="H1194" s="2">
        <v>63</v>
      </c>
      <c r="I1194" s="2">
        <v>0</v>
      </c>
      <c r="J1194" s="2">
        <v>20</v>
      </c>
      <c r="K1194" s="2"/>
      <c r="L1194" s="2"/>
      <c r="M1194" s="2"/>
      <c r="N1194" s="2" t="s">
        <v>95</v>
      </c>
      <c r="O1194" s="10">
        <v>0</v>
      </c>
      <c r="P1194" s="9">
        <v>1</v>
      </c>
      <c r="Q1194" s="184">
        <v>1</v>
      </c>
      <c r="R1194" s="181">
        <v>1</v>
      </c>
      <c r="S1194" s="178">
        <f t="shared" si="130"/>
        <v>1</v>
      </c>
      <c r="T1194" s="186">
        <f t="shared" si="131"/>
        <v>2</v>
      </c>
      <c r="U1194" s="179">
        <f t="shared" si="132"/>
        <v>1</v>
      </c>
      <c r="V1194" s="1">
        <f t="shared" si="133"/>
        <v>25</v>
      </c>
      <c r="W1194" s="8">
        <f t="shared" si="134"/>
        <v>6.25</v>
      </c>
      <c r="X1194" s="15">
        <f t="shared" si="135"/>
        <v>6331.25</v>
      </c>
      <c r="Y1194"/>
      <c r="Z1194"/>
      <c r="AA1194"/>
      <c r="AB1194"/>
      <c r="AC1194"/>
      <c r="AD1194"/>
    </row>
    <row r="1195" spans="2:30">
      <c r="B1195" s="163" t="s">
        <v>270</v>
      </c>
      <c r="C1195" s="2" t="s">
        <v>149</v>
      </c>
      <c r="D1195" s="2" t="s">
        <v>153</v>
      </c>
      <c r="E1195" s="3">
        <v>45311.791666666664</v>
      </c>
      <c r="F1195" s="2" t="s">
        <v>245</v>
      </c>
      <c r="G1195" s="2" t="s">
        <v>205</v>
      </c>
      <c r="H1195" s="2">
        <v>61</v>
      </c>
      <c r="I1195" s="2">
        <v>0</v>
      </c>
      <c r="J1195" s="2">
        <v>20</v>
      </c>
      <c r="K1195" s="2"/>
      <c r="L1195" s="2"/>
      <c r="M1195" s="2"/>
      <c r="N1195" s="2" t="s">
        <v>95</v>
      </c>
      <c r="O1195" s="10">
        <v>0</v>
      </c>
      <c r="P1195" s="9">
        <v>0</v>
      </c>
      <c r="Q1195" s="184">
        <v>2</v>
      </c>
      <c r="R1195" s="181">
        <v>2</v>
      </c>
      <c r="S1195" s="178">
        <f t="shared" si="130"/>
        <v>0</v>
      </c>
      <c r="T1195" s="186">
        <f t="shared" si="131"/>
        <v>4</v>
      </c>
      <c r="U1195" s="179">
        <f t="shared" si="132"/>
        <v>4</v>
      </c>
      <c r="V1195" s="1">
        <f t="shared" si="133"/>
        <v>25</v>
      </c>
      <c r="W1195" s="8">
        <f t="shared" si="134"/>
        <v>6.25</v>
      </c>
      <c r="X1195" s="15">
        <f t="shared" si="135"/>
        <v>6337.5</v>
      </c>
      <c r="Y1195"/>
      <c r="Z1195"/>
      <c r="AA1195"/>
      <c r="AB1195"/>
      <c r="AC1195"/>
      <c r="AD1195"/>
    </row>
    <row r="1196" spans="2:30">
      <c r="B1196" s="163" t="s">
        <v>270</v>
      </c>
      <c r="C1196" s="2" t="s">
        <v>77</v>
      </c>
      <c r="D1196" s="2" t="s">
        <v>234</v>
      </c>
      <c r="E1196" s="3">
        <v>45311.8125</v>
      </c>
      <c r="F1196" s="2" t="s">
        <v>246</v>
      </c>
      <c r="G1196" s="2" t="s">
        <v>247</v>
      </c>
      <c r="H1196" s="2">
        <v>63</v>
      </c>
      <c r="I1196" s="2">
        <v>0</v>
      </c>
      <c r="J1196" s="2">
        <v>20</v>
      </c>
      <c r="K1196" s="2"/>
      <c r="L1196" s="2"/>
      <c r="M1196" s="2"/>
      <c r="N1196" s="2" t="s">
        <v>95</v>
      </c>
      <c r="O1196" s="10">
        <v>0</v>
      </c>
      <c r="P1196" s="9">
        <v>2</v>
      </c>
      <c r="Q1196" s="184">
        <v>0</v>
      </c>
      <c r="R1196" s="181">
        <v>2</v>
      </c>
      <c r="S1196" s="178">
        <f t="shared" si="130"/>
        <v>2</v>
      </c>
      <c r="T1196" s="186">
        <f t="shared" si="131"/>
        <v>2</v>
      </c>
      <c r="U1196" s="179">
        <f t="shared" si="132"/>
        <v>0</v>
      </c>
      <c r="V1196" s="1">
        <f t="shared" si="133"/>
        <v>25</v>
      </c>
      <c r="W1196" s="8">
        <f t="shared" si="134"/>
        <v>6.25</v>
      </c>
      <c r="X1196" s="15">
        <f t="shared" si="135"/>
        <v>6343.75</v>
      </c>
      <c r="Y1196"/>
      <c r="Z1196"/>
      <c r="AA1196"/>
      <c r="AB1196"/>
      <c r="AC1196"/>
      <c r="AD1196"/>
    </row>
    <row r="1197" spans="2:30">
      <c r="B1197" s="163" t="s">
        <v>270</v>
      </c>
      <c r="C1197" s="2" t="s">
        <v>149</v>
      </c>
      <c r="D1197" s="2" t="s">
        <v>153</v>
      </c>
      <c r="E1197" s="3">
        <v>45312.46875</v>
      </c>
      <c r="F1197" s="2" t="s">
        <v>250</v>
      </c>
      <c r="G1197" s="2" t="s">
        <v>188</v>
      </c>
      <c r="H1197" s="2">
        <v>68</v>
      </c>
      <c r="I1197" s="2">
        <v>0</v>
      </c>
      <c r="J1197" s="2">
        <v>20</v>
      </c>
      <c r="K1197" s="2"/>
      <c r="L1197" s="2"/>
      <c r="M1197" s="2"/>
      <c r="N1197" s="2" t="s">
        <v>95</v>
      </c>
      <c r="O1197" s="10">
        <v>0</v>
      </c>
      <c r="P1197" s="9">
        <v>1</v>
      </c>
      <c r="Q1197" s="184">
        <v>1</v>
      </c>
      <c r="R1197" s="181">
        <v>1</v>
      </c>
      <c r="S1197" s="178">
        <f t="shared" si="130"/>
        <v>1</v>
      </c>
      <c r="T1197" s="186">
        <f t="shared" si="131"/>
        <v>2</v>
      </c>
      <c r="U1197" s="179">
        <f t="shared" si="132"/>
        <v>1</v>
      </c>
      <c r="V1197" s="1">
        <f t="shared" si="133"/>
        <v>25</v>
      </c>
      <c r="W1197" s="8">
        <f t="shared" si="134"/>
        <v>6.25</v>
      </c>
      <c r="X1197" s="15">
        <f t="shared" si="135"/>
        <v>6350</v>
      </c>
      <c r="Y1197"/>
      <c r="Z1197"/>
      <c r="AA1197"/>
      <c r="AB1197"/>
      <c r="AC1197"/>
      <c r="AD1197"/>
    </row>
    <row r="1198" spans="2:30">
      <c r="B1198" s="163" t="s">
        <v>270</v>
      </c>
      <c r="C1198" s="2" t="s">
        <v>80</v>
      </c>
      <c r="D1198" s="2" t="s">
        <v>81</v>
      </c>
      <c r="E1198" s="3">
        <v>45312.541666666664</v>
      </c>
      <c r="F1198" s="2" t="s">
        <v>82</v>
      </c>
      <c r="G1198" s="2" t="s">
        <v>253</v>
      </c>
      <c r="H1198" s="2">
        <v>59</v>
      </c>
      <c r="I1198" s="2">
        <v>0</v>
      </c>
      <c r="J1198" s="2">
        <v>20</v>
      </c>
      <c r="K1198" s="2"/>
      <c r="L1198" s="2"/>
      <c r="M1198" s="2"/>
      <c r="N1198" s="2" t="s">
        <v>95</v>
      </c>
      <c r="O1198" s="10">
        <v>1</v>
      </c>
      <c r="P1198" s="9">
        <v>0</v>
      </c>
      <c r="Q1198" s="184">
        <v>1</v>
      </c>
      <c r="R1198" s="181">
        <v>1</v>
      </c>
      <c r="S1198" s="178">
        <f t="shared" si="130"/>
        <v>1</v>
      </c>
      <c r="T1198" s="186">
        <f t="shared" si="131"/>
        <v>2</v>
      </c>
      <c r="U1198" s="179">
        <f t="shared" si="132"/>
        <v>1</v>
      </c>
      <c r="V1198" s="1">
        <f t="shared" si="133"/>
        <v>25</v>
      </c>
      <c r="W1198" s="8">
        <f t="shared" si="134"/>
        <v>6.25</v>
      </c>
      <c r="X1198" s="15">
        <f t="shared" si="135"/>
        <v>6356.25</v>
      </c>
      <c r="Y1198"/>
      <c r="Z1198"/>
      <c r="AA1198"/>
      <c r="AB1198"/>
      <c r="AC1198"/>
      <c r="AD1198"/>
    </row>
    <row r="1199" spans="2:30">
      <c r="B1199" s="163" t="s">
        <v>270</v>
      </c>
      <c r="C1199" s="2" t="s">
        <v>6</v>
      </c>
      <c r="D1199" s="2" t="s">
        <v>62</v>
      </c>
      <c r="E1199" s="3">
        <v>45312.583333333336</v>
      </c>
      <c r="F1199" s="2" t="s">
        <v>85</v>
      </c>
      <c r="G1199" s="2" t="s">
        <v>74</v>
      </c>
      <c r="H1199" s="2">
        <v>63</v>
      </c>
      <c r="I1199" s="2">
        <v>0</v>
      </c>
      <c r="J1199" s="2">
        <v>20</v>
      </c>
      <c r="K1199" s="2"/>
      <c r="L1199" s="2"/>
      <c r="M1199" s="2"/>
      <c r="N1199" s="2" t="s">
        <v>95</v>
      </c>
      <c r="O1199" s="10">
        <v>1</v>
      </c>
      <c r="P1199" s="9">
        <v>1</v>
      </c>
      <c r="Q1199" s="184">
        <v>2</v>
      </c>
      <c r="R1199" s="181">
        <v>2</v>
      </c>
      <c r="S1199" s="178">
        <f t="shared" si="130"/>
        <v>2</v>
      </c>
      <c r="T1199" s="186">
        <f t="shared" si="131"/>
        <v>4</v>
      </c>
      <c r="U1199" s="179">
        <f t="shared" si="132"/>
        <v>2</v>
      </c>
      <c r="V1199" s="1">
        <f t="shared" si="133"/>
        <v>25</v>
      </c>
      <c r="W1199" s="8">
        <f t="shared" si="134"/>
        <v>6.25</v>
      </c>
      <c r="X1199" s="15">
        <f t="shared" si="135"/>
        <v>6362.5</v>
      </c>
      <c r="Y1199"/>
      <c r="Z1199"/>
      <c r="AA1199"/>
      <c r="AB1199"/>
      <c r="AC1199"/>
      <c r="AD1199"/>
    </row>
    <row r="1200" spans="2:30">
      <c r="B1200" s="163" t="s">
        <v>270</v>
      </c>
      <c r="C1200" s="2" t="s">
        <v>133</v>
      </c>
      <c r="D1200" s="2" t="s">
        <v>78</v>
      </c>
      <c r="E1200" s="3">
        <v>45312.583333333336</v>
      </c>
      <c r="F1200" s="2" t="s">
        <v>134</v>
      </c>
      <c r="G1200" s="2" t="s">
        <v>137</v>
      </c>
      <c r="H1200" s="2">
        <v>65</v>
      </c>
      <c r="I1200" s="2">
        <v>0</v>
      </c>
      <c r="J1200" s="2">
        <v>20</v>
      </c>
      <c r="K1200" s="2"/>
      <c r="L1200" s="2"/>
      <c r="M1200" s="2"/>
      <c r="N1200" s="2" t="s">
        <v>95</v>
      </c>
      <c r="O1200" s="10">
        <v>0</v>
      </c>
      <c r="P1200" s="9">
        <v>2</v>
      </c>
      <c r="Q1200" s="184">
        <v>1</v>
      </c>
      <c r="R1200" s="181">
        <v>5</v>
      </c>
      <c r="S1200" s="178">
        <f t="shared" si="130"/>
        <v>2</v>
      </c>
      <c r="T1200" s="186">
        <f t="shared" si="131"/>
        <v>6</v>
      </c>
      <c r="U1200" s="179">
        <f t="shared" si="132"/>
        <v>4</v>
      </c>
      <c r="V1200" s="1">
        <f t="shared" si="133"/>
        <v>25</v>
      </c>
      <c r="W1200" s="8">
        <f t="shared" si="134"/>
        <v>6.25</v>
      </c>
      <c r="X1200" s="15">
        <f t="shared" si="135"/>
        <v>6368.75</v>
      </c>
      <c r="Y1200"/>
      <c r="Z1200"/>
      <c r="AA1200"/>
      <c r="AB1200"/>
      <c r="AC1200"/>
      <c r="AD1200"/>
    </row>
    <row r="1201" spans="2:30">
      <c r="B1201" s="163" t="s">
        <v>270</v>
      </c>
      <c r="C1201" s="2" t="s">
        <v>77</v>
      </c>
      <c r="D1201" s="2" t="s">
        <v>156</v>
      </c>
      <c r="E1201" s="3">
        <v>45312.604166666664</v>
      </c>
      <c r="F1201" s="2" t="s">
        <v>157</v>
      </c>
      <c r="G1201" s="2" t="s">
        <v>254</v>
      </c>
      <c r="H1201" s="2">
        <v>67</v>
      </c>
      <c r="I1201" s="2">
        <v>0</v>
      </c>
      <c r="J1201" s="2">
        <v>20</v>
      </c>
      <c r="K1201" s="2"/>
      <c r="L1201" s="2"/>
      <c r="M1201" s="2"/>
      <c r="N1201" s="2" t="s">
        <v>95</v>
      </c>
      <c r="O1201" s="10">
        <v>0</v>
      </c>
      <c r="P1201" s="9">
        <v>0</v>
      </c>
      <c r="Q1201" s="184">
        <v>0</v>
      </c>
      <c r="R1201" s="181">
        <v>1</v>
      </c>
      <c r="S1201" s="178">
        <f t="shared" si="130"/>
        <v>0</v>
      </c>
      <c r="T1201" s="186">
        <f t="shared" si="131"/>
        <v>1</v>
      </c>
      <c r="U1201" s="179">
        <f t="shared" si="132"/>
        <v>1</v>
      </c>
      <c r="V1201" s="1">
        <f t="shared" si="133"/>
        <v>25</v>
      </c>
      <c r="W1201" s="8">
        <f t="shared" si="134"/>
        <v>6.25</v>
      </c>
      <c r="X1201" s="15">
        <f t="shared" si="135"/>
        <v>6375</v>
      </c>
      <c r="Y1201"/>
      <c r="Z1201"/>
      <c r="AA1201"/>
      <c r="AB1201"/>
      <c r="AC1201"/>
      <c r="AD1201"/>
    </row>
    <row r="1202" spans="2:30">
      <c r="B1202" s="163" t="s">
        <v>270</v>
      </c>
      <c r="C1202" s="2" t="s">
        <v>20</v>
      </c>
      <c r="D1202" s="2" t="s">
        <v>21</v>
      </c>
      <c r="E1202" s="3">
        <v>45312.708333333336</v>
      </c>
      <c r="F1202" s="2" t="s">
        <v>110</v>
      </c>
      <c r="G1202" s="2" t="s">
        <v>24</v>
      </c>
      <c r="H1202" s="2">
        <v>65</v>
      </c>
      <c r="I1202" s="2">
        <v>0</v>
      </c>
      <c r="J1202" s="2">
        <v>20</v>
      </c>
      <c r="K1202" s="2"/>
      <c r="L1202" s="2"/>
      <c r="M1202" s="2"/>
      <c r="N1202" s="2" t="s">
        <v>95</v>
      </c>
      <c r="O1202" s="10">
        <v>1</v>
      </c>
      <c r="P1202" s="9">
        <v>1</v>
      </c>
      <c r="Q1202" s="184">
        <v>1</v>
      </c>
      <c r="R1202" s="181">
        <v>2</v>
      </c>
      <c r="S1202" s="178">
        <f t="shared" si="130"/>
        <v>2</v>
      </c>
      <c r="T1202" s="186">
        <f t="shared" si="131"/>
        <v>3</v>
      </c>
      <c r="U1202" s="179">
        <f t="shared" si="132"/>
        <v>1</v>
      </c>
      <c r="V1202" s="1">
        <f t="shared" si="133"/>
        <v>25</v>
      </c>
      <c r="W1202" s="8">
        <f t="shared" si="134"/>
        <v>6.25</v>
      </c>
      <c r="X1202" s="15">
        <f t="shared" si="135"/>
        <v>6381.25</v>
      </c>
      <c r="Y1202"/>
      <c r="Z1202"/>
      <c r="AA1202"/>
      <c r="AB1202"/>
      <c r="AC1202"/>
      <c r="AD1202"/>
    </row>
    <row r="1203" spans="2:30">
      <c r="B1203" s="163" t="s">
        <v>270</v>
      </c>
      <c r="C1203" s="2" t="s">
        <v>67</v>
      </c>
      <c r="D1203" s="2" t="s">
        <v>169</v>
      </c>
      <c r="E1203" s="3">
        <v>45312.760416666664</v>
      </c>
      <c r="F1203" s="2" t="s">
        <v>255</v>
      </c>
      <c r="G1203" s="2" t="s">
        <v>203</v>
      </c>
      <c r="H1203" s="2">
        <v>63</v>
      </c>
      <c r="I1203" s="2">
        <v>0</v>
      </c>
      <c r="J1203" s="2">
        <v>20</v>
      </c>
      <c r="K1203" s="2"/>
      <c r="L1203" s="2"/>
      <c r="M1203" s="2"/>
      <c r="N1203" s="2" t="s">
        <v>95</v>
      </c>
      <c r="O1203" s="10">
        <v>0</v>
      </c>
      <c r="P1203" s="9">
        <v>0</v>
      </c>
      <c r="Q1203" s="184">
        <v>0</v>
      </c>
      <c r="R1203" s="181">
        <v>2</v>
      </c>
      <c r="S1203" s="178">
        <f t="shared" si="130"/>
        <v>0</v>
      </c>
      <c r="T1203" s="186">
        <f t="shared" si="131"/>
        <v>2</v>
      </c>
      <c r="U1203" s="179">
        <f t="shared" si="132"/>
        <v>2</v>
      </c>
      <c r="V1203" s="1">
        <f t="shared" si="133"/>
        <v>25</v>
      </c>
      <c r="W1203" s="8">
        <f t="shared" si="134"/>
        <v>6.25</v>
      </c>
      <c r="X1203" s="15">
        <f t="shared" si="135"/>
        <v>6387.5</v>
      </c>
      <c r="Y1203"/>
      <c r="Z1203"/>
      <c r="AA1203"/>
      <c r="AB1203"/>
      <c r="AC1203"/>
      <c r="AD1203"/>
    </row>
    <row r="1204" spans="2:30">
      <c r="B1204" s="163" t="s">
        <v>270</v>
      </c>
      <c r="C1204" s="2" t="s">
        <v>6</v>
      </c>
      <c r="D1204" s="2" t="s">
        <v>11</v>
      </c>
      <c r="E1204" s="3">
        <v>45314.822916666664</v>
      </c>
      <c r="F1204" s="2" t="s">
        <v>162</v>
      </c>
      <c r="G1204" s="2" t="s">
        <v>286</v>
      </c>
      <c r="H1204" s="2">
        <v>59</v>
      </c>
      <c r="I1204" s="2">
        <v>0</v>
      </c>
      <c r="J1204" s="2">
        <v>20</v>
      </c>
      <c r="K1204" s="2">
        <v>1.89</v>
      </c>
      <c r="L1204" s="2"/>
      <c r="M1204" s="2"/>
      <c r="N1204" s="2" t="s">
        <v>95</v>
      </c>
      <c r="O1204" s="10">
        <v>2</v>
      </c>
      <c r="P1204" s="9">
        <v>2</v>
      </c>
      <c r="Q1204" s="184">
        <v>2</v>
      </c>
      <c r="R1204" s="181">
        <v>3</v>
      </c>
      <c r="S1204" s="178">
        <f t="shared" si="130"/>
        <v>4</v>
      </c>
      <c r="T1204" s="186">
        <f t="shared" si="131"/>
        <v>5</v>
      </c>
      <c r="U1204" s="179">
        <f t="shared" si="132"/>
        <v>1</v>
      </c>
      <c r="V1204" s="1">
        <f t="shared" si="133"/>
        <v>25</v>
      </c>
      <c r="W1204" s="8">
        <f t="shared" si="134"/>
        <v>6.25</v>
      </c>
      <c r="X1204" s="15">
        <f t="shared" si="135"/>
        <v>6393.75</v>
      </c>
      <c r="Y1204"/>
      <c r="Z1204"/>
      <c r="AA1204"/>
      <c r="AB1204"/>
      <c r="AC1204"/>
      <c r="AD1204"/>
    </row>
    <row r="1205" spans="2:30">
      <c r="B1205" s="163" t="s">
        <v>270</v>
      </c>
      <c r="C1205" s="2" t="s">
        <v>6</v>
      </c>
      <c r="D1205" s="2" t="s">
        <v>7</v>
      </c>
      <c r="E1205" s="3">
        <v>45314.822916666664</v>
      </c>
      <c r="F1205" s="2" t="s">
        <v>9</v>
      </c>
      <c r="G1205" s="2" t="s">
        <v>141</v>
      </c>
      <c r="H1205" s="2">
        <v>61</v>
      </c>
      <c r="I1205" s="2">
        <v>0</v>
      </c>
      <c r="J1205" s="2">
        <v>20</v>
      </c>
      <c r="K1205" s="2">
        <v>2.4700000000000002</v>
      </c>
      <c r="L1205" s="2"/>
      <c r="M1205" s="2"/>
      <c r="N1205" s="2" t="s">
        <v>95</v>
      </c>
      <c r="O1205" s="10">
        <v>1</v>
      </c>
      <c r="P1205" s="9">
        <v>0</v>
      </c>
      <c r="Q1205" s="184">
        <v>1</v>
      </c>
      <c r="R1205" s="181">
        <v>2</v>
      </c>
      <c r="S1205" s="178">
        <f t="shared" si="130"/>
        <v>1</v>
      </c>
      <c r="T1205" s="186">
        <f t="shared" si="131"/>
        <v>3</v>
      </c>
      <c r="U1205" s="179">
        <f t="shared" si="132"/>
        <v>2</v>
      </c>
      <c r="V1205" s="1">
        <f t="shared" si="133"/>
        <v>25</v>
      </c>
      <c r="W1205" s="8">
        <f t="shared" si="134"/>
        <v>6.25</v>
      </c>
      <c r="X1205" s="15">
        <f t="shared" si="135"/>
        <v>6400</v>
      </c>
      <c r="Y1205"/>
      <c r="Z1205"/>
      <c r="AA1205"/>
      <c r="AB1205"/>
      <c r="AC1205"/>
      <c r="AD1205"/>
    </row>
    <row r="1206" spans="2:30">
      <c r="B1206" s="163" t="s">
        <v>270</v>
      </c>
      <c r="C1206" s="2" t="s">
        <v>80</v>
      </c>
      <c r="D1206" s="2" t="s">
        <v>81</v>
      </c>
      <c r="E1206" s="3">
        <v>45316.708333333336</v>
      </c>
      <c r="F1206" s="2" t="s">
        <v>144</v>
      </c>
      <c r="G1206" s="2" t="s">
        <v>310</v>
      </c>
      <c r="H1206" s="2">
        <v>64</v>
      </c>
      <c r="I1206" s="2">
        <v>0</v>
      </c>
      <c r="J1206" s="2">
        <v>20</v>
      </c>
      <c r="K1206" s="2">
        <v>1.56</v>
      </c>
      <c r="L1206" s="2"/>
      <c r="M1206" s="2"/>
      <c r="N1206" s="2" t="s">
        <v>95</v>
      </c>
      <c r="O1206" s="10">
        <v>1</v>
      </c>
      <c r="P1206" s="9">
        <v>1</v>
      </c>
      <c r="Q1206" s="184">
        <v>3</v>
      </c>
      <c r="R1206" s="181">
        <v>1</v>
      </c>
      <c r="S1206" s="178">
        <f t="shared" si="130"/>
        <v>2</v>
      </c>
      <c r="T1206" s="186">
        <f t="shared" si="131"/>
        <v>4</v>
      </c>
      <c r="U1206" s="179">
        <f t="shared" si="132"/>
        <v>2</v>
      </c>
      <c r="V1206" s="1">
        <f t="shared" si="133"/>
        <v>25</v>
      </c>
      <c r="W1206" s="8">
        <f t="shared" si="134"/>
        <v>6.25</v>
      </c>
      <c r="X1206" s="15">
        <f t="shared" si="135"/>
        <v>6406.25</v>
      </c>
      <c r="Y1206"/>
      <c r="Z1206"/>
      <c r="AA1206"/>
      <c r="AB1206"/>
      <c r="AC1206"/>
      <c r="AD1206"/>
    </row>
    <row r="1207" spans="2:30">
      <c r="B1207" s="163" t="s">
        <v>270</v>
      </c>
      <c r="C1207" s="2" t="s">
        <v>149</v>
      </c>
      <c r="D1207" s="2" t="s">
        <v>153</v>
      </c>
      <c r="E1207" s="3">
        <v>45317.791666666664</v>
      </c>
      <c r="F1207" s="2" t="s">
        <v>205</v>
      </c>
      <c r="G1207" s="2" t="s">
        <v>281</v>
      </c>
      <c r="H1207" s="2">
        <v>61</v>
      </c>
      <c r="I1207" s="2">
        <v>0</v>
      </c>
      <c r="J1207" s="2">
        <v>20</v>
      </c>
      <c r="K1207" s="2">
        <v>1.99</v>
      </c>
      <c r="L1207" s="2"/>
      <c r="M1207" s="2"/>
      <c r="N1207" s="2" t="s">
        <v>95</v>
      </c>
      <c r="O1207" s="10">
        <v>1</v>
      </c>
      <c r="P1207" s="9">
        <v>0</v>
      </c>
      <c r="Q1207" s="184">
        <v>1</v>
      </c>
      <c r="R1207" s="181">
        <v>0</v>
      </c>
      <c r="S1207" s="178">
        <f t="shared" si="130"/>
        <v>1</v>
      </c>
      <c r="T1207" s="186">
        <f t="shared" si="131"/>
        <v>1</v>
      </c>
      <c r="U1207" s="179">
        <f t="shared" si="132"/>
        <v>0</v>
      </c>
      <c r="V1207" s="1">
        <f t="shared" si="133"/>
        <v>25</v>
      </c>
      <c r="W1207" s="8">
        <f t="shared" si="134"/>
        <v>6.25</v>
      </c>
      <c r="X1207" s="15">
        <f t="shared" si="135"/>
        <v>6412.5</v>
      </c>
      <c r="Y1207"/>
      <c r="Z1207"/>
      <c r="AA1207"/>
      <c r="AB1207"/>
      <c r="AC1207"/>
      <c r="AD1207"/>
    </row>
    <row r="1208" spans="2:30">
      <c r="B1208" s="163" t="s">
        <v>270</v>
      </c>
      <c r="C1208" s="2" t="s">
        <v>44</v>
      </c>
      <c r="D1208" s="2" t="s">
        <v>45</v>
      </c>
      <c r="E1208" s="3">
        <v>45318.25</v>
      </c>
      <c r="F1208" s="2" t="s">
        <v>53</v>
      </c>
      <c r="G1208" s="2" t="s">
        <v>321</v>
      </c>
      <c r="H1208" s="2">
        <v>66</v>
      </c>
      <c r="I1208" s="2">
        <v>0</v>
      </c>
      <c r="J1208" s="2">
        <v>20</v>
      </c>
      <c r="K1208" s="2">
        <v>1.44</v>
      </c>
      <c r="L1208" s="2"/>
      <c r="M1208" s="2"/>
      <c r="N1208" s="2" t="s">
        <v>95</v>
      </c>
      <c r="O1208" s="10">
        <v>0</v>
      </c>
      <c r="P1208" s="9">
        <v>1</v>
      </c>
      <c r="Q1208" s="184">
        <v>0</v>
      </c>
      <c r="R1208" s="181">
        <v>1</v>
      </c>
      <c r="S1208" s="178">
        <f t="shared" si="130"/>
        <v>1</v>
      </c>
      <c r="T1208" s="186">
        <f t="shared" si="131"/>
        <v>1</v>
      </c>
      <c r="U1208" s="179">
        <f t="shared" si="132"/>
        <v>0</v>
      </c>
      <c r="V1208" s="1">
        <f t="shared" si="133"/>
        <v>25</v>
      </c>
      <c r="W1208" s="8">
        <f t="shared" si="134"/>
        <v>6.25</v>
      </c>
      <c r="X1208" s="15">
        <f t="shared" si="135"/>
        <v>6418.75</v>
      </c>
      <c r="Y1208"/>
      <c r="Z1208"/>
      <c r="AA1208"/>
      <c r="AB1208"/>
      <c r="AC1208"/>
      <c r="AD1208"/>
    </row>
    <row r="1209" spans="2:30">
      <c r="B1209" s="163" t="s">
        <v>270</v>
      </c>
      <c r="C1209" s="2" t="s">
        <v>44</v>
      </c>
      <c r="D1209" s="2" t="s">
        <v>45</v>
      </c>
      <c r="E1209" s="3">
        <v>45318.364583333336</v>
      </c>
      <c r="F1209" s="2" t="s">
        <v>180</v>
      </c>
      <c r="G1209" s="2" t="s">
        <v>233</v>
      </c>
      <c r="H1209" s="2">
        <v>60</v>
      </c>
      <c r="I1209" s="2">
        <v>0</v>
      </c>
      <c r="J1209" s="2">
        <v>20</v>
      </c>
      <c r="K1209" s="2">
        <v>2.72</v>
      </c>
      <c r="L1209" s="2"/>
      <c r="M1209" s="2"/>
      <c r="N1209" s="2" t="s">
        <v>95</v>
      </c>
      <c r="O1209" s="10">
        <v>1</v>
      </c>
      <c r="P1209" s="9">
        <v>0</v>
      </c>
      <c r="Q1209" s="184">
        <v>2</v>
      </c>
      <c r="R1209" s="181">
        <v>0</v>
      </c>
      <c r="S1209" s="178">
        <f t="shared" si="130"/>
        <v>1</v>
      </c>
      <c r="T1209" s="186">
        <f t="shared" si="131"/>
        <v>2</v>
      </c>
      <c r="U1209" s="179">
        <f t="shared" si="132"/>
        <v>1</v>
      </c>
      <c r="V1209" s="1">
        <f t="shared" si="133"/>
        <v>25</v>
      </c>
      <c r="W1209" s="8">
        <f t="shared" si="134"/>
        <v>6.25</v>
      </c>
      <c r="X1209" s="15">
        <f t="shared" si="135"/>
        <v>6425</v>
      </c>
      <c r="Y1209"/>
      <c r="Z1209"/>
      <c r="AA1209"/>
      <c r="AB1209"/>
      <c r="AC1209"/>
      <c r="AD1209"/>
    </row>
    <row r="1210" spans="2:30">
      <c r="B1210" s="163" t="s">
        <v>270</v>
      </c>
      <c r="C1210" s="7" t="s">
        <v>13</v>
      </c>
      <c r="D1210" s="7" t="s">
        <v>37</v>
      </c>
      <c r="E1210" s="24">
        <v>45318.625</v>
      </c>
      <c r="F1210" s="7" t="s">
        <v>324</v>
      </c>
      <c r="G1210" s="7" t="s">
        <v>316</v>
      </c>
      <c r="H1210" s="7">
        <v>63</v>
      </c>
      <c r="I1210" s="7">
        <v>0</v>
      </c>
      <c r="J1210" s="7">
        <v>20</v>
      </c>
      <c r="K1210" s="7">
        <v>2.09</v>
      </c>
      <c r="L1210" s="7"/>
      <c r="M1210" s="7"/>
      <c r="N1210" s="2" t="s">
        <v>95</v>
      </c>
      <c r="O1210" s="10">
        <v>1</v>
      </c>
      <c r="P1210" s="9">
        <v>0</v>
      </c>
      <c r="Q1210" s="184">
        <v>2</v>
      </c>
      <c r="R1210" s="181">
        <v>2</v>
      </c>
      <c r="S1210" s="178">
        <f t="shared" si="130"/>
        <v>1</v>
      </c>
      <c r="T1210" s="186">
        <f t="shared" si="131"/>
        <v>4</v>
      </c>
      <c r="U1210" s="179">
        <f t="shared" si="132"/>
        <v>3</v>
      </c>
      <c r="V1210" s="1">
        <f t="shared" si="133"/>
        <v>25</v>
      </c>
      <c r="W1210" s="8">
        <f t="shared" si="134"/>
        <v>6.25</v>
      </c>
      <c r="X1210" s="15">
        <f t="shared" si="135"/>
        <v>6431.25</v>
      </c>
      <c r="Y1210"/>
      <c r="Z1210"/>
      <c r="AA1210"/>
      <c r="AB1210"/>
      <c r="AC1210"/>
      <c r="AD1210"/>
    </row>
    <row r="1211" spans="2:30">
      <c r="B1211" s="163" t="s">
        <v>270</v>
      </c>
      <c r="C1211" s="7" t="s">
        <v>6</v>
      </c>
      <c r="D1211" s="7" t="s">
        <v>7</v>
      </c>
      <c r="E1211" s="24">
        <v>45318.625</v>
      </c>
      <c r="F1211" s="7" t="s">
        <v>9</v>
      </c>
      <c r="G1211" s="7" t="s">
        <v>27</v>
      </c>
      <c r="H1211" s="7">
        <v>63</v>
      </c>
      <c r="I1211" s="7">
        <v>0</v>
      </c>
      <c r="J1211" s="7">
        <v>20</v>
      </c>
      <c r="K1211" s="7">
        <v>2.2200000000000002</v>
      </c>
      <c r="L1211" s="7"/>
      <c r="M1211" s="7"/>
      <c r="N1211" s="2" t="s">
        <v>95</v>
      </c>
      <c r="O1211" s="10">
        <v>0</v>
      </c>
      <c r="P1211" s="9">
        <v>1</v>
      </c>
      <c r="Q1211" s="184">
        <v>0</v>
      </c>
      <c r="R1211" s="181">
        <v>1</v>
      </c>
      <c r="S1211" s="178">
        <f t="shared" si="130"/>
        <v>1</v>
      </c>
      <c r="T1211" s="186">
        <f t="shared" si="131"/>
        <v>1</v>
      </c>
      <c r="U1211" s="179">
        <f t="shared" si="132"/>
        <v>0</v>
      </c>
      <c r="V1211" s="1">
        <f t="shared" si="133"/>
        <v>25</v>
      </c>
      <c r="W1211" s="8">
        <f t="shared" si="134"/>
        <v>6.25</v>
      </c>
      <c r="X1211" s="15">
        <f t="shared" si="135"/>
        <v>6437.5</v>
      </c>
      <c r="Y1211"/>
      <c r="Z1211"/>
      <c r="AA1211"/>
      <c r="AB1211"/>
      <c r="AC1211"/>
      <c r="AD1211"/>
    </row>
    <row r="1212" spans="2:30">
      <c r="B1212" s="163" t="s">
        <v>270</v>
      </c>
      <c r="C1212" s="7" t="s">
        <v>145</v>
      </c>
      <c r="D1212" s="7" t="s">
        <v>268</v>
      </c>
      <c r="E1212" s="24">
        <v>45318.75</v>
      </c>
      <c r="F1212" s="7" t="s">
        <v>269</v>
      </c>
      <c r="G1212" s="7" t="s">
        <v>304</v>
      </c>
      <c r="H1212" s="7">
        <v>65</v>
      </c>
      <c r="I1212" s="7">
        <v>0</v>
      </c>
      <c r="J1212" s="7">
        <v>20</v>
      </c>
      <c r="K1212" s="7">
        <v>1.1499999999999999</v>
      </c>
      <c r="L1212" s="7"/>
      <c r="M1212" s="7"/>
      <c r="N1212" s="2" t="s">
        <v>95</v>
      </c>
      <c r="O1212" s="10">
        <v>0</v>
      </c>
      <c r="P1212" s="9">
        <v>1</v>
      </c>
      <c r="Q1212" s="184">
        <v>1</v>
      </c>
      <c r="R1212" s="181">
        <v>2</v>
      </c>
      <c r="S1212" s="178">
        <f t="shared" si="130"/>
        <v>1</v>
      </c>
      <c r="T1212" s="186">
        <f t="shared" si="131"/>
        <v>3</v>
      </c>
      <c r="U1212" s="179">
        <f t="shared" si="132"/>
        <v>2</v>
      </c>
      <c r="V1212" s="1">
        <f t="shared" si="133"/>
        <v>25</v>
      </c>
      <c r="W1212" s="8">
        <f t="shared" si="134"/>
        <v>6.25</v>
      </c>
      <c r="X1212" s="15">
        <f t="shared" si="135"/>
        <v>6443.75</v>
      </c>
      <c r="Y1212"/>
      <c r="Z1212"/>
      <c r="AA1212"/>
      <c r="AB1212"/>
      <c r="AC1212"/>
      <c r="AD1212"/>
    </row>
    <row r="1213" spans="2:30">
      <c r="B1213" s="163" t="s">
        <v>270</v>
      </c>
      <c r="C1213" s="2" t="s">
        <v>67</v>
      </c>
      <c r="D1213" s="2" t="s">
        <v>68</v>
      </c>
      <c r="E1213" s="3">
        <v>45319.520833333336</v>
      </c>
      <c r="F1213" s="2" t="s">
        <v>342</v>
      </c>
      <c r="G1213" s="2" t="s">
        <v>343</v>
      </c>
      <c r="H1213" s="2">
        <v>64</v>
      </c>
      <c r="I1213" s="2">
        <v>0</v>
      </c>
      <c r="J1213" s="2">
        <v>20</v>
      </c>
      <c r="K1213" s="2">
        <v>1.27</v>
      </c>
      <c r="L1213" s="2"/>
      <c r="M1213" s="2"/>
      <c r="N1213" s="2" t="s">
        <v>95</v>
      </c>
      <c r="O1213" s="10">
        <v>0</v>
      </c>
      <c r="P1213" s="9">
        <v>1</v>
      </c>
      <c r="Q1213" s="184" t="s">
        <v>692</v>
      </c>
      <c r="R1213" s="181">
        <v>1</v>
      </c>
      <c r="S1213" s="178">
        <f t="shared" si="130"/>
        <v>1</v>
      </c>
      <c r="T1213" s="186">
        <f t="shared" si="131"/>
        <v>1</v>
      </c>
      <c r="U1213" s="179">
        <f t="shared" si="132"/>
        <v>0</v>
      </c>
      <c r="V1213" s="1">
        <f t="shared" si="133"/>
        <v>25</v>
      </c>
      <c r="W1213" s="8">
        <f t="shared" si="134"/>
        <v>6.25</v>
      </c>
      <c r="X1213" s="15">
        <f t="shared" si="135"/>
        <v>6450</v>
      </c>
      <c r="Y1213"/>
      <c r="Z1213"/>
      <c r="AA1213"/>
      <c r="AB1213"/>
      <c r="AC1213"/>
      <c r="AD1213"/>
    </row>
    <row r="1214" spans="2:30">
      <c r="B1214" s="163" t="s">
        <v>270</v>
      </c>
      <c r="C1214" s="2" t="s">
        <v>77</v>
      </c>
      <c r="D1214" s="2" t="s">
        <v>156</v>
      </c>
      <c r="E1214" s="3">
        <v>45319.604166666664</v>
      </c>
      <c r="F1214" s="2" t="s">
        <v>315</v>
      </c>
      <c r="G1214" s="2" t="s">
        <v>345</v>
      </c>
      <c r="H1214" s="2">
        <v>63</v>
      </c>
      <c r="I1214" s="2">
        <v>0</v>
      </c>
      <c r="J1214" s="2">
        <v>20</v>
      </c>
      <c r="K1214" s="2">
        <v>2.2200000000000002</v>
      </c>
      <c r="L1214" s="2"/>
      <c r="M1214" s="2"/>
      <c r="N1214" s="2" t="s">
        <v>95</v>
      </c>
      <c r="O1214" s="10">
        <v>0</v>
      </c>
      <c r="P1214" s="9">
        <v>0</v>
      </c>
      <c r="Q1214" s="184">
        <v>1</v>
      </c>
      <c r="R1214" s="181">
        <v>0</v>
      </c>
      <c r="S1214" s="178">
        <f t="shared" si="130"/>
        <v>0</v>
      </c>
      <c r="T1214" s="186">
        <f t="shared" si="131"/>
        <v>1</v>
      </c>
      <c r="U1214" s="179">
        <f t="shared" si="132"/>
        <v>1</v>
      </c>
      <c r="V1214" s="1">
        <f t="shared" si="133"/>
        <v>25</v>
      </c>
      <c r="W1214" s="8">
        <f t="shared" si="134"/>
        <v>6.25</v>
      </c>
      <c r="X1214" s="15">
        <f t="shared" si="135"/>
        <v>6456.25</v>
      </c>
      <c r="Y1214"/>
      <c r="Z1214"/>
      <c r="AA1214"/>
      <c r="AB1214"/>
      <c r="AC1214"/>
      <c r="AD1214"/>
    </row>
    <row r="1215" spans="2:30">
      <c r="B1215" s="163" t="s">
        <v>270</v>
      </c>
      <c r="C1215" s="2" t="s">
        <v>119</v>
      </c>
      <c r="D1215" s="2" t="s">
        <v>120</v>
      </c>
      <c r="E1215" s="3">
        <v>45319.729166666664</v>
      </c>
      <c r="F1215" s="2" t="s">
        <v>347</v>
      </c>
      <c r="G1215" s="2" t="s">
        <v>348</v>
      </c>
      <c r="H1215" s="2">
        <v>62</v>
      </c>
      <c r="I1215" s="2">
        <v>0</v>
      </c>
      <c r="J1215" s="2">
        <v>20</v>
      </c>
      <c r="K1215" s="2">
        <v>2.09</v>
      </c>
      <c r="L1215" s="2"/>
      <c r="M1215" s="2"/>
      <c r="N1215" s="2" t="s">
        <v>95</v>
      </c>
      <c r="O1215" s="10">
        <v>1</v>
      </c>
      <c r="P1215" s="9">
        <v>0</v>
      </c>
      <c r="Q1215" s="184">
        <v>1</v>
      </c>
      <c r="R1215" s="181">
        <v>1</v>
      </c>
      <c r="S1215" s="178">
        <f t="shared" si="130"/>
        <v>1</v>
      </c>
      <c r="T1215" s="186">
        <f t="shared" si="131"/>
        <v>2</v>
      </c>
      <c r="U1215" s="179">
        <f t="shared" si="132"/>
        <v>1</v>
      </c>
      <c r="V1215" s="1">
        <f t="shared" si="133"/>
        <v>25</v>
      </c>
      <c r="W1215" s="8">
        <f t="shared" si="134"/>
        <v>6.25</v>
      </c>
      <c r="X1215" s="15">
        <f t="shared" si="135"/>
        <v>6462.5</v>
      </c>
      <c r="Y1215"/>
      <c r="Z1215"/>
      <c r="AA1215"/>
      <c r="AB1215"/>
      <c r="AC1215"/>
      <c r="AD1215"/>
    </row>
    <row r="1216" spans="2:30">
      <c r="B1216" s="163" t="s">
        <v>270</v>
      </c>
      <c r="C1216" s="2" t="s">
        <v>119</v>
      </c>
      <c r="D1216" s="2" t="s">
        <v>120</v>
      </c>
      <c r="E1216" s="3">
        <v>45319.833333333336</v>
      </c>
      <c r="F1216" s="2" t="s">
        <v>349</v>
      </c>
      <c r="G1216" s="2" t="s">
        <v>350</v>
      </c>
      <c r="H1216" s="2">
        <v>61</v>
      </c>
      <c r="I1216" s="2">
        <v>0</v>
      </c>
      <c r="J1216" s="2">
        <v>20</v>
      </c>
      <c r="K1216" s="2">
        <v>2.5099999999999998</v>
      </c>
      <c r="L1216" s="2"/>
      <c r="M1216" s="2"/>
      <c r="N1216" s="2" t="s">
        <v>95</v>
      </c>
      <c r="O1216" s="10">
        <v>1</v>
      </c>
      <c r="P1216" s="9">
        <v>0</v>
      </c>
      <c r="Q1216" s="184">
        <v>2</v>
      </c>
      <c r="R1216" s="181">
        <v>0</v>
      </c>
      <c r="S1216" s="178">
        <f t="shared" si="130"/>
        <v>1</v>
      </c>
      <c r="T1216" s="186">
        <f t="shared" si="131"/>
        <v>2</v>
      </c>
      <c r="U1216" s="179">
        <f t="shared" si="132"/>
        <v>1</v>
      </c>
      <c r="V1216" s="1">
        <f t="shared" si="133"/>
        <v>25</v>
      </c>
      <c r="W1216" s="8">
        <f t="shared" si="134"/>
        <v>6.25</v>
      </c>
      <c r="X1216" s="15">
        <f t="shared" si="135"/>
        <v>6468.75</v>
      </c>
      <c r="Y1216"/>
      <c r="Z1216"/>
      <c r="AA1216"/>
      <c r="AB1216"/>
      <c r="AC1216"/>
      <c r="AD1216"/>
    </row>
    <row r="1217" spans="2:30">
      <c r="B1217" s="163" t="s">
        <v>270</v>
      </c>
      <c r="C1217" s="2" t="s">
        <v>58</v>
      </c>
      <c r="D1217" s="2" t="s">
        <v>59</v>
      </c>
      <c r="E1217" s="3">
        <v>45320.864583333336</v>
      </c>
      <c r="F1217" s="2" t="s">
        <v>125</v>
      </c>
      <c r="G1217" s="2" t="s">
        <v>111</v>
      </c>
      <c r="H1217" s="2">
        <v>59</v>
      </c>
      <c r="I1217" s="2">
        <v>0</v>
      </c>
      <c r="J1217" s="2">
        <v>20</v>
      </c>
      <c r="K1217" s="2">
        <v>1.76</v>
      </c>
      <c r="L1217" s="2"/>
      <c r="M1217" s="2"/>
      <c r="N1217" s="2" t="s">
        <v>95</v>
      </c>
      <c r="O1217" s="10">
        <v>5</v>
      </c>
      <c r="P1217" s="9">
        <v>0</v>
      </c>
      <c r="Q1217" s="184">
        <v>8</v>
      </c>
      <c r="R1217" s="181">
        <v>0</v>
      </c>
      <c r="S1217" s="178">
        <f t="shared" ref="S1217:S1280" si="136">SUM(O1217:P1217)</f>
        <v>5</v>
      </c>
      <c r="T1217" s="186">
        <f t="shared" ref="T1217:T1280" si="137">SUM(Q1217:R1217)</f>
        <v>8</v>
      </c>
      <c r="U1217" s="179">
        <f t="shared" ref="U1217:U1280" si="138">SUM(T1217-S1217)</f>
        <v>3</v>
      </c>
      <c r="V1217" s="1">
        <f t="shared" si="133"/>
        <v>25</v>
      </c>
      <c r="W1217" s="8">
        <f t="shared" si="134"/>
        <v>6.25</v>
      </c>
      <c r="X1217" s="15">
        <f t="shared" si="135"/>
        <v>6475</v>
      </c>
      <c r="Y1217"/>
      <c r="Z1217"/>
      <c r="AA1217"/>
      <c r="AB1217"/>
      <c r="AC1217"/>
      <c r="AD1217"/>
    </row>
    <row r="1218" spans="2:30">
      <c r="B1218" s="163" t="s">
        <v>270</v>
      </c>
      <c r="C1218" s="2" t="s">
        <v>6</v>
      </c>
      <c r="D1218" s="2" t="s">
        <v>62</v>
      </c>
      <c r="E1218" s="3">
        <v>45321.8125</v>
      </c>
      <c r="F1218" s="2" t="s">
        <v>264</v>
      </c>
      <c r="G1218" s="2" t="s">
        <v>73</v>
      </c>
      <c r="H1218" s="2">
        <v>67</v>
      </c>
      <c r="I1218" s="2">
        <v>0</v>
      </c>
      <c r="J1218" s="2">
        <v>20</v>
      </c>
      <c r="K1218" s="2">
        <v>2.11</v>
      </c>
      <c r="L1218" s="2"/>
      <c r="M1218" s="2"/>
      <c r="N1218" s="2" t="s">
        <v>95</v>
      </c>
      <c r="O1218" s="10">
        <v>0</v>
      </c>
      <c r="P1218" s="9">
        <v>0</v>
      </c>
      <c r="Q1218" s="184">
        <v>1</v>
      </c>
      <c r="R1218" s="181">
        <v>2</v>
      </c>
      <c r="S1218" s="178">
        <f t="shared" si="136"/>
        <v>0</v>
      </c>
      <c r="T1218" s="186">
        <f t="shared" si="137"/>
        <v>3</v>
      </c>
      <c r="U1218" s="179">
        <f t="shared" si="138"/>
        <v>3</v>
      </c>
      <c r="V1218" s="1">
        <f t="shared" si="133"/>
        <v>25</v>
      </c>
      <c r="W1218" s="8">
        <f t="shared" si="134"/>
        <v>6.25</v>
      </c>
      <c r="X1218" s="15">
        <f t="shared" si="135"/>
        <v>6481.25</v>
      </c>
      <c r="Y1218"/>
      <c r="Z1218"/>
      <c r="AA1218"/>
      <c r="AB1218"/>
      <c r="AC1218"/>
      <c r="AD1218"/>
    </row>
    <row r="1219" spans="2:30">
      <c r="B1219" s="163" t="s">
        <v>270</v>
      </c>
      <c r="C1219" s="2" t="s">
        <v>6</v>
      </c>
      <c r="D1219" s="2" t="s">
        <v>14</v>
      </c>
      <c r="E1219" s="3">
        <v>45321.822916666664</v>
      </c>
      <c r="F1219" s="2" t="s">
        <v>290</v>
      </c>
      <c r="G1219" s="2" t="s">
        <v>377</v>
      </c>
      <c r="H1219" s="2">
        <v>67</v>
      </c>
      <c r="I1219" s="2">
        <v>0</v>
      </c>
      <c r="J1219" s="2">
        <v>20</v>
      </c>
      <c r="K1219" s="2">
        <v>2.95</v>
      </c>
      <c r="L1219" s="2"/>
      <c r="M1219" s="2"/>
      <c r="N1219" s="2" t="s">
        <v>95</v>
      </c>
      <c r="O1219" s="10">
        <v>1</v>
      </c>
      <c r="P1219" s="9">
        <v>0</v>
      </c>
      <c r="Q1219" s="184">
        <v>3</v>
      </c>
      <c r="R1219" s="181">
        <v>1</v>
      </c>
      <c r="S1219" s="178">
        <f t="shared" si="136"/>
        <v>1</v>
      </c>
      <c r="T1219" s="186">
        <f t="shared" si="137"/>
        <v>4</v>
      </c>
      <c r="U1219" s="179">
        <f t="shared" si="138"/>
        <v>3</v>
      </c>
      <c r="V1219" s="1">
        <f t="shared" si="133"/>
        <v>25</v>
      </c>
      <c r="W1219" s="8">
        <f t="shared" si="134"/>
        <v>6.25</v>
      </c>
      <c r="X1219" s="15">
        <f t="shared" si="135"/>
        <v>6487.5</v>
      </c>
      <c r="Y1219"/>
      <c r="Z1219"/>
      <c r="AA1219"/>
      <c r="AB1219"/>
      <c r="AC1219"/>
      <c r="AD1219"/>
    </row>
    <row r="1220" spans="2:30">
      <c r="B1220" s="163" t="s">
        <v>270</v>
      </c>
      <c r="C1220" s="2" t="s">
        <v>6</v>
      </c>
      <c r="D1220" s="2" t="s">
        <v>7</v>
      </c>
      <c r="E1220" s="3">
        <v>45321.822916666664</v>
      </c>
      <c r="F1220" s="2" t="s">
        <v>84</v>
      </c>
      <c r="G1220" s="2" t="s">
        <v>378</v>
      </c>
      <c r="H1220" s="2">
        <v>59</v>
      </c>
      <c r="I1220" s="2">
        <v>0</v>
      </c>
      <c r="J1220" s="2">
        <v>20</v>
      </c>
      <c r="K1220" s="2">
        <v>1.61</v>
      </c>
      <c r="L1220" s="2"/>
      <c r="M1220" s="2"/>
      <c r="N1220" s="2" t="s">
        <v>95</v>
      </c>
      <c r="O1220" s="10">
        <v>0</v>
      </c>
      <c r="P1220" s="9">
        <v>0</v>
      </c>
      <c r="Q1220" s="184">
        <v>1</v>
      </c>
      <c r="R1220" s="181">
        <v>2</v>
      </c>
      <c r="S1220" s="178">
        <f t="shared" si="136"/>
        <v>0</v>
      </c>
      <c r="T1220" s="186">
        <f t="shared" si="137"/>
        <v>3</v>
      </c>
      <c r="U1220" s="179">
        <f t="shared" si="138"/>
        <v>3</v>
      </c>
      <c r="V1220" s="1">
        <f t="shared" si="133"/>
        <v>25</v>
      </c>
      <c r="W1220" s="8">
        <f t="shared" si="134"/>
        <v>6.25</v>
      </c>
      <c r="X1220" s="15">
        <f t="shared" si="135"/>
        <v>6493.75</v>
      </c>
      <c r="Y1220"/>
      <c r="Z1220"/>
      <c r="AA1220"/>
      <c r="AB1220"/>
      <c r="AC1220"/>
      <c r="AD1220"/>
    </row>
    <row r="1221" spans="2:30">
      <c r="B1221" s="163" t="s">
        <v>270</v>
      </c>
      <c r="C1221" s="2" t="s">
        <v>6</v>
      </c>
      <c r="D1221" s="2" t="s">
        <v>62</v>
      </c>
      <c r="E1221" s="3">
        <v>45321.84375</v>
      </c>
      <c r="F1221" s="2" t="s">
        <v>102</v>
      </c>
      <c r="G1221" s="2" t="s">
        <v>164</v>
      </c>
      <c r="H1221" s="2">
        <v>67</v>
      </c>
      <c r="I1221" s="2">
        <v>0</v>
      </c>
      <c r="J1221" s="2">
        <v>20</v>
      </c>
      <c r="K1221" s="2">
        <v>3.08</v>
      </c>
      <c r="L1221" s="2"/>
      <c r="M1221" s="2"/>
      <c r="N1221" s="2" t="s">
        <v>95</v>
      </c>
      <c r="O1221" s="10">
        <v>0</v>
      </c>
      <c r="P1221" s="9">
        <v>2</v>
      </c>
      <c r="Q1221" s="184">
        <v>1</v>
      </c>
      <c r="R1221" s="181">
        <v>3</v>
      </c>
      <c r="S1221" s="178">
        <f t="shared" si="136"/>
        <v>2</v>
      </c>
      <c r="T1221" s="186">
        <f t="shared" si="137"/>
        <v>4</v>
      </c>
      <c r="U1221" s="179">
        <f t="shared" si="138"/>
        <v>2</v>
      </c>
      <c r="V1221" s="1">
        <f t="shared" ref="V1221:V1284" si="139">SUM($X$1*0.05)</f>
        <v>25</v>
      </c>
      <c r="W1221" s="8">
        <f t="shared" si="134"/>
        <v>6.25</v>
      </c>
      <c r="X1221" s="15">
        <f t="shared" si="135"/>
        <v>6500</v>
      </c>
      <c r="Y1221"/>
      <c r="Z1221"/>
      <c r="AA1221"/>
      <c r="AB1221"/>
      <c r="AC1221"/>
      <c r="AD1221"/>
    </row>
    <row r="1222" spans="2:30">
      <c r="B1222" s="163" t="s">
        <v>270</v>
      </c>
      <c r="C1222" s="2" t="s">
        <v>67</v>
      </c>
      <c r="D1222" s="2" t="s">
        <v>68</v>
      </c>
      <c r="E1222" s="3">
        <v>45322.739583333336</v>
      </c>
      <c r="F1222" s="2" t="s">
        <v>69</v>
      </c>
      <c r="G1222" s="2" t="s">
        <v>88</v>
      </c>
      <c r="H1222" s="2">
        <v>68</v>
      </c>
      <c r="I1222" s="2">
        <v>0</v>
      </c>
      <c r="J1222" s="2">
        <v>20</v>
      </c>
      <c r="K1222" s="2">
        <v>2.2799999999999998</v>
      </c>
      <c r="L1222" s="2"/>
      <c r="M1222" s="2"/>
      <c r="N1222" s="2" t="s">
        <v>95</v>
      </c>
      <c r="O1222" s="10">
        <v>0</v>
      </c>
      <c r="P1222" s="9">
        <v>0</v>
      </c>
      <c r="Q1222" s="184">
        <v>1</v>
      </c>
      <c r="R1222" s="181">
        <v>0</v>
      </c>
      <c r="S1222" s="178">
        <f t="shared" si="136"/>
        <v>0</v>
      </c>
      <c r="T1222" s="186">
        <f t="shared" si="137"/>
        <v>1</v>
      </c>
      <c r="U1222" s="179">
        <f t="shared" si="138"/>
        <v>1</v>
      </c>
      <c r="V1222" s="1">
        <f t="shared" si="139"/>
        <v>25</v>
      </c>
      <c r="W1222" s="8">
        <f t="shared" si="134"/>
        <v>6.25</v>
      </c>
      <c r="X1222" s="15">
        <f t="shared" si="135"/>
        <v>6506.25</v>
      </c>
      <c r="Y1222"/>
      <c r="Z1222"/>
      <c r="AA1222"/>
      <c r="AB1222"/>
      <c r="AC1222"/>
      <c r="AD1222"/>
    </row>
    <row r="1223" spans="2:30">
      <c r="B1223" s="163" t="s">
        <v>270</v>
      </c>
      <c r="C1223" s="2" t="s">
        <v>67</v>
      </c>
      <c r="D1223" s="2" t="s">
        <v>68</v>
      </c>
      <c r="E1223" s="3">
        <v>45322.739583333336</v>
      </c>
      <c r="F1223" s="2" t="s">
        <v>87</v>
      </c>
      <c r="G1223" s="2" t="s">
        <v>343</v>
      </c>
      <c r="H1223" s="2">
        <v>60</v>
      </c>
      <c r="I1223" s="2">
        <v>0</v>
      </c>
      <c r="J1223" s="2">
        <v>20</v>
      </c>
      <c r="K1223" s="2">
        <v>1.49</v>
      </c>
      <c r="L1223" s="2"/>
      <c r="M1223" s="2"/>
      <c r="N1223" s="2" t="s">
        <v>95</v>
      </c>
      <c r="O1223" s="10">
        <v>0</v>
      </c>
      <c r="P1223" s="9">
        <v>0</v>
      </c>
      <c r="Q1223" s="184">
        <v>2</v>
      </c>
      <c r="R1223" s="181">
        <v>1</v>
      </c>
      <c r="S1223" s="178">
        <f t="shared" si="136"/>
        <v>0</v>
      </c>
      <c r="T1223" s="186">
        <f t="shared" si="137"/>
        <v>3</v>
      </c>
      <c r="U1223" s="179">
        <f t="shared" si="138"/>
        <v>3</v>
      </c>
      <c r="V1223" s="1">
        <f t="shared" si="139"/>
        <v>25</v>
      </c>
      <c r="W1223" s="8">
        <f t="shared" si="134"/>
        <v>6.25</v>
      </c>
      <c r="X1223" s="15">
        <f t="shared" si="135"/>
        <v>6512.5</v>
      </c>
      <c r="Y1223"/>
      <c r="Z1223"/>
      <c r="AA1223"/>
      <c r="AB1223"/>
      <c r="AC1223"/>
      <c r="AD1223"/>
    </row>
    <row r="1224" spans="2:30">
      <c r="B1224" s="163" t="s">
        <v>270</v>
      </c>
      <c r="C1224" s="2" t="s">
        <v>119</v>
      </c>
      <c r="D1224" s="2" t="s">
        <v>120</v>
      </c>
      <c r="E1224" s="3">
        <v>45322.75</v>
      </c>
      <c r="F1224" s="2" t="s">
        <v>361</v>
      </c>
      <c r="G1224" s="2" t="s">
        <v>348</v>
      </c>
      <c r="H1224" s="2">
        <v>67</v>
      </c>
      <c r="I1224" s="2">
        <v>0</v>
      </c>
      <c r="J1224" s="2">
        <v>20</v>
      </c>
      <c r="K1224" s="2">
        <v>2.81</v>
      </c>
      <c r="L1224" s="2"/>
      <c r="M1224" s="2"/>
      <c r="N1224" s="2" t="s">
        <v>95</v>
      </c>
      <c r="O1224" s="10">
        <v>0</v>
      </c>
      <c r="P1224" s="9">
        <v>0</v>
      </c>
      <c r="Q1224" s="184">
        <v>1</v>
      </c>
      <c r="R1224" s="181">
        <v>1</v>
      </c>
      <c r="S1224" s="178">
        <f t="shared" si="136"/>
        <v>0</v>
      </c>
      <c r="T1224" s="186">
        <f t="shared" si="137"/>
        <v>2</v>
      </c>
      <c r="U1224" s="179">
        <f t="shared" si="138"/>
        <v>2</v>
      </c>
      <c r="V1224" s="1">
        <f t="shared" si="139"/>
        <v>25</v>
      </c>
      <c r="W1224" s="8">
        <f t="shared" si="134"/>
        <v>6.25</v>
      </c>
      <c r="X1224" s="15">
        <f t="shared" si="135"/>
        <v>6518.75</v>
      </c>
      <c r="Y1224"/>
      <c r="Z1224"/>
      <c r="AA1224"/>
      <c r="AB1224"/>
      <c r="AC1224"/>
      <c r="AD1224"/>
    </row>
    <row r="1225" spans="2:30">
      <c r="B1225" s="163" t="s">
        <v>270</v>
      </c>
      <c r="C1225" s="2" t="s">
        <v>58</v>
      </c>
      <c r="D1225" s="2" t="s">
        <v>59</v>
      </c>
      <c r="E1225" s="3">
        <v>45322.78125</v>
      </c>
      <c r="F1225" s="2" t="s">
        <v>127</v>
      </c>
      <c r="G1225" s="2" t="s">
        <v>105</v>
      </c>
      <c r="H1225" s="2">
        <v>66</v>
      </c>
      <c r="I1225" s="2">
        <v>0</v>
      </c>
      <c r="J1225" s="2">
        <v>20</v>
      </c>
      <c r="K1225" s="2">
        <v>1.86</v>
      </c>
      <c r="L1225" s="2"/>
      <c r="M1225" s="2"/>
      <c r="N1225" s="2" t="s">
        <v>95</v>
      </c>
      <c r="O1225" s="10">
        <v>0</v>
      </c>
      <c r="P1225" s="9">
        <v>0</v>
      </c>
      <c r="Q1225" s="184">
        <v>1</v>
      </c>
      <c r="R1225" s="181">
        <v>1</v>
      </c>
      <c r="S1225" s="178">
        <f t="shared" si="136"/>
        <v>0</v>
      </c>
      <c r="T1225" s="186">
        <f t="shared" si="137"/>
        <v>2</v>
      </c>
      <c r="U1225" s="179">
        <f t="shared" si="138"/>
        <v>2</v>
      </c>
      <c r="V1225" s="1">
        <f t="shared" si="139"/>
        <v>25</v>
      </c>
      <c r="W1225" s="8">
        <f t="shared" si="134"/>
        <v>6.25</v>
      </c>
      <c r="X1225" s="15">
        <f t="shared" si="135"/>
        <v>6525</v>
      </c>
      <c r="Y1225"/>
      <c r="Z1225"/>
      <c r="AA1225"/>
      <c r="AB1225"/>
      <c r="AC1225"/>
      <c r="AD1225"/>
    </row>
    <row r="1226" spans="2:30">
      <c r="B1226" s="163" t="s">
        <v>270</v>
      </c>
      <c r="C1226" s="2" t="s">
        <v>6</v>
      </c>
      <c r="D1226" s="2" t="s">
        <v>62</v>
      </c>
      <c r="E1226" s="3">
        <v>45322.8125</v>
      </c>
      <c r="F1226" s="2" t="s">
        <v>116</v>
      </c>
      <c r="G1226" s="2" t="s">
        <v>63</v>
      </c>
      <c r="H1226" s="2">
        <v>61</v>
      </c>
      <c r="I1226" s="2">
        <v>0</v>
      </c>
      <c r="J1226" s="2">
        <v>20</v>
      </c>
      <c r="K1226" s="2">
        <v>2.6</v>
      </c>
      <c r="L1226" s="2"/>
      <c r="M1226" s="2"/>
      <c r="N1226" s="2" t="s">
        <v>95</v>
      </c>
      <c r="O1226" s="10">
        <v>0</v>
      </c>
      <c r="P1226" s="9">
        <v>1</v>
      </c>
      <c r="Q1226" s="184">
        <v>3</v>
      </c>
      <c r="R1226" s="181">
        <v>2</v>
      </c>
      <c r="S1226" s="178">
        <f t="shared" si="136"/>
        <v>1</v>
      </c>
      <c r="T1226" s="186">
        <f t="shared" si="137"/>
        <v>5</v>
      </c>
      <c r="U1226" s="179">
        <f t="shared" si="138"/>
        <v>4</v>
      </c>
      <c r="V1226" s="1">
        <f t="shared" si="139"/>
        <v>25</v>
      </c>
      <c r="W1226" s="8">
        <f t="shared" si="134"/>
        <v>6.25</v>
      </c>
      <c r="X1226" s="15">
        <f t="shared" si="135"/>
        <v>6531.25</v>
      </c>
      <c r="Y1226"/>
      <c r="Z1226"/>
      <c r="AA1226"/>
      <c r="AB1226"/>
      <c r="AC1226"/>
      <c r="AD1226"/>
    </row>
    <row r="1227" spans="2:30" ht="15.75" thickBot="1">
      <c r="B1227" s="163" t="s">
        <v>270</v>
      </c>
      <c r="C1227" s="2" t="s">
        <v>44</v>
      </c>
      <c r="D1227" s="2" t="s">
        <v>45</v>
      </c>
      <c r="E1227" s="3">
        <v>45324.447916666664</v>
      </c>
      <c r="F1227" s="2" t="s">
        <v>131</v>
      </c>
      <c r="G1227" s="2" t="s">
        <v>126</v>
      </c>
      <c r="H1227" s="2">
        <v>62</v>
      </c>
      <c r="I1227" s="2">
        <v>0</v>
      </c>
      <c r="J1227" s="2">
        <v>20</v>
      </c>
      <c r="K1227" s="2">
        <v>1.79</v>
      </c>
      <c r="L1227" s="2"/>
      <c r="M1227" s="2"/>
      <c r="N1227" s="2" t="s">
        <v>95</v>
      </c>
      <c r="O1227" s="10">
        <v>1</v>
      </c>
      <c r="P1227" s="9">
        <v>1</v>
      </c>
      <c r="Q1227" s="184">
        <v>4</v>
      </c>
      <c r="R1227" s="181">
        <v>2</v>
      </c>
      <c r="S1227" s="178">
        <f t="shared" si="136"/>
        <v>2</v>
      </c>
      <c r="T1227" s="186">
        <f t="shared" si="137"/>
        <v>6</v>
      </c>
      <c r="U1227" s="179">
        <f t="shared" si="138"/>
        <v>4</v>
      </c>
      <c r="V1227" s="1">
        <f t="shared" si="139"/>
        <v>25</v>
      </c>
      <c r="W1227" s="8">
        <f t="shared" si="134"/>
        <v>6.25</v>
      </c>
      <c r="X1227" s="15">
        <f t="shared" si="135"/>
        <v>6537.5</v>
      </c>
      <c r="Y1227"/>
      <c r="Z1227"/>
      <c r="AA1227"/>
      <c r="AB1227"/>
      <c r="AC1227"/>
      <c r="AD1227"/>
    </row>
    <row r="1228" spans="2:30" ht="15.75" thickBot="1">
      <c r="B1228" s="169" t="s">
        <v>270</v>
      </c>
      <c r="C1228" s="2" t="s">
        <v>67</v>
      </c>
      <c r="D1228" s="2" t="s">
        <v>169</v>
      </c>
      <c r="E1228" s="3">
        <v>45324.791666666664</v>
      </c>
      <c r="F1228" s="2" t="s">
        <v>203</v>
      </c>
      <c r="G1228" s="2" t="s">
        <v>171</v>
      </c>
      <c r="H1228" s="2">
        <v>66</v>
      </c>
      <c r="I1228" s="2">
        <v>0</v>
      </c>
      <c r="J1228" s="2">
        <v>20</v>
      </c>
      <c r="K1228" s="2">
        <v>1.07</v>
      </c>
      <c r="L1228" s="2"/>
      <c r="M1228" s="2"/>
      <c r="N1228" s="2" t="s">
        <v>95</v>
      </c>
      <c r="O1228" s="10">
        <v>0</v>
      </c>
      <c r="P1228" s="9">
        <v>0</v>
      </c>
      <c r="Q1228" s="184">
        <v>0</v>
      </c>
      <c r="R1228" s="181">
        <v>1</v>
      </c>
      <c r="S1228" s="178">
        <f t="shared" si="136"/>
        <v>0</v>
      </c>
      <c r="T1228" s="186">
        <f t="shared" si="137"/>
        <v>1</v>
      </c>
      <c r="U1228" s="179">
        <f t="shared" si="138"/>
        <v>1</v>
      </c>
      <c r="V1228" s="1">
        <f t="shared" si="139"/>
        <v>25</v>
      </c>
      <c r="W1228" s="8">
        <f t="shared" si="134"/>
        <v>6.25</v>
      </c>
      <c r="X1228" s="15">
        <f t="shared" si="135"/>
        <v>6543.75</v>
      </c>
      <c r="Y1228"/>
      <c r="Z1228"/>
      <c r="AA1228"/>
      <c r="AB1228"/>
      <c r="AC1228"/>
      <c r="AD1228"/>
    </row>
    <row r="1229" spans="2:30">
      <c r="B1229" s="163" t="s">
        <v>270</v>
      </c>
      <c r="C1229" s="2" t="s">
        <v>77</v>
      </c>
      <c r="D1229" s="2" t="s">
        <v>156</v>
      </c>
      <c r="E1229" s="3">
        <v>45325.604166666664</v>
      </c>
      <c r="F1229" s="2" t="s">
        <v>160</v>
      </c>
      <c r="G1229" s="2" t="s">
        <v>254</v>
      </c>
      <c r="H1229" s="2">
        <v>67</v>
      </c>
      <c r="I1229" s="2">
        <v>0</v>
      </c>
      <c r="J1229" s="2">
        <v>20</v>
      </c>
      <c r="K1229" s="2">
        <v>2.2000000000000002</v>
      </c>
      <c r="L1229" s="2"/>
      <c r="M1229" s="2"/>
      <c r="N1229" s="2" t="s">
        <v>95</v>
      </c>
      <c r="O1229" s="10">
        <v>0</v>
      </c>
      <c r="P1229" s="9">
        <v>1</v>
      </c>
      <c r="Q1229" s="184">
        <v>0</v>
      </c>
      <c r="R1229" s="181">
        <v>1</v>
      </c>
      <c r="S1229" s="178">
        <f t="shared" si="136"/>
        <v>1</v>
      </c>
      <c r="T1229" s="186">
        <f t="shared" si="137"/>
        <v>1</v>
      </c>
      <c r="U1229" s="179">
        <f t="shared" si="138"/>
        <v>0</v>
      </c>
      <c r="V1229" s="1">
        <f t="shared" si="139"/>
        <v>25</v>
      </c>
      <c r="W1229" s="8">
        <f t="shared" si="134"/>
        <v>6.25</v>
      </c>
      <c r="X1229" s="15">
        <f t="shared" si="135"/>
        <v>6550</v>
      </c>
      <c r="Y1229"/>
      <c r="Z1229"/>
      <c r="AA1229"/>
      <c r="AB1229"/>
      <c r="AC1229"/>
      <c r="AD1229"/>
    </row>
    <row r="1230" spans="2:30">
      <c r="B1230" s="163" t="s">
        <v>270</v>
      </c>
      <c r="C1230" s="2" t="s">
        <v>6</v>
      </c>
      <c r="D1230" s="2" t="s">
        <v>62</v>
      </c>
      <c r="E1230" s="3">
        <v>45325.625</v>
      </c>
      <c r="F1230" s="2" t="s">
        <v>164</v>
      </c>
      <c r="G1230" s="2" t="s">
        <v>86</v>
      </c>
      <c r="H1230" s="2">
        <v>66</v>
      </c>
      <c r="I1230" s="2">
        <v>0</v>
      </c>
      <c r="J1230" s="2">
        <v>20</v>
      </c>
      <c r="K1230" s="2">
        <v>2.79</v>
      </c>
      <c r="L1230" s="2"/>
      <c r="M1230" s="2"/>
      <c r="N1230" s="2" t="s">
        <v>95</v>
      </c>
      <c r="O1230" s="10">
        <v>2</v>
      </c>
      <c r="P1230" s="9">
        <v>2</v>
      </c>
      <c r="Q1230" s="184">
        <v>4</v>
      </c>
      <c r="R1230" s="181">
        <v>4</v>
      </c>
      <c r="S1230" s="178">
        <f t="shared" si="136"/>
        <v>4</v>
      </c>
      <c r="T1230" s="186">
        <f t="shared" si="137"/>
        <v>8</v>
      </c>
      <c r="U1230" s="179">
        <f t="shared" si="138"/>
        <v>4</v>
      </c>
      <c r="V1230" s="1">
        <f t="shared" si="139"/>
        <v>25</v>
      </c>
      <c r="W1230" s="8">
        <f t="shared" si="134"/>
        <v>6.25</v>
      </c>
      <c r="X1230" s="15">
        <f t="shared" si="135"/>
        <v>6556.25</v>
      </c>
      <c r="Y1230"/>
      <c r="Z1230"/>
      <c r="AA1230"/>
      <c r="AB1230"/>
      <c r="AC1230"/>
      <c r="AD1230"/>
    </row>
    <row r="1231" spans="2:30">
      <c r="B1231" s="163" t="s">
        <v>270</v>
      </c>
      <c r="C1231" s="2" t="s">
        <v>6</v>
      </c>
      <c r="D1231" s="2" t="s">
        <v>14</v>
      </c>
      <c r="E1231" s="3">
        <v>45325.625</v>
      </c>
      <c r="F1231" s="2" t="s">
        <v>262</v>
      </c>
      <c r="G1231" s="2" t="s">
        <v>56</v>
      </c>
      <c r="H1231" s="2">
        <v>64</v>
      </c>
      <c r="I1231" s="2">
        <v>0</v>
      </c>
      <c r="J1231" s="2">
        <v>20</v>
      </c>
      <c r="K1231" s="2">
        <v>2.02</v>
      </c>
      <c r="L1231" s="2"/>
      <c r="M1231" s="2"/>
      <c r="N1231" s="2" t="s">
        <v>95</v>
      </c>
      <c r="O1231" s="10">
        <v>0</v>
      </c>
      <c r="P1231" s="9">
        <v>2</v>
      </c>
      <c r="Q1231" s="184">
        <v>0</v>
      </c>
      <c r="R1231" s="181">
        <v>2</v>
      </c>
      <c r="S1231" s="178">
        <f t="shared" si="136"/>
        <v>2</v>
      </c>
      <c r="T1231" s="186">
        <f t="shared" si="137"/>
        <v>2</v>
      </c>
      <c r="U1231" s="179">
        <f t="shared" si="138"/>
        <v>0</v>
      </c>
      <c r="V1231" s="1">
        <f t="shared" si="139"/>
        <v>25</v>
      </c>
      <c r="W1231" s="8">
        <f t="shared" si="134"/>
        <v>6.25</v>
      </c>
      <c r="X1231" s="15">
        <f t="shared" si="135"/>
        <v>6562.5</v>
      </c>
      <c r="Y1231"/>
      <c r="Z1231"/>
      <c r="AA1231"/>
      <c r="AB1231"/>
      <c r="AC1231"/>
      <c r="AD1231"/>
    </row>
    <row r="1232" spans="2:30">
      <c r="B1232" s="163" t="s">
        <v>270</v>
      </c>
      <c r="C1232" s="2" t="s">
        <v>80</v>
      </c>
      <c r="D1232" s="2" t="s">
        <v>81</v>
      </c>
      <c r="E1232" s="3">
        <v>45325.666666666664</v>
      </c>
      <c r="F1232" s="2" t="s">
        <v>312</v>
      </c>
      <c r="G1232" s="2" t="s">
        <v>83</v>
      </c>
      <c r="H1232" s="2">
        <v>64</v>
      </c>
      <c r="I1232" s="2">
        <v>0</v>
      </c>
      <c r="J1232" s="2">
        <v>20</v>
      </c>
      <c r="K1232" s="2">
        <v>1.59</v>
      </c>
      <c r="L1232" s="2"/>
      <c r="M1232" s="2"/>
      <c r="N1232" s="2" t="s">
        <v>95</v>
      </c>
      <c r="O1232" s="10">
        <v>0</v>
      </c>
      <c r="P1232" s="9">
        <v>1</v>
      </c>
      <c r="Q1232" s="184">
        <v>1</v>
      </c>
      <c r="R1232" s="181">
        <v>1</v>
      </c>
      <c r="S1232" s="178">
        <f t="shared" si="136"/>
        <v>1</v>
      </c>
      <c r="T1232" s="186">
        <f t="shared" si="137"/>
        <v>2</v>
      </c>
      <c r="U1232" s="179">
        <f t="shared" si="138"/>
        <v>1</v>
      </c>
      <c r="V1232" s="1">
        <f t="shared" si="139"/>
        <v>25</v>
      </c>
      <c r="W1232" s="8">
        <f t="shared" si="134"/>
        <v>6.25</v>
      </c>
      <c r="X1232" s="15">
        <f t="shared" si="135"/>
        <v>6568.75</v>
      </c>
      <c r="Y1232"/>
      <c r="Z1232"/>
      <c r="AA1232"/>
      <c r="AB1232"/>
      <c r="AC1232"/>
      <c r="AD1232"/>
    </row>
    <row r="1233" spans="2:30">
      <c r="B1233" s="163" t="s">
        <v>270</v>
      </c>
      <c r="C1233" s="2" t="s">
        <v>145</v>
      </c>
      <c r="D1233" s="2" t="s">
        <v>190</v>
      </c>
      <c r="E1233" s="3">
        <v>45325.666666666664</v>
      </c>
      <c r="F1233" s="2" t="s">
        <v>339</v>
      </c>
      <c r="G1233" s="2" t="s">
        <v>390</v>
      </c>
      <c r="H1233" s="2">
        <v>59</v>
      </c>
      <c r="I1233" s="2">
        <v>0</v>
      </c>
      <c r="J1233" s="2">
        <v>20</v>
      </c>
      <c r="K1233" s="2">
        <v>1.78</v>
      </c>
      <c r="L1233" s="2"/>
      <c r="M1233" s="2"/>
      <c r="N1233" s="2" t="s">
        <v>95</v>
      </c>
      <c r="O1233" s="10">
        <v>1</v>
      </c>
      <c r="P1233" s="9">
        <v>0</v>
      </c>
      <c r="Q1233" s="184">
        <v>2</v>
      </c>
      <c r="R1233" s="181">
        <v>1</v>
      </c>
      <c r="S1233" s="178">
        <f t="shared" si="136"/>
        <v>1</v>
      </c>
      <c r="T1233" s="186">
        <f t="shared" si="137"/>
        <v>3</v>
      </c>
      <c r="U1233" s="179">
        <f t="shared" si="138"/>
        <v>2</v>
      </c>
      <c r="V1233" s="1">
        <f t="shared" si="139"/>
        <v>25</v>
      </c>
      <c r="W1233" s="8">
        <f t="shared" si="134"/>
        <v>6.25</v>
      </c>
      <c r="X1233" s="15">
        <f t="shared" si="135"/>
        <v>6575</v>
      </c>
      <c r="Y1233"/>
      <c r="Z1233"/>
      <c r="AA1233"/>
      <c r="AB1233"/>
      <c r="AC1233"/>
      <c r="AD1233"/>
    </row>
    <row r="1234" spans="2:30">
      <c r="B1234" s="163" t="s">
        <v>270</v>
      </c>
      <c r="C1234" s="2" t="s">
        <v>149</v>
      </c>
      <c r="D1234" s="2" t="s">
        <v>153</v>
      </c>
      <c r="E1234" s="3">
        <v>45325.791666666664</v>
      </c>
      <c r="F1234" s="2" t="s">
        <v>363</v>
      </c>
      <c r="G1234" s="2" t="s">
        <v>188</v>
      </c>
      <c r="H1234" s="2">
        <v>62</v>
      </c>
      <c r="I1234" s="2">
        <v>0</v>
      </c>
      <c r="J1234" s="2">
        <v>20</v>
      </c>
      <c r="K1234" s="2">
        <v>2.5</v>
      </c>
      <c r="L1234" s="2"/>
      <c r="M1234" s="2"/>
      <c r="N1234" s="2" t="s">
        <v>95</v>
      </c>
      <c r="O1234" s="10">
        <v>1</v>
      </c>
      <c r="P1234" s="9">
        <v>1</v>
      </c>
      <c r="Q1234" s="184">
        <v>1</v>
      </c>
      <c r="R1234" s="181">
        <v>1</v>
      </c>
      <c r="S1234" s="178">
        <f t="shared" si="136"/>
        <v>2</v>
      </c>
      <c r="T1234" s="186">
        <f t="shared" si="137"/>
        <v>2</v>
      </c>
      <c r="U1234" s="179">
        <f t="shared" si="138"/>
        <v>0</v>
      </c>
      <c r="V1234" s="1">
        <f t="shared" si="139"/>
        <v>25</v>
      </c>
      <c r="W1234" s="8">
        <f t="shared" si="134"/>
        <v>6.25</v>
      </c>
      <c r="X1234" s="15">
        <f t="shared" si="135"/>
        <v>6581.25</v>
      </c>
      <c r="Y1234"/>
      <c r="Z1234"/>
      <c r="AA1234"/>
      <c r="AB1234"/>
      <c r="AC1234"/>
      <c r="AD1234"/>
    </row>
    <row r="1235" spans="2:30">
      <c r="B1235" s="163" t="s">
        <v>270</v>
      </c>
      <c r="C1235" s="2" t="s">
        <v>149</v>
      </c>
      <c r="D1235" s="2" t="s">
        <v>153</v>
      </c>
      <c r="E1235" s="3">
        <v>45325.833333333336</v>
      </c>
      <c r="F1235" s="2" t="s">
        <v>241</v>
      </c>
      <c r="G1235" s="2" t="s">
        <v>155</v>
      </c>
      <c r="H1235" s="2">
        <v>63</v>
      </c>
      <c r="I1235" s="2">
        <v>0</v>
      </c>
      <c r="J1235" s="2">
        <v>20</v>
      </c>
      <c r="K1235" s="2">
        <v>2.2599999999999998</v>
      </c>
      <c r="L1235" s="2"/>
      <c r="M1235" s="2"/>
      <c r="N1235" s="2" t="s">
        <v>95</v>
      </c>
      <c r="O1235" s="10">
        <v>0</v>
      </c>
      <c r="P1235" s="9">
        <v>1</v>
      </c>
      <c r="Q1235" s="184">
        <v>3</v>
      </c>
      <c r="R1235" s="181">
        <v>1</v>
      </c>
      <c r="S1235" s="178">
        <f t="shared" si="136"/>
        <v>1</v>
      </c>
      <c r="T1235" s="186">
        <f t="shared" si="137"/>
        <v>4</v>
      </c>
      <c r="U1235" s="179">
        <f t="shared" si="138"/>
        <v>3</v>
      </c>
      <c r="V1235" s="1">
        <f t="shared" si="139"/>
        <v>25</v>
      </c>
      <c r="W1235" s="8">
        <f t="shared" si="134"/>
        <v>6.25</v>
      </c>
      <c r="X1235" s="15">
        <f t="shared" si="135"/>
        <v>6587.5</v>
      </c>
      <c r="Y1235"/>
      <c r="Z1235"/>
      <c r="AA1235"/>
      <c r="AB1235"/>
      <c r="AC1235"/>
      <c r="AD1235"/>
    </row>
    <row r="1236" spans="2:30">
      <c r="B1236" s="163" t="s">
        <v>270</v>
      </c>
      <c r="C1236" s="2" t="s">
        <v>44</v>
      </c>
      <c r="D1236" s="2" t="s">
        <v>45</v>
      </c>
      <c r="E1236" s="3">
        <v>45326.333333333336</v>
      </c>
      <c r="F1236" s="2" t="s">
        <v>143</v>
      </c>
      <c r="G1236" s="2" t="s">
        <v>321</v>
      </c>
      <c r="H1236" s="2">
        <v>63</v>
      </c>
      <c r="I1236" s="2">
        <v>0</v>
      </c>
      <c r="J1236" s="2">
        <v>20</v>
      </c>
      <c r="K1236" s="2">
        <v>2.04</v>
      </c>
      <c r="L1236" s="2"/>
      <c r="M1236" s="2"/>
      <c r="N1236" s="2" t="s">
        <v>95</v>
      </c>
      <c r="O1236" s="10">
        <v>3</v>
      </c>
      <c r="P1236" s="9">
        <v>3</v>
      </c>
      <c r="Q1236" s="184">
        <v>4</v>
      </c>
      <c r="R1236" s="181">
        <v>3</v>
      </c>
      <c r="S1236" s="178">
        <f t="shared" si="136"/>
        <v>6</v>
      </c>
      <c r="T1236" s="186">
        <f t="shared" si="137"/>
        <v>7</v>
      </c>
      <c r="U1236" s="179">
        <f t="shared" si="138"/>
        <v>1</v>
      </c>
      <c r="V1236" s="1">
        <f t="shared" si="139"/>
        <v>25</v>
      </c>
      <c r="W1236" s="8">
        <f t="shared" si="134"/>
        <v>6.25</v>
      </c>
      <c r="X1236" s="15">
        <f t="shared" si="135"/>
        <v>6593.75</v>
      </c>
      <c r="Y1236"/>
      <c r="Z1236"/>
      <c r="AA1236"/>
      <c r="AB1236"/>
      <c r="AC1236"/>
      <c r="AD1236"/>
    </row>
    <row r="1237" spans="2:30" ht="15.75" thickBot="1">
      <c r="B1237" s="163" t="s">
        <v>270</v>
      </c>
      <c r="C1237" s="2" t="s">
        <v>67</v>
      </c>
      <c r="D1237" s="2" t="s">
        <v>169</v>
      </c>
      <c r="E1237" s="3">
        <v>45326.520833333336</v>
      </c>
      <c r="F1237" s="2" t="s">
        <v>393</v>
      </c>
      <c r="G1237" s="2" t="s">
        <v>170</v>
      </c>
      <c r="H1237" s="2">
        <v>60</v>
      </c>
      <c r="I1237" s="2">
        <v>0</v>
      </c>
      <c r="J1237" s="2">
        <v>20</v>
      </c>
      <c r="K1237" s="2">
        <v>1.07</v>
      </c>
      <c r="L1237" s="2"/>
      <c r="M1237" s="2"/>
      <c r="N1237" s="2" t="s">
        <v>95</v>
      </c>
      <c r="O1237" s="10">
        <v>0</v>
      </c>
      <c r="P1237" s="9">
        <v>3</v>
      </c>
      <c r="Q1237" s="184">
        <v>1</v>
      </c>
      <c r="R1237" s="181">
        <v>3</v>
      </c>
      <c r="S1237" s="178">
        <f t="shared" si="136"/>
        <v>3</v>
      </c>
      <c r="T1237" s="186">
        <f t="shared" si="137"/>
        <v>4</v>
      </c>
      <c r="U1237" s="179">
        <f t="shared" si="138"/>
        <v>1</v>
      </c>
      <c r="V1237" s="1">
        <f t="shared" si="139"/>
        <v>25</v>
      </c>
      <c r="W1237" s="8">
        <f t="shared" si="134"/>
        <v>6.25</v>
      </c>
      <c r="X1237" s="15">
        <f t="shared" si="135"/>
        <v>6600</v>
      </c>
      <c r="Y1237"/>
      <c r="Z1237"/>
      <c r="AA1237"/>
      <c r="AB1237"/>
      <c r="AC1237"/>
      <c r="AD1237"/>
    </row>
    <row r="1238" spans="2:30" ht="15.75" thickBot="1">
      <c r="B1238" s="169" t="s">
        <v>270</v>
      </c>
      <c r="C1238" s="2" t="s">
        <v>149</v>
      </c>
      <c r="D1238" s="2" t="s">
        <v>153</v>
      </c>
      <c r="E1238" s="3">
        <v>45326.5625</v>
      </c>
      <c r="F1238" s="2" t="s">
        <v>250</v>
      </c>
      <c r="G1238" s="2" t="s">
        <v>244</v>
      </c>
      <c r="H1238" s="2">
        <v>63</v>
      </c>
      <c r="I1238" s="2">
        <v>0</v>
      </c>
      <c r="J1238" s="2">
        <v>20</v>
      </c>
      <c r="K1238" s="2">
        <v>2.4700000000000002</v>
      </c>
      <c r="L1238" s="2"/>
      <c r="M1238" s="2"/>
      <c r="N1238" s="2" t="s">
        <v>95</v>
      </c>
      <c r="O1238" s="10">
        <v>2</v>
      </c>
      <c r="P1238" s="9">
        <v>1</v>
      </c>
      <c r="Q1238" s="184">
        <v>4</v>
      </c>
      <c r="R1238" s="181">
        <v>2</v>
      </c>
      <c r="S1238" s="178">
        <f t="shared" si="136"/>
        <v>3</v>
      </c>
      <c r="T1238" s="186">
        <f t="shared" si="137"/>
        <v>6</v>
      </c>
      <c r="U1238" s="179">
        <f t="shared" si="138"/>
        <v>3</v>
      </c>
      <c r="V1238" s="1">
        <f t="shared" si="139"/>
        <v>25</v>
      </c>
      <c r="W1238" s="8">
        <f t="shared" ref="W1238:W1301" si="140">IF(N1238="won",V1238*0.25,-V1238)</f>
        <v>6.25</v>
      </c>
      <c r="X1238" s="15">
        <f t="shared" ref="X1238:X1301" si="141">SUM(X1237,W1238)</f>
        <v>6606.25</v>
      </c>
      <c r="Y1238"/>
      <c r="Z1238"/>
      <c r="AA1238"/>
      <c r="AB1238"/>
      <c r="AC1238"/>
      <c r="AD1238"/>
    </row>
    <row r="1239" spans="2:30">
      <c r="B1239" s="163" t="s">
        <v>270</v>
      </c>
      <c r="C1239" s="2" t="s">
        <v>296</v>
      </c>
      <c r="D1239" s="2" t="s">
        <v>78</v>
      </c>
      <c r="E1239" s="3">
        <v>45326.645833333336</v>
      </c>
      <c r="F1239" s="2" t="s">
        <v>299</v>
      </c>
      <c r="G1239" s="2" t="s">
        <v>367</v>
      </c>
      <c r="H1239" s="2">
        <v>61</v>
      </c>
      <c r="I1239" s="2">
        <v>0</v>
      </c>
      <c r="J1239" s="2">
        <v>20</v>
      </c>
      <c r="K1239" s="2">
        <v>1.05</v>
      </c>
      <c r="L1239" s="2"/>
      <c r="M1239" s="2"/>
      <c r="N1239" s="2" t="s">
        <v>95</v>
      </c>
      <c r="O1239" s="10">
        <v>0</v>
      </c>
      <c r="P1239" s="9">
        <v>0</v>
      </c>
      <c r="Q1239" s="184">
        <v>1</v>
      </c>
      <c r="R1239" s="181">
        <v>0</v>
      </c>
      <c r="S1239" s="178">
        <f t="shared" si="136"/>
        <v>0</v>
      </c>
      <c r="T1239" s="186">
        <f t="shared" si="137"/>
        <v>1</v>
      </c>
      <c r="U1239" s="179">
        <f t="shared" si="138"/>
        <v>1</v>
      </c>
      <c r="V1239" s="1">
        <f t="shared" si="139"/>
        <v>25</v>
      </c>
      <c r="W1239" s="8">
        <f t="shared" si="140"/>
        <v>6.25</v>
      </c>
      <c r="X1239" s="15">
        <f t="shared" si="141"/>
        <v>6612.5</v>
      </c>
      <c r="Y1239"/>
      <c r="Z1239"/>
      <c r="AA1239"/>
      <c r="AB1239"/>
      <c r="AC1239"/>
      <c r="AD1239"/>
    </row>
    <row r="1240" spans="2:30">
      <c r="B1240" s="163" t="s">
        <v>270</v>
      </c>
      <c r="C1240" s="2" t="s">
        <v>149</v>
      </c>
      <c r="D1240" s="2" t="s">
        <v>153</v>
      </c>
      <c r="E1240" s="3">
        <v>45326.65625</v>
      </c>
      <c r="F1240" s="2" t="s">
        <v>395</v>
      </c>
      <c r="G1240" s="2" t="s">
        <v>205</v>
      </c>
      <c r="H1240" s="2">
        <v>73</v>
      </c>
      <c r="I1240" s="2">
        <v>0</v>
      </c>
      <c r="J1240" s="2">
        <v>20</v>
      </c>
      <c r="K1240" s="2">
        <v>2.5099999999999998</v>
      </c>
      <c r="L1240" s="2"/>
      <c r="M1240" s="2"/>
      <c r="N1240" s="2" t="s">
        <v>95</v>
      </c>
      <c r="O1240" s="10">
        <v>0</v>
      </c>
      <c r="P1240" s="9">
        <v>1</v>
      </c>
      <c r="Q1240" s="184">
        <v>0</v>
      </c>
      <c r="R1240" s="181">
        <v>2</v>
      </c>
      <c r="S1240" s="178">
        <f t="shared" si="136"/>
        <v>1</v>
      </c>
      <c r="T1240" s="186">
        <f t="shared" si="137"/>
        <v>2</v>
      </c>
      <c r="U1240" s="179">
        <f t="shared" si="138"/>
        <v>1</v>
      </c>
      <c r="V1240" s="1">
        <f t="shared" si="139"/>
        <v>25</v>
      </c>
      <c r="W1240" s="8">
        <f t="shared" si="140"/>
        <v>6.25</v>
      </c>
      <c r="X1240" s="15">
        <f t="shared" si="141"/>
        <v>6618.75</v>
      </c>
      <c r="Y1240"/>
      <c r="Z1240"/>
      <c r="AA1240"/>
      <c r="AB1240"/>
      <c r="AC1240"/>
      <c r="AD1240"/>
    </row>
    <row r="1241" spans="2:30">
      <c r="B1241" s="163" t="s">
        <v>270</v>
      </c>
      <c r="C1241" s="2" t="s">
        <v>6</v>
      </c>
      <c r="D1241" s="2" t="s">
        <v>62</v>
      </c>
      <c r="E1241" s="3">
        <v>45326.6875</v>
      </c>
      <c r="F1241" s="2" t="s">
        <v>73</v>
      </c>
      <c r="G1241" s="2" t="s">
        <v>285</v>
      </c>
      <c r="H1241" s="2">
        <v>65</v>
      </c>
      <c r="I1241" s="2">
        <v>0</v>
      </c>
      <c r="J1241" s="2">
        <v>20</v>
      </c>
      <c r="K1241" s="2">
        <v>2.86</v>
      </c>
      <c r="L1241" s="2"/>
      <c r="M1241" s="2"/>
      <c r="N1241" s="2" t="s">
        <v>95</v>
      </c>
      <c r="O1241" s="10">
        <v>1</v>
      </c>
      <c r="P1241" s="9">
        <v>1</v>
      </c>
      <c r="Q1241" s="184">
        <v>3</v>
      </c>
      <c r="R1241" s="181">
        <v>1</v>
      </c>
      <c r="S1241" s="178">
        <f t="shared" si="136"/>
        <v>2</v>
      </c>
      <c r="T1241" s="186">
        <f t="shared" si="137"/>
        <v>4</v>
      </c>
      <c r="U1241" s="179">
        <f t="shared" si="138"/>
        <v>2</v>
      </c>
      <c r="V1241" s="1">
        <f t="shared" si="139"/>
        <v>25</v>
      </c>
      <c r="W1241" s="8">
        <f t="shared" si="140"/>
        <v>6.25</v>
      </c>
      <c r="X1241" s="15">
        <f t="shared" si="141"/>
        <v>6625</v>
      </c>
      <c r="Y1241"/>
      <c r="Z1241"/>
      <c r="AA1241"/>
      <c r="AB1241"/>
      <c r="AC1241"/>
      <c r="AD1241"/>
    </row>
    <row r="1242" spans="2:30">
      <c r="B1242" s="163" t="s">
        <v>270</v>
      </c>
      <c r="C1242" s="2" t="s">
        <v>58</v>
      </c>
      <c r="D1242" s="2" t="s">
        <v>59</v>
      </c>
      <c r="E1242" s="3">
        <v>45326.75</v>
      </c>
      <c r="F1242" s="2" t="s">
        <v>60</v>
      </c>
      <c r="G1242" s="2" t="s">
        <v>107</v>
      </c>
      <c r="H1242" s="2">
        <v>62</v>
      </c>
      <c r="I1242" s="2">
        <v>0</v>
      </c>
      <c r="J1242" s="2">
        <v>20</v>
      </c>
      <c r="K1242" s="2">
        <v>2.16</v>
      </c>
      <c r="L1242" s="2"/>
      <c r="M1242" s="2"/>
      <c r="N1242" s="2" t="s">
        <v>95</v>
      </c>
      <c r="O1242" s="10">
        <v>2</v>
      </c>
      <c r="P1242" s="9">
        <v>0</v>
      </c>
      <c r="Q1242" s="184">
        <v>3</v>
      </c>
      <c r="R1242" s="181">
        <v>0</v>
      </c>
      <c r="S1242" s="178">
        <f t="shared" si="136"/>
        <v>2</v>
      </c>
      <c r="T1242" s="186">
        <f t="shared" si="137"/>
        <v>3</v>
      </c>
      <c r="U1242" s="179">
        <f t="shared" si="138"/>
        <v>1</v>
      </c>
      <c r="V1242" s="1">
        <f t="shared" si="139"/>
        <v>25</v>
      </c>
      <c r="W1242" s="8">
        <f t="shared" si="140"/>
        <v>6.25</v>
      </c>
      <c r="X1242" s="15">
        <f t="shared" si="141"/>
        <v>6631.25</v>
      </c>
      <c r="Y1242"/>
      <c r="Z1242"/>
      <c r="AA1242"/>
      <c r="AB1242"/>
      <c r="AC1242"/>
      <c r="AD1242"/>
    </row>
    <row r="1243" spans="2:30">
      <c r="B1243" s="163" t="s">
        <v>270</v>
      </c>
      <c r="C1243" s="2" t="s">
        <v>67</v>
      </c>
      <c r="D1243" s="2" t="s">
        <v>169</v>
      </c>
      <c r="E1243" s="3">
        <v>45326.760416666664</v>
      </c>
      <c r="F1243" s="2" t="s">
        <v>372</v>
      </c>
      <c r="G1243" s="2" t="s">
        <v>396</v>
      </c>
      <c r="H1243" s="2">
        <v>64</v>
      </c>
      <c r="I1243" s="2">
        <v>0</v>
      </c>
      <c r="J1243" s="2">
        <v>20</v>
      </c>
      <c r="K1243" s="2">
        <v>1.31</v>
      </c>
      <c r="L1243" s="2"/>
      <c r="M1243" s="2"/>
      <c r="N1243" s="2" t="s">
        <v>95</v>
      </c>
      <c r="O1243" s="10">
        <v>0</v>
      </c>
      <c r="P1243" s="9">
        <v>1</v>
      </c>
      <c r="Q1243" s="184">
        <v>1</v>
      </c>
      <c r="R1243" s="181">
        <v>4</v>
      </c>
      <c r="S1243" s="178">
        <f t="shared" si="136"/>
        <v>1</v>
      </c>
      <c r="T1243" s="186">
        <f t="shared" si="137"/>
        <v>5</v>
      </c>
      <c r="U1243" s="179">
        <f t="shared" si="138"/>
        <v>4</v>
      </c>
      <c r="V1243" s="1">
        <f t="shared" si="139"/>
        <v>25</v>
      </c>
      <c r="W1243" s="8">
        <f t="shared" si="140"/>
        <v>6.25</v>
      </c>
      <c r="X1243" s="15">
        <f t="shared" si="141"/>
        <v>6637.5</v>
      </c>
      <c r="Y1243"/>
      <c r="Z1243"/>
      <c r="AA1243"/>
      <c r="AB1243"/>
      <c r="AC1243"/>
      <c r="AD1243"/>
    </row>
    <row r="1244" spans="2:30">
      <c r="B1244" s="163" t="s">
        <v>270</v>
      </c>
      <c r="C1244" s="2" t="s">
        <v>20</v>
      </c>
      <c r="D1244" s="2" t="s">
        <v>21</v>
      </c>
      <c r="E1244" s="3">
        <v>45327.822916666664</v>
      </c>
      <c r="F1244" s="2" t="s">
        <v>380</v>
      </c>
      <c r="G1244" s="2" t="s">
        <v>335</v>
      </c>
      <c r="H1244" s="2">
        <v>68</v>
      </c>
      <c r="I1244" s="2">
        <v>0</v>
      </c>
      <c r="J1244" s="2">
        <v>20</v>
      </c>
      <c r="K1244" s="2">
        <v>2.33</v>
      </c>
      <c r="L1244" s="2"/>
      <c r="M1244" s="2"/>
      <c r="N1244" s="2" t="s">
        <v>95</v>
      </c>
      <c r="O1244" s="10">
        <v>2</v>
      </c>
      <c r="P1244" s="9">
        <v>0</v>
      </c>
      <c r="Q1244" s="184">
        <v>4</v>
      </c>
      <c r="R1244" s="181">
        <v>0</v>
      </c>
      <c r="S1244" s="178">
        <f t="shared" si="136"/>
        <v>2</v>
      </c>
      <c r="T1244" s="186">
        <f t="shared" si="137"/>
        <v>4</v>
      </c>
      <c r="U1244" s="179">
        <f t="shared" si="138"/>
        <v>2</v>
      </c>
      <c r="V1244" s="1">
        <f t="shared" si="139"/>
        <v>25</v>
      </c>
      <c r="W1244" s="8">
        <f t="shared" si="140"/>
        <v>6.25</v>
      </c>
      <c r="X1244" s="15">
        <f t="shared" si="141"/>
        <v>6643.75</v>
      </c>
      <c r="Y1244"/>
      <c r="Z1244"/>
      <c r="AA1244"/>
      <c r="AB1244"/>
      <c r="AC1244"/>
      <c r="AD1244"/>
    </row>
    <row r="1245" spans="2:30">
      <c r="B1245" s="163" t="s">
        <v>270</v>
      </c>
      <c r="C1245" s="2" t="s">
        <v>6</v>
      </c>
      <c r="D1245" s="2" t="s">
        <v>62</v>
      </c>
      <c r="E1245" s="3">
        <v>45327.833333333336</v>
      </c>
      <c r="F1245" s="2" t="s">
        <v>63</v>
      </c>
      <c r="G1245" s="2" t="s">
        <v>72</v>
      </c>
      <c r="H1245" s="2">
        <v>61</v>
      </c>
      <c r="I1245" s="2">
        <v>0</v>
      </c>
      <c r="J1245" s="2">
        <v>20</v>
      </c>
      <c r="K1245" s="2">
        <v>2.89</v>
      </c>
      <c r="L1245" s="2"/>
      <c r="M1245" s="2"/>
      <c r="N1245" s="2" t="s">
        <v>95</v>
      </c>
      <c r="O1245" s="10">
        <v>1</v>
      </c>
      <c r="P1245" s="9">
        <v>1</v>
      </c>
      <c r="Q1245" s="184">
        <v>1</v>
      </c>
      <c r="R1245" s="181">
        <v>3</v>
      </c>
      <c r="S1245" s="178">
        <f t="shared" si="136"/>
        <v>2</v>
      </c>
      <c r="T1245" s="186">
        <f t="shared" si="137"/>
        <v>4</v>
      </c>
      <c r="U1245" s="179">
        <f t="shared" si="138"/>
        <v>2</v>
      </c>
      <c r="V1245" s="1">
        <f t="shared" si="139"/>
        <v>25</v>
      </c>
      <c r="W1245" s="8">
        <f t="shared" si="140"/>
        <v>6.25</v>
      </c>
      <c r="X1245" s="15">
        <f t="shared" si="141"/>
        <v>6650</v>
      </c>
      <c r="Y1245"/>
      <c r="Z1245"/>
      <c r="AA1245"/>
      <c r="AB1245"/>
      <c r="AC1245"/>
      <c r="AD1245"/>
    </row>
    <row r="1246" spans="2:30">
      <c r="B1246" s="163" t="s">
        <v>270</v>
      </c>
      <c r="C1246" s="2" t="s">
        <v>67</v>
      </c>
      <c r="D1246" s="2" t="s">
        <v>169</v>
      </c>
      <c r="E1246" s="3">
        <v>45329.791666666664</v>
      </c>
      <c r="F1246" s="2" t="s">
        <v>204</v>
      </c>
      <c r="G1246" s="2" t="s">
        <v>396</v>
      </c>
      <c r="H1246" s="2">
        <v>59</v>
      </c>
      <c r="I1246" s="2">
        <v>0</v>
      </c>
      <c r="J1246" s="2">
        <v>20</v>
      </c>
      <c r="K1246" s="2">
        <v>1.34</v>
      </c>
      <c r="L1246" s="2"/>
      <c r="M1246" s="2"/>
      <c r="N1246" s="2" t="s">
        <v>95</v>
      </c>
      <c r="O1246" s="10">
        <v>2</v>
      </c>
      <c r="P1246" s="9">
        <v>0</v>
      </c>
      <c r="Q1246" s="184">
        <v>3</v>
      </c>
      <c r="R1246" s="181">
        <v>0</v>
      </c>
      <c r="S1246" s="178">
        <f t="shared" si="136"/>
        <v>2</v>
      </c>
      <c r="T1246" s="186">
        <f t="shared" si="137"/>
        <v>3</v>
      </c>
      <c r="U1246" s="179">
        <f t="shared" si="138"/>
        <v>1</v>
      </c>
      <c r="V1246" s="1">
        <f t="shared" si="139"/>
        <v>25</v>
      </c>
      <c r="W1246" s="8">
        <f t="shared" si="140"/>
        <v>6.25</v>
      </c>
      <c r="X1246" s="15">
        <f t="shared" si="141"/>
        <v>6656.25</v>
      </c>
      <c r="Y1246"/>
      <c r="Z1246"/>
      <c r="AA1246"/>
      <c r="AB1246"/>
      <c r="AC1246"/>
      <c r="AD1246"/>
    </row>
    <row r="1247" spans="2:30" ht="15.75" thickBot="1">
      <c r="B1247" s="163" t="s">
        <v>270</v>
      </c>
      <c r="C1247" s="2" t="s">
        <v>13</v>
      </c>
      <c r="D1247" s="2" t="s">
        <v>37</v>
      </c>
      <c r="E1247" s="3">
        <v>45329.822916666664</v>
      </c>
      <c r="F1247" s="2" t="s">
        <v>318</v>
      </c>
      <c r="G1247" s="2" t="s">
        <v>305</v>
      </c>
      <c r="H1247" s="2">
        <v>62</v>
      </c>
      <c r="I1247" s="2">
        <v>0</v>
      </c>
      <c r="J1247" s="2">
        <v>20</v>
      </c>
      <c r="K1247" s="2">
        <v>2.3199999999999998</v>
      </c>
      <c r="L1247" s="2"/>
      <c r="M1247" s="2"/>
      <c r="N1247" s="2" t="s">
        <v>95</v>
      </c>
      <c r="O1247" s="10">
        <v>0</v>
      </c>
      <c r="P1247" s="9">
        <v>0</v>
      </c>
      <c r="Q1247" s="184">
        <v>0</v>
      </c>
      <c r="R1247" s="181">
        <v>1</v>
      </c>
      <c r="S1247" s="178">
        <f t="shared" si="136"/>
        <v>0</v>
      </c>
      <c r="T1247" s="186">
        <f t="shared" si="137"/>
        <v>1</v>
      </c>
      <c r="U1247" s="179">
        <f t="shared" si="138"/>
        <v>1</v>
      </c>
      <c r="V1247" s="1">
        <f t="shared" si="139"/>
        <v>25</v>
      </c>
      <c r="W1247" s="8">
        <f t="shared" si="140"/>
        <v>6.25</v>
      </c>
      <c r="X1247" s="15">
        <f t="shared" si="141"/>
        <v>6662.5</v>
      </c>
      <c r="Y1247"/>
      <c r="Z1247"/>
      <c r="AA1247"/>
      <c r="AB1247"/>
      <c r="AC1247"/>
      <c r="AD1247"/>
    </row>
    <row r="1248" spans="2:30" ht="15.75" thickBot="1">
      <c r="B1248" s="169" t="s">
        <v>270</v>
      </c>
      <c r="C1248" s="2" t="s">
        <v>77</v>
      </c>
      <c r="D1248" s="2" t="s">
        <v>234</v>
      </c>
      <c r="E1248" s="3">
        <v>45331.729166666664</v>
      </c>
      <c r="F1248" s="2" t="s">
        <v>407</v>
      </c>
      <c r="G1248" s="2" t="s">
        <v>328</v>
      </c>
      <c r="H1248" s="2">
        <v>61</v>
      </c>
      <c r="I1248" s="2">
        <v>0</v>
      </c>
      <c r="J1248" s="2">
        <v>20</v>
      </c>
      <c r="K1248" s="2">
        <v>2.34</v>
      </c>
      <c r="L1248" s="2"/>
      <c r="M1248" s="2"/>
      <c r="N1248" s="2" t="s">
        <v>95</v>
      </c>
      <c r="O1248" s="10">
        <v>0</v>
      </c>
      <c r="P1248" s="9">
        <v>0</v>
      </c>
      <c r="Q1248" s="184">
        <v>1</v>
      </c>
      <c r="R1248" s="181">
        <v>1</v>
      </c>
      <c r="S1248" s="178">
        <f t="shared" si="136"/>
        <v>0</v>
      </c>
      <c r="T1248" s="186">
        <f t="shared" si="137"/>
        <v>2</v>
      </c>
      <c r="U1248" s="179">
        <f t="shared" si="138"/>
        <v>2</v>
      </c>
      <c r="V1248" s="1">
        <f t="shared" si="139"/>
        <v>25</v>
      </c>
      <c r="W1248" s="8">
        <f t="shared" si="140"/>
        <v>6.25</v>
      </c>
      <c r="X1248" s="15">
        <f t="shared" si="141"/>
        <v>6668.75</v>
      </c>
      <c r="Y1248"/>
      <c r="Z1248"/>
      <c r="AA1248"/>
      <c r="AB1248"/>
      <c r="AC1248"/>
      <c r="AD1248"/>
    </row>
    <row r="1249" spans="2:30">
      <c r="B1249" s="163" t="s">
        <v>270</v>
      </c>
      <c r="C1249" s="2" t="s">
        <v>149</v>
      </c>
      <c r="D1249" s="2" t="s">
        <v>153</v>
      </c>
      <c r="E1249" s="3">
        <v>45331.791666666664</v>
      </c>
      <c r="F1249" s="2" t="s">
        <v>154</v>
      </c>
      <c r="G1249" s="2" t="s">
        <v>241</v>
      </c>
      <c r="H1249" s="2">
        <v>60</v>
      </c>
      <c r="I1249" s="2">
        <v>0</v>
      </c>
      <c r="J1249" s="2">
        <v>20</v>
      </c>
      <c r="K1249" s="2">
        <v>2.76</v>
      </c>
      <c r="L1249" s="2"/>
      <c r="M1249" s="2"/>
      <c r="N1249" s="2" t="s">
        <v>95</v>
      </c>
      <c r="O1249" s="10">
        <v>2</v>
      </c>
      <c r="P1249" s="9">
        <v>0</v>
      </c>
      <c r="Q1249" s="184">
        <v>2</v>
      </c>
      <c r="R1249" s="181">
        <v>0</v>
      </c>
      <c r="S1249" s="178">
        <f t="shared" si="136"/>
        <v>2</v>
      </c>
      <c r="T1249" s="186">
        <f t="shared" si="137"/>
        <v>2</v>
      </c>
      <c r="U1249" s="179">
        <f t="shared" si="138"/>
        <v>0</v>
      </c>
      <c r="V1249" s="1">
        <f t="shared" si="139"/>
        <v>25</v>
      </c>
      <c r="W1249" s="8">
        <f t="shared" si="140"/>
        <v>6.25</v>
      </c>
      <c r="X1249" s="15">
        <f t="shared" si="141"/>
        <v>6675</v>
      </c>
      <c r="Y1249"/>
      <c r="Z1249"/>
      <c r="AA1249"/>
      <c r="AB1249"/>
      <c r="AC1249"/>
      <c r="AD1249"/>
    </row>
    <row r="1250" spans="2:30">
      <c r="B1250" s="163" t="s">
        <v>270</v>
      </c>
      <c r="C1250" s="2" t="s">
        <v>67</v>
      </c>
      <c r="D1250" s="2" t="s">
        <v>68</v>
      </c>
      <c r="E1250" s="3">
        <v>45331.822916666664</v>
      </c>
      <c r="F1250" s="2" t="s">
        <v>342</v>
      </c>
      <c r="G1250" s="2" t="s">
        <v>408</v>
      </c>
      <c r="H1250" s="2">
        <v>61</v>
      </c>
      <c r="I1250" s="2">
        <v>0</v>
      </c>
      <c r="J1250" s="2">
        <v>20</v>
      </c>
      <c r="K1250" s="2">
        <v>2.04</v>
      </c>
      <c r="L1250" s="2"/>
      <c r="M1250" s="2"/>
      <c r="N1250" s="2" t="s">
        <v>95</v>
      </c>
      <c r="O1250" s="10">
        <v>1</v>
      </c>
      <c r="P1250" s="9">
        <v>0</v>
      </c>
      <c r="Q1250" s="184">
        <v>1</v>
      </c>
      <c r="R1250" s="181">
        <v>0</v>
      </c>
      <c r="S1250" s="178">
        <f t="shared" si="136"/>
        <v>1</v>
      </c>
      <c r="T1250" s="186">
        <f t="shared" si="137"/>
        <v>1</v>
      </c>
      <c r="U1250" s="179">
        <f t="shared" si="138"/>
        <v>0</v>
      </c>
      <c r="V1250" s="1">
        <f t="shared" si="139"/>
        <v>25</v>
      </c>
      <c r="W1250" s="8">
        <f t="shared" si="140"/>
        <v>6.25</v>
      </c>
      <c r="X1250" s="15">
        <f t="shared" si="141"/>
        <v>6681.25</v>
      </c>
      <c r="Y1250"/>
      <c r="Z1250"/>
      <c r="AA1250"/>
      <c r="AB1250"/>
      <c r="AC1250"/>
      <c r="AD1250"/>
    </row>
    <row r="1251" spans="2:30">
      <c r="B1251" s="163" t="s">
        <v>270</v>
      </c>
      <c r="C1251" s="2" t="s">
        <v>58</v>
      </c>
      <c r="D1251" s="2" t="s">
        <v>59</v>
      </c>
      <c r="E1251" s="3">
        <v>45331.84375</v>
      </c>
      <c r="F1251" s="2" t="s">
        <v>75</v>
      </c>
      <c r="G1251" s="2" t="s">
        <v>128</v>
      </c>
      <c r="H1251" s="2">
        <v>67</v>
      </c>
      <c r="I1251" s="2">
        <v>0</v>
      </c>
      <c r="J1251" s="2">
        <v>20</v>
      </c>
      <c r="K1251" s="2">
        <v>1.9</v>
      </c>
      <c r="L1251" s="2"/>
      <c r="M1251" s="2"/>
      <c r="N1251" s="2" t="s">
        <v>95</v>
      </c>
      <c r="O1251" s="10">
        <v>3</v>
      </c>
      <c r="P1251" s="9">
        <v>0</v>
      </c>
      <c r="Q1251" s="184">
        <v>3</v>
      </c>
      <c r="R1251" s="181">
        <v>0</v>
      </c>
      <c r="S1251" s="178">
        <f t="shared" si="136"/>
        <v>3</v>
      </c>
      <c r="T1251" s="186">
        <f t="shared" si="137"/>
        <v>3</v>
      </c>
      <c r="U1251" s="179">
        <f t="shared" si="138"/>
        <v>0</v>
      </c>
      <c r="V1251" s="1">
        <f t="shared" si="139"/>
        <v>25</v>
      </c>
      <c r="W1251" s="8">
        <f t="shared" si="140"/>
        <v>6.25</v>
      </c>
      <c r="X1251" s="15">
        <f t="shared" si="141"/>
        <v>6687.5</v>
      </c>
      <c r="Y1251"/>
      <c r="Z1251"/>
      <c r="AA1251"/>
      <c r="AB1251"/>
      <c r="AC1251"/>
      <c r="AD1251"/>
    </row>
    <row r="1252" spans="2:30">
      <c r="B1252" s="163" t="s">
        <v>270</v>
      </c>
      <c r="C1252" s="2" t="s">
        <v>44</v>
      </c>
      <c r="D1252" s="2" t="s">
        <v>45</v>
      </c>
      <c r="E1252" s="3">
        <v>45332.291666666664</v>
      </c>
      <c r="F1252" s="2" t="s">
        <v>233</v>
      </c>
      <c r="G1252" s="2" t="s">
        <v>126</v>
      </c>
      <c r="H1252" s="2">
        <v>64</v>
      </c>
      <c r="I1252" s="2">
        <v>0</v>
      </c>
      <c r="J1252" s="2">
        <v>20</v>
      </c>
      <c r="K1252" s="2">
        <v>2.2999999999999998</v>
      </c>
      <c r="L1252" s="2"/>
      <c r="M1252" s="2"/>
      <c r="N1252" s="2" t="s">
        <v>95</v>
      </c>
      <c r="O1252" s="10">
        <v>4</v>
      </c>
      <c r="P1252" s="9">
        <v>0</v>
      </c>
      <c r="Q1252" s="184">
        <v>5</v>
      </c>
      <c r="R1252" s="181">
        <v>1</v>
      </c>
      <c r="S1252" s="178">
        <f t="shared" si="136"/>
        <v>4</v>
      </c>
      <c r="T1252" s="186">
        <f t="shared" si="137"/>
        <v>6</v>
      </c>
      <c r="U1252" s="179">
        <f t="shared" si="138"/>
        <v>2</v>
      </c>
      <c r="V1252" s="1">
        <f t="shared" si="139"/>
        <v>25</v>
      </c>
      <c r="W1252" s="8">
        <f t="shared" si="140"/>
        <v>6.25</v>
      </c>
      <c r="X1252" s="15">
        <f t="shared" si="141"/>
        <v>6693.75</v>
      </c>
      <c r="Y1252"/>
      <c r="Z1252"/>
      <c r="AA1252"/>
      <c r="AB1252"/>
      <c r="AC1252"/>
      <c r="AD1252"/>
    </row>
    <row r="1253" spans="2:30">
      <c r="B1253" s="163" t="s">
        <v>270</v>
      </c>
      <c r="C1253" s="2" t="s">
        <v>20</v>
      </c>
      <c r="D1253" s="2" t="s">
        <v>322</v>
      </c>
      <c r="E1253" s="3">
        <v>45332.541666666664</v>
      </c>
      <c r="F1253" s="2" t="s">
        <v>356</v>
      </c>
      <c r="G1253" s="2" t="s">
        <v>334</v>
      </c>
      <c r="H1253" s="2">
        <v>62</v>
      </c>
      <c r="I1253" s="2">
        <v>0</v>
      </c>
      <c r="J1253" s="2">
        <v>20</v>
      </c>
      <c r="K1253" s="2">
        <v>2.2599999999999998</v>
      </c>
      <c r="L1253" s="2"/>
      <c r="M1253" s="2"/>
      <c r="N1253" s="2" t="s">
        <v>95</v>
      </c>
      <c r="O1253" s="10">
        <v>0</v>
      </c>
      <c r="P1253" s="9">
        <v>0</v>
      </c>
      <c r="Q1253" s="184">
        <v>1</v>
      </c>
      <c r="R1253" s="181">
        <v>2</v>
      </c>
      <c r="S1253" s="178">
        <f t="shared" si="136"/>
        <v>0</v>
      </c>
      <c r="T1253" s="186">
        <f t="shared" si="137"/>
        <v>3</v>
      </c>
      <c r="U1253" s="179">
        <f t="shared" si="138"/>
        <v>3</v>
      </c>
      <c r="V1253" s="1">
        <f t="shared" si="139"/>
        <v>25</v>
      </c>
      <c r="W1253" s="8">
        <f t="shared" si="140"/>
        <v>6.25</v>
      </c>
      <c r="X1253" s="15">
        <f t="shared" si="141"/>
        <v>6700</v>
      </c>
      <c r="Y1253"/>
      <c r="Z1253"/>
      <c r="AA1253"/>
      <c r="AB1253"/>
      <c r="AC1253"/>
      <c r="AD1253"/>
    </row>
    <row r="1254" spans="2:30">
      <c r="B1254" s="163" t="s">
        <v>270</v>
      </c>
      <c r="C1254" s="2" t="s">
        <v>77</v>
      </c>
      <c r="D1254" s="2" t="s">
        <v>156</v>
      </c>
      <c r="E1254" s="3">
        <v>45332.604166666664</v>
      </c>
      <c r="F1254" s="2" t="s">
        <v>315</v>
      </c>
      <c r="G1254" s="2" t="s">
        <v>161</v>
      </c>
      <c r="H1254" s="2">
        <v>59</v>
      </c>
      <c r="I1254" s="2">
        <v>0</v>
      </c>
      <c r="J1254" s="2">
        <v>20</v>
      </c>
      <c r="K1254" s="2">
        <v>2.2200000000000002</v>
      </c>
      <c r="L1254" s="2"/>
      <c r="M1254" s="2"/>
      <c r="N1254" s="2" t="s">
        <v>95</v>
      </c>
      <c r="O1254" s="10">
        <v>1</v>
      </c>
      <c r="P1254" s="9">
        <v>0</v>
      </c>
      <c r="Q1254" s="184">
        <v>1</v>
      </c>
      <c r="R1254" s="181">
        <v>0</v>
      </c>
      <c r="S1254" s="178">
        <f t="shared" si="136"/>
        <v>1</v>
      </c>
      <c r="T1254" s="186">
        <f t="shared" si="137"/>
        <v>1</v>
      </c>
      <c r="U1254" s="179">
        <f t="shared" si="138"/>
        <v>0</v>
      </c>
      <c r="V1254" s="1">
        <f t="shared" si="139"/>
        <v>25</v>
      </c>
      <c r="W1254" s="8">
        <f t="shared" si="140"/>
        <v>6.25</v>
      </c>
      <c r="X1254" s="15">
        <f t="shared" si="141"/>
        <v>6706.25</v>
      </c>
      <c r="Y1254"/>
      <c r="Z1254"/>
      <c r="AA1254"/>
      <c r="AB1254"/>
      <c r="AC1254"/>
      <c r="AD1254"/>
    </row>
    <row r="1255" spans="2:30">
      <c r="B1255" s="163" t="s">
        <v>270</v>
      </c>
      <c r="C1255" s="2" t="s">
        <v>6</v>
      </c>
      <c r="D1255" s="2" t="s">
        <v>62</v>
      </c>
      <c r="E1255" s="3">
        <v>45332.625</v>
      </c>
      <c r="F1255" s="2" t="s">
        <v>86</v>
      </c>
      <c r="G1255" s="2" t="s">
        <v>85</v>
      </c>
      <c r="H1255" s="2">
        <v>65</v>
      </c>
      <c r="I1255" s="2">
        <v>0</v>
      </c>
      <c r="J1255" s="2">
        <v>20</v>
      </c>
      <c r="K1255" s="2">
        <v>2.69</v>
      </c>
      <c r="L1255" s="2"/>
      <c r="M1255" s="2"/>
      <c r="N1255" s="2" t="s">
        <v>95</v>
      </c>
      <c r="O1255" s="10">
        <v>0</v>
      </c>
      <c r="P1255" s="9">
        <v>2</v>
      </c>
      <c r="Q1255" s="184">
        <v>1</v>
      </c>
      <c r="R1255" s="181">
        <v>3</v>
      </c>
      <c r="S1255" s="178">
        <f t="shared" si="136"/>
        <v>2</v>
      </c>
      <c r="T1255" s="186">
        <f t="shared" si="137"/>
        <v>4</v>
      </c>
      <c r="U1255" s="179">
        <f t="shared" si="138"/>
        <v>2</v>
      </c>
      <c r="V1255" s="1">
        <f t="shared" si="139"/>
        <v>25</v>
      </c>
      <c r="W1255" s="8">
        <f t="shared" si="140"/>
        <v>6.25</v>
      </c>
      <c r="X1255" s="15">
        <f t="shared" si="141"/>
        <v>6712.5</v>
      </c>
      <c r="Y1255"/>
      <c r="Z1255"/>
      <c r="AA1255"/>
      <c r="AB1255"/>
      <c r="AC1255"/>
      <c r="AD1255"/>
    </row>
    <row r="1256" spans="2:30">
      <c r="B1256" s="163" t="s">
        <v>270</v>
      </c>
      <c r="C1256" s="2" t="s">
        <v>6</v>
      </c>
      <c r="D1256" s="2" t="s">
        <v>7</v>
      </c>
      <c r="E1256" s="3">
        <v>45332.625</v>
      </c>
      <c r="F1256" s="2" t="s">
        <v>54</v>
      </c>
      <c r="G1256" s="2" t="s">
        <v>420</v>
      </c>
      <c r="H1256" s="2">
        <v>62</v>
      </c>
      <c r="I1256" s="2">
        <v>0</v>
      </c>
      <c r="J1256" s="2">
        <v>20</v>
      </c>
      <c r="K1256" s="2">
        <v>2.3199999999999998</v>
      </c>
      <c r="L1256" s="2"/>
      <c r="M1256" s="2"/>
      <c r="N1256" s="2" t="s">
        <v>95</v>
      </c>
      <c r="O1256" s="10">
        <v>0</v>
      </c>
      <c r="P1256" s="9">
        <v>1</v>
      </c>
      <c r="Q1256" s="184">
        <v>2</v>
      </c>
      <c r="R1256" s="181">
        <v>1</v>
      </c>
      <c r="S1256" s="178">
        <f t="shared" si="136"/>
        <v>1</v>
      </c>
      <c r="T1256" s="186">
        <f t="shared" si="137"/>
        <v>3</v>
      </c>
      <c r="U1256" s="179">
        <f t="shared" si="138"/>
        <v>2</v>
      </c>
      <c r="V1256" s="1">
        <f t="shared" si="139"/>
        <v>25</v>
      </c>
      <c r="W1256" s="8">
        <f t="shared" si="140"/>
        <v>6.25</v>
      </c>
      <c r="X1256" s="15">
        <f t="shared" si="141"/>
        <v>6718.75</v>
      </c>
      <c r="Y1256"/>
      <c r="Z1256"/>
      <c r="AA1256"/>
      <c r="AB1256"/>
      <c r="AC1256"/>
      <c r="AD1256"/>
    </row>
    <row r="1257" spans="2:30">
      <c r="B1257" s="163" t="s">
        <v>270</v>
      </c>
      <c r="C1257" s="2" t="s">
        <v>6</v>
      </c>
      <c r="D1257" s="2" t="s">
        <v>7</v>
      </c>
      <c r="E1257" s="3">
        <v>45332.625</v>
      </c>
      <c r="F1257" s="2" t="s">
        <v>9</v>
      </c>
      <c r="G1257" s="2" t="s">
        <v>84</v>
      </c>
      <c r="H1257" s="2">
        <v>65</v>
      </c>
      <c r="I1257" s="2">
        <v>0</v>
      </c>
      <c r="J1257" s="2">
        <v>20</v>
      </c>
      <c r="K1257" s="2">
        <v>2.12</v>
      </c>
      <c r="L1257" s="2"/>
      <c r="M1257" s="2"/>
      <c r="N1257" s="2" t="s">
        <v>95</v>
      </c>
      <c r="O1257" s="10">
        <v>1</v>
      </c>
      <c r="P1257" s="9">
        <v>0</v>
      </c>
      <c r="Q1257" s="184">
        <v>1</v>
      </c>
      <c r="R1257" s="181">
        <v>0</v>
      </c>
      <c r="S1257" s="178">
        <f t="shared" si="136"/>
        <v>1</v>
      </c>
      <c r="T1257" s="186">
        <f t="shared" si="137"/>
        <v>1</v>
      </c>
      <c r="U1257" s="179">
        <f t="shared" si="138"/>
        <v>0</v>
      </c>
      <c r="V1257" s="1">
        <f t="shared" si="139"/>
        <v>25</v>
      </c>
      <c r="W1257" s="8">
        <f t="shared" si="140"/>
        <v>6.25</v>
      </c>
      <c r="X1257" s="15">
        <f t="shared" si="141"/>
        <v>6725</v>
      </c>
      <c r="Y1257"/>
      <c r="Z1257"/>
      <c r="AA1257"/>
      <c r="AB1257"/>
      <c r="AC1257"/>
      <c r="AD1257"/>
    </row>
    <row r="1258" spans="2:30">
      <c r="B1258" s="163" t="s">
        <v>270</v>
      </c>
      <c r="C1258" s="2" t="s">
        <v>6</v>
      </c>
      <c r="D1258" s="2" t="s">
        <v>62</v>
      </c>
      <c r="E1258" s="3">
        <v>45332.625</v>
      </c>
      <c r="F1258" s="2" t="s">
        <v>64</v>
      </c>
      <c r="G1258" s="2" t="s">
        <v>63</v>
      </c>
      <c r="H1258" s="2">
        <v>63</v>
      </c>
      <c r="I1258" s="2">
        <v>0</v>
      </c>
      <c r="J1258" s="2">
        <v>20</v>
      </c>
      <c r="K1258" s="2">
        <v>2.64</v>
      </c>
      <c r="L1258" s="2"/>
      <c r="M1258" s="2"/>
      <c r="N1258" s="2" t="s">
        <v>95</v>
      </c>
      <c r="O1258" s="10">
        <v>0</v>
      </c>
      <c r="P1258" s="9">
        <v>1</v>
      </c>
      <c r="Q1258" s="184">
        <v>0</v>
      </c>
      <c r="R1258" s="181">
        <v>2</v>
      </c>
      <c r="S1258" s="178">
        <f t="shared" si="136"/>
        <v>1</v>
      </c>
      <c r="T1258" s="186">
        <f t="shared" si="137"/>
        <v>2</v>
      </c>
      <c r="U1258" s="179">
        <f t="shared" si="138"/>
        <v>1</v>
      </c>
      <c r="V1258" s="1">
        <f t="shared" si="139"/>
        <v>25</v>
      </c>
      <c r="W1258" s="8">
        <f t="shared" si="140"/>
        <v>6.25</v>
      </c>
      <c r="X1258" s="15">
        <f t="shared" si="141"/>
        <v>6731.25</v>
      </c>
      <c r="Y1258"/>
      <c r="Z1258"/>
      <c r="AA1258"/>
      <c r="AB1258"/>
      <c r="AC1258"/>
      <c r="AD1258"/>
    </row>
    <row r="1259" spans="2:30">
      <c r="B1259" s="163" t="s">
        <v>270</v>
      </c>
      <c r="C1259" s="2" t="s">
        <v>20</v>
      </c>
      <c r="D1259" s="2" t="s">
        <v>322</v>
      </c>
      <c r="E1259" s="3">
        <v>45332.635416666664</v>
      </c>
      <c r="F1259" s="2" t="s">
        <v>333</v>
      </c>
      <c r="G1259" s="2" t="s">
        <v>422</v>
      </c>
      <c r="H1259" s="2">
        <v>61</v>
      </c>
      <c r="I1259" s="2">
        <v>0</v>
      </c>
      <c r="J1259" s="2">
        <v>20</v>
      </c>
      <c r="K1259" s="2">
        <v>1.84</v>
      </c>
      <c r="L1259" s="2"/>
      <c r="M1259" s="2"/>
      <c r="N1259" s="2" t="s">
        <v>95</v>
      </c>
      <c r="O1259" s="10">
        <v>1</v>
      </c>
      <c r="P1259" s="9">
        <v>2</v>
      </c>
      <c r="Q1259" s="184">
        <v>3</v>
      </c>
      <c r="R1259" s="181">
        <v>2</v>
      </c>
      <c r="S1259" s="178">
        <f t="shared" si="136"/>
        <v>3</v>
      </c>
      <c r="T1259" s="186">
        <f t="shared" si="137"/>
        <v>5</v>
      </c>
      <c r="U1259" s="179">
        <f t="shared" si="138"/>
        <v>2</v>
      </c>
      <c r="V1259" s="1">
        <f t="shared" si="139"/>
        <v>25</v>
      </c>
      <c r="W1259" s="8">
        <f t="shared" si="140"/>
        <v>6.25</v>
      </c>
      <c r="X1259" s="15">
        <f t="shared" si="141"/>
        <v>6737.5</v>
      </c>
      <c r="Y1259"/>
      <c r="Z1259"/>
      <c r="AA1259"/>
      <c r="AB1259"/>
      <c r="AC1259"/>
      <c r="AD1259"/>
    </row>
    <row r="1260" spans="2:30">
      <c r="B1260" s="163" t="s">
        <v>270</v>
      </c>
      <c r="C1260" s="2" t="s">
        <v>20</v>
      </c>
      <c r="D1260" s="2" t="s">
        <v>21</v>
      </c>
      <c r="E1260" s="3">
        <v>45332.708333333336</v>
      </c>
      <c r="F1260" s="2" t="s">
        <v>380</v>
      </c>
      <c r="G1260" s="2" t="s">
        <v>25</v>
      </c>
      <c r="H1260" s="2">
        <v>61</v>
      </c>
      <c r="I1260" s="2">
        <v>0</v>
      </c>
      <c r="J1260" s="2">
        <v>20</v>
      </c>
      <c r="K1260" s="2">
        <v>2.4300000000000002</v>
      </c>
      <c r="L1260" s="2"/>
      <c r="M1260" s="2"/>
      <c r="N1260" s="2" t="s">
        <v>95</v>
      </c>
      <c r="O1260" s="10">
        <v>2</v>
      </c>
      <c r="P1260" s="9">
        <v>1</v>
      </c>
      <c r="Q1260" s="184">
        <v>2</v>
      </c>
      <c r="R1260" s="181">
        <v>4</v>
      </c>
      <c r="S1260" s="178">
        <f t="shared" si="136"/>
        <v>3</v>
      </c>
      <c r="T1260" s="186">
        <f t="shared" si="137"/>
        <v>6</v>
      </c>
      <c r="U1260" s="179">
        <f t="shared" si="138"/>
        <v>3</v>
      </c>
      <c r="V1260" s="1">
        <f t="shared" si="139"/>
        <v>25</v>
      </c>
      <c r="W1260" s="8">
        <f t="shared" si="140"/>
        <v>6.25</v>
      </c>
      <c r="X1260" s="15">
        <f t="shared" si="141"/>
        <v>6743.75</v>
      </c>
      <c r="Y1260"/>
      <c r="Z1260"/>
      <c r="AA1260"/>
      <c r="AB1260"/>
      <c r="AC1260"/>
      <c r="AD1260"/>
    </row>
    <row r="1261" spans="2:30">
      <c r="B1261" s="163" t="s">
        <v>270</v>
      </c>
      <c r="C1261" s="2" t="s">
        <v>296</v>
      </c>
      <c r="D1261" s="2" t="s">
        <v>78</v>
      </c>
      <c r="E1261" s="3">
        <v>45332.708333333336</v>
      </c>
      <c r="F1261" s="2" t="s">
        <v>360</v>
      </c>
      <c r="G1261" s="2" t="s">
        <v>346</v>
      </c>
      <c r="H1261" s="2">
        <v>63</v>
      </c>
      <c r="I1261" s="2">
        <v>0</v>
      </c>
      <c r="J1261" s="2">
        <v>20</v>
      </c>
      <c r="K1261" s="2">
        <v>1.49</v>
      </c>
      <c r="L1261" s="2"/>
      <c r="M1261" s="2"/>
      <c r="N1261" s="2" t="s">
        <v>95</v>
      </c>
      <c r="O1261" s="10">
        <v>1</v>
      </c>
      <c r="P1261" s="9">
        <v>1</v>
      </c>
      <c r="Q1261" s="184">
        <v>1</v>
      </c>
      <c r="R1261" s="181">
        <v>1</v>
      </c>
      <c r="S1261" s="178">
        <f t="shared" si="136"/>
        <v>2</v>
      </c>
      <c r="T1261" s="186">
        <f t="shared" si="137"/>
        <v>2</v>
      </c>
      <c r="U1261" s="179">
        <f t="shared" si="138"/>
        <v>0</v>
      </c>
      <c r="V1261" s="1">
        <f t="shared" si="139"/>
        <v>25</v>
      </c>
      <c r="W1261" s="8">
        <f t="shared" si="140"/>
        <v>6.25</v>
      </c>
      <c r="X1261" s="15">
        <f t="shared" si="141"/>
        <v>6750</v>
      </c>
      <c r="Y1261"/>
      <c r="Z1261"/>
      <c r="AA1261"/>
      <c r="AB1261"/>
      <c r="AC1261"/>
      <c r="AD1261"/>
    </row>
    <row r="1262" spans="2:30">
      <c r="B1262" s="163" t="s">
        <v>270</v>
      </c>
      <c r="C1262" s="2" t="s">
        <v>6</v>
      </c>
      <c r="D1262" s="2" t="s">
        <v>62</v>
      </c>
      <c r="E1262" s="3">
        <v>45332.729166666664</v>
      </c>
      <c r="F1262" s="2" t="s">
        <v>264</v>
      </c>
      <c r="G1262" s="2" t="s">
        <v>164</v>
      </c>
      <c r="H1262" s="2">
        <v>73</v>
      </c>
      <c r="I1262" s="2">
        <v>0</v>
      </c>
      <c r="J1262" s="2">
        <v>20</v>
      </c>
      <c r="K1262" s="2">
        <v>3.09</v>
      </c>
      <c r="L1262" s="2"/>
      <c r="M1262" s="2"/>
      <c r="N1262" s="2" t="s">
        <v>95</v>
      </c>
      <c r="O1262" s="10">
        <v>2</v>
      </c>
      <c r="P1262" s="9">
        <v>2</v>
      </c>
      <c r="Q1262" s="184">
        <v>2</v>
      </c>
      <c r="R1262" s="181">
        <v>3</v>
      </c>
      <c r="S1262" s="178">
        <f t="shared" si="136"/>
        <v>4</v>
      </c>
      <c r="T1262" s="186">
        <f t="shared" si="137"/>
        <v>5</v>
      </c>
      <c r="U1262" s="179">
        <f t="shared" si="138"/>
        <v>1</v>
      </c>
      <c r="V1262" s="1">
        <f t="shared" si="139"/>
        <v>25</v>
      </c>
      <c r="W1262" s="8">
        <f t="shared" si="140"/>
        <v>6.25</v>
      </c>
      <c r="X1262" s="15">
        <f t="shared" si="141"/>
        <v>6756.25</v>
      </c>
      <c r="Y1262"/>
      <c r="Z1262"/>
      <c r="AA1262"/>
      <c r="AB1262"/>
      <c r="AC1262"/>
      <c r="AD1262"/>
    </row>
    <row r="1263" spans="2:30">
      <c r="B1263" s="163" t="s">
        <v>270</v>
      </c>
      <c r="C1263" s="2" t="s">
        <v>67</v>
      </c>
      <c r="D1263" s="33" t="s">
        <v>169</v>
      </c>
      <c r="E1263" s="3">
        <v>45332.791666666664</v>
      </c>
      <c r="F1263" s="2" t="s">
        <v>373</v>
      </c>
      <c r="G1263" s="2" t="s">
        <v>204</v>
      </c>
      <c r="H1263" s="2">
        <v>60</v>
      </c>
      <c r="I1263" s="2">
        <v>0</v>
      </c>
      <c r="J1263" s="2">
        <v>20</v>
      </c>
      <c r="K1263" s="2">
        <v>1.1499999999999999</v>
      </c>
      <c r="L1263" s="2"/>
      <c r="M1263" s="2"/>
      <c r="N1263" s="2" t="s">
        <v>95</v>
      </c>
      <c r="O1263" s="10">
        <v>0</v>
      </c>
      <c r="P1263" s="9">
        <v>2</v>
      </c>
      <c r="Q1263" s="184">
        <v>0</v>
      </c>
      <c r="R1263" s="181">
        <v>3</v>
      </c>
      <c r="S1263" s="178">
        <f t="shared" si="136"/>
        <v>2</v>
      </c>
      <c r="T1263" s="186">
        <f t="shared" si="137"/>
        <v>3</v>
      </c>
      <c r="U1263" s="179">
        <f t="shared" si="138"/>
        <v>1</v>
      </c>
      <c r="V1263" s="1">
        <f t="shared" si="139"/>
        <v>25</v>
      </c>
      <c r="W1263" s="8">
        <f t="shared" si="140"/>
        <v>6.25</v>
      </c>
      <c r="X1263" s="15">
        <f t="shared" si="141"/>
        <v>6762.5</v>
      </c>
      <c r="Y1263"/>
      <c r="Z1263"/>
      <c r="AA1263"/>
      <c r="AB1263"/>
      <c r="AC1263"/>
      <c r="AD1263"/>
    </row>
    <row r="1264" spans="2:30">
      <c r="B1264" s="163" t="s">
        <v>270</v>
      </c>
      <c r="C1264" s="2" t="s">
        <v>149</v>
      </c>
      <c r="D1264" s="2" t="s">
        <v>153</v>
      </c>
      <c r="E1264" s="3">
        <v>45332.833333333336</v>
      </c>
      <c r="F1264" s="2" t="s">
        <v>155</v>
      </c>
      <c r="G1264" s="2" t="s">
        <v>281</v>
      </c>
      <c r="H1264" s="2">
        <v>61</v>
      </c>
      <c r="I1264" s="2">
        <v>0</v>
      </c>
      <c r="J1264" s="2">
        <v>20</v>
      </c>
      <c r="K1264" s="2">
        <v>2.2999999999999998</v>
      </c>
      <c r="L1264" s="2"/>
      <c r="M1264" s="2"/>
      <c r="N1264" s="2" t="s">
        <v>95</v>
      </c>
      <c r="O1264" s="10">
        <v>1</v>
      </c>
      <c r="P1264" s="9">
        <v>2</v>
      </c>
      <c r="Q1264" s="184">
        <v>3</v>
      </c>
      <c r="R1264" s="181">
        <v>2</v>
      </c>
      <c r="S1264" s="178">
        <f t="shared" si="136"/>
        <v>3</v>
      </c>
      <c r="T1264" s="186">
        <f t="shared" si="137"/>
        <v>5</v>
      </c>
      <c r="U1264" s="179">
        <f t="shared" si="138"/>
        <v>2</v>
      </c>
      <c r="V1264" s="1">
        <f t="shared" si="139"/>
        <v>25</v>
      </c>
      <c r="W1264" s="8">
        <f t="shared" si="140"/>
        <v>6.25</v>
      </c>
      <c r="X1264" s="15">
        <f t="shared" si="141"/>
        <v>6768.75</v>
      </c>
      <c r="Y1264"/>
      <c r="Z1264"/>
      <c r="AA1264"/>
      <c r="AB1264"/>
      <c r="AC1264"/>
      <c r="AD1264"/>
    </row>
    <row r="1265" spans="2:30">
      <c r="B1265" s="163" t="s">
        <v>270</v>
      </c>
      <c r="C1265" s="2" t="s">
        <v>77</v>
      </c>
      <c r="D1265" s="2" t="s">
        <v>234</v>
      </c>
      <c r="E1265" s="3">
        <v>45333.520833333336</v>
      </c>
      <c r="F1265" s="2" t="s">
        <v>235</v>
      </c>
      <c r="G1265" s="2" t="s">
        <v>246</v>
      </c>
      <c r="H1265" s="2">
        <v>62</v>
      </c>
      <c r="I1265" s="2">
        <v>0</v>
      </c>
      <c r="J1265" s="2">
        <v>20</v>
      </c>
      <c r="K1265" s="2">
        <v>2.56</v>
      </c>
      <c r="L1265" s="2"/>
      <c r="M1265" s="2"/>
      <c r="N1265" s="2" t="s">
        <v>95</v>
      </c>
      <c r="O1265" s="10">
        <v>0</v>
      </c>
      <c r="P1265" s="9">
        <v>0</v>
      </c>
      <c r="Q1265" s="184">
        <v>1</v>
      </c>
      <c r="R1265" s="181">
        <v>0</v>
      </c>
      <c r="S1265" s="178">
        <f t="shared" si="136"/>
        <v>0</v>
      </c>
      <c r="T1265" s="186">
        <f t="shared" si="137"/>
        <v>1</v>
      </c>
      <c r="U1265" s="179">
        <f t="shared" si="138"/>
        <v>1</v>
      </c>
      <c r="V1265" s="1">
        <f t="shared" si="139"/>
        <v>25</v>
      </c>
      <c r="W1265" s="8">
        <f t="shared" si="140"/>
        <v>6.25</v>
      </c>
      <c r="X1265" s="15">
        <f t="shared" si="141"/>
        <v>6775</v>
      </c>
      <c r="Y1265"/>
      <c r="Z1265"/>
      <c r="AA1265"/>
      <c r="AB1265"/>
      <c r="AC1265"/>
      <c r="AD1265"/>
    </row>
    <row r="1266" spans="2:30">
      <c r="B1266" s="163" t="s">
        <v>270</v>
      </c>
      <c r="C1266" s="2" t="s">
        <v>80</v>
      </c>
      <c r="D1266" s="2" t="s">
        <v>81</v>
      </c>
      <c r="E1266" s="3">
        <v>45333.541666666664</v>
      </c>
      <c r="F1266" s="2" t="s">
        <v>82</v>
      </c>
      <c r="G1266" s="2" t="s">
        <v>311</v>
      </c>
      <c r="H1266" s="2">
        <v>62</v>
      </c>
      <c r="I1266" s="2">
        <v>0</v>
      </c>
      <c r="J1266" s="2">
        <v>20</v>
      </c>
      <c r="K1266" s="2">
        <v>1.0900000000000001</v>
      </c>
      <c r="L1266" s="2"/>
      <c r="M1266" s="2"/>
      <c r="N1266" s="2" t="s">
        <v>95</v>
      </c>
      <c r="O1266" s="10">
        <v>1</v>
      </c>
      <c r="P1266" s="9">
        <v>0</v>
      </c>
      <c r="Q1266" s="184">
        <v>1</v>
      </c>
      <c r="R1266" s="181">
        <v>0</v>
      </c>
      <c r="S1266" s="178">
        <f t="shared" si="136"/>
        <v>1</v>
      </c>
      <c r="T1266" s="186">
        <f t="shared" si="137"/>
        <v>1</v>
      </c>
      <c r="U1266" s="179">
        <f t="shared" si="138"/>
        <v>0</v>
      </c>
      <c r="V1266" s="1">
        <f t="shared" si="139"/>
        <v>25</v>
      </c>
      <c r="W1266" s="8">
        <f t="shared" si="140"/>
        <v>6.25</v>
      </c>
      <c r="X1266" s="15">
        <f t="shared" si="141"/>
        <v>6781.25</v>
      </c>
      <c r="Y1266"/>
      <c r="Z1266"/>
      <c r="AA1266"/>
      <c r="AB1266"/>
      <c r="AC1266"/>
      <c r="AD1266"/>
    </row>
    <row r="1267" spans="2:30">
      <c r="B1267" s="163" t="s">
        <v>270</v>
      </c>
      <c r="C1267" s="2" t="s">
        <v>296</v>
      </c>
      <c r="D1267" s="2" t="s">
        <v>78</v>
      </c>
      <c r="E1267" s="3">
        <v>45333.552083333336</v>
      </c>
      <c r="F1267" s="2" t="s">
        <v>297</v>
      </c>
      <c r="G1267" s="2" t="s">
        <v>299</v>
      </c>
      <c r="H1267" s="2">
        <v>63</v>
      </c>
      <c r="I1267" s="2">
        <v>0</v>
      </c>
      <c r="J1267" s="2">
        <v>20</v>
      </c>
      <c r="K1267" s="2">
        <v>1.52</v>
      </c>
      <c r="L1267" s="2"/>
      <c r="M1267" s="2"/>
      <c r="N1267" s="2" t="s">
        <v>95</v>
      </c>
      <c r="O1267" s="10">
        <v>0</v>
      </c>
      <c r="P1267" s="9">
        <v>1</v>
      </c>
      <c r="Q1267" s="184">
        <v>2</v>
      </c>
      <c r="R1267" s="181">
        <v>1</v>
      </c>
      <c r="S1267" s="178">
        <f t="shared" si="136"/>
        <v>1</v>
      </c>
      <c r="T1267" s="186">
        <f t="shared" si="137"/>
        <v>3</v>
      </c>
      <c r="U1267" s="179">
        <f t="shared" si="138"/>
        <v>2</v>
      </c>
      <c r="V1267" s="1">
        <f t="shared" si="139"/>
        <v>25</v>
      </c>
      <c r="W1267" s="8">
        <f t="shared" si="140"/>
        <v>6.25</v>
      </c>
      <c r="X1267" s="15">
        <f t="shared" si="141"/>
        <v>6787.5</v>
      </c>
      <c r="Y1267"/>
      <c r="Z1267"/>
      <c r="AA1267"/>
      <c r="AB1267"/>
      <c r="AC1267"/>
      <c r="AD1267"/>
    </row>
    <row r="1268" spans="2:30">
      <c r="B1268" s="163" t="s">
        <v>270</v>
      </c>
      <c r="C1268" s="2" t="s">
        <v>296</v>
      </c>
      <c r="D1268" s="2" t="s">
        <v>78</v>
      </c>
      <c r="E1268" s="3">
        <v>45333.645833333336</v>
      </c>
      <c r="F1268" s="2" t="s">
        <v>392</v>
      </c>
      <c r="G1268" s="2" t="s">
        <v>367</v>
      </c>
      <c r="H1268" s="2">
        <v>64</v>
      </c>
      <c r="I1268" s="2">
        <v>0</v>
      </c>
      <c r="J1268" s="2">
        <v>20</v>
      </c>
      <c r="K1268" s="2">
        <v>1.1599999999999999</v>
      </c>
      <c r="L1268" s="2"/>
      <c r="M1268" s="2"/>
      <c r="N1268" s="2" t="s">
        <v>95</v>
      </c>
      <c r="O1268" s="10">
        <v>0</v>
      </c>
      <c r="P1268" s="9">
        <v>0</v>
      </c>
      <c r="Q1268" s="184">
        <v>1</v>
      </c>
      <c r="R1268" s="181">
        <v>0</v>
      </c>
      <c r="S1268" s="178">
        <f t="shared" si="136"/>
        <v>0</v>
      </c>
      <c r="T1268" s="186">
        <f t="shared" si="137"/>
        <v>1</v>
      </c>
      <c r="U1268" s="179">
        <f t="shared" si="138"/>
        <v>1</v>
      </c>
      <c r="V1268" s="1">
        <f t="shared" si="139"/>
        <v>25</v>
      </c>
      <c r="W1268" s="8">
        <f t="shared" si="140"/>
        <v>6.25</v>
      </c>
      <c r="X1268" s="15">
        <f t="shared" si="141"/>
        <v>6793.75</v>
      </c>
      <c r="Y1268"/>
      <c r="Z1268"/>
      <c r="AA1268"/>
      <c r="AB1268"/>
      <c r="AC1268"/>
      <c r="AD1268"/>
    </row>
    <row r="1269" spans="2:30">
      <c r="B1269" s="163" t="s">
        <v>270</v>
      </c>
      <c r="C1269" s="2" t="s">
        <v>58</v>
      </c>
      <c r="D1269" s="2" t="s">
        <v>59</v>
      </c>
      <c r="E1269" s="3">
        <v>45333.645833333336</v>
      </c>
      <c r="F1269" s="2" t="s">
        <v>127</v>
      </c>
      <c r="G1269" s="2" t="s">
        <v>111</v>
      </c>
      <c r="H1269" s="2">
        <v>59</v>
      </c>
      <c r="I1269" s="2">
        <v>0</v>
      </c>
      <c r="J1269" s="2">
        <v>20</v>
      </c>
      <c r="K1269" s="2">
        <v>1.77</v>
      </c>
      <c r="L1269" s="2"/>
      <c r="M1269" s="2"/>
      <c r="N1269" s="2" t="s">
        <v>95</v>
      </c>
      <c r="O1269" s="10">
        <v>0</v>
      </c>
      <c r="P1269" s="9">
        <v>0</v>
      </c>
      <c r="Q1269" s="184">
        <v>1</v>
      </c>
      <c r="R1269" s="181">
        <v>0</v>
      </c>
      <c r="S1269" s="178">
        <f t="shared" si="136"/>
        <v>0</v>
      </c>
      <c r="T1269" s="186">
        <f t="shared" si="137"/>
        <v>1</v>
      </c>
      <c r="U1269" s="179">
        <f t="shared" si="138"/>
        <v>1</v>
      </c>
      <c r="V1269" s="1">
        <f t="shared" si="139"/>
        <v>25</v>
      </c>
      <c r="W1269" s="8">
        <f t="shared" si="140"/>
        <v>6.25</v>
      </c>
      <c r="X1269" s="15">
        <f t="shared" si="141"/>
        <v>6800</v>
      </c>
      <c r="Y1269"/>
      <c r="Z1269"/>
      <c r="AA1269"/>
      <c r="AB1269"/>
      <c r="AC1269"/>
      <c r="AD1269"/>
    </row>
    <row r="1270" spans="2:30">
      <c r="B1270" s="163" t="s">
        <v>270</v>
      </c>
      <c r="C1270" s="2" t="s">
        <v>149</v>
      </c>
      <c r="D1270" s="2" t="s">
        <v>153</v>
      </c>
      <c r="E1270" s="3">
        <v>45333.65625</v>
      </c>
      <c r="F1270" s="2" t="s">
        <v>244</v>
      </c>
      <c r="G1270" s="2" t="s">
        <v>188</v>
      </c>
      <c r="H1270" s="2">
        <v>66</v>
      </c>
      <c r="I1270" s="2">
        <v>0</v>
      </c>
      <c r="J1270" s="2">
        <v>20</v>
      </c>
      <c r="K1270" s="2">
        <v>2.39</v>
      </c>
      <c r="L1270" s="2"/>
      <c r="M1270" s="2"/>
      <c r="N1270" s="2" t="s">
        <v>95</v>
      </c>
      <c r="O1270" s="10">
        <v>1</v>
      </c>
      <c r="P1270" s="9">
        <v>1</v>
      </c>
      <c r="Q1270" s="184">
        <v>1</v>
      </c>
      <c r="R1270" s="181">
        <v>5</v>
      </c>
      <c r="S1270" s="178">
        <f t="shared" si="136"/>
        <v>2</v>
      </c>
      <c r="T1270" s="186">
        <f t="shared" si="137"/>
        <v>6</v>
      </c>
      <c r="U1270" s="179">
        <f t="shared" si="138"/>
        <v>4</v>
      </c>
      <c r="V1270" s="1">
        <f t="shared" si="139"/>
        <v>25</v>
      </c>
      <c r="W1270" s="8">
        <f t="shared" si="140"/>
        <v>6.25</v>
      </c>
      <c r="X1270" s="15">
        <f t="shared" si="141"/>
        <v>6806.25</v>
      </c>
      <c r="Y1270"/>
      <c r="Z1270"/>
      <c r="AA1270"/>
      <c r="AB1270"/>
      <c r="AC1270"/>
      <c r="AD1270"/>
    </row>
    <row r="1271" spans="2:30">
      <c r="B1271" s="163" t="s">
        <v>270</v>
      </c>
      <c r="C1271" s="2" t="s">
        <v>67</v>
      </c>
      <c r="D1271" s="2" t="s">
        <v>68</v>
      </c>
      <c r="E1271" s="3">
        <v>45333.729166666664</v>
      </c>
      <c r="F1271" s="2" t="s">
        <v>69</v>
      </c>
      <c r="G1271" s="2" t="s">
        <v>375</v>
      </c>
      <c r="H1271" s="2">
        <v>65</v>
      </c>
      <c r="I1271" s="2">
        <v>0</v>
      </c>
      <c r="J1271" s="2">
        <v>20</v>
      </c>
      <c r="K1271" s="2">
        <v>2.0699999999999998</v>
      </c>
      <c r="L1271" s="2"/>
      <c r="M1271" s="2"/>
      <c r="N1271" s="2" t="s">
        <v>95</v>
      </c>
      <c r="O1271" s="10">
        <v>1</v>
      </c>
      <c r="P1271" s="9">
        <v>2</v>
      </c>
      <c r="Q1271" s="184">
        <v>1</v>
      </c>
      <c r="R1271" s="181">
        <v>3</v>
      </c>
      <c r="S1271" s="178">
        <f t="shared" si="136"/>
        <v>3</v>
      </c>
      <c r="T1271" s="186">
        <f t="shared" si="137"/>
        <v>4</v>
      </c>
      <c r="U1271" s="179">
        <f t="shared" si="138"/>
        <v>1</v>
      </c>
      <c r="V1271" s="1">
        <f t="shared" si="139"/>
        <v>25</v>
      </c>
      <c r="W1271" s="8">
        <f t="shared" si="140"/>
        <v>6.25</v>
      </c>
      <c r="X1271" s="15">
        <f t="shared" si="141"/>
        <v>6812.5</v>
      </c>
      <c r="Y1271"/>
      <c r="Z1271"/>
      <c r="AA1271"/>
      <c r="AB1271"/>
      <c r="AC1271"/>
      <c r="AD1271"/>
    </row>
    <row r="1272" spans="2:30">
      <c r="B1272" s="163" t="s">
        <v>270</v>
      </c>
      <c r="C1272" s="2" t="s">
        <v>58</v>
      </c>
      <c r="D1272" s="2" t="s">
        <v>59</v>
      </c>
      <c r="E1272" s="3">
        <v>45333.75</v>
      </c>
      <c r="F1272" s="2" t="s">
        <v>125</v>
      </c>
      <c r="G1272" s="2" t="s">
        <v>112</v>
      </c>
      <c r="H1272" s="2">
        <v>65</v>
      </c>
      <c r="I1272" s="2">
        <v>0</v>
      </c>
      <c r="J1272" s="2">
        <v>20</v>
      </c>
      <c r="K1272" s="2">
        <v>2.4900000000000002</v>
      </c>
      <c r="L1272" s="2"/>
      <c r="M1272" s="2"/>
      <c r="N1272" s="2" t="s">
        <v>95</v>
      </c>
      <c r="O1272" s="10">
        <v>2</v>
      </c>
      <c r="P1272" s="9">
        <v>0</v>
      </c>
      <c r="Q1272" s="184">
        <v>5</v>
      </c>
      <c r="R1272" s="181">
        <v>0</v>
      </c>
      <c r="S1272" s="178">
        <f t="shared" si="136"/>
        <v>2</v>
      </c>
      <c r="T1272" s="186">
        <f t="shared" si="137"/>
        <v>5</v>
      </c>
      <c r="U1272" s="179">
        <f t="shared" si="138"/>
        <v>3</v>
      </c>
      <c r="V1272" s="1">
        <f t="shared" si="139"/>
        <v>25</v>
      </c>
      <c r="W1272" s="8">
        <f t="shared" si="140"/>
        <v>6.25</v>
      </c>
      <c r="X1272" s="15">
        <f t="shared" si="141"/>
        <v>6818.75</v>
      </c>
      <c r="Y1272"/>
      <c r="Z1272"/>
      <c r="AA1272"/>
      <c r="AB1272"/>
      <c r="AC1272"/>
      <c r="AD1272"/>
    </row>
    <row r="1273" spans="2:30">
      <c r="B1273" s="2" t="s">
        <v>270</v>
      </c>
      <c r="C1273" s="2" t="s">
        <v>119</v>
      </c>
      <c r="D1273" s="2" t="s">
        <v>120</v>
      </c>
      <c r="E1273" s="3">
        <v>45333.833333333336</v>
      </c>
      <c r="F1273" s="2" t="s">
        <v>361</v>
      </c>
      <c r="G1273" s="2" t="s">
        <v>388</v>
      </c>
      <c r="H1273" s="2">
        <v>61</v>
      </c>
      <c r="I1273" s="2">
        <v>0</v>
      </c>
      <c r="J1273" s="2">
        <v>20</v>
      </c>
      <c r="K1273" s="2">
        <v>2.95</v>
      </c>
      <c r="L1273" s="2"/>
      <c r="M1273" s="2"/>
      <c r="N1273" s="2" t="s">
        <v>95</v>
      </c>
      <c r="O1273" s="10">
        <v>1</v>
      </c>
      <c r="P1273" s="9">
        <v>1</v>
      </c>
      <c r="Q1273" s="184">
        <v>3</v>
      </c>
      <c r="R1273" s="184">
        <v>3</v>
      </c>
      <c r="S1273" s="178">
        <f t="shared" si="136"/>
        <v>2</v>
      </c>
      <c r="T1273" s="186">
        <f t="shared" si="137"/>
        <v>6</v>
      </c>
      <c r="U1273" s="179">
        <f t="shared" si="138"/>
        <v>4</v>
      </c>
      <c r="V1273" s="1">
        <f t="shared" si="139"/>
        <v>25</v>
      </c>
      <c r="W1273" s="8">
        <f t="shared" si="140"/>
        <v>6.25</v>
      </c>
      <c r="X1273" s="15">
        <f t="shared" si="141"/>
        <v>6825</v>
      </c>
      <c r="Y1273"/>
      <c r="Z1273"/>
      <c r="AA1273"/>
      <c r="AB1273"/>
      <c r="AC1273"/>
      <c r="AD1273"/>
    </row>
    <row r="1274" spans="2:30">
      <c r="B1274" s="2" t="s">
        <v>270</v>
      </c>
      <c r="C1274" s="2" t="s">
        <v>6</v>
      </c>
      <c r="D1274" s="2" t="s">
        <v>7</v>
      </c>
      <c r="E1274" s="3">
        <v>45335.822916666664</v>
      </c>
      <c r="F1274" s="2" t="s">
        <v>429</v>
      </c>
      <c r="G1274" s="2" t="s">
        <v>163</v>
      </c>
      <c r="H1274" s="2">
        <v>66</v>
      </c>
      <c r="I1274" s="2">
        <v>0</v>
      </c>
      <c r="J1274" s="2">
        <v>20</v>
      </c>
      <c r="K1274" s="2">
        <v>2.5099999999999998</v>
      </c>
      <c r="L1274" s="2"/>
      <c r="M1274" s="2"/>
      <c r="N1274" s="2" t="s">
        <v>95</v>
      </c>
      <c r="O1274" s="10">
        <v>0</v>
      </c>
      <c r="P1274" s="10">
        <v>1</v>
      </c>
      <c r="Q1274" s="184">
        <v>2</v>
      </c>
      <c r="R1274" s="184">
        <v>2</v>
      </c>
      <c r="S1274" s="178">
        <f t="shared" si="136"/>
        <v>1</v>
      </c>
      <c r="T1274" s="186">
        <f t="shared" si="137"/>
        <v>4</v>
      </c>
      <c r="U1274" s="179">
        <f t="shared" si="138"/>
        <v>3</v>
      </c>
      <c r="V1274" s="1">
        <f t="shared" si="139"/>
        <v>25</v>
      </c>
      <c r="W1274" s="8">
        <f t="shared" si="140"/>
        <v>6.25</v>
      </c>
      <c r="X1274" s="15">
        <f t="shared" si="141"/>
        <v>6831.25</v>
      </c>
      <c r="Y1274"/>
      <c r="Z1274"/>
      <c r="AA1274"/>
      <c r="AB1274"/>
      <c r="AC1274"/>
      <c r="AD1274"/>
    </row>
    <row r="1275" spans="2:30">
      <c r="B1275" s="2" t="s">
        <v>270</v>
      </c>
      <c r="C1275" s="2" t="s">
        <v>6</v>
      </c>
      <c r="D1275" s="2" t="s">
        <v>14</v>
      </c>
      <c r="E1275" s="3">
        <v>45335.822916666664</v>
      </c>
      <c r="F1275" s="2" t="s">
        <v>290</v>
      </c>
      <c r="G1275" s="2" t="s">
        <v>202</v>
      </c>
      <c r="H1275" s="2">
        <v>70</v>
      </c>
      <c r="I1275" s="2">
        <v>0</v>
      </c>
      <c r="J1275" s="2">
        <v>20</v>
      </c>
      <c r="K1275" s="2">
        <v>2.4900000000000002</v>
      </c>
      <c r="L1275" s="2"/>
      <c r="M1275" s="2"/>
      <c r="N1275" s="2" t="s">
        <v>95</v>
      </c>
      <c r="O1275" s="10">
        <v>2</v>
      </c>
      <c r="P1275" s="10">
        <v>0</v>
      </c>
      <c r="Q1275" s="184">
        <v>2</v>
      </c>
      <c r="R1275" s="184">
        <v>0</v>
      </c>
      <c r="S1275" s="178">
        <f t="shared" si="136"/>
        <v>2</v>
      </c>
      <c r="T1275" s="186">
        <f t="shared" si="137"/>
        <v>2</v>
      </c>
      <c r="U1275" s="179">
        <f t="shared" si="138"/>
        <v>0</v>
      </c>
      <c r="V1275" s="1">
        <f t="shared" si="139"/>
        <v>25</v>
      </c>
      <c r="W1275" s="8">
        <f t="shared" si="140"/>
        <v>6.25</v>
      </c>
      <c r="X1275" s="15">
        <f t="shared" si="141"/>
        <v>6837.5</v>
      </c>
      <c r="Y1275"/>
      <c r="Z1275"/>
      <c r="AA1275"/>
      <c r="AB1275"/>
      <c r="AC1275"/>
      <c r="AD1275"/>
    </row>
    <row r="1276" spans="2:30">
      <c r="B1276" s="2" t="s">
        <v>270</v>
      </c>
      <c r="C1276" s="2" t="s">
        <v>6</v>
      </c>
      <c r="D1276" s="2" t="s">
        <v>14</v>
      </c>
      <c r="E1276" s="3">
        <v>45336.822916666664</v>
      </c>
      <c r="F1276" s="2" t="s">
        <v>200</v>
      </c>
      <c r="G1276" s="2" t="s">
        <v>17</v>
      </c>
      <c r="H1276" s="2">
        <v>61</v>
      </c>
      <c r="I1276" s="2">
        <v>0</v>
      </c>
      <c r="J1276" s="2">
        <v>20</v>
      </c>
      <c r="K1276" s="2">
        <v>2.42</v>
      </c>
      <c r="L1276" s="2"/>
      <c r="M1276" s="2"/>
      <c r="N1276" s="2" t="s">
        <v>95</v>
      </c>
      <c r="O1276" s="10">
        <v>1</v>
      </c>
      <c r="P1276" s="10">
        <v>0</v>
      </c>
      <c r="Q1276" s="184">
        <v>2</v>
      </c>
      <c r="R1276" s="184">
        <v>1</v>
      </c>
      <c r="S1276" s="178">
        <f t="shared" si="136"/>
        <v>1</v>
      </c>
      <c r="T1276" s="186">
        <f t="shared" si="137"/>
        <v>3</v>
      </c>
      <c r="U1276" s="179">
        <f t="shared" si="138"/>
        <v>2</v>
      </c>
      <c r="V1276" s="1">
        <f t="shared" si="139"/>
        <v>25</v>
      </c>
      <c r="W1276" s="8">
        <f t="shared" si="140"/>
        <v>6.25</v>
      </c>
      <c r="X1276" s="15">
        <f t="shared" si="141"/>
        <v>6843.75</v>
      </c>
      <c r="Y1276"/>
      <c r="Z1276"/>
      <c r="AA1276"/>
      <c r="AB1276"/>
      <c r="AC1276"/>
      <c r="AD1276"/>
    </row>
    <row r="1277" spans="2:30">
      <c r="B1277" s="2" t="s">
        <v>270</v>
      </c>
      <c r="C1277" s="2" t="s">
        <v>67</v>
      </c>
      <c r="D1277" s="2" t="s">
        <v>169</v>
      </c>
      <c r="E1277" s="3">
        <v>45338.791666666664</v>
      </c>
      <c r="F1277" s="2" t="s">
        <v>203</v>
      </c>
      <c r="G1277" s="2" t="s">
        <v>373</v>
      </c>
      <c r="H1277" s="2">
        <v>63</v>
      </c>
      <c r="I1277" s="2">
        <v>0</v>
      </c>
      <c r="J1277" s="2">
        <v>20</v>
      </c>
      <c r="K1277" s="2">
        <v>1.28</v>
      </c>
      <c r="L1277" s="2"/>
      <c r="M1277" s="2"/>
      <c r="N1277" s="2" t="s">
        <v>95</v>
      </c>
      <c r="O1277" s="10">
        <v>0</v>
      </c>
      <c r="P1277" s="10">
        <v>0</v>
      </c>
      <c r="Q1277" s="184">
        <v>1</v>
      </c>
      <c r="R1277" s="184">
        <v>3</v>
      </c>
      <c r="S1277" s="178">
        <f t="shared" si="136"/>
        <v>0</v>
      </c>
      <c r="T1277" s="186">
        <f t="shared" si="137"/>
        <v>4</v>
      </c>
      <c r="U1277" s="179">
        <f t="shared" si="138"/>
        <v>4</v>
      </c>
      <c r="V1277" s="1">
        <f t="shared" si="139"/>
        <v>25</v>
      </c>
      <c r="W1277" s="8">
        <f t="shared" si="140"/>
        <v>6.25</v>
      </c>
      <c r="X1277" s="15">
        <f t="shared" si="141"/>
        <v>6850</v>
      </c>
      <c r="Y1277"/>
      <c r="Z1277"/>
      <c r="AA1277"/>
      <c r="AB1277"/>
      <c r="AC1277"/>
      <c r="AD1277"/>
    </row>
    <row r="1278" spans="2:30">
      <c r="B1278" s="2" t="s">
        <v>270</v>
      </c>
      <c r="C1278" s="2" t="s">
        <v>149</v>
      </c>
      <c r="D1278" s="2" t="s">
        <v>153</v>
      </c>
      <c r="E1278" s="3">
        <v>45338.791666666664</v>
      </c>
      <c r="F1278" s="2" t="s">
        <v>188</v>
      </c>
      <c r="G1278" s="2" t="s">
        <v>155</v>
      </c>
      <c r="H1278" s="2">
        <v>59</v>
      </c>
      <c r="I1278" s="2">
        <v>0</v>
      </c>
      <c r="J1278" s="2">
        <v>20</v>
      </c>
      <c r="K1278" s="2">
        <v>3.22</v>
      </c>
      <c r="L1278" s="2"/>
      <c r="M1278" s="2"/>
      <c r="N1278" s="2" t="s">
        <v>95</v>
      </c>
      <c r="O1278" s="10">
        <v>1</v>
      </c>
      <c r="P1278" s="10">
        <v>0</v>
      </c>
      <c r="Q1278" s="184">
        <v>2</v>
      </c>
      <c r="R1278" s="184">
        <v>0</v>
      </c>
      <c r="S1278" s="178">
        <f t="shared" si="136"/>
        <v>1</v>
      </c>
      <c r="T1278" s="186">
        <f t="shared" si="137"/>
        <v>2</v>
      </c>
      <c r="U1278" s="179">
        <f t="shared" si="138"/>
        <v>1</v>
      </c>
      <c r="V1278" s="1">
        <f t="shared" si="139"/>
        <v>25</v>
      </c>
      <c r="W1278" s="8">
        <f t="shared" si="140"/>
        <v>6.25</v>
      </c>
      <c r="X1278" s="15">
        <f t="shared" si="141"/>
        <v>6856.25</v>
      </c>
      <c r="Y1278"/>
      <c r="Z1278"/>
      <c r="AA1278"/>
      <c r="AB1278"/>
      <c r="AC1278"/>
      <c r="AD1278"/>
    </row>
    <row r="1279" spans="2:30">
      <c r="B1279" s="2" t="s">
        <v>270</v>
      </c>
      <c r="C1279" s="2" t="s">
        <v>6</v>
      </c>
      <c r="D1279" s="2" t="s">
        <v>14</v>
      </c>
      <c r="E1279" s="3">
        <v>45338.833333333336</v>
      </c>
      <c r="F1279" s="2" t="s">
        <v>414</v>
      </c>
      <c r="G1279" s="2" t="s">
        <v>56</v>
      </c>
      <c r="H1279" s="2">
        <v>60</v>
      </c>
      <c r="I1279" s="2">
        <v>0</v>
      </c>
      <c r="J1279" s="2">
        <v>20</v>
      </c>
      <c r="K1279" s="2">
        <v>2.2599999999999998</v>
      </c>
      <c r="L1279" s="2"/>
      <c r="M1279" s="2"/>
      <c r="N1279" s="2" t="s">
        <v>95</v>
      </c>
      <c r="O1279" s="10">
        <v>0</v>
      </c>
      <c r="P1279" s="10">
        <v>1</v>
      </c>
      <c r="Q1279" s="184">
        <v>0</v>
      </c>
      <c r="R1279" s="184">
        <v>2</v>
      </c>
      <c r="S1279" s="178">
        <f t="shared" si="136"/>
        <v>1</v>
      </c>
      <c r="T1279" s="186">
        <f t="shared" si="137"/>
        <v>2</v>
      </c>
      <c r="U1279" s="179">
        <f t="shared" si="138"/>
        <v>1</v>
      </c>
      <c r="V1279" s="1">
        <f t="shared" si="139"/>
        <v>25</v>
      </c>
      <c r="W1279" s="8">
        <f t="shared" si="140"/>
        <v>6.25</v>
      </c>
      <c r="X1279" s="15">
        <f t="shared" si="141"/>
        <v>6862.5</v>
      </c>
      <c r="Y1279"/>
      <c r="Z1279"/>
      <c r="AA1279"/>
      <c r="AB1279"/>
      <c r="AC1279"/>
      <c r="AD1279"/>
    </row>
    <row r="1280" spans="2:30">
      <c r="B1280" s="2" t="s">
        <v>270</v>
      </c>
      <c r="C1280" s="2" t="s">
        <v>44</v>
      </c>
      <c r="D1280" s="2" t="s">
        <v>45</v>
      </c>
      <c r="E1280" s="3">
        <v>45339.447916666664</v>
      </c>
      <c r="F1280" s="2" t="s">
        <v>131</v>
      </c>
      <c r="G1280" s="2" t="s">
        <v>233</v>
      </c>
      <c r="H1280" s="2">
        <v>63</v>
      </c>
      <c r="I1280" s="2">
        <v>0</v>
      </c>
      <c r="J1280" s="2">
        <v>20</v>
      </c>
      <c r="K1280" s="2">
        <v>2.58</v>
      </c>
      <c r="L1280" s="2"/>
      <c r="M1280" s="2"/>
      <c r="N1280" s="2" t="s">
        <v>95</v>
      </c>
      <c r="O1280" s="10">
        <v>1</v>
      </c>
      <c r="P1280" s="10">
        <v>2</v>
      </c>
      <c r="Q1280" s="184">
        <v>3</v>
      </c>
      <c r="R1280" s="184">
        <v>2</v>
      </c>
      <c r="S1280" s="178">
        <f t="shared" si="136"/>
        <v>3</v>
      </c>
      <c r="T1280" s="186">
        <f t="shared" si="137"/>
        <v>5</v>
      </c>
      <c r="U1280" s="179">
        <f t="shared" si="138"/>
        <v>2</v>
      </c>
      <c r="V1280" s="1">
        <f t="shared" si="139"/>
        <v>25</v>
      </c>
      <c r="W1280" s="8">
        <f t="shared" si="140"/>
        <v>6.25</v>
      </c>
      <c r="X1280" s="15">
        <f t="shared" si="141"/>
        <v>6868.75</v>
      </c>
      <c r="Y1280"/>
      <c r="Z1280"/>
      <c r="AA1280"/>
      <c r="AB1280"/>
      <c r="AC1280"/>
      <c r="AD1280"/>
    </row>
    <row r="1281" spans="2:30">
      <c r="B1281" s="2" t="s">
        <v>270</v>
      </c>
      <c r="C1281" s="2" t="s">
        <v>77</v>
      </c>
      <c r="D1281" s="2" t="s">
        <v>234</v>
      </c>
      <c r="E1281" s="3">
        <v>45339.5</v>
      </c>
      <c r="F1281" s="2" t="s">
        <v>424</v>
      </c>
      <c r="G1281" s="2" t="s">
        <v>235</v>
      </c>
      <c r="H1281" s="2">
        <v>60</v>
      </c>
      <c r="I1281" s="2">
        <v>0</v>
      </c>
      <c r="J1281" s="2">
        <v>20</v>
      </c>
      <c r="K1281" s="2">
        <v>2.88</v>
      </c>
      <c r="L1281" s="2"/>
      <c r="M1281" s="2"/>
      <c r="N1281" s="2" t="s">
        <v>95</v>
      </c>
      <c r="O1281" s="10">
        <v>0</v>
      </c>
      <c r="P1281" s="10">
        <v>2</v>
      </c>
      <c r="Q1281" s="184">
        <v>0</v>
      </c>
      <c r="R1281" s="184">
        <v>4</v>
      </c>
      <c r="S1281" s="178">
        <f t="shared" ref="S1281:S1344" si="142">SUM(O1281:P1281)</f>
        <v>2</v>
      </c>
      <c r="T1281" s="186">
        <f t="shared" ref="T1281:T1344" si="143">SUM(Q1281:R1281)</f>
        <v>4</v>
      </c>
      <c r="U1281" s="179">
        <f t="shared" ref="U1281:U1344" si="144">SUM(T1281-S1281)</f>
        <v>2</v>
      </c>
      <c r="V1281" s="1">
        <f t="shared" si="139"/>
        <v>25</v>
      </c>
      <c r="W1281" s="8">
        <f t="shared" si="140"/>
        <v>6.25</v>
      </c>
      <c r="X1281" s="15">
        <f t="shared" si="141"/>
        <v>6875</v>
      </c>
      <c r="Y1281"/>
      <c r="Z1281"/>
      <c r="AA1281"/>
      <c r="AB1281"/>
      <c r="AC1281"/>
      <c r="AD1281"/>
    </row>
    <row r="1282" spans="2:30">
      <c r="B1282" s="2" t="s">
        <v>270</v>
      </c>
      <c r="C1282" s="2" t="s">
        <v>77</v>
      </c>
      <c r="D1282" s="2" t="s">
        <v>234</v>
      </c>
      <c r="E1282" s="3">
        <v>45339.5</v>
      </c>
      <c r="F1282" s="2" t="s">
        <v>246</v>
      </c>
      <c r="G1282" s="2" t="s">
        <v>407</v>
      </c>
      <c r="H1282" s="2">
        <v>61</v>
      </c>
      <c r="I1282" s="2">
        <v>0</v>
      </c>
      <c r="J1282" s="2">
        <v>20</v>
      </c>
      <c r="K1282" s="2">
        <v>2.97</v>
      </c>
      <c r="L1282" s="2"/>
      <c r="M1282" s="2"/>
      <c r="N1282" s="2" t="s">
        <v>95</v>
      </c>
      <c r="O1282" s="10">
        <v>0</v>
      </c>
      <c r="P1282" s="10">
        <v>0</v>
      </c>
      <c r="Q1282" s="184">
        <v>1</v>
      </c>
      <c r="R1282" s="184">
        <v>0</v>
      </c>
      <c r="S1282" s="178">
        <f t="shared" si="142"/>
        <v>0</v>
      </c>
      <c r="T1282" s="186">
        <f t="shared" si="143"/>
        <v>1</v>
      </c>
      <c r="U1282" s="179">
        <f t="shared" si="144"/>
        <v>1</v>
      </c>
      <c r="V1282" s="1">
        <f t="shared" si="139"/>
        <v>25</v>
      </c>
      <c r="W1282" s="8">
        <f t="shared" si="140"/>
        <v>6.25</v>
      </c>
      <c r="X1282" s="15">
        <f t="shared" si="141"/>
        <v>6881.25</v>
      </c>
      <c r="Y1282"/>
      <c r="Z1282"/>
      <c r="AA1282"/>
      <c r="AB1282"/>
      <c r="AC1282"/>
      <c r="AD1282"/>
    </row>
    <row r="1283" spans="2:30">
      <c r="B1283" s="2" t="s">
        <v>270</v>
      </c>
      <c r="C1283" s="2" t="s">
        <v>6</v>
      </c>
      <c r="D1283" s="2" t="s">
        <v>62</v>
      </c>
      <c r="E1283" s="3">
        <v>45339.520833333336</v>
      </c>
      <c r="F1283" s="2" t="s">
        <v>63</v>
      </c>
      <c r="G1283" s="2" t="s">
        <v>285</v>
      </c>
      <c r="H1283" s="2">
        <v>59</v>
      </c>
      <c r="I1283" s="2">
        <v>0</v>
      </c>
      <c r="J1283" s="2">
        <v>20</v>
      </c>
      <c r="K1283" s="2">
        <v>3.24</v>
      </c>
      <c r="L1283" s="2"/>
      <c r="M1283" s="2"/>
      <c r="N1283" s="2" t="s">
        <v>95</v>
      </c>
      <c r="O1283" s="10">
        <v>0</v>
      </c>
      <c r="P1283" s="10">
        <v>1</v>
      </c>
      <c r="Q1283" s="184">
        <v>1</v>
      </c>
      <c r="R1283" s="184">
        <v>4</v>
      </c>
      <c r="S1283" s="178">
        <f t="shared" si="142"/>
        <v>1</v>
      </c>
      <c r="T1283" s="186">
        <f t="shared" si="143"/>
        <v>5</v>
      </c>
      <c r="U1283" s="179">
        <f t="shared" si="144"/>
        <v>4</v>
      </c>
      <c r="V1283" s="1">
        <f t="shared" si="139"/>
        <v>25</v>
      </c>
      <c r="W1283" s="8">
        <f t="shared" si="140"/>
        <v>6.25</v>
      </c>
      <c r="X1283" s="15">
        <f t="shared" si="141"/>
        <v>6887.5</v>
      </c>
      <c r="Y1283"/>
      <c r="Z1283"/>
      <c r="AA1283"/>
      <c r="AB1283"/>
      <c r="AC1283"/>
      <c r="AD1283"/>
    </row>
    <row r="1284" spans="2:30">
      <c r="B1284" s="2" t="s">
        <v>270</v>
      </c>
      <c r="C1284" s="2" t="s">
        <v>6</v>
      </c>
      <c r="D1284" s="2" t="s">
        <v>7</v>
      </c>
      <c r="E1284" s="3">
        <v>45339.625</v>
      </c>
      <c r="F1284" s="2" t="s">
        <v>27</v>
      </c>
      <c r="G1284" s="2" t="s">
        <v>420</v>
      </c>
      <c r="H1284" s="2">
        <v>73</v>
      </c>
      <c r="I1284" s="2">
        <v>0</v>
      </c>
      <c r="J1284" s="2">
        <v>20</v>
      </c>
      <c r="K1284" s="2">
        <v>2.4700000000000002</v>
      </c>
      <c r="L1284" s="2"/>
      <c r="M1284" s="2"/>
      <c r="N1284" s="2" t="s">
        <v>95</v>
      </c>
      <c r="O1284" s="10">
        <v>1</v>
      </c>
      <c r="P1284" s="10">
        <v>0</v>
      </c>
      <c r="Q1284" s="184">
        <v>1</v>
      </c>
      <c r="R1284" s="184">
        <v>1</v>
      </c>
      <c r="S1284" s="178">
        <f t="shared" si="142"/>
        <v>1</v>
      </c>
      <c r="T1284" s="186">
        <f t="shared" si="143"/>
        <v>2</v>
      </c>
      <c r="U1284" s="179">
        <f t="shared" si="144"/>
        <v>1</v>
      </c>
      <c r="V1284" s="1">
        <f t="shared" si="139"/>
        <v>25</v>
      </c>
      <c r="W1284" s="8">
        <f t="shared" si="140"/>
        <v>6.25</v>
      </c>
      <c r="X1284" s="15">
        <f t="shared" si="141"/>
        <v>6893.75</v>
      </c>
      <c r="Y1284"/>
      <c r="Z1284"/>
      <c r="AA1284"/>
      <c r="AB1284"/>
      <c r="AC1284"/>
      <c r="AD1284"/>
    </row>
    <row r="1285" spans="2:30">
      <c r="B1285" s="2" t="s">
        <v>270</v>
      </c>
      <c r="C1285" s="2" t="s">
        <v>6</v>
      </c>
      <c r="D1285" s="2" t="s">
        <v>11</v>
      </c>
      <c r="E1285" s="3">
        <v>45339.625</v>
      </c>
      <c r="F1285" s="2" t="s">
        <v>231</v>
      </c>
      <c r="G1285" s="2" t="s">
        <v>401</v>
      </c>
      <c r="H1285" s="2">
        <v>59</v>
      </c>
      <c r="I1285" s="2">
        <v>0</v>
      </c>
      <c r="J1285" s="2">
        <v>20</v>
      </c>
      <c r="K1285" s="2">
        <v>2.14</v>
      </c>
      <c r="L1285" s="2"/>
      <c r="M1285" s="2"/>
      <c r="N1285" s="2" t="s">
        <v>95</v>
      </c>
      <c r="O1285" s="10">
        <v>0</v>
      </c>
      <c r="P1285" s="10">
        <v>0</v>
      </c>
      <c r="Q1285" s="184">
        <v>1</v>
      </c>
      <c r="R1285" s="184">
        <v>0</v>
      </c>
      <c r="S1285" s="178">
        <f t="shared" si="142"/>
        <v>0</v>
      </c>
      <c r="T1285" s="186">
        <f t="shared" si="143"/>
        <v>1</v>
      </c>
      <c r="U1285" s="179">
        <f t="shared" si="144"/>
        <v>1</v>
      </c>
      <c r="V1285" s="1">
        <f t="shared" ref="V1285:V1348" si="145">SUM($X$1*0.05)</f>
        <v>25</v>
      </c>
      <c r="W1285" s="8">
        <f t="shared" si="140"/>
        <v>6.25</v>
      </c>
      <c r="X1285" s="15">
        <f t="shared" si="141"/>
        <v>6900</v>
      </c>
      <c r="Y1285"/>
      <c r="Z1285"/>
      <c r="AA1285"/>
      <c r="AB1285"/>
      <c r="AC1285"/>
      <c r="AD1285"/>
    </row>
    <row r="1286" spans="2:30">
      <c r="B1286" s="2" t="s">
        <v>270</v>
      </c>
      <c r="C1286" s="2" t="s">
        <v>6</v>
      </c>
      <c r="D1286" s="2" t="s">
        <v>14</v>
      </c>
      <c r="E1286" s="3">
        <v>45339.625</v>
      </c>
      <c r="F1286" s="2" t="s">
        <v>290</v>
      </c>
      <c r="G1286" s="2" t="s">
        <v>17</v>
      </c>
      <c r="H1286" s="2">
        <v>67</v>
      </c>
      <c r="I1286" s="2">
        <v>0</v>
      </c>
      <c r="J1286" s="2">
        <v>20</v>
      </c>
      <c r="K1286" s="2">
        <v>2.8</v>
      </c>
      <c r="L1286" s="2"/>
      <c r="M1286" s="2"/>
      <c r="N1286" s="2" t="s">
        <v>95</v>
      </c>
      <c r="O1286" s="10">
        <v>0</v>
      </c>
      <c r="P1286" s="10">
        <v>2</v>
      </c>
      <c r="Q1286" s="184">
        <v>1</v>
      </c>
      <c r="R1286" s="184">
        <v>2</v>
      </c>
      <c r="S1286" s="178">
        <f t="shared" si="142"/>
        <v>2</v>
      </c>
      <c r="T1286" s="186">
        <f t="shared" si="143"/>
        <v>3</v>
      </c>
      <c r="U1286" s="179">
        <f t="shared" si="144"/>
        <v>1</v>
      </c>
      <c r="V1286" s="1">
        <f t="shared" si="145"/>
        <v>25</v>
      </c>
      <c r="W1286" s="8">
        <f t="shared" si="140"/>
        <v>6.25</v>
      </c>
      <c r="X1286" s="15">
        <f t="shared" si="141"/>
        <v>6906.25</v>
      </c>
      <c r="Y1286"/>
      <c r="Z1286"/>
      <c r="AA1286"/>
      <c r="AB1286"/>
      <c r="AC1286"/>
      <c r="AD1286"/>
    </row>
    <row r="1287" spans="2:30">
      <c r="B1287" s="2" t="s">
        <v>270</v>
      </c>
      <c r="C1287" s="2" t="s">
        <v>6</v>
      </c>
      <c r="D1287" s="2" t="s">
        <v>11</v>
      </c>
      <c r="E1287" s="3">
        <v>45339.625</v>
      </c>
      <c r="F1287" s="2" t="s">
        <v>286</v>
      </c>
      <c r="G1287" s="2" t="s">
        <v>303</v>
      </c>
      <c r="H1287" s="2">
        <v>61</v>
      </c>
      <c r="I1287" s="2">
        <v>0</v>
      </c>
      <c r="J1287" s="2">
        <v>20</v>
      </c>
      <c r="K1287" s="2">
        <v>1.95</v>
      </c>
      <c r="L1287" s="2"/>
      <c r="M1287" s="2"/>
      <c r="N1287" s="2" t="s">
        <v>95</v>
      </c>
      <c r="O1287" s="10">
        <v>2</v>
      </c>
      <c r="P1287" s="10">
        <v>0</v>
      </c>
      <c r="Q1287" s="184">
        <v>3</v>
      </c>
      <c r="R1287" s="184">
        <v>1</v>
      </c>
      <c r="S1287" s="178">
        <f t="shared" si="142"/>
        <v>2</v>
      </c>
      <c r="T1287" s="186">
        <f t="shared" si="143"/>
        <v>4</v>
      </c>
      <c r="U1287" s="179">
        <f t="shared" si="144"/>
        <v>2</v>
      </c>
      <c r="V1287" s="1">
        <f t="shared" si="145"/>
        <v>25</v>
      </c>
      <c r="W1287" s="8">
        <f t="shared" si="140"/>
        <v>6.25</v>
      </c>
      <c r="X1287" s="15">
        <f t="shared" si="141"/>
        <v>6912.5</v>
      </c>
      <c r="Y1287"/>
      <c r="Z1287"/>
      <c r="AA1287"/>
      <c r="AB1287"/>
      <c r="AC1287"/>
      <c r="AD1287"/>
    </row>
    <row r="1288" spans="2:30">
      <c r="B1288" s="2" t="s">
        <v>270</v>
      </c>
      <c r="C1288" s="2" t="s">
        <v>6</v>
      </c>
      <c r="D1288" s="2" t="s">
        <v>62</v>
      </c>
      <c r="E1288" s="3">
        <v>45339.625</v>
      </c>
      <c r="F1288" s="2" t="s">
        <v>264</v>
      </c>
      <c r="G1288" s="2" t="s">
        <v>74</v>
      </c>
      <c r="H1288" s="2">
        <v>65</v>
      </c>
      <c r="I1288" s="2">
        <v>0</v>
      </c>
      <c r="J1288" s="2">
        <v>20</v>
      </c>
      <c r="K1288" s="2">
        <v>2.83</v>
      </c>
      <c r="L1288" s="2"/>
      <c r="M1288" s="2"/>
      <c r="N1288" s="2" t="s">
        <v>95</v>
      </c>
      <c r="O1288" s="10">
        <v>1</v>
      </c>
      <c r="P1288" s="10">
        <v>0</v>
      </c>
      <c r="Q1288" s="184">
        <v>2</v>
      </c>
      <c r="R1288" s="184">
        <v>0</v>
      </c>
      <c r="S1288" s="178">
        <f t="shared" si="142"/>
        <v>1</v>
      </c>
      <c r="T1288" s="186">
        <f t="shared" si="143"/>
        <v>2</v>
      </c>
      <c r="U1288" s="179">
        <f t="shared" si="144"/>
        <v>1</v>
      </c>
      <c r="V1288" s="1">
        <f t="shared" si="145"/>
        <v>25</v>
      </c>
      <c r="W1288" s="8">
        <f t="shared" si="140"/>
        <v>6.25</v>
      </c>
      <c r="X1288" s="15">
        <f t="shared" si="141"/>
        <v>6918.75</v>
      </c>
      <c r="Y1288"/>
      <c r="Z1288"/>
      <c r="AA1288"/>
      <c r="AB1288"/>
      <c r="AC1288"/>
      <c r="AD1288"/>
    </row>
    <row r="1289" spans="2:30">
      <c r="B1289" s="2" t="s">
        <v>270</v>
      </c>
      <c r="C1289" s="2" t="s">
        <v>6</v>
      </c>
      <c r="D1289" s="2" t="s">
        <v>14</v>
      </c>
      <c r="E1289" s="3">
        <v>45339.625</v>
      </c>
      <c r="F1289" s="2" t="s">
        <v>200</v>
      </c>
      <c r="G1289" s="2" t="s">
        <v>428</v>
      </c>
      <c r="H1289" s="2">
        <v>60</v>
      </c>
      <c r="I1289" s="2">
        <v>0</v>
      </c>
      <c r="J1289" s="2">
        <v>20</v>
      </c>
      <c r="K1289" s="2">
        <v>2.59</v>
      </c>
      <c r="L1289" s="2"/>
      <c r="M1289" s="2"/>
      <c r="N1289" s="2" t="s">
        <v>95</v>
      </c>
      <c r="O1289" s="10">
        <v>2</v>
      </c>
      <c r="P1289" s="10">
        <v>2</v>
      </c>
      <c r="Q1289" s="184">
        <v>2</v>
      </c>
      <c r="R1289" s="184">
        <v>2</v>
      </c>
      <c r="S1289" s="178">
        <f t="shared" si="142"/>
        <v>4</v>
      </c>
      <c r="T1289" s="186">
        <f t="shared" si="143"/>
        <v>4</v>
      </c>
      <c r="U1289" s="179">
        <f t="shared" si="144"/>
        <v>0</v>
      </c>
      <c r="V1289" s="1">
        <f t="shared" si="145"/>
        <v>25</v>
      </c>
      <c r="W1289" s="8">
        <f t="shared" si="140"/>
        <v>6.25</v>
      </c>
      <c r="X1289" s="15">
        <f t="shared" si="141"/>
        <v>6925</v>
      </c>
      <c r="Y1289"/>
      <c r="Z1289"/>
      <c r="AA1289"/>
      <c r="AB1289"/>
      <c r="AC1289"/>
      <c r="AD1289"/>
    </row>
    <row r="1290" spans="2:30">
      <c r="B1290" s="2" t="s">
        <v>270</v>
      </c>
      <c r="C1290" s="2" t="s">
        <v>80</v>
      </c>
      <c r="D1290" s="2" t="s">
        <v>81</v>
      </c>
      <c r="E1290" s="3">
        <v>45340.541666666664</v>
      </c>
      <c r="F1290" s="2" t="s">
        <v>312</v>
      </c>
      <c r="G1290" s="2" t="s">
        <v>320</v>
      </c>
      <c r="H1290" s="2">
        <v>61</v>
      </c>
      <c r="I1290" s="2">
        <v>0</v>
      </c>
      <c r="J1290" s="2">
        <v>20</v>
      </c>
      <c r="K1290" s="2">
        <v>1.68</v>
      </c>
      <c r="L1290" s="2"/>
      <c r="M1290" s="2"/>
      <c r="N1290" s="2" t="s">
        <v>95</v>
      </c>
      <c r="O1290" s="10">
        <v>0</v>
      </c>
      <c r="P1290" s="10">
        <v>0</v>
      </c>
      <c r="Q1290" s="184">
        <v>1</v>
      </c>
      <c r="R1290" s="184">
        <v>1</v>
      </c>
      <c r="S1290" s="178">
        <f t="shared" si="142"/>
        <v>0</v>
      </c>
      <c r="T1290" s="186">
        <f t="shared" si="143"/>
        <v>2</v>
      </c>
      <c r="U1290" s="179">
        <f t="shared" si="144"/>
        <v>2</v>
      </c>
      <c r="V1290" s="1">
        <f t="shared" si="145"/>
        <v>25</v>
      </c>
      <c r="W1290" s="8">
        <f t="shared" si="140"/>
        <v>6.25</v>
      </c>
      <c r="X1290" s="15">
        <f t="shared" si="141"/>
        <v>6931.25</v>
      </c>
      <c r="Y1290"/>
      <c r="Z1290"/>
      <c r="AA1290"/>
      <c r="AB1290"/>
      <c r="AC1290"/>
      <c r="AD1290"/>
    </row>
    <row r="1291" spans="2:30">
      <c r="B1291" s="2" t="s">
        <v>270</v>
      </c>
      <c r="C1291" s="2" t="s">
        <v>296</v>
      </c>
      <c r="D1291" s="2" t="s">
        <v>78</v>
      </c>
      <c r="E1291" s="3">
        <v>45340.645833333336</v>
      </c>
      <c r="F1291" s="2" t="s">
        <v>298</v>
      </c>
      <c r="G1291" s="2" t="s">
        <v>368</v>
      </c>
      <c r="H1291" s="2">
        <v>68</v>
      </c>
      <c r="I1291" s="2">
        <v>0</v>
      </c>
      <c r="J1291" s="2">
        <v>20</v>
      </c>
      <c r="K1291" s="2">
        <v>1.17</v>
      </c>
      <c r="L1291" s="2"/>
      <c r="M1291" s="2"/>
      <c r="N1291" s="2" t="s">
        <v>95</v>
      </c>
      <c r="O1291" s="10">
        <v>0</v>
      </c>
      <c r="P1291" s="10">
        <v>1</v>
      </c>
      <c r="Q1291" s="184">
        <v>2</v>
      </c>
      <c r="R1291" s="184">
        <v>1</v>
      </c>
      <c r="S1291" s="178">
        <f t="shared" si="142"/>
        <v>1</v>
      </c>
      <c r="T1291" s="186">
        <f t="shared" si="143"/>
        <v>3</v>
      </c>
      <c r="U1291" s="179">
        <f t="shared" si="144"/>
        <v>2</v>
      </c>
      <c r="V1291" s="1">
        <f t="shared" si="145"/>
        <v>25</v>
      </c>
      <c r="W1291" s="8">
        <f t="shared" si="140"/>
        <v>6.25</v>
      </c>
      <c r="X1291" s="15">
        <f t="shared" si="141"/>
        <v>6937.5</v>
      </c>
      <c r="Y1291"/>
      <c r="Z1291"/>
      <c r="AA1291"/>
      <c r="AB1291"/>
      <c r="AC1291"/>
      <c r="AD1291"/>
    </row>
    <row r="1292" spans="2:30">
      <c r="B1292" s="2" t="s">
        <v>270</v>
      </c>
      <c r="C1292" s="2" t="s">
        <v>434</v>
      </c>
      <c r="D1292" s="2" t="s">
        <v>435</v>
      </c>
      <c r="E1292" s="3">
        <v>45340.708333333336</v>
      </c>
      <c r="F1292" s="2" t="s">
        <v>436</v>
      </c>
      <c r="G1292" s="2" t="s">
        <v>437</v>
      </c>
      <c r="H1292" s="2">
        <v>64</v>
      </c>
      <c r="I1292" s="2">
        <v>0</v>
      </c>
      <c r="J1292" s="2">
        <v>20</v>
      </c>
      <c r="K1292" s="2">
        <v>1.4</v>
      </c>
      <c r="L1292" s="2"/>
      <c r="M1292" s="2"/>
      <c r="N1292" s="2" t="s">
        <v>95</v>
      </c>
      <c r="O1292" s="10">
        <v>1</v>
      </c>
      <c r="P1292" s="10">
        <v>0</v>
      </c>
      <c r="Q1292" s="184">
        <v>1</v>
      </c>
      <c r="R1292" s="184">
        <v>0</v>
      </c>
      <c r="S1292" s="178">
        <f t="shared" si="142"/>
        <v>1</v>
      </c>
      <c r="T1292" s="186">
        <f t="shared" si="143"/>
        <v>1</v>
      </c>
      <c r="U1292" s="179">
        <f t="shared" si="144"/>
        <v>0</v>
      </c>
      <c r="V1292" s="1">
        <f t="shared" si="145"/>
        <v>25</v>
      </c>
      <c r="W1292" s="8">
        <f t="shared" si="140"/>
        <v>6.25</v>
      </c>
      <c r="X1292" s="15">
        <f t="shared" si="141"/>
        <v>6943.75</v>
      </c>
      <c r="Y1292"/>
      <c r="Z1292"/>
      <c r="AA1292"/>
      <c r="AB1292"/>
      <c r="AC1292"/>
      <c r="AD1292"/>
    </row>
    <row r="1293" spans="2:30">
      <c r="B1293" s="2" t="s">
        <v>270</v>
      </c>
      <c r="C1293" s="2" t="s">
        <v>58</v>
      </c>
      <c r="D1293" s="2" t="s">
        <v>59</v>
      </c>
      <c r="E1293" s="3">
        <v>45340.854166666664</v>
      </c>
      <c r="F1293" s="2" t="s">
        <v>112</v>
      </c>
      <c r="G1293" s="2" t="s">
        <v>106</v>
      </c>
      <c r="H1293" s="2">
        <v>59</v>
      </c>
      <c r="I1293" s="2">
        <v>0</v>
      </c>
      <c r="J1293" s="2">
        <v>20</v>
      </c>
      <c r="K1293" s="2">
        <v>2.4700000000000002</v>
      </c>
      <c r="L1293" s="2"/>
      <c r="M1293" s="2"/>
      <c r="N1293" s="2" t="s">
        <v>95</v>
      </c>
      <c r="O1293" s="10">
        <v>0</v>
      </c>
      <c r="P1293" s="10">
        <v>0</v>
      </c>
      <c r="Q1293" s="184">
        <v>2</v>
      </c>
      <c r="R1293" s="184">
        <v>1</v>
      </c>
      <c r="S1293" s="178">
        <f t="shared" si="142"/>
        <v>0</v>
      </c>
      <c r="T1293" s="186">
        <f t="shared" si="143"/>
        <v>3</v>
      </c>
      <c r="U1293" s="179">
        <f t="shared" si="144"/>
        <v>3</v>
      </c>
      <c r="V1293" s="1">
        <f t="shared" si="145"/>
        <v>25</v>
      </c>
      <c r="W1293" s="8">
        <f t="shared" si="140"/>
        <v>6.25</v>
      </c>
      <c r="X1293" s="15">
        <f t="shared" si="141"/>
        <v>6950</v>
      </c>
      <c r="Y1293"/>
      <c r="Z1293"/>
      <c r="AA1293"/>
      <c r="AB1293"/>
      <c r="AC1293"/>
      <c r="AD1293"/>
    </row>
    <row r="1294" spans="2:30">
      <c r="B1294" s="2" t="s">
        <v>270</v>
      </c>
      <c r="C1294" s="2" t="s">
        <v>6</v>
      </c>
      <c r="D1294" s="2" t="s">
        <v>7</v>
      </c>
      <c r="E1294" s="3">
        <v>45342.822916666664</v>
      </c>
      <c r="F1294" s="2" t="s">
        <v>26</v>
      </c>
      <c r="G1294" s="2" t="s">
        <v>55</v>
      </c>
      <c r="H1294" s="2">
        <v>62</v>
      </c>
      <c r="I1294" s="2">
        <v>0</v>
      </c>
      <c r="J1294" s="2">
        <v>20</v>
      </c>
      <c r="K1294" s="2">
        <v>2.57</v>
      </c>
      <c r="L1294" s="2"/>
      <c r="M1294" s="2"/>
      <c r="N1294" s="2" t="s">
        <v>95</v>
      </c>
      <c r="O1294" s="10">
        <v>0</v>
      </c>
      <c r="P1294" s="10">
        <v>0</v>
      </c>
      <c r="Q1294" s="184">
        <v>0</v>
      </c>
      <c r="R1294" s="184">
        <v>1</v>
      </c>
      <c r="S1294" s="178">
        <f t="shared" si="142"/>
        <v>0</v>
      </c>
      <c r="T1294" s="186">
        <f t="shared" si="143"/>
        <v>1</v>
      </c>
      <c r="U1294" s="179">
        <f t="shared" si="144"/>
        <v>1</v>
      </c>
      <c r="V1294" s="1">
        <f t="shared" si="145"/>
        <v>25</v>
      </c>
      <c r="W1294" s="8">
        <f t="shared" si="140"/>
        <v>6.25</v>
      </c>
      <c r="X1294" s="15">
        <f t="shared" si="141"/>
        <v>6956.25</v>
      </c>
      <c r="Y1294"/>
      <c r="Z1294"/>
      <c r="AA1294"/>
      <c r="AB1294"/>
      <c r="AC1294"/>
      <c r="AD1294"/>
    </row>
    <row r="1295" spans="2:30">
      <c r="B1295" s="2" t="s">
        <v>270</v>
      </c>
      <c r="C1295" s="2" t="s">
        <v>6</v>
      </c>
      <c r="D1295" s="2" t="s">
        <v>14</v>
      </c>
      <c r="E1295" s="3">
        <v>45342.822916666664</v>
      </c>
      <c r="F1295" s="2" t="s">
        <v>56</v>
      </c>
      <c r="G1295" s="2" t="s">
        <v>387</v>
      </c>
      <c r="H1295" s="2">
        <v>66</v>
      </c>
      <c r="I1295" s="2">
        <v>0</v>
      </c>
      <c r="J1295" s="2">
        <v>20</v>
      </c>
      <c r="K1295" s="2">
        <v>2.2400000000000002</v>
      </c>
      <c r="L1295" s="2"/>
      <c r="M1295" s="2"/>
      <c r="N1295" s="2" t="s">
        <v>95</v>
      </c>
      <c r="O1295" s="10">
        <v>0</v>
      </c>
      <c r="P1295" s="10">
        <v>2</v>
      </c>
      <c r="Q1295" s="184">
        <v>1</v>
      </c>
      <c r="R1295" s="184">
        <v>2</v>
      </c>
      <c r="S1295" s="178">
        <f t="shared" si="142"/>
        <v>2</v>
      </c>
      <c r="T1295" s="186">
        <f t="shared" si="143"/>
        <v>3</v>
      </c>
      <c r="U1295" s="179">
        <f t="shared" si="144"/>
        <v>1</v>
      </c>
      <c r="V1295" s="1">
        <f t="shared" si="145"/>
        <v>25</v>
      </c>
      <c r="W1295" s="8">
        <f t="shared" si="140"/>
        <v>6.25</v>
      </c>
      <c r="X1295" s="15">
        <f t="shared" si="141"/>
        <v>6962.5</v>
      </c>
      <c r="Y1295"/>
      <c r="Z1295"/>
      <c r="AA1295"/>
      <c r="AB1295"/>
      <c r="AC1295"/>
      <c r="AD1295"/>
    </row>
    <row r="1296" spans="2:30">
      <c r="B1296" s="163" t="s">
        <v>270</v>
      </c>
      <c r="C1296" s="2" t="s">
        <v>149</v>
      </c>
      <c r="D1296" s="2" t="s">
        <v>150</v>
      </c>
      <c r="E1296" s="3">
        <v>45345.791666666664</v>
      </c>
      <c r="F1296" s="2" t="s">
        <v>178</v>
      </c>
      <c r="G1296" s="2" t="s">
        <v>152</v>
      </c>
      <c r="H1296" s="2">
        <v>61</v>
      </c>
      <c r="I1296" s="2">
        <v>0</v>
      </c>
      <c r="J1296" s="2">
        <v>20</v>
      </c>
      <c r="K1296" s="2">
        <v>1.42</v>
      </c>
      <c r="L1296" s="2"/>
      <c r="M1296" s="2"/>
      <c r="N1296" s="2" t="s">
        <v>95</v>
      </c>
      <c r="O1296" s="10">
        <v>1</v>
      </c>
      <c r="P1296" s="10">
        <v>0</v>
      </c>
      <c r="Q1296" s="184">
        <v>2</v>
      </c>
      <c r="R1296" s="184">
        <v>2</v>
      </c>
      <c r="S1296" s="178">
        <f t="shared" si="142"/>
        <v>1</v>
      </c>
      <c r="T1296" s="186">
        <f t="shared" si="143"/>
        <v>4</v>
      </c>
      <c r="U1296" s="179">
        <f t="shared" si="144"/>
        <v>3</v>
      </c>
      <c r="V1296" s="1">
        <f t="shared" si="145"/>
        <v>25</v>
      </c>
      <c r="W1296" s="8">
        <f t="shared" si="140"/>
        <v>6.25</v>
      </c>
      <c r="X1296" s="15">
        <f t="shared" si="141"/>
        <v>6968.75</v>
      </c>
      <c r="Y1296"/>
      <c r="Z1296"/>
      <c r="AA1296"/>
      <c r="AB1296"/>
      <c r="AC1296"/>
      <c r="AD1296"/>
    </row>
    <row r="1297" spans="2:30">
      <c r="B1297" s="2" t="s">
        <v>270</v>
      </c>
      <c r="C1297" s="2" t="s">
        <v>149</v>
      </c>
      <c r="D1297" s="2" t="s">
        <v>153</v>
      </c>
      <c r="E1297" s="3">
        <v>45345.791666666664</v>
      </c>
      <c r="F1297" s="2" t="s">
        <v>250</v>
      </c>
      <c r="G1297" s="2" t="s">
        <v>155</v>
      </c>
      <c r="H1297" s="2">
        <v>61</v>
      </c>
      <c r="I1297" s="2">
        <v>0</v>
      </c>
      <c r="J1297" s="2">
        <v>20</v>
      </c>
      <c r="K1297" s="2">
        <v>3.07</v>
      </c>
      <c r="L1297" s="2"/>
      <c r="M1297" s="2"/>
      <c r="N1297" s="2" t="s">
        <v>95</v>
      </c>
      <c r="O1297" s="10">
        <v>0</v>
      </c>
      <c r="P1297" s="10">
        <v>0</v>
      </c>
      <c r="Q1297" s="184">
        <v>1</v>
      </c>
      <c r="R1297" s="184">
        <v>0</v>
      </c>
      <c r="S1297" s="178">
        <f t="shared" si="142"/>
        <v>0</v>
      </c>
      <c r="T1297" s="186">
        <f t="shared" si="143"/>
        <v>1</v>
      </c>
      <c r="U1297" s="179">
        <f t="shared" si="144"/>
        <v>1</v>
      </c>
      <c r="V1297" s="1">
        <f t="shared" si="145"/>
        <v>25</v>
      </c>
      <c r="W1297" s="8">
        <f t="shared" si="140"/>
        <v>6.25</v>
      </c>
      <c r="X1297" s="15">
        <f t="shared" si="141"/>
        <v>6975</v>
      </c>
      <c r="Y1297"/>
      <c r="Z1297"/>
      <c r="AA1297"/>
      <c r="AB1297"/>
      <c r="AC1297"/>
      <c r="AD1297"/>
    </row>
    <row r="1298" spans="2:30">
      <c r="B1298" s="2" t="s">
        <v>270</v>
      </c>
      <c r="C1298" s="2" t="s">
        <v>67</v>
      </c>
      <c r="D1298" s="2" t="s">
        <v>169</v>
      </c>
      <c r="E1298" s="3">
        <v>45345.791666666664</v>
      </c>
      <c r="F1298" s="2" t="s">
        <v>255</v>
      </c>
      <c r="G1298" s="2" t="s">
        <v>171</v>
      </c>
      <c r="H1298" s="2">
        <v>63</v>
      </c>
      <c r="I1298" s="2">
        <v>0</v>
      </c>
      <c r="J1298" s="2">
        <v>20</v>
      </c>
      <c r="K1298" s="2">
        <v>1.31</v>
      </c>
      <c r="L1298" s="2"/>
      <c r="M1298" s="2"/>
      <c r="N1298" s="2" t="s">
        <v>95</v>
      </c>
      <c r="O1298" s="10">
        <v>0</v>
      </c>
      <c r="P1298" s="10">
        <v>0</v>
      </c>
      <c r="Q1298" s="184">
        <v>2</v>
      </c>
      <c r="R1298" s="184">
        <v>2</v>
      </c>
      <c r="S1298" s="178">
        <f t="shared" si="142"/>
        <v>0</v>
      </c>
      <c r="T1298" s="186">
        <f t="shared" si="143"/>
        <v>4</v>
      </c>
      <c r="U1298" s="179">
        <f t="shared" si="144"/>
        <v>4</v>
      </c>
      <c r="V1298" s="1">
        <f t="shared" si="145"/>
        <v>25</v>
      </c>
      <c r="W1298" s="8">
        <f t="shared" si="140"/>
        <v>6.25</v>
      </c>
      <c r="X1298" s="15">
        <f t="shared" si="141"/>
        <v>6981.25</v>
      </c>
      <c r="Y1298"/>
      <c r="Z1298"/>
      <c r="AA1298"/>
      <c r="AB1298"/>
      <c r="AC1298"/>
      <c r="AD1298"/>
    </row>
    <row r="1299" spans="2:30">
      <c r="B1299" s="2" t="s">
        <v>270</v>
      </c>
      <c r="C1299" s="2" t="s">
        <v>67</v>
      </c>
      <c r="D1299" s="2" t="s">
        <v>68</v>
      </c>
      <c r="E1299" s="3">
        <v>45345.822916666664</v>
      </c>
      <c r="F1299" s="2" t="s">
        <v>69</v>
      </c>
      <c r="G1299" s="2" t="s">
        <v>343</v>
      </c>
      <c r="H1299" s="2">
        <v>67</v>
      </c>
      <c r="I1299" s="2">
        <v>0</v>
      </c>
      <c r="J1299" s="2">
        <v>20</v>
      </c>
      <c r="K1299" s="2">
        <v>2.29</v>
      </c>
      <c r="L1299" s="2"/>
      <c r="M1299" s="2"/>
      <c r="N1299" s="2" t="s">
        <v>95</v>
      </c>
      <c r="O1299" s="10">
        <v>0</v>
      </c>
      <c r="P1299" s="10">
        <v>0</v>
      </c>
      <c r="Q1299" s="184">
        <v>0</v>
      </c>
      <c r="R1299" s="184">
        <v>1</v>
      </c>
      <c r="S1299" s="178">
        <f t="shared" si="142"/>
        <v>0</v>
      </c>
      <c r="T1299" s="186">
        <f t="shared" si="143"/>
        <v>1</v>
      </c>
      <c r="U1299" s="179">
        <f t="shared" si="144"/>
        <v>1</v>
      </c>
      <c r="V1299" s="1">
        <f t="shared" si="145"/>
        <v>25</v>
      </c>
      <c r="W1299" s="8">
        <f t="shared" si="140"/>
        <v>6.25</v>
      </c>
      <c r="X1299" s="15">
        <f t="shared" si="141"/>
        <v>6987.5</v>
      </c>
      <c r="Y1299"/>
      <c r="Z1299"/>
      <c r="AA1299"/>
      <c r="AB1299"/>
      <c r="AC1299"/>
      <c r="AD1299"/>
    </row>
    <row r="1300" spans="2:30">
      <c r="B1300" s="2" t="s">
        <v>270</v>
      </c>
      <c r="C1300" s="2" t="s">
        <v>44</v>
      </c>
      <c r="D1300" s="2" t="s">
        <v>45</v>
      </c>
      <c r="E1300" s="3">
        <v>45346.270833333336</v>
      </c>
      <c r="F1300" s="2" t="s">
        <v>46</v>
      </c>
      <c r="G1300" s="2" t="s">
        <v>126</v>
      </c>
      <c r="H1300" s="2">
        <v>61</v>
      </c>
      <c r="I1300" s="2">
        <v>0</v>
      </c>
      <c r="J1300" s="2">
        <v>20</v>
      </c>
      <c r="K1300" s="2">
        <v>2.6</v>
      </c>
      <c r="L1300" s="2"/>
      <c r="M1300" s="2"/>
      <c r="N1300" s="2" t="s">
        <v>95</v>
      </c>
      <c r="O1300" s="10">
        <v>1</v>
      </c>
      <c r="P1300" s="10">
        <v>0</v>
      </c>
      <c r="Q1300" s="184">
        <v>1</v>
      </c>
      <c r="R1300" s="184">
        <v>1</v>
      </c>
      <c r="S1300" s="178">
        <f t="shared" si="142"/>
        <v>1</v>
      </c>
      <c r="T1300" s="186">
        <f t="shared" si="143"/>
        <v>2</v>
      </c>
      <c r="U1300" s="179">
        <f t="shared" si="144"/>
        <v>1</v>
      </c>
      <c r="V1300" s="1">
        <f t="shared" si="145"/>
        <v>25</v>
      </c>
      <c r="W1300" s="8">
        <f t="shared" si="140"/>
        <v>6.25</v>
      </c>
      <c r="X1300" s="15">
        <f t="shared" si="141"/>
        <v>6993.75</v>
      </c>
      <c r="Y1300"/>
      <c r="Z1300"/>
      <c r="AA1300"/>
      <c r="AB1300"/>
      <c r="AC1300"/>
      <c r="AD1300"/>
    </row>
    <row r="1301" spans="2:30">
      <c r="B1301" s="2" t="s">
        <v>270</v>
      </c>
      <c r="C1301" s="2" t="s">
        <v>6</v>
      </c>
      <c r="D1301" s="2" t="s">
        <v>14</v>
      </c>
      <c r="E1301" s="3">
        <v>45346.520833333336</v>
      </c>
      <c r="F1301" s="2" t="s">
        <v>387</v>
      </c>
      <c r="G1301" s="2" t="s">
        <v>414</v>
      </c>
      <c r="H1301" s="2">
        <v>61</v>
      </c>
      <c r="I1301" s="2">
        <v>0</v>
      </c>
      <c r="J1301" s="2">
        <v>20</v>
      </c>
      <c r="K1301" s="2">
        <v>2.13</v>
      </c>
      <c r="L1301" s="2"/>
      <c r="M1301" s="2"/>
      <c r="N1301" s="2" t="s">
        <v>95</v>
      </c>
      <c r="O1301" s="10">
        <v>1</v>
      </c>
      <c r="P1301" s="10">
        <v>1</v>
      </c>
      <c r="Q1301" s="184">
        <v>1</v>
      </c>
      <c r="R1301" s="184">
        <v>1</v>
      </c>
      <c r="S1301" s="178">
        <f t="shared" si="142"/>
        <v>2</v>
      </c>
      <c r="T1301" s="186">
        <f t="shared" si="143"/>
        <v>2</v>
      </c>
      <c r="U1301" s="179">
        <f t="shared" si="144"/>
        <v>0</v>
      </c>
      <c r="V1301" s="1">
        <f t="shared" si="145"/>
        <v>25</v>
      </c>
      <c r="W1301" s="8">
        <f t="shared" si="140"/>
        <v>6.25</v>
      </c>
      <c r="X1301" s="15">
        <f t="shared" si="141"/>
        <v>7000</v>
      </c>
      <c r="Y1301"/>
      <c r="Z1301"/>
      <c r="AA1301"/>
      <c r="AB1301"/>
      <c r="AC1301"/>
      <c r="AD1301"/>
    </row>
    <row r="1302" spans="2:30">
      <c r="B1302" s="2" t="s">
        <v>270</v>
      </c>
      <c r="C1302" s="2" t="s">
        <v>20</v>
      </c>
      <c r="D1302" s="2" t="s">
        <v>322</v>
      </c>
      <c r="E1302" s="3">
        <v>45346.541666666664</v>
      </c>
      <c r="F1302" s="2" t="s">
        <v>454</v>
      </c>
      <c r="G1302" s="2" t="s">
        <v>334</v>
      </c>
      <c r="H1302" s="2">
        <v>62</v>
      </c>
      <c r="I1302" s="2">
        <v>0</v>
      </c>
      <c r="J1302" s="2">
        <v>20</v>
      </c>
      <c r="K1302" s="2">
        <v>2.21</v>
      </c>
      <c r="L1302" s="2"/>
      <c r="M1302" s="2"/>
      <c r="N1302" s="2" t="s">
        <v>95</v>
      </c>
      <c r="O1302" s="10">
        <v>0</v>
      </c>
      <c r="P1302" s="10">
        <v>2</v>
      </c>
      <c r="Q1302" s="184">
        <v>2</v>
      </c>
      <c r="R1302" s="184">
        <v>2</v>
      </c>
      <c r="S1302" s="178">
        <f t="shared" si="142"/>
        <v>2</v>
      </c>
      <c r="T1302" s="186">
        <f t="shared" si="143"/>
        <v>4</v>
      </c>
      <c r="U1302" s="179">
        <f t="shared" si="144"/>
        <v>2</v>
      </c>
      <c r="V1302" s="1">
        <f t="shared" si="145"/>
        <v>25</v>
      </c>
      <c r="W1302" s="8">
        <f t="shared" ref="W1302:W1365" si="146">IF(N1302="won",V1302*0.25,-V1302)</f>
        <v>6.25</v>
      </c>
      <c r="X1302" s="15">
        <f t="shared" ref="X1302:X1365" si="147">SUM(X1301,W1302)</f>
        <v>7006.25</v>
      </c>
      <c r="Y1302"/>
      <c r="Z1302"/>
      <c r="AA1302"/>
      <c r="AB1302"/>
      <c r="AC1302"/>
      <c r="AD1302"/>
    </row>
    <row r="1303" spans="2:30">
      <c r="B1303" s="2" t="s">
        <v>270</v>
      </c>
      <c r="C1303" s="2" t="s">
        <v>20</v>
      </c>
      <c r="D1303" s="2" t="s">
        <v>322</v>
      </c>
      <c r="E1303" s="3">
        <v>45346.541666666664</v>
      </c>
      <c r="F1303" s="2" t="s">
        <v>356</v>
      </c>
      <c r="G1303" s="2" t="s">
        <v>422</v>
      </c>
      <c r="H1303" s="2">
        <v>61</v>
      </c>
      <c r="I1303" s="2">
        <v>0</v>
      </c>
      <c r="J1303" s="2">
        <v>20</v>
      </c>
      <c r="K1303" s="2">
        <v>2.2599999999999998</v>
      </c>
      <c r="L1303" s="2"/>
      <c r="M1303" s="2"/>
      <c r="N1303" s="2" t="s">
        <v>95</v>
      </c>
      <c r="O1303" s="10">
        <v>0</v>
      </c>
      <c r="P1303" s="10">
        <v>1</v>
      </c>
      <c r="Q1303" s="184">
        <v>0</v>
      </c>
      <c r="R1303" s="184">
        <v>1</v>
      </c>
      <c r="S1303" s="178">
        <f t="shared" si="142"/>
        <v>1</v>
      </c>
      <c r="T1303" s="186">
        <f t="shared" si="143"/>
        <v>1</v>
      </c>
      <c r="U1303" s="179">
        <f t="shared" si="144"/>
        <v>0</v>
      </c>
      <c r="V1303" s="1">
        <f t="shared" si="145"/>
        <v>25</v>
      </c>
      <c r="W1303" s="8">
        <f t="shared" si="146"/>
        <v>6.25</v>
      </c>
      <c r="X1303" s="15">
        <f t="shared" si="147"/>
        <v>7012.5</v>
      </c>
      <c r="Y1303"/>
      <c r="Z1303"/>
      <c r="AA1303"/>
      <c r="AB1303"/>
      <c r="AC1303"/>
      <c r="AD1303"/>
    </row>
    <row r="1304" spans="2:30">
      <c r="B1304" s="163" t="s">
        <v>270</v>
      </c>
      <c r="C1304" s="2" t="s">
        <v>77</v>
      </c>
      <c r="D1304" s="2" t="s">
        <v>156</v>
      </c>
      <c r="E1304" s="3">
        <v>45346.729166666664</v>
      </c>
      <c r="F1304" s="2" t="s">
        <v>157</v>
      </c>
      <c r="G1304" s="2" t="s">
        <v>181</v>
      </c>
      <c r="H1304" s="2">
        <v>63</v>
      </c>
      <c r="I1304" s="2">
        <v>0</v>
      </c>
      <c r="J1304" s="2">
        <v>20</v>
      </c>
      <c r="K1304" s="2">
        <v>3.28</v>
      </c>
      <c r="L1304" s="2"/>
      <c r="M1304" s="2"/>
      <c r="N1304" s="2" t="s">
        <v>95</v>
      </c>
      <c r="O1304" s="10">
        <v>0</v>
      </c>
      <c r="P1304" s="10">
        <v>0</v>
      </c>
      <c r="Q1304" s="184">
        <v>2</v>
      </c>
      <c r="R1304" s="184">
        <v>1</v>
      </c>
      <c r="S1304" s="178">
        <f t="shared" si="142"/>
        <v>0</v>
      </c>
      <c r="T1304" s="186">
        <f t="shared" si="143"/>
        <v>3</v>
      </c>
      <c r="U1304" s="179">
        <f t="shared" si="144"/>
        <v>3</v>
      </c>
      <c r="V1304" s="1">
        <f t="shared" si="145"/>
        <v>25</v>
      </c>
      <c r="W1304" s="8">
        <f t="shared" si="146"/>
        <v>6.25</v>
      </c>
      <c r="X1304" s="15">
        <f t="shared" si="147"/>
        <v>7018.75</v>
      </c>
      <c r="Y1304"/>
      <c r="Z1304"/>
      <c r="AA1304"/>
      <c r="AB1304"/>
      <c r="AC1304"/>
      <c r="AD1304"/>
    </row>
    <row r="1305" spans="2:30">
      <c r="B1305" s="2" t="s">
        <v>270</v>
      </c>
      <c r="C1305" s="2" t="s">
        <v>67</v>
      </c>
      <c r="D1305" s="2" t="s">
        <v>169</v>
      </c>
      <c r="E1305" s="3">
        <v>45346.791666666664</v>
      </c>
      <c r="F1305" s="2" t="s">
        <v>372</v>
      </c>
      <c r="G1305" s="2" t="s">
        <v>283</v>
      </c>
      <c r="H1305" s="2">
        <v>62</v>
      </c>
      <c r="I1305" s="2">
        <v>0</v>
      </c>
      <c r="J1305" s="2">
        <v>20</v>
      </c>
      <c r="K1305" s="2">
        <v>1.48</v>
      </c>
      <c r="L1305" s="2"/>
      <c r="M1305" s="29"/>
      <c r="N1305" s="29" t="s">
        <v>95</v>
      </c>
      <c r="O1305" s="10">
        <v>0</v>
      </c>
      <c r="P1305" s="10">
        <v>0</v>
      </c>
      <c r="Q1305" s="184">
        <v>1</v>
      </c>
      <c r="R1305" s="184">
        <v>1</v>
      </c>
      <c r="S1305" s="178">
        <f t="shared" si="142"/>
        <v>0</v>
      </c>
      <c r="T1305" s="186">
        <f t="shared" si="143"/>
        <v>2</v>
      </c>
      <c r="U1305" s="179">
        <f t="shared" si="144"/>
        <v>2</v>
      </c>
      <c r="V1305" s="1">
        <f t="shared" si="145"/>
        <v>25</v>
      </c>
      <c r="W1305" s="8">
        <f t="shared" si="146"/>
        <v>6.25</v>
      </c>
      <c r="X1305" s="15">
        <f t="shared" si="147"/>
        <v>7025</v>
      </c>
      <c r="Y1305"/>
      <c r="Z1305"/>
      <c r="AA1305"/>
      <c r="AB1305"/>
      <c r="AC1305"/>
      <c r="AD1305"/>
    </row>
    <row r="1306" spans="2:30">
      <c r="B1306" s="2" t="s">
        <v>270</v>
      </c>
      <c r="C1306" s="2" t="s">
        <v>149</v>
      </c>
      <c r="D1306" s="2" t="s">
        <v>153</v>
      </c>
      <c r="E1306" s="3">
        <v>45346.791666666664</v>
      </c>
      <c r="F1306" s="2" t="s">
        <v>205</v>
      </c>
      <c r="G1306" s="2" t="s">
        <v>188</v>
      </c>
      <c r="H1306" s="2">
        <v>64</v>
      </c>
      <c r="I1306" s="2">
        <v>0</v>
      </c>
      <c r="J1306" s="2">
        <v>20</v>
      </c>
      <c r="K1306" s="2">
        <v>2.57</v>
      </c>
      <c r="L1306" s="2"/>
      <c r="M1306" s="2"/>
      <c r="N1306" s="2" t="s">
        <v>95</v>
      </c>
      <c r="O1306" s="10">
        <v>1</v>
      </c>
      <c r="P1306" s="10">
        <v>2</v>
      </c>
      <c r="Q1306" s="184">
        <v>1</v>
      </c>
      <c r="R1306" s="184">
        <v>7</v>
      </c>
      <c r="S1306" s="178">
        <f t="shared" si="142"/>
        <v>3</v>
      </c>
      <c r="T1306" s="186">
        <f t="shared" si="143"/>
        <v>8</v>
      </c>
      <c r="U1306" s="179">
        <f t="shared" si="144"/>
        <v>5</v>
      </c>
      <c r="V1306" s="1">
        <f t="shared" si="145"/>
        <v>25</v>
      </c>
      <c r="W1306" s="8">
        <f t="shared" si="146"/>
        <v>6.25</v>
      </c>
      <c r="X1306" s="15">
        <f t="shared" si="147"/>
        <v>7031.25</v>
      </c>
      <c r="Y1306"/>
      <c r="Z1306"/>
      <c r="AA1306"/>
      <c r="AB1306"/>
      <c r="AC1306"/>
      <c r="AD1306"/>
    </row>
    <row r="1307" spans="2:30">
      <c r="B1307" s="2" t="s">
        <v>270</v>
      </c>
      <c r="C1307" s="2" t="s">
        <v>296</v>
      </c>
      <c r="D1307" s="2" t="s">
        <v>78</v>
      </c>
      <c r="E1307" s="3">
        <v>45346.8125</v>
      </c>
      <c r="F1307" s="2" t="s">
        <v>391</v>
      </c>
      <c r="G1307" s="2" t="s">
        <v>299</v>
      </c>
      <c r="H1307" s="2">
        <v>60</v>
      </c>
      <c r="I1307" s="2">
        <v>0</v>
      </c>
      <c r="J1307" s="2">
        <v>20</v>
      </c>
      <c r="K1307" s="2">
        <v>1.63</v>
      </c>
      <c r="L1307" s="2"/>
      <c r="M1307" s="2"/>
      <c r="N1307" s="2" t="s">
        <v>95</v>
      </c>
      <c r="O1307" s="10">
        <v>0</v>
      </c>
      <c r="P1307" s="10">
        <v>0</v>
      </c>
      <c r="Q1307" s="184">
        <v>0</v>
      </c>
      <c r="R1307" s="184">
        <v>1</v>
      </c>
      <c r="S1307" s="178">
        <f t="shared" si="142"/>
        <v>0</v>
      </c>
      <c r="T1307" s="186">
        <f t="shared" si="143"/>
        <v>1</v>
      </c>
      <c r="U1307" s="179">
        <f t="shared" si="144"/>
        <v>1</v>
      </c>
      <c r="V1307" s="1">
        <f t="shared" si="145"/>
        <v>25</v>
      </c>
      <c r="W1307" s="8">
        <f t="shared" si="146"/>
        <v>6.25</v>
      </c>
      <c r="X1307" s="15">
        <f t="shared" si="147"/>
        <v>7037.5</v>
      </c>
      <c r="Y1307"/>
      <c r="Z1307"/>
      <c r="AA1307"/>
      <c r="AB1307"/>
      <c r="AC1307"/>
      <c r="AD1307"/>
    </row>
    <row r="1308" spans="2:30">
      <c r="B1308" s="2" t="s">
        <v>270</v>
      </c>
      <c r="C1308" s="2" t="s">
        <v>77</v>
      </c>
      <c r="D1308" s="2" t="s">
        <v>234</v>
      </c>
      <c r="E1308" s="3">
        <v>45346.8125</v>
      </c>
      <c r="F1308" s="2" t="s">
        <v>413</v>
      </c>
      <c r="G1308" s="2" t="s">
        <v>246</v>
      </c>
      <c r="H1308" s="2">
        <v>61</v>
      </c>
      <c r="I1308" s="2">
        <v>0</v>
      </c>
      <c r="J1308" s="2">
        <v>20</v>
      </c>
      <c r="K1308" s="2">
        <v>2.82</v>
      </c>
      <c r="L1308" s="2"/>
      <c r="M1308" s="2"/>
      <c r="N1308" s="2" t="s">
        <v>95</v>
      </c>
      <c r="O1308" s="10">
        <v>3</v>
      </c>
      <c r="P1308" s="10">
        <v>0</v>
      </c>
      <c r="Q1308" s="184">
        <v>3</v>
      </c>
      <c r="R1308" s="184">
        <v>0</v>
      </c>
      <c r="S1308" s="178">
        <f t="shared" si="142"/>
        <v>3</v>
      </c>
      <c r="T1308" s="186">
        <f t="shared" si="143"/>
        <v>3</v>
      </c>
      <c r="U1308" s="179">
        <f t="shared" si="144"/>
        <v>0</v>
      </c>
      <c r="V1308" s="1">
        <f t="shared" si="145"/>
        <v>25</v>
      </c>
      <c r="W1308" s="8">
        <f t="shared" si="146"/>
        <v>6.25</v>
      </c>
      <c r="X1308" s="15">
        <f t="shared" si="147"/>
        <v>7043.75</v>
      </c>
      <c r="Y1308"/>
      <c r="Z1308"/>
      <c r="AA1308"/>
      <c r="AB1308"/>
      <c r="AC1308"/>
      <c r="AD1308"/>
    </row>
    <row r="1309" spans="2:30">
      <c r="B1309" s="2" t="s">
        <v>270</v>
      </c>
      <c r="C1309" s="2" t="s">
        <v>6</v>
      </c>
      <c r="D1309" s="2" t="s">
        <v>62</v>
      </c>
      <c r="E1309" s="3">
        <v>45346.833333333336</v>
      </c>
      <c r="F1309" s="2" t="s">
        <v>73</v>
      </c>
      <c r="G1309" s="2" t="s">
        <v>164</v>
      </c>
      <c r="H1309" s="2">
        <v>62</v>
      </c>
      <c r="I1309" s="2">
        <v>0</v>
      </c>
      <c r="J1309" s="2">
        <v>20</v>
      </c>
      <c r="K1309" s="2">
        <v>3.5</v>
      </c>
      <c r="L1309" s="2"/>
      <c r="M1309" s="2"/>
      <c r="N1309" s="2" t="s">
        <v>95</v>
      </c>
      <c r="O1309" s="10">
        <v>2</v>
      </c>
      <c r="P1309" s="10">
        <v>0</v>
      </c>
      <c r="Q1309" s="184">
        <v>4</v>
      </c>
      <c r="R1309" s="184">
        <v>1</v>
      </c>
      <c r="S1309" s="178">
        <f t="shared" si="142"/>
        <v>2</v>
      </c>
      <c r="T1309" s="186">
        <f t="shared" si="143"/>
        <v>5</v>
      </c>
      <c r="U1309" s="179">
        <f t="shared" si="144"/>
        <v>3</v>
      </c>
      <c r="V1309" s="1">
        <f t="shared" si="145"/>
        <v>25</v>
      </c>
      <c r="W1309" s="8">
        <f t="shared" si="146"/>
        <v>6.25</v>
      </c>
      <c r="X1309" s="15">
        <f t="shared" si="147"/>
        <v>7050</v>
      </c>
      <c r="Y1309"/>
      <c r="Z1309"/>
      <c r="AA1309"/>
      <c r="AB1309"/>
      <c r="AC1309"/>
      <c r="AD1309"/>
    </row>
    <row r="1310" spans="2:30">
      <c r="B1310" s="2" t="s">
        <v>270</v>
      </c>
      <c r="C1310" s="2" t="s">
        <v>44</v>
      </c>
      <c r="D1310" s="2" t="s">
        <v>45</v>
      </c>
      <c r="E1310" s="3">
        <v>45347.25</v>
      </c>
      <c r="F1310" s="2" t="s">
        <v>52</v>
      </c>
      <c r="G1310" s="2" t="s">
        <v>143</v>
      </c>
      <c r="H1310" s="2">
        <v>65</v>
      </c>
      <c r="I1310" s="2">
        <v>0</v>
      </c>
      <c r="J1310" s="2">
        <v>20</v>
      </c>
      <c r="K1310" s="2">
        <v>2.52</v>
      </c>
      <c r="L1310" s="2"/>
      <c r="M1310" s="2"/>
      <c r="N1310" s="2" t="s">
        <v>95</v>
      </c>
      <c r="O1310" s="10">
        <v>0</v>
      </c>
      <c r="P1310" s="10">
        <v>0</v>
      </c>
      <c r="Q1310" s="184">
        <v>2</v>
      </c>
      <c r="R1310" s="184">
        <v>2</v>
      </c>
      <c r="S1310" s="178">
        <f t="shared" si="142"/>
        <v>0</v>
      </c>
      <c r="T1310" s="186">
        <f t="shared" si="143"/>
        <v>4</v>
      </c>
      <c r="U1310" s="179">
        <f t="shared" si="144"/>
        <v>4</v>
      </c>
      <c r="V1310" s="1">
        <f t="shared" si="145"/>
        <v>25</v>
      </c>
      <c r="W1310" s="8">
        <f t="shared" si="146"/>
        <v>6.25</v>
      </c>
      <c r="X1310" s="15">
        <f t="shared" si="147"/>
        <v>7056.25</v>
      </c>
      <c r="Y1310"/>
      <c r="Z1310"/>
      <c r="AA1310"/>
      <c r="AB1310"/>
      <c r="AC1310"/>
      <c r="AD1310"/>
    </row>
    <row r="1311" spans="2:30">
      <c r="B1311" s="2" t="s">
        <v>270</v>
      </c>
      <c r="C1311" s="2" t="s">
        <v>20</v>
      </c>
      <c r="D1311" s="2" t="s">
        <v>21</v>
      </c>
      <c r="E1311" s="3">
        <v>45347.479166666664</v>
      </c>
      <c r="F1311" s="2" t="s">
        <v>358</v>
      </c>
      <c r="G1311" s="2" t="s">
        <v>402</v>
      </c>
      <c r="H1311" s="2">
        <v>62</v>
      </c>
      <c r="I1311" s="2">
        <v>0</v>
      </c>
      <c r="J1311" s="2">
        <v>20</v>
      </c>
      <c r="K1311" s="2">
        <v>2.48</v>
      </c>
      <c r="L1311" s="2"/>
      <c r="M1311" s="2"/>
      <c r="N1311" s="2" t="s">
        <v>95</v>
      </c>
      <c r="O1311" s="10">
        <v>2</v>
      </c>
      <c r="P1311" s="10">
        <v>2</v>
      </c>
      <c r="Q1311" s="184">
        <v>3</v>
      </c>
      <c r="R1311" s="184">
        <v>2</v>
      </c>
      <c r="S1311" s="178">
        <f t="shared" si="142"/>
        <v>4</v>
      </c>
      <c r="T1311" s="186">
        <f t="shared" si="143"/>
        <v>5</v>
      </c>
      <c r="U1311" s="179">
        <f t="shared" si="144"/>
        <v>1</v>
      </c>
      <c r="V1311" s="1">
        <f t="shared" si="145"/>
        <v>25</v>
      </c>
      <c r="W1311" s="8">
        <f t="shared" si="146"/>
        <v>6.25</v>
      </c>
      <c r="X1311" s="15">
        <f t="shared" si="147"/>
        <v>7062.5</v>
      </c>
      <c r="Y1311"/>
      <c r="Z1311"/>
      <c r="AA1311"/>
      <c r="AB1311"/>
      <c r="AC1311"/>
      <c r="AD1311"/>
    </row>
    <row r="1312" spans="2:30">
      <c r="B1312" s="2" t="s">
        <v>270</v>
      </c>
      <c r="C1312" s="2" t="s">
        <v>412</v>
      </c>
      <c r="D1312" s="2" t="s">
        <v>156</v>
      </c>
      <c r="E1312" s="3">
        <v>45347.5625</v>
      </c>
      <c r="F1312" s="2" t="s">
        <v>462</v>
      </c>
      <c r="G1312" s="2" t="s">
        <v>463</v>
      </c>
      <c r="H1312" s="2">
        <v>59</v>
      </c>
      <c r="I1312" s="2">
        <v>0</v>
      </c>
      <c r="J1312" s="2">
        <v>20</v>
      </c>
      <c r="K1312" s="2">
        <v>1.43</v>
      </c>
      <c r="L1312" s="2"/>
      <c r="M1312" s="2"/>
      <c r="N1312" s="2" t="s">
        <v>95</v>
      </c>
      <c r="O1312" s="10">
        <v>1</v>
      </c>
      <c r="P1312" s="10">
        <v>0</v>
      </c>
      <c r="Q1312" s="184">
        <v>2</v>
      </c>
      <c r="R1312" s="184">
        <v>0</v>
      </c>
      <c r="S1312" s="178">
        <f t="shared" si="142"/>
        <v>1</v>
      </c>
      <c r="T1312" s="186">
        <f t="shared" si="143"/>
        <v>2</v>
      </c>
      <c r="U1312" s="179">
        <f t="shared" si="144"/>
        <v>1</v>
      </c>
      <c r="V1312" s="1">
        <f t="shared" si="145"/>
        <v>25</v>
      </c>
      <c r="W1312" s="8">
        <f t="shared" si="146"/>
        <v>6.25</v>
      </c>
      <c r="X1312" s="15">
        <f t="shared" si="147"/>
        <v>7068.75</v>
      </c>
      <c r="Y1312"/>
      <c r="Z1312"/>
      <c r="AA1312"/>
      <c r="AB1312"/>
      <c r="AC1312"/>
      <c r="AD1312"/>
    </row>
    <row r="1313" spans="2:30">
      <c r="B1313" s="2" t="s">
        <v>270</v>
      </c>
      <c r="C1313" s="2" t="s">
        <v>6</v>
      </c>
      <c r="D1313" s="2" t="s">
        <v>62</v>
      </c>
      <c r="E1313" s="3">
        <v>45347.5625</v>
      </c>
      <c r="F1313" s="2" t="s">
        <v>64</v>
      </c>
      <c r="G1313" s="2" t="s">
        <v>85</v>
      </c>
      <c r="H1313" s="2">
        <v>60</v>
      </c>
      <c r="I1313" s="2">
        <v>0</v>
      </c>
      <c r="J1313" s="2">
        <v>20</v>
      </c>
      <c r="K1313" s="2">
        <v>2.63</v>
      </c>
      <c r="L1313" s="2"/>
      <c r="M1313" s="2"/>
      <c r="N1313" s="2" t="s">
        <v>95</v>
      </c>
      <c r="O1313" s="10">
        <v>1</v>
      </c>
      <c r="P1313" s="10">
        <v>0</v>
      </c>
      <c r="Q1313" s="184">
        <v>1</v>
      </c>
      <c r="R1313" s="184">
        <v>0</v>
      </c>
      <c r="S1313" s="178">
        <f t="shared" si="142"/>
        <v>1</v>
      </c>
      <c r="T1313" s="186">
        <f t="shared" si="143"/>
        <v>1</v>
      </c>
      <c r="U1313" s="179">
        <f t="shared" si="144"/>
        <v>0</v>
      </c>
      <c r="V1313" s="1">
        <f t="shared" si="145"/>
        <v>25</v>
      </c>
      <c r="W1313" s="8">
        <f t="shared" si="146"/>
        <v>6.25</v>
      </c>
      <c r="X1313" s="15">
        <f t="shared" si="147"/>
        <v>7075</v>
      </c>
      <c r="Y1313"/>
      <c r="Z1313"/>
      <c r="AA1313"/>
      <c r="AB1313"/>
      <c r="AC1313"/>
      <c r="AD1313"/>
    </row>
    <row r="1314" spans="2:30">
      <c r="B1314" s="2" t="s">
        <v>270</v>
      </c>
      <c r="C1314" s="2" t="s">
        <v>67</v>
      </c>
      <c r="D1314" s="2" t="s">
        <v>169</v>
      </c>
      <c r="E1314" s="3">
        <v>45347.625</v>
      </c>
      <c r="F1314" s="2" t="s">
        <v>170</v>
      </c>
      <c r="G1314" s="2" t="s">
        <v>204</v>
      </c>
      <c r="H1314" s="2">
        <v>60</v>
      </c>
      <c r="I1314" s="2">
        <v>0</v>
      </c>
      <c r="J1314" s="2">
        <v>20</v>
      </c>
      <c r="K1314" s="2">
        <v>1.37</v>
      </c>
      <c r="L1314" s="2"/>
      <c r="M1314" s="2"/>
      <c r="N1314" s="2" t="s">
        <v>95</v>
      </c>
      <c r="O1314" s="10">
        <v>0</v>
      </c>
      <c r="P1314" s="10">
        <v>0</v>
      </c>
      <c r="Q1314" s="184">
        <v>1</v>
      </c>
      <c r="R1314" s="184">
        <v>1</v>
      </c>
      <c r="S1314" s="178">
        <f t="shared" si="142"/>
        <v>0</v>
      </c>
      <c r="T1314" s="186">
        <f t="shared" si="143"/>
        <v>2</v>
      </c>
      <c r="U1314" s="179">
        <f t="shared" si="144"/>
        <v>2</v>
      </c>
      <c r="V1314" s="1">
        <f t="shared" si="145"/>
        <v>25</v>
      </c>
      <c r="W1314" s="8">
        <f t="shared" si="146"/>
        <v>6.25</v>
      </c>
      <c r="X1314" s="15">
        <f t="shared" si="147"/>
        <v>7081.25</v>
      </c>
      <c r="Y1314"/>
      <c r="Z1314"/>
      <c r="AA1314"/>
      <c r="AB1314"/>
      <c r="AC1314"/>
      <c r="AD1314"/>
    </row>
    <row r="1315" spans="2:30">
      <c r="B1315" s="2" t="s">
        <v>270</v>
      </c>
      <c r="C1315" s="2" t="s">
        <v>133</v>
      </c>
      <c r="D1315" s="2" t="s">
        <v>78</v>
      </c>
      <c r="E1315" s="3">
        <v>45347.625</v>
      </c>
      <c r="F1315" s="2" t="s">
        <v>423</v>
      </c>
      <c r="G1315" s="2" t="s">
        <v>137</v>
      </c>
      <c r="H1315" s="2">
        <v>59</v>
      </c>
      <c r="I1315" s="2">
        <v>0</v>
      </c>
      <c r="J1315" s="2">
        <v>20</v>
      </c>
      <c r="K1315" s="2">
        <v>2.5499999999999998</v>
      </c>
      <c r="L1315" s="2"/>
      <c r="M1315" s="2"/>
      <c r="N1315" s="2" t="s">
        <v>95</v>
      </c>
      <c r="O1315" s="10">
        <v>1</v>
      </c>
      <c r="P1315" s="10">
        <v>0</v>
      </c>
      <c r="Q1315" s="184">
        <v>1</v>
      </c>
      <c r="R1315" s="184">
        <v>3</v>
      </c>
      <c r="S1315" s="178">
        <f t="shared" si="142"/>
        <v>1</v>
      </c>
      <c r="T1315" s="186">
        <f t="shared" si="143"/>
        <v>4</v>
      </c>
      <c r="U1315" s="179">
        <f t="shared" si="144"/>
        <v>3</v>
      </c>
      <c r="V1315" s="1">
        <f t="shared" si="145"/>
        <v>25</v>
      </c>
      <c r="W1315" s="8">
        <f t="shared" si="146"/>
        <v>6.25</v>
      </c>
      <c r="X1315" s="15">
        <f t="shared" si="147"/>
        <v>7087.5</v>
      </c>
      <c r="Y1315"/>
      <c r="Z1315"/>
      <c r="AA1315"/>
      <c r="AB1315"/>
      <c r="AC1315"/>
      <c r="AD1315"/>
    </row>
    <row r="1316" spans="2:30">
      <c r="B1316" s="2" t="s">
        <v>270</v>
      </c>
      <c r="C1316" s="2" t="s">
        <v>434</v>
      </c>
      <c r="D1316" s="2" t="s">
        <v>435</v>
      </c>
      <c r="E1316" s="3">
        <v>45347.708333333336</v>
      </c>
      <c r="F1316" s="2" t="s">
        <v>464</v>
      </c>
      <c r="G1316" s="2" t="s">
        <v>437</v>
      </c>
      <c r="H1316" s="2">
        <v>63</v>
      </c>
      <c r="I1316" s="2">
        <v>0</v>
      </c>
      <c r="J1316" s="2">
        <v>20</v>
      </c>
      <c r="K1316" s="2">
        <v>1.1599999999999999</v>
      </c>
      <c r="L1316" s="2"/>
      <c r="M1316" s="2"/>
      <c r="N1316" s="2" t="s">
        <v>95</v>
      </c>
      <c r="O1316" s="10">
        <v>1</v>
      </c>
      <c r="P1316" s="10">
        <v>1</v>
      </c>
      <c r="Q1316" s="184">
        <v>2</v>
      </c>
      <c r="R1316" s="184">
        <v>3</v>
      </c>
      <c r="S1316" s="178">
        <f t="shared" si="142"/>
        <v>2</v>
      </c>
      <c r="T1316" s="186">
        <f t="shared" si="143"/>
        <v>5</v>
      </c>
      <c r="U1316" s="179">
        <f t="shared" si="144"/>
        <v>3</v>
      </c>
      <c r="V1316" s="1">
        <f t="shared" si="145"/>
        <v>25</v>
      </c>
      <c r="W1316" s="8">
        <f t="shared" si="146"/>
        <v>6.25</v>
      </c>
      <c r="X1316" s="15">
        <f t="shared" si="147"/>
        <v>7093.75</v>
      </c>
      <c r="Y1316"/>
      <c r="Z1316"/>
      <c r="AA1316"/>
      <c r="AB1316"/>
      <c r="AC1316"/>
      <c r="AD1316"/>
    </row>
    <row r="1317" spans="2:30">
      <c r="B1317" s="2" t="s">
        <v>270</v>
      </c>
      <c r="C1317" s="2" t="s">
        <v>20</v>
      </c>
      <c r="D1317" s="2" t="s">
        <v>21</v>
      </c>
      <c r="E1317" s="3">
        <v>45347.708333333336</v>
      </c>
      <c r="F1317" s="2" t="s">
        <v>98</v>
      </c>
      <c r="G1317" s="2" t="s">
        <v>25</v>
      </c>
      <c r="H1317" s="2">
        <v>63</v>
      </c>
      <c r="I1317" s="2">
        <v>0</v>
      </c>
      <c r="J1317" s="2">
        <v>20</v>
      </c>
      <c r="K1317" s="2">
        <v>2.4700000000000002</v>
      </c>
      <c r="L1317" s="2"/>
      <c r="M1317" s="2"/>
      <c r="N1317" s="2" t="s">
        <v>95</v>
      </c>
      <c r="O1317" s="10">
        <v>0</v>
      </c>
      <c r="P1317" s="10">
        <v>1</v>
      </c>
      <c r="Q1317" s="184">
        <v>0</v>
      </c>
      <c r="R1317" s="184">
        <v>4</v>
      </c>
      <c r="S1317" s="178">
        <f t="shared" si="142"/>
        <v>1</v>
      </c>
      <c r="T1317" s="186">
        <f t="shared" si="143"/>
        <v>4</v>
      </c>
      <c r="U1317" s="179">
        <f t="shared" si="144"/>
        <v>3</v>
      </c>
      <c r="V1317" s="1">
        <f t="shared" si="145"/>
        <v>25</v>
      </c>
      <c r="W1317" s="8">
        <f t="shared" si="146"/>
        <v>6.25</v>
      </c>
      <c r="X1317" s="15">
        <f t="shared" si="147"/>
        <v>7100</v>
      </c>
      <c r="Y1317"/>
      <c r="Z1317"/>
      <c r="AA1317"/>
      <c r="AB1317"/>
      <c r="AC1317"/>
      <c r="AD1317"/>
    </row>
    <row r="1318" spans="2:30">
      <c r="B1318" s="2" t="s">
        <v>270</v>
      </c>
      <c r="C1318" s="2" t="s">
        <v>119</v>
      </c>
      <c r="D1318" s="2" t="s">
        <v>120</v>
      </c>
      <c r="E1318" s="3">
        <v>45347.729166666664</v>
      </c>
      <c r="F1318" s="2" t="s">
        <v>389</v>
      </c>
      <c r="G1318" s="2" t="s">
        <v>348</v>
      </c>
      <c r="H1318" s="2">
        <v>75</v>
      </c>
      <c r="I1318" s="2">
        <v>0</v>
      </c>
      <c r="J1318" s="2">
        <v>20</v>
      </c>
      <c r="K1318" s="2">
        <v>2.38</v>
      </c>
      <c r="L1318" s="2"/>
      <c r="M1318" s="2"/>
      <c r="N1318" s="2" t="s">
        <v>95</v>
      </c>
      <c r="O1318" s="10">
        <v>0</v>
      </c>
      <c r="P1318" s="10">
        <v>0</v>
      </c>
      <c r="Q1318" s="184">
        <v>1</v>
      </c>
      <c r="R1318" s="184">
        <v>1</v>
      </c>
      <c r="S1318" s="178">
        <f t="shared" si="142"/>
        <v>0</v>
      </c>
      <c r="T1318" s="186">
        <f t="shared" si="143"/>
        <v>2</v>
      </c>
      <c r="U1318" s="179">
        <f t="shared" si="144"/>
        <v>2</v>
      </c>
      <c r="V1318" s="1">
        <f t="shared" si="145"/>
        <v>25</v>
      </c>
      <c r="W1318" s="8">
        <f t="shared" si="146"/>
        <v>6.25</v>
      </c>
      <c r="X1318" s="15">
        <f t="shared" si="147"/>
        <v>7106.25</v>
      </c>
      <c r="Y1318"/>
      <c r="Z1318"/>
      <c r="AA1318"/>
      <c r="AB1318"/>
      <c r="AC1318"/>
      <c r="AD1318"/>
    </row>
    <row r="1319" spans="2:30">
      <c r="B1319" s="2" t="s">
        <v>270</v>
      </c>
      <c r="C1319" s="2" t="s">
        <v>58</v>
      </c>
      <c r="D1319" s="2" t="s">
        <v>59</v>
      </c>
      <c r="E1319" s="3">
        <v>45347.75</v>
      </c>
      <c r="F1319" s="2" t="s">
        <v>107</v>
      </c>
      <c r="G1319" s="2" t="s">
        <v>172</v>
      </c>
      <c r="H1319" s="2">
        <v>59</v>
      </c>
      <c r="I1319" s="2">
        <v>0</v>
      </c>
      <c r="J1319" s="2">
        <v>20</v>
      </c>
      <c r="K1319" s="2">
        <v>1.99</v>
      </c>
      <c r="L1319" s="2"/>
      <c r="M1319" s="2"/>
      <c r="N1319" s="2" t="s">
        <v>95</v>
      </c>
      <c r="O1319" s="10">
        <v>0</v>
      </c>
      <c r="P1319" s="10">
        <v>0</v>
      </c>
      <c r="Q1319" s="184">
        <v>1</v>
      </c>
      <c r="R1319" s="184">
        <v>1</v>
      </c>
      <c r="S1319" s="178">
        <f t="shared" si="142"/>
        <v>0</v>
      </c>
      <c r="T1319" s="186">
        <f t="shared" si="143"/>
        <v>2</v>
      </c>
      <c r="U1319" s="179">
        <f t="shared" si="144"/>
        <v>2</v>
      </c>
      <c r="V1319" s="1">
        <f t="shared" si="145"/>
        <v>25</v>
      </c>
      <c r="W1319" s="8">
        <f t="shared" si="146"/>
        <v>6.25</v>
      </c>
      <c r="X1319" s="15">
        <f t="shared" si="147"/>
        <v>7112.5</v>
      </c>
      <c r="Y1319"/>
      <c r="Z1319"/>
      <c r="AA1319"/>
      <c r="AB1319"/>
      <c r="AC1319"/>
      <c r="AD1319"/>
    </row>
    <row r="1320" spans="2:30">
      <c r="B1320" s="2" t="s">
        <v>270</v>
      </c>
      <c r="C1320" s="2" t="s">
        <v>149</v>
      </c>
      <c r="D1320" s="2" t="s">
        <v>153</v>
      </c>
      <c r="E1320" s="3">
        <v>45347.791666666664</v>
      </c>
      <c r="F1320" s="2" t="s">
        <v>244</v>
      </c>
      <c r="G1320" s="2" t="s">
        <v>206</v>
      </c>
      <c r="H1320" s="2">
        <v>61</v>
      </c>
      <c r="I1320" s="2">
        <v>0</v>
      </c>
      <c r="J1320" s="2">
        <v>20</v>
      </c>
      <c r="K1320" s="2">
        <v>2.83</v>
      </c>
      <c r="L1320" s="2"/>
      <c r="M1320" s="2"/>
      <c r="N1320" s="2" t="s">
        <v>95</v>
      </c>
      <c r="O1320" s="10">
        <v>0</v>
      </c>
      <c r="P1320" s="10">
        <v>1</v>
      </c>
      <c r="Q1320" s="184">
        <v>0</v>
      </c>
      <c r="R1320" s="184">
        <v>4</v>
      </c>
      <c r="S1320" s="178">
        <f t="shared" si="142"/>
        <v>1</v>
      </c>
      <c r="T1320" s="186">
        <f t="shared" si="143"/>
        <v>4</v>
      </c>
      <c r="U1320" s="179">
        <f t="shared" si="144"/>
        <v>3</v>
      </c>
      <c r="V1320" s="1">
        <f t="shared" si="145"/>
        <v>25</v>
      </c>
      <c r="W1320" s="8">
        <f t="shared" si="146"/>
        <v>6.25</v>
      </c>
      <c r="X1320" s="15">
        <f t="shared" si="147"/>
        <v>7118.75</v>
      </c>
      <c r="Y1320"/>
      <c r="Z1320"/>
      <c r="AA1320"/>
      <c r="AB1320"/>
      <c r="AC1320"/>
      <c r="AD1320"/>
    </row>
    <row r="1321" spans="2:30">
      <c r="B1321" s="2" t="s">
        <v>270</v>
      </c>
      <c r="C1321" s="2" t="s">
        <v>58</v>
      </c>
      <c r="D1321" s="2" t="s">
        <v>59</v>
      </c>
      <c r="E1321" s="3">
        <v>45347.854166666664</v>
      </c>
      <c r="F1321" s="2" t="s">
        <v>127</v>
      </c>
      <c r="G1321" s="2" t="s">
        <v>125</v>
      </c>
      <c r="H1321" s="2">
        <v>65</v>
      </c>
      <c r="I1321" s="2">
        <v>0</v>
      </c>
      <c r="J1321" s="2">
        <v>20</v>
      </c>
      <c r="K1321" s="2">
        <v>1.99</v>
      </c>
      <c r="L1321" s="2"/>
      <c r="M1321" s="2"/>
      <c r="N1321" s="2" t="s">
        <v>95</v>
      </c>
      <c r="O1321" s="10">
        <v>2</v>
      </c>
      <c r="P1321" s="10">
        <v>2</v>
      </c>
      <c r="Q1321" s="184">
        <v>3</v>
      </c>
      <c r="R1321" s="184">
        <v>3</v>
      </c>
      <c r="S1321" s="178">
        <f t="shared" si="142"/>
        <v>4</v>
      </c>
      <c r="T1321" s="186">
        <f t="shared" si="143"/>
        <v>6</v>
      </c>
      <c r="U1321" s="179">
        <f t="shared" si="144"/>
        <v>2</v>
      </c>
      <c r="V1321" s="1">
        <f t="shared" si="145"/>
        <v>25</v>
      </c>
      <c r="W1321" s="8">
        <f t="shared" si="146"/>
        <v>6.25</v>
      </c>
      <c r="X1321" s="15">
        <f t="shared" si="147"/>
        <v>7125</v>
      </c>
      <c r="Y1321"/>
      <c r="Z1321"/>
      <c r="AA1321"/>
      <c r="AB1321"/>
      <c r="AC1321"/>
      <c r="AD1321"/>
    </row>
    <row r="1322" spans="2:30">
      <c r="B1322" s="2" t="s">
        <v>270</v>
      </c>
      <c r="C1322" s="2" t="s">
        <v>20</v>
      </c>
      <c r="D1322" s="2" t="s">
        <v>322</v>
      </c>
      <c r="E1322" s="3">
        <v>45349.8125</v>
      </c>
      <c r="F1322" s="2" t="s">
        <v>333</v>
      </c>
      <c r="G1322" s="2" t="s">
        <v>468</v>
      </c>
      <c r="H1322" s="2">
        <v>61</v>
      </c>
      <c r="I1322" s="2">
        <v>0</v>
      </c>
      <c r="J1322" s="2">
        <v>20</v>
      </c>
      <c r="K1322" s="2">
        <v>30</v>
      </c>
      <c r="L1322" s="2">
        <v>2.2400000000000002</v>
      </c>
      <c r="M1322" s="2"/>
      <c r="N1322" s="2" t="s">
        <v>95</v>
      </c>
      <c r="O1322" s="10">
        <v>1</v>
      </c>
      <c r="P1322" s="10">
        <v>0</v>
      </c>
      <c r="Q1322" s="184">
        <v>2</v>
      </c>
      <c r="R1322" s="184">
        <v>0</v>
      </c>
      <c r="S1322" s="178">
        <f t="shared" si="142"/>
        <v>1</v>
      </c>
      <c r="T1322" s="186">
        <f t="shared" si="143"/>
        <v>2</v>
      </c>
      <c r="U1322" s="179">
        <f t="shared" si="144"/>
        <v>1</v>
      </c>
      <c r="V1322" s="1">
        <f t="shared" si="145"/>
        <v>25</v>
      </c>
      <c r="W1322" s="8">
        <f t="shared" si="146"/>
        <v>6.25</v>
      </c>
      <c r="X1322" s="15">
        <f t="shared" si="147"/>
        <v>7131.25</v>
      </c>
      <c r="Y1322"/>
      <c r="Z1322"/>
      <c r="AA1322"/>
      <c r="AB1322"/>
      <c r="AC1322"/>
      <c r="AD1322"/>
    </row>
    <row r="1323" spans="2:30">
      <c r="B1323" s="2" t="s">
        <v>270</v>
      </c>
      <c r="C1323" s="2" t="s">
        <v>6</v>
      </c>
      <c r="D1323" s="2" t="s">
        <v>11</v>
      </c>
      <c r="E1323" s="3">
        <v>45349.822916666664</v>
      </c>
      <c r="F1323" s="2" t="s">
        <v>231</v>
      </c>
      <c r="G1323" s="2" t="s">
        <v>162</v>
      </c>
      <c r="H1323" s="2">
        <v>73</v>
      </c>
      <c r="I1323" s="2">
        <v>0</v>
      </c>
      <c r="J1323" s="2">
        <v>20</v>
      </c>
      <c r="K1323" s="2">
        <v>45</v>
      </c>
      <c r="L1323" s="2">
        <v>2</v>
      </c>
      <c r="M1323" s="2"/>
      <c r="N1323" s="2" t="s">
        <v>95</v>
      </c>
      <c r="O1323" s="10">
        <v>1</v>
      </c>
      <c r="P1323" s="10">
        <v>0</v>
      </c>
      <c r="Q1323" s="184">
        <v>1</v>
      </c>
      <c r="R1323" s="184">
        <v>2</v>
      </c>
      <c r="S1323" s="178">
        <f t="shared" si="142"/>
        <v>1</v>
      </c>
      <c r="T1323" s="186">
        <f t="shared" si="143"/>
        <v>3</v>
      </c>
      <c r="U1323" s="179">
        <f t="shared" si="144"/>
        <v>2</v>
      </c>
      <c r="V1323" s="1">
        <f t="shared" si="145"/>
        <v>25</v>
      </c>
      <c r="W1323" s="8">
        <f t="shared" si="146"/>
        <v>6.25</v>
      </c>
      <c r="X1323" s="15">
        <f t="shared" si="147"/>
        <v>7137.5</v>
      </c>
      <c r="Y1323"/>
      <c r="Z1323"/>
      <c r="AA1323"/>
      <c r="AB1323"/>
      <c r="AC1323"/>
      <c r="AD1323"/>
    </row>
    <row r="1324" spans="2:30">
      <c r="B1324" s="2" t="s">
        <v>270</v>
      </c>
      <c r="C1324" s="2" t="s">
        <v>133</v>
      </c>
      <c r="D1324" s="2" t="s">
        <v>78</v>
      </c>
      <c r="E1324" s="3">
        <v>45350.541666666664</v>
      </c>
      <c r="F1324" s="2" t="s">
        <v>374</v>
      </c>
      <c r="G1324" s="2" t="s">
        <v>427</v>
      </c>
      <c r="H1324" s="2">
        <v>59</v>
      </c>
      <c r="I1324" s="2">
        <v>0</v>
      </c>
      <c r="J1324" s="2">
        <v>20</v>
      </c>
      <c r="K1324" s="2">
        <v>36</v>
      </c>
      <c r="L1324" s="2">
        <v>2.95</v>
      </c>
      <c r="M1324" s="2"/>
      <c r="N1324" s="2" t="s">
        <v>95</v>
      </c>
      <c r="O1324" s="10">
        <v>3</v>
      </c>
      <c r="P1324" s="10">
        <v>2</v>
      </c>
      <c r="Q1324" s="184">
        <v>3</v>
      </c>
      <c r="R1324" s="184">
        <v>3</v>
      </c>
      <c r="S1324" s="178">
        <f t="shared" si="142"/>
        <v>5</v>
      </c>
      <c r="T1324" s="186">
        <f t="shared" si="143"/>
        <v>6</v>
      </c>
      <c r="U1324" s="179">
        <f t="shared" si="144"/>
        <v>1</v>
      </c>
      <c r="V1324" s="1">
        <f t="shared" si="145"/>
        <v>25</v>
      </c>
      <c r="W1324" s="8">
        <f t="shared" si="146"/>
        <v>6.25</v>
      </c>
      <c r="X1324" s="15">
        <f t="shared" si="147"/>
        <v>7143.75</v>
      </c>
      <c r="Y1324"/>
      <c r="Z1324"/>
      <c r="AA1324"/>
      <c r="AB1324"/>
      <c r="AC1324"/>
      <c r="AD1324"/>
    </row>
    <row r="1325" spans="2:30">
      <c r="B1325" s="2" t="s">
        <v>270</v>
      </c>
      <c r="C1325" s="2" t="s">
        <v>13</v>
      </c>
      <c r="D1325" s="2" t="s">
        <v>37</v>
      </c>
      <c r="E1325" s="3">
        <v>45350.822916666664</v>
      </c>
      <c r="F1325" s="2" t="s">
        <v>99</v>
      </c>
      <c r="G1325" s="2" t="s">
        <v>306</v>
      </c>
      <c r="H1325" s="2">
        <v>59</v>
      </c>
      <c r="I1325" s="2">
        <v>0</v>
      </c>
      <c r="J1325" s="2">
        <v>20</v>
      </c>
      <c r="K1325" s="2">
        <v>32</v>
      </c>
      <c r="L1325" s="2">
        <v>2.76</v>
      </c>
      <c r="M1325" s="2"/>
      <c r="N1325" s="2" t="s">
        <v>95</v>
      </c>
      <c r="O1325" s="10">
        <v>6</v>
      </c>
      <c r="P1325" s="10">
        <v>0</v>
      </c>
      <c r="Q1325" s="184">
        <v>7</v>
      </c>
      <c r="R1325" s="184">
        <v>1</v>
      </c>
      <c r="S1325" s="178">
        <f t="shared" si="142"/>
        <v>6</v>
      </c>
      <c r="T1325" s="186">
        <f t="shared" si="143"/>
        <v>8</v>
      </c>
      <c r="U1325" s="179">
        <f t="shared" si="144"/>
        <v>2</v>
      </c>
      <c r="V1325" s="1">
        <f t="shared" si="145"/>
        <v>25</v>
      </c>
      <c r="W1325" s="8">
        <f t="shared" si="146"/>
        <v>6.25</v>
      </c>
      <c r="X1325" s="15">
        <f t="shared" si="147"/>
        <v>7150</v>
      </c>
      <c r="Y1325"/>
      <c r="Z1325"/>
      <c r="AA1325"/>
      <c r="AB1325"/>
      <c r="AC1325"/>
      <c r="AD1325"/>
    </row>
    <row r="1326" spans="2:30">
      <c r="B1326" s="2" t="s">
        <v>270</v>
      </c>
      <c r="C1326" s="2" t="s">
        <v>13</v>
      </c>
      <c r="D1326" s="2" t="s">
        <v>37</v>
      </c>
      <c r="E1326" s="3">
        <v>45350.822916666664</v>
      </c>
      <c r="F1326" s="2" t="s">
        <v>305</v>
      </c>
      <c r="G1326" s="2" t="s">
        <v>316</v>
      </c>
      <c r="H1326" s="2">
        <v>69</v>
      </c>
      <c r="I1326" s="2">
        <v>0</v>
      </c>
      <c r="J1326" s="2">
        <v>20</v>
      </c>
      <c r="K1326" s="2">
        <v>32</v>
      </c>
      <c r="L1326" s="2">
        <v>2.56</v>
      </c>
      <c r="M1326" s="2"/>
      <c r="N1326" s="2" t="s">
        <v>95</v>
      </c>
      <c r="O1326" s="10">
        <v>1</v>
      </c>
      <c r="P1326" s="10">
        <v>1</v>
      </c>
      <c r="Q1326" s="184">
        <v>1</v>
      </c>
      <c r="R1326" s="184">
        <v>1</v>
      </c>
      <c r="S1326" s="178">
        <f t="shared" si="142"/>
        <v>2</v>
      </c>
      <c r="T1326" s="186">
        <f t="shared" si="143"/>
        <v>2</v>
      </c>
      <c r="U1326" s="179">
        <f t="shared" si="144"/>
        <v>0</v>
      </c>
      <c r="V1326" s="1">
        <f t="shared" si="145"/>
        <v>25</v>
      </c>
      <c r="W1326" s="8">
        <f t="shared" si="146"/>
        <v>6.25</v>
      </c>
      <c r="X1326" s="15">
        <f t="shared" si="147"/>
        <v>7156.25</v>
      </c>
      <c r="Y1326"/>
      <c r="Z1326"/>
      <c r="AA1326"/>
      <c r="AB1326"/>
      <c r="AC1326"/>
      <c r="AD1326"/>
    </row>
    <row r="1327" spans="2:30">
      <c r="B1327" s="2" t="s">
        <v>270</v>
      </c>
      <c r="C1327" s="2" t="s">
        <v>434</v>
      </c>
      <c r="D1327" s="2" t="s">
        <v>435</v>
      </c>
      <c r="E1327" s="3">
        <v>45352.75</v>
      </c>
      <c r="F1327" s="2" t="s">
        <v>437</v>
      </c>
      <c r="G1327" s="2" t="s">
        <v>476</v>
      </c>
      <c r="H1327" s="2">
        <v>62</v>
      </c>
      <c r="I1327" s="2">
        <v>0</v>
      </c>
      <c r="J1327" s="2">
        <v>20</v>
      </c>
      <c r="K1327" s="2">
        <v>35</v>
      </c>
      <c r="L1327" s="2">
        <v>1.58</v>
      </c>
      <c r="M1327" s="2"/>
      <c r="N1327" s="2" t="s">
        <v>95</v>
      </c>
      <c r="O1327" s="10">
        <v>1</v>
      </c>
      <c r="P1327" s="10">
        <v>0</v>
      </c>
      <c r="Q1327" s="184">
        <v>2</v>
      </c>
      <c r="R1327" s="184">
        <v>0</v>
      </c>
      <c r="S1327" s="178">
        <f t="shared" si="142"/>
        <v>1</v>
      </c>
      <c r="T1327" s="186">
        <f t="shared" si="143"/>
        <v>2</v>
      </c>
      <c r="U1327" s="179">
        <f t="shared" si="144"/>
        <v>1</v>
      </c>
      <c r="V1327" s="1">
        <f t="shared" si="145"/>
        <v>25</v>
      </c>
      <c r="W1327" s="8">
        <f t="shared" si="146"/>
        <v>6.25</v>
      </c>
      <c r="X1327" s="15">
        <f t="shared" si="147"/>
        <v>7162.5</v>
      </c>
      <c r="Y1327"/>
      <c r="Z1327"/>
      <c r="AA1327"/>
      <c r="AB1327"/>
      <c r="AC1327"/>
      <c r="AD1327"/>
    </row>
    <row r="1328" spans="2:30">
      <c r="B1328" s="2" t="s">
        <v>270</v>
      </c>
      <c r="C1328" s="2" t="s">
        <v>67</v>
      </c>
      <c r="D1328" s="2" t="s">
        <v>169</v>
      </c>
      <c r="E1328" s="3">
        <v>45352.791666666664</v>
      </c>
      <c r="F1328" s="2" t="s">
        <v>203</v>
      </c>
      <c r="G1328" s="2" t="s">
        <v>170</v>
      </c>
      <c r="H1328" s="2">
        <v>60</v>
      </c>
      <c r="I1328" s="2">
        <v>0</v>
      </c>
      <c r="J1328" s="2">
        <v>20</v>
      </c>
      <c r="K1328" s="2">
        <v>26</v>
      </c>
      <c r="L1328" s="2">
        <v>1.37</v>
      </c>
      <c r="M1328" s="2"/>
      <c r="N1328" s="2" t="s">
        <v>95</v>
      </c>
      <c r="O1328" s="10">
        <v>1</v>
      </c>
      <c r="P1328" s="10">
        <v>1</v>
      </c>
      <c r="Q1328" s="184">
        <v>2</v>
      </c>
      <c r="R1328" s="184">
        <v>1</v>
      </c>
      <c r="S1328" s="178">
        <f t="shared" si="142"/>
        <v>2</v>
      </c>
      <c r="T1328" s="186">
        <f t="shared" si="143"/>
        <v>3</v>
      </c>
      <c r="U1328" s="179">
        <f t="shared" si="144"/>
        <v>1</v>
      </c>
      <c r="V1328" s="1">
        <f t="shared" si="145"/>
        <v>25</v>
      </c>
      <c r="W1328" s="8">
        <f t="shared" si="146"/>
        <v>6.25</v>
      </c>
      <c r="X1328" s="15">
        <f t="shared" si="147"/>
        <v>7168.75</v>
      </c>
      <c r="Y1328"/>
      <c r="Z1328"/>
      <c r="AA1328"/>
      <c r="AB1328"/>
      <c r="AC1328"/>
      <c r="AD1328"/>
    </row>
    <row r="1329" spans="2:30">
      <c r="B1329" s="2" t="s">
        <v>270</v>
      </c>
      <c r="C1329" s="2" t="s">
        <v>149</v>
      </c>
      <c r="D1329" s="2" t="s">
        <v>153</v>
      </c>
      <c r="E1329" s="3">
        <v>45352.791666666664</v>
      </c>
      <c r="F1329" s="2" t="s">
        <v>244</v>
      </c>
      <c r="G1329" s="2" t="s">
        <v>241</v>
      </c>
      <c r="H1329" s="2">
        <v>62</v>
      </c>
      <c r="I1329" s="2">
        <v>0</v>
      </c>
      <c r="J1329" s="2">
        <v>20</v>
      </c>
      <c r="K1329" s="2">
        <v>27</v>
      </c>
      <c r="L1329" s="2">
        <v>3.33</v>
      </c>
      <c r="M1329" s="2"/>
      <c r="N1329" s="2" t="s">
        <v>95</v>
      </c>
      <c r="O1329" s="10">
        <v>0</v>
      </c>
      <c r="P1329" s="10">
        <v>3</v>
      </c>
      <c r="Q1329" s="184">
        <v>2</v>
      </c>
      <c r="R1329" s="184">
        <v>5</v>
      </c>
      <c r="S1329" s="178">
        <f t="shared" si="142"/>
        <v>3</v>
      </c>
      <c r="T1329" s="186">
        <f t="shared" si="143"/>
        <v>7</v>
      </c>
      <c r="U1329" s="179">
        <f t="shared" si="144"/>
        <v>4</v>
      </c>
      <c r="V1329" s="1">
        <f t="shared" si="145"/>
        <v>25</v>
      </c>
      <c r="W1329" s="8">
        <f t="shared" si="146"/>
        <v>6.25</v>
      </c>
      <c r="X1329" s="15">
        <f t="shared" si="147"/>
        <v>7175</v>
      </c>
      <c r="Y1329"/>
      <c r="Z1329"/>
      <c r="AA1329"/>
      <c r="AB1329"/>
      <c r="AC1329"/>
      <c r="AD1329"/>
    </row>
    <row r="1330" spans="2:30">
      <c r="B1330" s="2" t="s">
        <v>270</v>
      </c>
      <c r="C1330" s="2" t="s">
        <v>67</v>
      </c>
      <c r="D1330" s="2" t="s">
        <v>169</v>
      </c>
      <c r="E1330" s="3">
        <v>45352.791666666664</v>
      </c>
      <c r="F1330" s="2" t="s">
        <v>373</v>
      </c>
      <c r="G1330" s="2" t="s">
        <v>283</v>
      </c>
      <c r="H1330" s="2">
        <v>59</v>
      </c>
      <c r="I1330" s="2">
        <v>0</v>
      </c>
      <c r="J1330" s="2">
        <v>20</v>
      </c>
      <c r="K1330" s="2">
        <v>30</v>
      </c>
      <c r="L1330" s="2">
        <v>1.49</v>
      </c>
      <c r="M1330" s="2"/>
      <c r="N1330" s="2" t="s">
        <v>95</v>
      </c>
      <c r="O1330" s="10">
        <v>0</v>
      </c>
      <c r="P1330" s="10">
        <v>1</v>
      </c>
      <c r="Q1330" s="184">
        <v>1</v>
      </c>
      <c r="R1330" s="184">
        <v>1</v>
      </c>
      <c r="S1330" s="178">
        <f t="shared" si="142"/>
        <v>1</v>
      </c>
      <c r="T1330" s="186">
        <f t="shared" si="143"/>
        <v>2</v>
      </c>
      <c r="U1330" s="179">
        <f t="shared" si="144"/>
        <v>1</v>
      </c>
      <c r="V1330" s="1">
        <f t="shared" si="145"/>
        <v>25</v>
      </c>
      <c r="W1330" s="8">
        <f t="shared" si="146"/>
        <v>6.25</v>
      </c>
      <c r="X1330" s="15">
        <f t="shared" si="147"/>
        <v>7181.25</v>
      </c>
      <c r="Y1330"/>
      <c r="Z1330"/>
      <c r="AA1330"/>
      <c r="AB1330"/>
      <c r="AC1330"/>
      <c r="AD1330"/>
    </row>
    <row r="1331" spans="2:30">
      <c r="B1331" s="2" t="s">
        <v>270</v>
      </c>
      <c r="C1331" s="2" t="s">
        <v>6</v>
      </c>
      <c r="D1331" s="2" t="s">
        <v>14</v>
      </c>
      <c r="E1331" s="3">
        <v>45352.833333333336</v>
      </c>
      <c r="F1331" s="2" t="s">
        <v>414</v>
      </c>
      <c r="G1331" s="2" t="s">
        <v>376</v>
      </c>
      <c r="H1331" s="2">
        <v>61</v>
      </c>
      <c r="I1331" s="2">
        <v>0</v>
      </c>
      <c r="J1331" s="2">
        <v>20</v>
      </c>
      <c r="K1331" s="2">
        <v>35</v>
      </c>
      <c r="L1331" s="2">
        <v>2.61</v>
      </c>
      <c r="M1331" s="2"/>
      <c r="N1331" s="2" t="s">
        <v>95</v>
      </c>
      <c r="O1331" s="10">
        <v>2</v>
      </c>
      <c r="P1331" s="10">
        <v>0</v>
      </c>
      <c r="Q1331" s="184">
        <v>2</v>
      </c>
      <c r="R1331" s="184">
        <v>1</v>
      </c>
      <c r="S1331" s="178">
        <f t="shared" si="142"/>
        <v>2</v>
      </c>
      <c r="T1331" s="186">
        <f t="shared" si="143"/>
        <v>3</v>
      </c>
      <c r="U1331" s="179">
        <f t="shared" si="144"/>
        <v>1</v>
      </c>
      <c r="V1331" s="1">
        <f t="shared" si="145"/>
        <v>25</v>
      </c>
      <c r="W1331" s="8">
        <f t="shared" si="146"/>
        <v>6.25</v>
      </c>
      <c r="X1331" s="15">
        <f t="shared" si="147"/>
        <v>7187.5</v>
      </c>
      <c r="Y1331"/>
      <c r="Z1331"/>
      <c r="AA1331"/>
      <c r="AB1331"/>
      <c r="AC1331"/>
      <c r="AD1331"/>
    </row>
    <row r="1332" spans="2:30">
      <c r="B1332" s="2" t="s">
        <v>270</v>
      </c>
      <c r="C1332" s="2" t="s">
        <v>77</v>
      </c>
      <c r="D1332" s="2" t="s">
        <v>156</v>
      </c>
      <c r="E1332" s="3">
        <v>45353.604166666664</v>
      </c>
      <c r="F1332" s="2" t="s">
        <v>239</v>
      </c>
      <c r="G1332" s="2" t="s">
        <v>181</v>
      </c>
      <c r="H1332" s="2">
        <v>62</v>
      </c>
      <c r="I1332" s="2">
        <v>0</v>
      </c>
      <c r="J1332" s="2">
        <v>20</v>
      </c>
      <c r="K1332" s="2">
        <v>38</v>
      </c>
      <c r="L1332" s="2">
        <v>3.27</v>
      </c>
      <c r="M1332" s="2"/>
      <c r="N1332" s="2" t="s">
        <v>95</v>
      </c>
      <c r="O1332" s="10">
        <v>1</v>
      </c>
      <c r="P1332" s="10">
        <v>1</v>
      </c>
      <c r="Q1332" s="184">
        <v>1</v>
      </c>
      <c r="R1332" s="184">
        <v>4</v>
      </c>
      <c r="S1332" s="178">
        <f t="shared" si="142"/>
        <v>2</v>
      </c>
      <c r="T1332" s="186">
        <f t="shared" si="143"/>
        <v>5</v>
      </c>
      <c r="U1332" s="179">
        <f t="shared" si="144"/>
        <v>3</v>
      </c>
      <c r="V1332" s="1">
        <f t="shared" si="145"/>
        <v>25</v>
      </c>
      <c r="W1332" s="8">
        <f t="shared" si="146"/>
        <v>6.25</v>
      </c>
      <c r="X1332" s="15">
        <f t="shared" si="147"/>
        <v>7193.75</v>
      </c>
      <c r="Y1332"/>
      <c r="Z1332"/>
      <c r="AA1332"/>
      <c r="AB1332"/>
      <c r="AC1332"/>
      <c r="AD1332"/>
    </row>
    <row r="1333" spans="2:30">
      <c r="B1333" s="2" t="s">
        <v>270</v>
      </c>
      <c r="C1333" s="2" t="s">
        <v>6</v>
      </c>
      <c r="D1333" s="2" t="s">
        <v>62</v>
      </c>
      <c r="E1333" s="3">
        <v>45353.625</v>
      </c>
      <c r="F1333" s="2" t="s">
        <v>63</v>
      </c>
      <c r="G1333" s="2" t="s">
        <v>65</v>
      </c>
      <c r="H1333" s="2">
        <v>62</v>
      </c>
      <c r="I1333" s="2">
        <v>0</v>
      </c>
      <c r="J1333" s="2">
        <v>20</v>
      </c>
      <c r="K1333" s="2">
        <v>28</v>
      </c>
      <c r="L1333" s="2">
        <v>3.15</v>
      </c>
      <c r="M1333" s="2"/>
      <c r="N1333" s="2" t="s">
        <v>95</v>
      </c>
      <c r="O1333" s="10">
        <v>0</v>
      </c>
      <c r="P1333" s="10">
        <v>1</v>
      </c>
      <c r="Q1333" s="184">
        <v>2</v>
      </c>
      <c r="R1333" s="184">
        <v>2</v>
      </c>
      <c r="S1333" s="178">
        <f t="shared" si="142"/>
        <v>1</v>
      </c>
      <c r="T1333" s="186">
        <f t="shared" si="143"/>
        <v>4</v>
      </c>
      <c r="U1333" s="179">
        <f t="shared" si="144"/>
        <v>3</v>
      </c>
      <c r="V1333" s="1">
        <f t="shared" si="145"/>
        <v>25</v>
      </c>
      <c r="W1333" s="8">
        <f t="shared" si="146"/>
        <v>6.25</v>
      </c>
      <c r="X1333" s="15">
        <f t="shared" si="147"/>
        <v>7200</v>
      </c>
      <c r="Y1333"/>
      <c r="Z1333"/>
      <c r="AA1333"/>
      <c r="AB1333"/>
      <c r="AC1333"/>
      <c r="AD1333"/>
    </row>
    <row r="1334" spans="2:30">
      <c r="B1334" s="2" t="s">
        <v>270</v>
      </c>
      <c r="C1334" s="2" t="s">
        <v>67</v>
      </c>
      <c r="D1334" s="2" t="s">
        <v>68</v>
      </c>
      <c r="E1334" s="3">
        <v>45353.625</v>
      </c>
      <c r="F1334" s="2" t="s">
        <v>337</v>
      </c>
      <c r="G1334" s="2" t="s">
        <v>70</v>
      </c>
      <c r="H1334" s="2">
        <v>62</v>
      </c>
      <c r="I1334" s="2">
        <v>0</v>
      </c>
      <c r="J1334" s="2">
        <v>20</v>
      </c>
      <c r="K1334" s="2">
        <v>33</v>
      </c>
      <c r="L1334" s="2">
        <v>2.2999999999999998</v>
      </c>
      <c r="M1334" s="2"/>
      <c r="N1334" s="2" t="s">
        <v>95</v>
      </c>
      <c r="O1334" s="10">
        <v>2</v>
      </c>
      <c r="P1334" s="10">
        <v>2</v>
      </c>
      <c r="Q1334" s="184">
        <v>2</v>
      </c>
      <c r="R1334" s="184">
        <v>3</v>
      </c>
      <c r="S1334" s="178">
        <f t="shared" si="142"/>
        <v>4</v>
      </c>
      <c r="T1334" s="186">
        <f t="shared" si="143"/>
        <v>5</v>
      </c>
      <c r="U1334" s="179">
        <f t="shared" si="144"/>
        <v>1</v>
      </c>
      <c r="V1334" s="1">
        <f t="shared" si="145"/>
        <v>25</v>
      </c>
      <c r="W1334" s="8">
        <f t="shared" si="146"/>
        <v>6.25</v>
      </c>
      <c r="X1334" s="15">
        <f t="shared" si="147"/>
        <v>7206.25</v>
      </c>
      <c r="Y1334"/>
      <c r="Z1334"/>
      <c r="AA1334"/>
      <c r="AB1334"/>
      <c r="AC1334"/>
      <c r="AD1334"/>
    </row>
    <row r="1335" spans="2:30">
      <c r="B1335" s="2" t="s">
        <v>270</v>
      </c>
      <c r="C1335" s="2" t="s">
        <v>6</v>
      </c>
      <c r="D1335" s="2" t="s">
        <v>11</v>
      </c>
      <c r="E1335" s="3">
        <v>45353.625</v>
      </c>
      <c r="F1335" s="2" t="s">
        <v>286</v>
      </c>
      <c r="G1335" s="2" t="s">
        <v>162</v>
      </c>
      <c r="H1335" s="2">
        <v>70</v>
      </c>
      <c r="I1335" s="2">
        <v>0</v>
      </c>
      <c r="J1335" s="2">
        <v>20</v>
      </c>
      <c r="K1335" s="2">
        <v>39</v>
      </c>
      <c r="L1335" s="2">
        <v>1.91</v>
      </c>
      <c r="M1335" s="2"/>
      <c r="N1335" s="2" t="s">
        <v>95</v>
      </c>
      <c r="O1335" s="10">
        <v>0</v>
      </c>
      <c r="P1335" s="10">
        <v>1</v>
      </c>
      <c r="Q1335" s="184">
        <v>1</v>
      </c>
      <c r="R1335" s="184">
        <v>1</v>
      </c>
      <c r="S1335" s="178">
        <f t="shared" si="142"/>
        <v>1</v>
      </c>
      <c r="T1335" s="186">
        <f t="shared" si="143"/>
        <v>2</v>
      </c>
      <c r="U1335" s="179">
        <f t="shared" si="144"/>
        <v>1</v>
      </c>
      <c r="V1335" s="1">
        <f t="shared" si="145"/>
        <v>25</v>
      </c>
      <c r="W1335" s="8">
        <f t="shared" si="146"/>
        <v>6.25</v>
      </c>
      <c r="X1335" s="15">
        <f t="shared" si="147"/>
        <v>7212.5</v>
      </c>
      <c r="Y1335"/>
      <c r="Z1335"/>
      <c r="AA1335"/>
      <c r="AB1335"/>
      <c r="AC1335"/>
      <c r="AD1335"/>
    </row>
    <row r="1336" spans="2:30">
      <c r="B1336" s="2" t="s">
        <v>270</v>
      </c>
      <c r="C1336" s="2" t="s">
        <v>6</v>
      </c>
      <c r="D1336" s="2" t="s">
        <v>62</v>
      </c>
      <c r="E1336" s="3">
        <v>45353.625</v>
      </c>
      <c r="F1336" s="2" t="s">
        <v>264</v>
      </c>
      <c r="G1336" s="2" t="s">
        <v>285</v>
      </c>
      <c r="H1336" s="2">
        <v>67</v>
      </c>
      <c r="I1336" s="2">
        <v>0</v>
      </c>
      <c r="J1336" s="2">
        <v>20</v>
      </c>
      <c r="K1336" s="2">
        <v>38</v>
      </c>
      <c r="L1336" s="2">
        <v>2.91</v>
      </c>
      <c r="M1336" s="2"/>
      <c r="N1336" s="2" t="s">
        <v>95</v>
      </c>
      <c r="O1336" s="10">
        <v>0</v>
      </c>
      <c r="P1336" s="10">
        <v>0</v>
      </c>
      <c r="Q1336" s="184">
        <v>0</v>
      </c>
      <c r="R1336" s="184">
        <v>1</v>
      </c>
      <c r="S1336" s="178">
        <f t="shared" si="142"/>
        <v>0</v>
      </c>
      <c r="T1336" s="186">
        <f t="shared" si="143"/>
        <v>1</v>
      </c>
      <c r="U1336" s="179">
        <f t="shared" si="144"/>
        <v>1</v>
      </c>
      <c r="V1336" s="1">
        <f t="shared" si="145"/>
        <v>25</v>
      </c>
      <c r="W1336" s="8">
        <f t="shared" si="146"/>
        <v>6.25</v>
      </c>
      <c r="X1336" s="15">
        <f t="shared" si="147"/>
        <v>7218.75</v>
      </c>
      <c r="Y1336"/>
      <c r="Z1336"/>
      <c r="AA1336"/>
      <c r="AB1336"/>
      <c r="AC1336"/>
      <c r="AD1336"/>
    </row>
    <row r="1337" spans="2:30">
      <c r="B1337" s="2" t="s">
        <v>270</v>
      </c>
      <c r="C1337" s="2" t="s">
        <v>296</v>
      </c>
      <c r="D1337" s="2" t="s">
        <v>78</v>
      </c>
      <c r="E1337" s="3">
        <v>45353.708333333336</v>
      </c>
      <c r="F1337" s="2" t="s">
        <v>298</v>
      </c>
      <c r="G1337" s="2" t="s">
        <v>367</v>
      </c>
      <c r="H1337" s="2">
        <v>61</v>
      </c>
      <c r="I1337" s="2">
        <v>0</v>
      </c>
      <c r="J1337" s="2">
        <v>20</v>
      </c>
      <c r="K1337" s="2">
        <v>31</v>
      </c>
      <c r="L1337" s="2">
        <v>1.6</v>
      </c>
      <c r="M1337" s="2"/>
      <c r="N1337" s="2" t="s">
        <v>95</v>
      </c>
      <c r="O1337" s="10">
        <v>1</v>
      </c>
      <c r="P1337" s="10">
        <v>0</v>
      </c>
      <c r="Q1337" s="184">
        <v>2</v>
      </c>
      <c r="R1337" s="184">
        <v>0</v>
      </c>
      <c r="S1337" s="178">
        <f t="shared" si="142"/>
        <v>1</v>
      </c>
      <c r="T1337" s="186">
        <f t="shared" si="143"/>
        <v>2</v>
      </c>
      <c r="U1337" s="179">
        <f t="shared" si="144"/>
        <v>1</v>
      </c>
      <c r="V1337" s="1">
        <f t="shared" si="145"/>
        <v>25</v>
      </c>
      <c r="W1337" s="8">
        <f t="shared" si="146"/>
        <v>6.25</v>
      </c>
      <c r="X1337" s="15">
        <f t="shared" si="147"/>
        <v>7225</v>
      </c>
      <c r="Y1337"/>
      <c r="Z1337"/>
      <c r="AA1337"/>
      <c r="AB1337"/>
      <c r="AC1337"/>
      <c r="AD1337"/>
    </row>
    <row r="1338" spans="2:30">
      <c r="B1338" s="2" t="s">
        <v>270</v>
      </c>
      <c r="C1338" s="2" t="s">
        <v>296</v>
      </c>
      <c r="D1338" s="2" t="s">
        <v>78</v>
      </c>
      <c r="E1338" s="3">
        <v>45353.8125</v>
      </c>
      <c r="F1338" s="2" t="s">
        <v>392</v>
      </c>
      <c r="G1338" s="2" t="s">
        <v>346</v>
      </c>
      <c r="H1338" s="2">
        <v>67</v>
      </c>
      <c r="I1338" s="2">
        <v>0</v>
      </c>
      <c r="J1338" s="2">
        <v>20</v>
      </c>
      <c r="K1338" s="2">
        <v>41</v>
      </c>
      <c r="L1338" s="2">
        <v>1.5</v>
      </c>
      <c r="M1338" s="2"/>
      <c r="N1338" s="2" t="s">
        <v>95</v>
      </c>
      <c r="O1338" s="10">
        <v>0</v>
      </c>
      <c r="P1338" s="10">
        <v>1</v>
      </c>
      <c r="Q1338" s="184">
        <v>1</v>
      </c>
      <c r="R1338" s="184">
        <v>2</v>
      </c>
      <c r="S1338" s="178">
        <f t="shared" si="142"/>
        <v>1</v>
      </c>
      <c r="T1338" s="186">
        <f t="shared" si="143"/>
        <v>3</v>
      </c>
      <c r="U1338" s="179">
        <f t="shared" si="144"/>
        <v>2</v>
      </c>
      <c r="V1338" s="1">
        <f t="shared" si="145"/>
        <v>25</v>
      </c>
      <c r="W1338" s="8">
        <f t="shared" si="146"/>
        <v>6.25</v>
      </c>
      <c r="X1338" s="15">
        <f t="shared" si="147"/>
        <v>7231.25</v>
      </c>
      <c r="Y1338"/>
      <c r="Z1338"/>
      <c r="AA1338"/>
      <c r="AB1338"/>
      <c r="AC1338"/>
      <c r="AD1338"/>
    </row>
    <row r="1339" spans="2:30">
      <c r="B1339" s="2" t="s">
        <v>270</v>
      </c>
      <c r="C1339" s="2" t="s">
        <v>6</v>
      </c>
      <c r="D1339" s="2" t="s">
        <v>62</v>
      </c>
      <c r="E1339" s="3">
        <v>45354.541666666664</v>
      </c>
      <c r="F1339" s="2" t="s">
        <v>103</v>
      </c>
      <c r="G1339" s="2" t="s">
        <v>117</v>
      </c>
      <c r="H1339" s="2">
        <v>61</v>
      </c>
      <c r="I1339" s="2">
        <v>0</v>
      </c>
      <c r="J1339" s="2">
        <v>20</v>
      </c>
      <c r="K1339" s="2">
        <v>20</v>
      </c>
      <c r="L1339" s="2">
        <v>2.58</v>
      </c>
      <c r="M1339" s="2"/>
      <c r="N1339" s="2" t="s">
        <v>95</v>
      </c>
      <c r="O1339" s="10">
        <v>0</v>
      </c>
      <c r="P1339" s="10">
        <v>1</v>
      </c>
      <c r="Q1339" s="184">
        <v>0</v>
      </c>
      <c r="R1339" s="184">
        <v>2</v>
      </c>
      <c r="S1339" s="178">
        <f t="shared" si="142"/>
        <v>1</v>
      </c>
      <c r="T1339" s="186">
        <f t="shared" si="143"/>
        <v>2</v>
      </c>
      <c r="U1339" s="179">
        <f t="shared" si="144"/>
        <v>1</v>
      </c>
      <c r="V1339" s="1">
        <f t="shared" si="145"/>
        <v>25</v>
      </c>
      <c r="W1339" s="8">
        <f t="shared" si="146"/>
        <v>6.25</v>
      </c>
      <c r="X1339" s="15">
        <f t="shared" si="147"/>
        <v>7237.5</v>
      </c>
      <c r="Y1339"/>
      <c r="Z1339"/>
      <c r="AA1339"/>
      <c r="AB1339"/>
      <c r="AC1339"/>
      <c r="AD1339"/>
    </row>
    <row r="1340" spans="2:30">
      <c r="B1340" s="2" t="s">
        <v>270</v>
      </c>
      <c r="C1340" s="2" t="s">
        <v>296</v>
      </c>
      <c r="D1340" s="2" t="s">
        <v>78</v>
      </c>
      <c r="E1340" s="3">
        <v>45354.552083333336</v>
      </c>
      <c r="F1340" s="2" t="s">
        <v>299</v>
      </c>
      <c r="G1340" s="2" t="s">
        <v>368</v>
      </c>
      <c r="H1340" s="2">
        <v>69</v>
      </c>
      <c r="I1340" s="2">
        <v>0</v>
      </c>
      <c r="J1340" s="2">
        <v>20</v>
      </c>
      <c r="K1340" s="2">
        <v>36</v>
      </c>
      <c r="L1340" s="2">
        <v>1.49</v>
      </c>
      <c r="M1340" s="2"/>
      <c r="N1340" s="2" t="s">
        <v>95</v>
      </c>
      <c r="O1340" s="10">
        <v>0</v>
      </c>
      <c r="P1340" s="10">
        <v>1</v>
      </c>
      <c r="Q1340" s="184">
        <v>0</v>
      </c>
      <c r="R1340" s="184">
        <v>1</v>
      </c>
      <c r="S1340" s="178">
        <f t="shared" si="142"/>
        <v>1</v>
      </c>
      <c r="T1340" s="186">
        <f t="shared" si="143"/>
        <v>1</v>
      </c>
      <c r="U1340" s="179">
        <f t="shared" si="144"/>
        <v>0</v>
      </c>
      <c r="V1340" s="1">
        <f t="shared" si="145"/>
        <v>25</v>
      </c>
      <c r="W1340" s="8">
        <f t="shared" si="146"/>
        <v>6.25</v>
      </c>
      <c r="X1340" s="15">
        <f t="shared" si="147"/>
        <v>7243.75</v>
      </c>
      <c r="Y1340"/>
      <c r="Z1340"/>
      <c r="AA1340"/>
      <c r="AB1340"/>
      <c r="AC1340"/>
      <c r="AD1340"/>
    </row>
    <row r="1341" spans="2:30">
      <c r="B1341" s="2" t="s">
        <v>270</v>
      </c>
      <c r="C1341" s="2" t="s">
        <v>149</v>
      </c>
      <c r="D1341" s="2" t="s">
        <v>153</v>
      </c>
      <c r="E1341" s="3">
        <v>45354.5625</v>
      </c>
      <c r="F1341" s="2" t="s">
        <v>206</v>
      </c>
      <c r="G1341" s="2" t="s">
        <v>205</v>
      </c>
      <c r="H1341" s="2">
        <v>67</v>
      </c>
      <c r="I1341" s="2">
        <v>0</v>
      </c>
      <c r="J1341" s="2">
        <v>20</v>
      </c>
      <c r="K1341" s="2">
        <v>31</v>
      </c>
      <c r="L1341" s="2">
        <v>2.68</v>
      </c>
      <c r="M1341" s="2"/>
      <c r="N1341" s="2" t="s">
        <v>95</v>
      </c>
      <c r="O1341" s="10">
        <v>1</v>
      </c>
      <c r="P1341" s="10">
        <v>0</v>
      </c>
      <c r="Q1341" s="184">
        <v>2</v>
      </c>
      <c r="R1341" s="184">
        <v>0</v>
      </c>
      <c r="S1341" s="178">
        <f t="shared" si="142"/>
        <v>1</v>
      </c>
      <c r="T1341" s="186">
        <f t="shared" si="143"/>
        <v>2</v>
      </c>
      <c r="U1341" s="179">
        <f t="shared" si="144"/>
        <v>1</v>
      </c>
      <c r="V1341" s="1">
        <f t="shared" si="145"/>
        <v>25</v>
      </c>
      <c r="W1341" s="8">
        <f t="shared" si="146"/>
        <v>6.25</v>
      </c>
      <c r="X1341" s="15">
        <f t="shared" si="147"/>
        <v>7250</v>
      </c>
      <c r="Y1341"/>
      <c r="Z1341"/>
      <c r="AA1341"/>
      <c r="AB1341"/>
      <c r="AC1341"/>
      <c r="AD1341"/>
    </row>
    <row r="1342" spans="2:30">
      <c r="B1342" s="2" t="s">
        <v>270</v>
      </c>
      <c r="C1342" s="2" t="s">
        <v>20</v>
      </c>
      <c r="D1342" s="2" t="s">
        <v>322</v>
      </c>
      <c r="E1342" s="3">
        <v>45354.635416666664</v>
      </c>
      <c r="F1342" s="2" t="s">
        <v>356</v>
      </c>
      <c r="G1342" s="2" t="s">
        <v>487</v>
      </c>
      <c r="H1342" s="2">
        <v>63</v>
      </c>
      <c r="I1342" s="2">
        <v>0</v>
      </c>
      <c r="J1342" s="2">
        <v>20</v>
      </c>
      <c r="K1342" s="2">
        <v>32</v>
      </c>
      <c r="L1342" s="2">
        <v>2.36</v>
      </c>
      <c r="M1342" s="2"/>
      <c r="N1342" s="2" t="s">
        <v>95</v>
      </c>
      <c r="O1342" s="10">
        <v>0</v>
      </c>
      <c r="P1342" s="10">
        <v>2</v>
      </c>
      <c r="Q1342" s="184">
        <v>1</v>
      </c>
      <c r="R1342" s="184">
        <v>3</v>
      </c>
      <c r="S1342" s="178">
        <f t="shared" si="142"/>
        <v>2</v>
      </c>
      <c r="T1342" s="186">
        <f t="shared" si="143"/>
        <v>4</v>
      </c>
      <c r="U1342" s="179">
        <f t="shared" si="144"/>
        <v>2</v>
      </c>
      <c r="V1342" s="1">
        <f t="shared" si="145"/>
        <v>25</v>
      </c>
      <c r="W1342" s="8">
        <f t="shared" si="146"/>
        <v>6.25</v>
      </c>
      <c r="X1342" s="15">
        <f t="shared" si="147"/>
        <v>7256.25</v>
      </c>
      <c r="Y1342"/>
      <c r="Z1342"/>
      <c r="AA1342"/>
      <c r="AB1342"/>
      <c r="AC1342"/>
      <c r="AD1342"/>
    </row>
    <row r="1343" spans="2:30">
      <c r="B1343" s="2" t="s">
        <v>270</v>
      </c>
      <c r="C1343" s="2" t="s">
        <v>145</v>
      </c>
      <c r="D1343" s="2" t="s">
        <v>190</v>
      </c>
      <c r="E1343" s="3">
        <v>45354.670138888891</v>
      </c>
      <c r="F1343" s="2" t="s">
        <v>339</v>
      </c>
      <c r="G1343" s="2" t="s">
        <v>227</v>
      </c>
      <c r="H1343" s="2">
        <v>61</v>
      </c>
      <c r="I1343" s="2">
        <v>0</v>
      </c>
      <c r="J1343" s="2">
        <v>20</v>
      </c>
      <c r="K1343" s="2">
        <v>33</v>
      </c>
      <c r="L1343" s="2">
        <v>2.35</v>
      </c>
      <c r="M1343" s="2"/>
      <c r="N1343" s="2" t="s">
        <v>95</v>
      </c>
      <c r="O1343" s="10">
        <v>0</v>
      </c>
      <c r="P1343" s="10">
        <v>0</v>
      </c>
      <c r="Q1343" s="184">
        <v>1</v>
      </c>
      <c r="R1343" s="184">
        <v>2</v>
      </c>
      <c r="S1343" s="178">
        <f t="shared" si="142"/>
        <v>0</v>
      </c>
      <c r="T1343" s="186">
        <f t="shared" si="143"/>
        <v>3</v>
      </c>
      <c r="U1343" s="179">
        <f t="shared" si="144"/>
        <v>3</v>
      </c>
      <c r="V1343" s="1">
        <f t="shared" si="145"/>
        <v>25</v>
      </c>
      <c r="W1343" s="8">
        <f t="shared" si="146"/>
        <v>6.25</v>
      </c>
      <c r="X1343" s="15">
        <f t="shared" si="147"/>
        <v>7262.5</v>
      </c>
      <c r="Y1343"/>
      <c r="Z1343"/>
      <c r="AA1343"/>
      <c r="AB1343"/>
      <c r="AC1343"/>
      <c r="AD1343"/>
    </row>
    <row r="1344" spans="2:30">
      <c r="B1344" s="2" t="s">
        <v>270</v>
      </c>
      <c r="C1344" s="2" t="s">
        <v>67</v>
      </c>
      <c r="D1344" s="2" t="s">
        <v>68</v>
      </c>
      <c r="E1344" s="3">
        <v>45354.729166666664</v>
      </c>
      <c r="F1344" s="2" t="s">
        <v>375</v>
      </c>
      <c r="G1344" s="2" t="s">
        <v>88</v>
      </c>
      <c r="H1344" s="2">
        <v>60</v>
      </c>
      <c r="I1344" s="2">
        <v>0</v>
      </c>
      <c r="J1344" s="2">
        <v>20</v>
      </c>
      <c r="K1344" s="2">
        <v>30</v>
      </c>
      <c r="L1344" s="2">
        <v>2.83</v>
      </c>
      <c r="M1344" s="2"/>
      <c r="N1344" s="2" t="s">
        <v>95</v>
      </c>
      <c r="O1344" s="10">
        <v>1</v>
      </c>
      <c r="P1344" s="10">
        <v>0</v>
      </c>
      <c r="Q1344" s="184">
        <v>1</v>
      </c>
      <c r="R1344" s="184">
        <v>0</v>
      </c>
      <c r="S1344" s="178">
        <f t="shared" si="142"/>
        <v>1</v>
      </c>
      <c r="T1344" s="186">
        <f t="shared" si="143"/>
        <v>1</v>
      </c>
      <c r="U1344" s="179">
        <f t="shared" si="144"/>
        <v>0</v>
      </c>
      <c r="V1344" s="1">
        <f t="shared" si="145"/>
        <v>25</v>
      </c>
      <c r="W1344" s="8">
        <f t="shared" si="146"/>
        <v>6.25</v>
      </c>
      <c r="X1344" s="15">
        <f t="shared" si="147"/>
        <v>7268.75</v>
      </c>
      <c r="Y1344"/>
      <c r="Z1344"/>
      <c r="AA1344"/>
      <c r="AB1344"/>
      <c r="AC1344"/>
      <c r="AD1344"/>
    </row>
    <row r="1345" spans="2:30">
      <c r="B1345" s="2" t="s">
        <v>270</v>
      </c>
      <c r="C1345" s="2" t="s">
        <v>133</v>
      </c>
      <c r="D1345" s="2" t="s">
        <v>78</v>
      </c>
      <c r="E1345" s="3">
        <v>45354.729166666664</v>
      </c>
      <c r="F1345" s="2" t="s">
        <v>394</v>
      </c>
      <c r="G1345" s="2" t="s">
        <v>137</v>
      </c>
      <c r="H1345" s="2">
        <v>59</v>
      </c>
      <c r="I1345" s="2">
        <v>0</v>
      </c>
      <c r="J1345" s="2">
        <v>20</v>
      </c>
      <c r="K1345" s="2">
        <v>25</v>
      </c>
      <c r="L1345" s="2">
        <v>2.2000000000000002</v>
      </c>
      <c r="M1345" s="2"/>
      <c r="N1345" s="2" t="s">
        <v>95</v>
      </c>
      <c r="O1345" s="10">
        <v>0</v>
      </c>
      <c r="P1345" s="10">
        <v>0</v>
      </c>
      <c r="Q1345" s="184">
        <v>0</v>
      </c>
      <c r="R1345" s="184">
        <v>2</v>
      </c>
      <c r="S1345" s="178">
        <f t="shared" ref="S1345:S1408" si="148">SUM(O1345:P1345)</f>
        <v>0</v>
      </c>
      <c r="T1345" s="186">
        <f t="shared" ref="T1345:T1408" si="149">SUM(Q1345:R1345)</f>
        <v>2</v>
      </c>
      <c r="U1345" s="179">
        <f t="shared" ref="U1345:U1408" si="150">SUM(T1345-S1345)</f>
        <v>2</v>
      </c>
      <c r="V1345" s="1">
        <f t="shared" si="145"/>
        <v>25</v>
      </c>
      <c r="W1345" s="8">
        <f t="shared" si="146"/>
        <v>6.25</v>
      </c>
      <c r="X1345" s="15">
        <f t="shared" si="147"/>
        <v>7275</v>
      </c>
      <c r="Y1345"/>
      <c r="Z1345"/>
      <c r="AA1345"/>
      <c r="AB1345"/>
      <c r="AC1345"/>
      <c r="AD1345"/>
    </row>
    <row r="1346" spans="2:30">
      <c r="B1346" s="2" t="s">
        <v>270</v>
      </c>
      <c r="C1346" s="2" t="s">
        <v>58</v>
      </c>
      <c r="D1346" s="2" t="s">
        <v>59</v>
      </c>
      <c r="E1346" s="3">
        <v>45354.75</v>
      </c>
      <c r="F1346" s="2" t="s">
        <v>125</v>
      </c>
      <c r="G1346" s="2" t="s">
        <v>106</v>
      </c>
      <c r="H1346" s="2">
        <v>60</v>
      </c>
      <c r="I1346" s="2">
        <v>0</v>
      </c>
      <c r="J1346" s="2">
        <v>20</v>
      </c>
      <c r="K1346" s="2">
        <v>32</v>
      </c>
      <c r="L1346" s="2">
        <v>2.56</v>
      </c>
      <c r="M1346" s="2"/>
      <c r="N1346" s="2" t="s">
        <v>95</v>
      </c>
      <c r="O1346" s="10">
        <v>2</v>
      </c>
      <c r="P1346" s="10">
        <v>1</v>
      </c>
      <c r="Q1346" s="184">
        <v>3</v>
      </c>
      <c r="R1346" s="184">
        <v>2</v>
      </c>
      <c r="S1346" s="178">
        <f t="shared" si="148"/>
        <v>3</v>
      </c>
      <c r="T1346" s="186">
        <f t="shared" si="149"/>
        <v>5</v>
      </c>
      <c r="U1346" s="179">
        <f t="shared" si="150"/>
        <v>2</v>
      </c>
      <c r="V1346" s="1">
        <f t="shared" si="145"/>
        <v>25</v>
      </c>
      <c r="W1346" s="8">
        <f t="shared" si="146"/>
        <v>6.25</v>
      </c>
      <c r="X1346" s="15">
        <f t="shared" si="147"/>
        <v>7281.25</v>
      </c>
      <c r="Y1346"/>
      <c r="Z1346"/>
      <c r="AA1346"/>
      <c r="AB1346"/>
      <c r="AC1346"/>
      <c r="AD1346"/>
    </row>
    <row r="1347" spans="2:30">
      <c r="B1347" s="2" t="s">
        <v>270</v>
      </c>
      <c r="C1347" s="2" t="s">
        <v>149</v>
      </c>
      <c r="D1347" s="2" t="s">
        <v>150</v>
      </c>
      <c r="E1347" s="3">
        <v>45355.791666666664</v>
      </c>
      <c r="F1347" s="2" t="s">
        <v>493</v>
      </c>
      <c r="G1347" s="2" t="s">
        <v>151</v>
      </c>
      <c r="H1347" s="2">
        <v>61</v>
      </c>
      <c r="I1347" s="2">
        <v>0</v>
      </c>
      <c r="J1347" s="2">
        <v>20</v>
      </c>
      <c r="K1347" s="2">
        <v>25</v>
      </c>
      <c r="L1347" s="2">
        <v>2.35</v>
      </c>
      <c r="M1347" s="2"/>
      <c r="N1347" s="2" t="s">
        <v>95</v>
      </c>
      <c r="O1347" s="10">
        <v>0</v>
      </c>
      <c r="P1347" s="10">
        <v>0</v>
      </c>
      <c r="Q1347" s="184">
        <v>3</v>
      </c>
      <c r="R1347" s="184">
        <v>1</v>
      </c>
      <c r="S1347" s="178">
        <f t="shared" si="148"/>
        <v>0</v>
      </c>
      <c r="T1347" s="186">
        <f t="shared" si="149"/>
        <v>4</v>
      </c>
      <c r="U1347" s="179">
        <f t="shared" si="150"/>
        <v>4</v>
      </c>
      <c r="V1347" s="1">
        <f t="shared" si="145"/>
        <v>25</v>
      </c>
      <c r="W1347" s="8">
        <f t="shared" si="146"/>
        <v>6.25</v>
      </c>
      <c r="X1347" s="15">
        <f t="shared" si="147"/>
        <v>7287.5</v>
      </c>
      <c r="Y1347"/>
      <c r="Z1347"/>
      <c r="AA1347"/>
      <c r="AB1347"/>
      <c r="AC1347"/>
      <c r="AD1347"/>
    </row>
    <row r="1348" spans="2:30">
      <c r="B1348" s="2" t="s">
        <v>270</v>
      </c>
      <c r="C1348" s="2" t="s">
        <v>6</v>
      </c>
      <c r="D1348" s="2" t="s">
        <v>7</v>
      </c>
      <c r="E1348" s="3">
        <v>45356.822916666664</v>
      </c>
      <c r="F1348" s="2" t="s">
        <v>9</v>
      </c>
      <c r="G1348" s="2" t="s">
        <v>55</v>
      </c>
      <c r="H1348" s="2">
        <v>67</v>
      </c>
      <c r="I1348" s="2">
        <v>0</v>
      </c>
      <c r="J1348" s="2">
        <v>20</v>
      </c>
      <c r="K1348" s="2">
        <v>36</v>
      </c>
      <c r="L1348" s="2">
        <v>2.74</v>
      </c>
      <c r="M1348" s="2"/>
      <c r="N1348" s="2" t="s">
        <v>95</v>
      </c>
      <c r="O1348" s="10">
        <v>0</v>
      </c>
      <c r="P1348" s="10">
        <v>0</v>
      </c>
      <c r="Q1348" s="184">
        <v>1</v>
      </c>
      <c r="R1348" s="184">
        <v>0</v>
      </c>
      <c r="S1348" s="178">
        <f t="shared" si="148"/>
        <v>0</v>
      </c>
      <c r="T1348" s="186">
        <f t="shared" si="149"/>
        <v>1</v>
      </c>
      <c r="U1348" s="179">
        <f t="shared" si="150"/>
        <v>1</v>
      </c>
      <c r="V1348" s="1">
        <f t="shared" si="145"/>
        <v>25</v>
      </c>
      <c r="W1348" s="8">
        <f t="shared" si="146"/>
        <v>6.25</v>
      </c>
      <c r="X1348" s="15">
        <f t="shared" si="147"/>
        <v>7293.75</v>
      </c>
      <c r="Y1348"/>
      <c r="Z1348"/>
      <c r="AA1348"/>
      <c r="AB1348"/>
      <c r="AC1348"/>
      <c r="AD1348"/>
    </row>
    <row r="1349" spans="2:30">
      <c r="B1349" s="2" t="s">
        <v>270</v>
      </c>
      <c r="C1349" s="2" t="s">
        <v>6</v>
      </c>
      <c r="D1349" s="2" t="s">
        <v>14</v>
      </c>
      <c r="E1349" s="3">
        <v>45356.822916666664</v>
      </c>
      <c r="F1349" s="2" t="s">
        <v>503</v>
      </c>
      <c r="G1349" s="2" t="s">
        <v>290</v>
      </c>
      <c r="H1349" s="2">
        <v>63</v>
      </c>
      <c r="I1349" s="2">
        <v>0</v>
      </c>
      <c r="J1349" s="2">
        <v>20</v>
      </c>
      <c r="K1349" s="2">
        <v>37</v>
      </c>
      <c r="L1349" s="2">
        <v>2.35</v>
      </c>
      <c r="M1349" s="2"/>
      <c r="N1349" s="2" t="s">
        <v>95</v>
      </c>
      <c r="O1349" s="10">
        <v>0</v>
      </c>
      <c r="P1349" s="10">
        <v>1</v>
      </c>
      <c r="Q1349" s="184">
        <v>0</v>
      </c>
      <c r="R1349" s="184">
        <v>1</v>
      </c>
      <c r="S1349" s="178">
        <f t="shared" si="148"/>
        <v>1</v>
      </c>
      <c r="T1349" s="186">
        <f t="shared" si="149"/>
        <v>1</v>
      </c>
      <c r="U1349" s="179">
        <f t="shared" si="150"/>
        <v>0</v>
      </c>
      <c r="V1349" s="1">
        <f t="shared" ref="V1349:V1412" si="151">SUM($X$1*0.05)</f>
        <v>25</v>
      </c>
      <c r="W1349" s="8">
        <f t="shared" si="146"/>
        <v>6.25</v>
      </c>
      <c r="X1349" s="15">
        <f t="shared" si="147"/>
        <v>7300</v>
      </c>
      <c r="Y1349"/>
      <c r="Z1349"/>
      <c r="AA1349"/>
      <c r="AB1349"/>
      <c r="AC1349"/>
      <c r="AD1349"/>
    </row>
    <row r="1350" spans="2:30">
      <c r="B1350" s="2" t="s">
        <v>270</v>
      </c>
      <c r="C1350" s="2" t="s">
        <v>48</v>
      </c>
      <c r="D1350" s="2" t="s">
        <v>49</v>
      </c>
      <c r="E1350" s="3">
        <v>45360.583333333336</v>
      </c>
      <c r="F1350" s="2" t="s">
        <v>486</v>
      </c>
      <c r="G1350" s="2" t="s">
        <v>385</v>
      </c>
      <c r="H1350" s="2">
        <v>60</v>
      </c>
      <c r="I1350" s="2">
        <v>0</v>
      </c>
      <c r="J1350" s="2">
        <v>20</v>
      </c>
      <c r="K1350" s="2">
        <v>36</v>
      </c>
      <c r="L1350" s="2">
        <v>1.43</v>
      </c>
      <c r="M1350" s="2"/>
      <c r="N1350" s="2" t="s">
        <v>95</v>
      </c>
      <c r="O1350" s="10">
        <v>0</v>
      </c>
      <c r="P1350" s="10">
        <v>0</v>
      </c>
      <c r="Q1350" s="184">
        <v>0</v>
      </c>
      <c r="R1350" s="184">
        <v>1</v>
      </c>
      <c r="S1350" s="178">
        <f t="shared" si="148"/>
        <v>0</v>
      </c>
      <c r="T1350" s="186">
        <f t="shared" si="149"/>
        <v>1</v>
      </c>
      <c r="U1350" s="179">
        <f t="shared" si="150"/>
        <v>1</v>
      </c>
      <c r="V1350" s="1">
        <f t="shared" si="151"/>
        <v>25</v>
      </c>
      <c r="W1350" s="8">
        <f t="shared" si="146"/>
        <v>6.25</v>
      </c>
      <c r="X1350" s="15">
        <f t="shared" si="147"/>
        <v>7306.25</v>
      </c>
      <c r="Y1350"/>
      <c r="Z1350"/>
      <c r="AA1350"/>
      <c r="AB1350"/>
      <c r="AC1350"/>
      <c r="AD1350"/>
    </row>
    <row r="1351" spans="2:30">
      <c r="B1351" s="2" t="s">
        <v>270</v>
      </c>
      <c r="C1351" s="2" t="s">
        <v>6</v>
      </c>
      <c r="D1351" s="2" t="s">
        <v>62</v>
      </c>
      <c r="E1351" s="3">
        <v>45360.625</v>
      </c>
      <c r="F1351" s="2" t="s">
        <v>117</v>
      </c>
      <c r="G1351" s="2" t="s">
        <v>85</v>
      </c>
      <c r="H1351" s="2">
        <v>60</v>
      </c>
      <c r="I1351" s="2">
        <v>0</v>
      </c>
      <c r="J1351" s="2">
        <v>20</v>
      </c>
      <c r="K1351" s="2">
        <v>27</v>
      </c>
      <c r="L1351" s="2">
        <v>2.27</v>
      </c>
      <c r="M1351" s="2"/>
      <c r="N1351" s="2" t="s">
        <v>95</v>
      </c>
      <c r="O1351" s="10">
        <v>0</v>
      </c>
      <c r="P1351" s="10">
        <v>1</v>
      </c>
      <c r="Q1351" s="184">
        <v>2</v>
      </c>
      <c r="R1351" s="184">
        <v>2</v>
      </c>
      <c r="S1351" s="178">
        <f t="shared" si="148"/>
        <v>1</v>
      </c>
      <c r="T1351" s="186">
        <f t="shared" si="149"/>
        <v>4</v>
      </c>
      <c r="U1351" s="179">
        <f t="shared" si="150"/>
        <v>3</v>
      </c>
      <c r="V1351" s="1">
        <f t="shared" si="151"/>
        <v>25</v>
      </c>
      <c r="W1351" s="8">
        <f t="shared" si="146"/>
        <v>6.25</v>
      </c>
      <c r="X1351" s="15">
        <f t="shared" si="147"/>
        <v>7312.5</v>
      </c>
      <c r="Y1351"/>
      <c r="Z1351"/>
      <c r="AA1351"/>
      <c r="AB1351"/>
      <c r="AC1351"/>
      <c r="AD1351"/>
    </row>
    <row r="1352" spans="2:30">
      <c r="B1352" s="2" t="s">
        <v>270</v>
      </c>
      <c r="C1352" s="2" t="s">
        <v>6</v>
      </c>
      <c r="D1352" s="2" t="s">
        <v>7</v>
      </c>
      <c r="E1352" s="3">
        <v>45360.625</v>
      </c>
      <c r="F1352" s="2" t="s">
        <v>378</v>
      </c>
      <c r="G1352" s="2" t="s">
        <v>55</v>
      </c>
      <c r="H1352" s="2">
        <v>66</v>
      </c>
      <c r="I1352" s="2">
        <v>0</v>
      </c>
      <c r="J1352" s="2">
        <v>20</v>
      </c>
      <c r="K1352" s="2">
        <v>40</v>
      </c>
      <c r="L1352" s="2">
        <v>2.6</v>
      </c>
      <c r="M1352" s="2"/>
      <c r="N1352" s="2" t="s">
        <v>95</v>
      </c>
      <c r="O1352" s="10">
        <v>1</v>
      </c>
      <c r="P1352" s="10">
        <v>0</v>
      </c>
      <c r="Q1352" s="184">
        <v>1</v>
      </c>
      <c r="R1352" s="184">
        <v>2</v>
      </c>
      <c r="S1352" s="178">
        <f t="shared" si="148"/>
        <v>1</v>
      </c>
      <c r="T1352" s="186">
        <f t="shared" si="149"/>
        <v>3</v>
      </c>
      <c r="U1352" s="179">
        <f t="shared" si="150"/>
        <v>2</v>
      </c>
      <c r="V1352" s="1">
        <f t="shared" si="151"/>
        <v>25</v>
      </c>
      <c r="W1352" s="8">
        <f t="shared" si="146"/>
        <v>6.25</v>
      </c>
      <c r="X1352" s="15">
        <f t="shared" si="147"/>
        <v>7318.75</v>
      </c>
      <c r="Y1352"/>
      <c r="Z1352"/>
      <c r="AA1352"/>
      <c r="AB1352"/>
      <c r="AC1352"/>
      <c r="AD1352"/>
    </row>
    <row r="1353" spans="2:30">
      <c r="B1353" s="2" t="s">
        <v>270</v>
      </c>
      <c r="C1353" s="2" t="s">
        <v>6</v>
      </c>
      <c r="D1353" s="2" t="s">
        <v>14</v>
      </c>
      <c r="E1353" s="3">
        <v>45360.625</v>
      </c>
      <c r="F1353" s="2" t="s">
        <v>56</v>
      </c>
      <c r="G1353" s="2" t="s">
        <v>503</v>
      </c>
      <c r="H1353" s="2">
        <v>61</v>
      </c>
      <c r="I1353" s="2">
        <v>0</v>
      </c>
      <c r="J1353" s="2">
        <v>20</v>
      </c>
      <c r="K1353" s="2">
        <v>36</v>
      </c>
      <c r="L1353" s="2">
        <v>2.5</v>
      </c>
      <c r="M1353" s="2"/>
      <c r="N1353" s="2" t="s">
        <v>95</v>
      </c>
      <c r="O1353" s="10">
        <v>2</v>
      </c>
      <c r="P1353" s="10">
        <v>0</v>
      </c>
      <c r="Q1353" s="184">
        <v>4</v>
      </c>
      <c r="R1353" s="184">
        <v>2</v>
      </c>
      <c r="S1353" s="178">
        <f t="shared" si="148"/>
        <v>2</v>
      </c>
      <c r="T1353" s="186">
        <f t="shared" si="149"/>
        <v>6</v>
      </c>
      <c r="U1353" s="179">
        <f t="shared" si="150"/>
        <v>4</v>
      </c>
      <c r="V1353" s="1">
        <f t="shared" si="151"/>
        <v>25</v>
      </c>
      <c r="W1353" s="8">
        <f t="shared" si="146"/>
        <v>6.25</v>
      </c>
      <c r="X1353" s="15">
        <f t="shared" si="147"/>
        <v>7325</v>
      </c>
      <c r="Y1353"/>
      <c r="Z1353"/>
      <c r="AA1353"/>
      <c r="AB1353"/>
      <c r="AC1353"/>
      <c r="AD1353"/>
    </row>
    <row r="1354" spans="2:30">
      <c r="B1354" s="2" t="s">
        <v>270</v>
      </c>
      <c r="C1354" s="2" t="s">
        <v>67</v>
      </c>
      <c r="D1354" s="2" t="s">
        <v>169</v>
      </c>
      <c r="E1354" s="3">
        <v>45360.625</v>
      </c>
      <c r="F1354" s="2" t="s">
        <v>283</v>
      </c>
      <c r="G1354" s="2" t="s">
        <v>203</v>
      </c>
      <c r="H1354" s="2">
        <v>61</v>
      </c>
      <c r="I1354" s="2">
        <v>0</v>
      </c>
      <c r="J1354" s="2">
        <v>20</v>
      </c>
      <c r="K1354" s="2">
        <v>35</v>
      </c>
      <c r="L1354" s="2">
        <v>2.4500000000000002</v>
      </c>
      <c r="M1354" s="2"/>
      <c r="N1354" s="2" t="s">
        <v>95</v>
      </c>
      <c r="O1354" s="10">
        <v>0</v>
      </c>
      <c r="P1354" s="10">
        <v>1</v>
      </c>
      <c r="Q1354" s="184">
        <v>1</v>
      </c>
      <c r="R1354" s="184">
        <v>2</v>
      </c>
      <c r="S1354" s="178">
        <f t="shared" si="148"/>
        <v>1</v>
      </c>
      <c r="T1354" s="186">
        <f t="shared" si="149"/>
        <v>3</v>
      </c>
      <c r="U1354" s="179">
        <f t="shared" si="150"/>
        <v>2</v>
      </c>
      <c r="V1354" s="1">
        <f t="shared" si="151"/>
        <v>25</v>
      </c>
      <c r="W1354" s="8">
        <f t="shared" si="146"/>
        <v>6.25</v>
      </c>
      <c r="X1354" s="15">
        <f t="shared" si="147"/>
        <v>7331.25</v>
      </c>
      <c r="Y1354"/>
      <c r="Z1354"/>
      <c r="AA1354"/>
      <c r="AB1354"/>
      <c r="AC1354"/>
      <c r="AD1354"/>
    </row>
    <row r="1355" spans="2:30">
      <c r="B1355" s="2" t="s">
        <v>270</v>
      </c>
      <c r="C1355" s="2" t="s">
        <v>6</v>
      </c>
      <c r="D1355" s="2" t="s">
        <v>14</v>
      </c>
      <c r="E1355" s="3">
        <v>45360.625</v>
      </c>
      <c r="F1355" s="2" t="s">
        <v>431</v>
      </c>
      <c r="G1355" s="2" t="s">
        <v>376</v>
      </c>
      <c r="H1355" s="2">
        <v>60</v>
      </c>
      <c r="I1355" s="2">
        <v>0</v>
      </c>
      <c r="J1355" s="2">
        <v>20</v>
      </c>
      <c r="K1355" s="2">
        <v>31</v>
      </c>
      <c r="L1355" s="2">
        <v>2.66</v>
      </c>
      <c r="M1355" s="2"/>
      <c r="N1355" s="2" t="s">
        <v>95</v>
      </c>
      <c r="O1355" s="10">
        <v>1</v>
      </c>
      <c r="P1355" s="10">
        <v>1</v>
      </c>
      <c r="Q1355" s="184">
        <v>1</v>
      </c>
      <c r="R1355" s="184">
        <v>2</v>
      </c>
      <c r="S1355" s="178">
        <f t="shared" si="148"/>
        <v>2</v>
      </c>
      <c r="T1355" s="186">
        <f t="shared" si="149"/>
        <v>3</v>
      </c>
      <c r="U1355" s="179">
        <f t="shared" si="150"/>
        <v>1</v>
      </c>
      <c r="V1355" s="1">
        <f t="shared" si="151"/>
        <v>25</v>
      </c>
      <c r="W1355" s="8">
        <f t="shared" si="146"/>
        <v>6.25</v>
      </c>
      <c r="X1355" s="15">
        <f t="shared" si="147"/>
        <v>7337.5</v>
      </c>
      <c r="Y1355"/>
      <c r="Z1355"/>
      <c r="AA1355"/>
      <c r="AB1355"/>
      <c r="AC1355"/>
      <c r="AD1355"/>
    </row>
    <row r="1356" spans="2:30">
      <c r="B1356" s="2" t="s">
        <v>270</v>
      </c>
      <c r="C1356" s="2" t="s">
        <v>80</v>
      </c>
      <c r="D1356" s="2" t="s">
        <v>81</v>
      </c>
      <c r="E1356" s="3">
        <v>45360.666666666664</v>
      </c>
      <c r="F1356" s="2" t="s">
        <v>550</v>
      </c>
      <c r="G1356" s="2" t="s">
        <v>551</v>
      </c>
      <c r="H1356" s="2">
        <v>59</v>
      </c>
      <c r="I1356" s="2">
        <v>0</v>
      </c>
      <c r="J1356" s="2">
        <v>20</v>
      </c>
      <c r="K1356" s="2">
        <v>36</v>
      </c>
      <c r="L1356" s="2">
        <v>2.06</v>
      </c>
      <c r="M1356" s="2"/>
      <c r="N1356" s="2" t="s">
        <v>95</v>
      </c>
      <c r="O1356" s="10">
        <v>1</v>
      </c>
      <c r="P1356" s="10">
        <v>1</v>
      </c>
      <c r="Q1356" s="184">
        <v>5</v>
      </c>
      <c r="R1356" s="184">
        <v>1</v>
      </c>
      <c r="S1356" s="178">
        <f t="shared" si="148"/>
        <v>2</v>
      </c>
      <c r="T1356" s="186">
        <f t="shared" si="149"/>
        <v>6</v>
      </c>
      <c r="U1356" s="179">
        <f t="shared" si="150"/>
        <v>4</v>
      </c>
      <c r="V1356" s="1">
        <f t="shared" si="151"/>
        <v>25</v>
      </c>
      <c r="W1356" s="8">
        <f t="shared" si="146"/>
        <v>6.25</v>
      </c>
      <c r="X1356" s="15">
        <f t="shared" si="147"/>
        <v>7343.75</v>
      </c>
      <c r="Y1356"/>
      <c r="Z1356"/>
      <c r="AA1356"/>
      <c r="AB1356"/>
      <c r="AC1356"/>
      <c r="AD1356"/>
    </row>
    <row r="1357" spans="2:30">
      <c r="B1357" s="2" t="s">
        <v>270</v>
      </c>
      <c r="C1357" s="2" t="s">
        <v>6</v>
      </c>
      <c r="D1357" s="2" t="s">
        <v>62</v>
      </c>
      <c r="E1357" s="3">
        <v>45360.729166666664</v>
      </c>
      <c r="F1357" s="2" t="s">
        <v>73</v>
      </c>
      <c r="G1357" s="2" t="s">
        <v>63</v>
      </c>
      <c r="H1357" s="2">
        <v>60</v>
      </c>
      <c r="I1357" s="2">
        <v>0</v>
      </c>
      <c r="J1357" s="2">
        <v>20</v>
      </c>
      <c r="K1357" s="2">
        <v>31</v>
      </c>
      <c r="L1357" s="2">
        <v>3.03</v>
      </c>
      <c r="M1357" s="2"/>
      <c r="N1357" s="2" t="s">
        <v>95</v>
      </c>
      <c r="O1357" s="10">
        <v>1</v>
      </c>
      <c r="P1357" s="10">
        <v>1</v>
      </c>
      <c r="Q1357" s="184">
        <v>2</v>
      </c>
      <c r="R1357" s="184">
        <v>1</v>
      </c>
      <c r="S1357" s="178">
        <f t="shared" si="148"/>
        <v>2</v>
      </c>
      <c r="T1357" s="186">
        <f t="shared" si="149"/>
        <v>3</v>
      </c>
      <c r="U1357" s="179">
        <f t="shared" si="150"/>
        <v>1</v>
      </c>
      <c r="V1357" s="1">
        <f t="shared" si="151"/>
        <v>25</v>
      </c>
      <c r="W1357" s="8">
        <f t="shared" si="146"/>
        <v>6.25</v>
      </c>
      <c r="X1357" s="15">
        <f t="shared" si="147"/>
        <v>7350</v>
      </c>
      <c r="Y1357"/>
      <c r="Z1357"/>
      <c r="AA1357"/>
      <c r="AB1357"/>
      <c r="AC1357"/>
      <c r="AD1357"/>
    </row>
    <row r="1358" spans="2:30">
      <c r="B1358" s="2" t="s">
        <v>270</v>
      </c>
      <c r="C1358" s="2" t="s">
        <v>296</v>
      </c>
      <c r="D1358" s="2" t="s">
        <v>78</v>
      </c>
      <c r="E1358" s="3">
        <v>45360.8125</v>
      </c>
      <c r="F1358" s="2" t="s">
        <v>367</v>
      </c>
      <c r="G1358" s="2" t="s">
        <v>368</v>
      </c>
      <c r="H1358" s="2">
        <v>61</v>
      </c>
      <c r="I1358" s="2">
        <v>0</v>
      </c>
      <c r="J1358" s="2">
        <v>20</v>
      </c>
      <c r="K1358" s="2">
        <v>37</v>
      </c>
      <c r="L1358" s="2">
        <v>1.83</v>
      </c>
      <c r="M1358" s="2"/>
      <c r="N1358" s="2" t="s">
        <v>95</v>
      </c>
      <c r="O1358" s="10">
        <v>2</v>
      </c>
      <c r="P1358" s="10">
        <v>1</v>
      </c>
      <c r="Q1358" s="184">
        <v>2</v>
      </c>
      <c r="R1358" s="184">
        <v>3</v>
      </c>
      <c r="S1358" s="178">
        <f t="shared" si="148"/>
        <v>3</v>
      </c>
      <c r="T1358" s="186">
        <f t="shared" si="149"/>
        <v>5</v>
      </c>
      <c r="U1358" s="179">
        <f t="shared" si="150"/>
        <v>2</v>
      </c>
      <c r="V1358" s="1">
        <f t="shared" si="151"/>
        <v>25</v>
      </c>
      <c r="W1358" s="8">
        <f t="shared" si="146"/>
        <v>6.25</v>
      </c>
      <c r="X1358" s="15">
        <f t="shared" si="147"/>
        <v>7356.25</v>
      </c>
      <c r="Y1358"/>
      <c r="Z1358"/>
      <c r="AA1358"/>
      <c r="AB1358"/>
      <c r="AC1358"/>
      <c r="AD1358"/>
    </row>
    <row r="1359" spans="2:30">
      <c r="B1359" s="2" t="s">
        <v>270</v>
      </c>
      <c r="C1359" s="2" t="s">
        <v>44</v>
      </c>
      <c r="D1359" s="2" t="s">
        <v>45</v>
      </c>
      <c r="E1359" s="3">
        <v>45361.25</v>
      </c>
      <c r="F1359" s="2" t="s">
        <v>46</v>
      </c>
      <c r="G1359" s="2" t="s">
        <v>233</v>
      </c>
      <c r="H1359" s="2">
        <v>64</v>
      </c>
      <c r="I1359" s="2">
        <v>0</v>
      </c>
      <c r="J1359" s="2">
        <v>20</v>
      </c>
      <c r="K1359" s="2">
        <v>33</v>
      </c>
      <c r="L1359" s="2">
        <v>2.99</v>
      </c>
      <c r="M1359" s="2"/>
      <c r="N1359" s="2" t="s">
        <v>95</v>
      </c>
      <c r="O1359" s="10">
        <v>0</v>
      </c>
      <c r="P1359" s="10">
        <v>0</v>
      </c>
      <c r="Q1359" s="184">
        <v>1</v>
      </c>
      <c r="R1359" s="184">
        <v>1</v>
      </c>
      <c r="S1359" s="178">
        <f t="shared" si="148"/>
        <v>0</v>
      </c>
      <c r="T1359" s="186">
        <f t="shared" si="149"/>
        <v>2</v>
      </c>
      <c r="U1359" s="179">
        <f t="shared" si="150"/>
        <v>2</v>
      </c>
      <c r="V1359" s="1">
        <f t="shared" si="151"/>
        <v>25</v>
      </c>
      <c r="W1359" s="8">
        <f t="shared" si="146"/>
        <v>6.25</v>
      </c>
      <c r="X1359" s="15">
        <f t="shared" si="147"/>
        <v>7362.5</v>
      </c>
      <c r="Y1359"/>
      <c r="Z1359"/>
      <c r="AA1359"/>
      <c r="AB1359"/>
      <c r="AC1359"/>
      <c r="AD1359"/>
    </row>
    <row r="1360" spans="2:30">
      <c r="B1360" s="2" t="s">
        <v>270</v>
      </c>
      <c r="C1360" s="2" t="s">
        <v>6</v>
      </c>
      <c r="D1360" s="2" t="s">
        <v>14</v>
      </c>
      <c r="E1360" s="3">
        <v>45361.5</v>
      </c>
      <c r="F1360" s="2" t="s">
        <v>421</v>
      </c>
      <c r="G1360" s="2" t="s">
        <v>414</v>
      </c>
      <c r="H1360" s="2">
        <v>63</v>
      </c>
      <c r="I1360" s="2">
        <v>0</v>
      </c>
      <c r="J1360" s="2">
        <v>20</v>
      </c>
      <c r="K1360" s="2">
        <v>37</v>
      </c>
      <c r="L1360" s="2">
        <v>1.98</v>
      </c>
      <c r="M1360" s="2"/>
      <c r="N1360" s="2" t="s">
        <v>95</v>
      </c>
      <c r="O1360" s="10">
        <v>1</v>
      </c>
      <c r="P1360" s="10">
        <v>0</v>
      </c>
      <c r="Q1360" s="184">
        <v>1</v>
      </c>
      <c r="R1360" s="184">
        <v>4</v>
      </c>
      <c r="S1360" s="178">
        <f t="shared" si="148"/>
        <v>1</v>
      </c>
      <c r="T1360" s="186">
        <f t="shared" si="149"/>
        <v>5</v>
      </c>
      <c r="U1360" s="179">
        <f t="shared" si="150"/>
        <v>4</v>
      </c>
      <c r="V1360" s="1">
        <f t="shared" si="151"/>
        <v>25</v>
      </c>
      <c r="W1360" s="8">
        <f t="shared" si="146"/>
        <v>6.25</v>
      </c>
      <c r="X1360" s="15">
        <f t="shared" si="147"/>
        <v>7368.75</v>
      </c>
      <c r="Y1360"/>
      <c r="Z1360"/>
      <c r="AA1360"/>
      <c r="AB1360"/>
      <c r="AC1360"/>
      <c r="AD1360"/>
    </row>
    <row r="1361" spans="2:30">
      <c r="B1361" s="2" t="s">
        <v>270</v>
      </c>
      <c r="C1361" s="2" t="s">
        <v>145</v>
      </c>
      <c r="D1361" s="2" t="s">
        <v>190</v>
      </c>
      <c r="E1361" s="3">
        <v>45361.5</v>
      </c>
      <c r="F1361" s="2" t="s">
        <v>553</v>
      </c>
      <c r="G1361" s="2" t="s">
        <v>554</v>
      </c>
      <c r="H1361" s="2">
        <v>63</v>
      </c>
      <c r="I1361" s="2">
        <v>0</v>
      </c>
      <c r="J1361" s="2">
        <v>20</v>
      </c>
      <c r="K1361" s="2">
        <v>32</v>
      </c>
      <c r="L1361" s="2">
        <v>2.5</v>
      </c>
      <c r="M1361" s="2"/>
      <c r="N1361" s="2" t="s">
        <v>95</v>
      </c>
      <c r="O1361" s="10">
        <v>2</v>
      </c>
      <c r="P1361" s="10">
        <v>2</v>
      </c>
      <c r="Q1361" s="184">
        <v>2</v>
      </c>
      <c r="R1361" s="184">
        <v>2</v>
      </c>
      <c r="S1361" s="178">
        <f t="shared" si="148"/>
        <v>4</v>
      </c>
      <c r="T1361" s="186">
        <f t="shared" si="149"/>
        <v>4</v>
      </c>
      <c r="U1361" s="179">
        <f t="shared" si="150"/>
        <v>0</v>
      </c>
      <c r="V1361" s="1">
        <f t="shared" si="151"/>
        <v>25</v>
      </c>
      <c r="W1361" s="8">
        <f t="shared" si="146"/>
        <v>6.25</v>
      </c>
      <c r="X1361" s="15">
        <f t="shared" si="147"/>
        <v>7375</v>
      </c>
      <c r="Y1361"/>
      <c r="Z1361"/>
      <c r="AA1361"/>
      <c r="AB1361"/>
      <c r="AC1361"/>
      <c r="AD1361"/>
    </row>
    <row r="1362" spans="2:30">
      <c r="B1362" s="2" t="s">
        <v>270</v>
      </c>
      <c r="C1362" s="2" t="s">
        <v>296</v>
      </c>
      <c r="D1362" s="2" t="s">
        <v>78</v>
      </c>
      <c r="E1362" s="3">
        <v>45361.552083333336</v>
      </c>
      <c r="F1362" s="2" t="s">
        <v>298</v>
      </c>
      <c r="G1362" s="2" t="s">
        <v>346</v>
      </c>
      <c r="H1362" s="2">
        <v>61</v>
      </c>
      <c r="I1362" s="2">
        <v>0</v>
      </c>
      <c r="J1362" s="2">
        <v>20</v>
      </c>
      <c r="K1362" s="2">
        <v>29</v>
      </c>
      <c r="L1362" s="2">
        <v>2.0099999999999998</v>
      </c>
      <c r="M1362" s="2"/>
      <c r="N1362" s="2" t="s">
        <v>95</v>
      </c>
      <c r="O1362" s="10">
        <v>1</v>
      </c>
      <c r="P1362" s="10">
        <v>1</v>
      </c>
      <c r="Q1362" s="184">
        <v>3</v>
      </c>
      <c r="R1362" s="184">
        <v>1</v>
      </c>
      <c r="S1362" s="178">
        <f t="shared" si="148"/>
        <v>2</v>
      </c>
      <c r="T1362" s="186">
        <f t="shared" si="149"/>
        <v>4</v>
      </c>
      <c r="U1362" s="179">
        <f t="shared" si="150"/>
        <v>2</v>
      </c>
      <c r="V1362" s="1">
        <f t="shared" si="151"/>
        <v>25</v>
      </c>
      <c r="W1362" s="8">
        <f t="shared" si="146"/>
        <v>6.25</v>
      </c>
      <c r="X1362" s="15">
        <f t="shared" si="147"/>
        <v>7381.25</v>
      </c>
      <c r="Y1362"/>
      <c r="Z1362"/>
      <c r="AA1362"/>
      <c r="AB1362"/>
      <c r="AC1362"/>
      <c r="AD1362"/>
    </row>
    <row r="1363" spans="2:30">
      <c r="B1363" s="2" t="s">
        <v>270</v>
      </c>
      <c r="C1363" s="2" t="s">
        <v>149</v>
      </c>
      <c r="D1363" s="2" t="s">
        <v>153</v>
      </c>
      <c r="E1363" s="3">
        <v>45361.5625</v>
      </c>
      <c r="F1363" s="2" t="s">
        <v>205</v>
      </c>
      <c r="G1363" s="2" t="s">
        <v>244</v>
      </c>
      <c r="H1363" s="2">
        <v>62</v>
      </c>
      <c r="I1363" s="2">
        <v>0</v>
      </c>
      <c r="J1363" s="2">
        <v>20</v>
      </c>
      <c r="K1363" s="2">
        <v>25</v>
      </c>
      <c r="L1363" s="2">
        <v>2.87</v>
      </c>
      <c r="M1363" s="2"/>
      <c r="N1363" s="2" t="s">
        <v>95</v>
      </c>
      <c r="O1363" s="10">
        <v>0</v>
      </c>
      <c r="P1363" s="10">
        <v>0</v>
      </c>
      <c r="Q1363" s="184">
        <v>1</v>
      </c>
      <c r="R1363" s="184">
        <v>1</v>
      </c>
      <c r="S1363" s="178">
        <f t="shared" si="148"/>
        <v>0</v>
      </c>
      <c r="T1363" s="186">
        <f t="shared" si="149"/>
        <v>2</v>
      </c>
      <c r="U1363" s="179">
        <f t="shared" si="150"/>
        <v>2</v>
      </c>
      <c r="V1363" s="1">
        <f t="shared" si="151"/>
        <v>25</v>
      </c>
      <c r="W1363" s="8">
        <f t="shared" si="146"/>
        <v>6.25</v>
      </c>
      <c r="X1363" s="15">
        <f t="shared" si="147"/>
        <v>7387.5</v>
      </c>
      <c r="Y1363"/>
      <c r="Z1363"/>
      <c r="AA1363"/>
      <c r="AB1363"/>
      <c r="AC1363"/>
      <c r="AD1363"/>
    </row>
    <row r="1364" spans="2:30">
      <c r="B1364" s="2" t="s">
        <v>270</v>
      </c>
      <c r="C1364" s="2" t="s">
        <v>352</v>
      </c>
      <c r="D1364" s="2" t="s">
        <v>353</v>
      </c>
      <c r="E1364" s="3">
        <v>45361.583333333336</v>
      </c>
      <c r="F1364" s="2" t="s">
        <v>557</v>
      </c>
      <c r="G1364" s="2" t="s">
        <v>354</v>
      </c>
      <c r="H1364" s="2">
        <v>71</v>
      </c>
      <c r="I1364" s="2">
        <v>0</v>
      </c>
      <c r="J1364" s="2">
        <v>20</v>
      </c>
      <c r="K1364" s="2">
        <v>34</v>
      </c>
      <c r="L1364" s="2">
        <v>1.02</v>
      </c>
      <c r="M1364" s="2"/>
      <c r="N1364" s="2" t="s">
        <v>95</v>
      </c>
      <c r="O1364" s="10">
        <v>2</v>
      </c>
      <c r="P1364" s="10">
        <v>0</v>
      </c>
      <c r="Q1364" s="184">
        <v>3</v>
      </c>
      <c r="R1364" s="184">
        <v>0</v>
      </c>
      <c r="S1364" s="178">
        <f t="shared" si="148"/>
        <v>2</v>
      </c>
      <c r="T1364" s="186">
        <f t="shared" si="149"/>
        <v>3</v>
      </c>
      <c r="U1364" s="179">
        <f t="shared" si="150"/>
        <v>1</v>
      </c>
      <c r="V1364" s="1">
        <f t="shared" si="151"/>
        <v>25</v>
      </c>
      <c r="W1364" s="8">
        <f t="shared" si="146"/>
        <v>6.25</v>
      </c>
      <c r="X1364" s="15">
        <f t="shared" si="147"/>
        <v>7393.75</v>
      </c>
      <c r="Y1364"/>
      <c r="Z1364"/>
      <c r="AA1364"/>
      <c r="AB1364"/>
      <c r="AC1364"/>
      <c r="AD1364"/>
    </row>
    <row r="1365" spans="2:30">
      <c r="B1365" s="2" t="s">
        <v>270</v>
      </c>
      <c r="C1365" s="2" t="s">
        <v>20</v>
      </c>
      <c r="D1365" s="2" t="s">
        <v>322</v>
      </c>
      <c r="E1365" s="3">
        <v>45361.635416666664</v>
      </c>
      <c r="F1365" s="2" t="s">
        <v>340</v>
      </c>
      <c r="G1365" s="2" t="s">
        <v>468</v>
      </c>
      <c r="H1365" s="2">
        <v>63</v>
      </c>
      <c r="I1365" s="2">
        <v>0</v>
      </c>
      <c r="J1365" s="2">
        <v>20</v>
      </c>
      <c r="K1365" s="2">
        <v>33</v>
      </c>
      <c r="L1365" s="2">
        <v>2.56</v>
      </c>
      <c r="M1365" s="2"/>
      <c r="N1365" s="2" t="s">
        <v>95</v>
      </c>
      <c r="O1365" s="10">
        <v>2</v>
      </c>
      <c r="P1365" s="10">
        <v>1</v>
      </c>
      <c r="Q1365" s="184">
        <v>3</v>
      </c>
      <c r="R1365" s="184">
        <v>1</v>
      </c>
      <c r="S1365" s="178">
        <f t="shared" si="148"/>
        <v>3</v>
      </c>
      <c r="T1365" s="186">
        <f t="shared" si="149"/>
        <v>4</v>
      </c>
      <c r="U1365" s="179">
        <f t="shared" si="150"/>
        <v>1</v>
      </c>
      <c r="V1365" s="1">
        <f t="shared" si="151"/>
        <v>25</v>
      </c>
      <c r="W1365" s="8">
        <f t="shared" si="146"/>
        <v>6.25</v>
      </c>
      <c r="X1365" s="15">
        <f t="shared" si="147"/>
        <v>7400</v>
      </c>
      <c r="Y1365"/>
      <c r="Z1365"/>
      <c r="AA1365"/>
      <c r="AB1365"/>
      <c r="AC1365"/>
      <c r="AD1365"/>
    </row>
    <row r="1366" spans="2:30">
      <c r="B1366" s="2" t="s">
        <v>270</v>
      </c>
      <c r="C1366" s="2" t="s">
        <v>149</v>
      </c>
      <c r="D1366" s="2" t="s">
        <v>153</v>
      </c>
      <c r="E1366" s="3">
        <v>45361.65625</v>
      </c>
      <c r="F1366" s="2" t="s">
        <v>241</v>
      </c>
      <c r="G1366" s="2" t="s">
        <v>206</v>
      </c>
      <c r="H1366" s="2">
        <v>59</v>
      </c>
      <c r="I1366" s="2">
        <v>0</v>
      </c>
      <c r="J1366" s="2">
        <v>20</v>
      </c>
      <c r="K1366" s="2">
        <v>23</v>
      </c>
      <c r="L1366" s="2">
        <v>2.79</v>
      </c>
      <c r="M1366" s="2"/>
      <c r="N1366" s="2" t="s">
        <v>95</v>
      </c>
      <c r="O1366" s="10">
        <v>0</v>
      </c>
      <c r="P1366" s="10">
        <v>0</v>
      </c>
      <c r="Q1366" s="184">
        <v>2</v>
      </c>
      <c r="R1366" s="184">
        <v>0</v>
      </c>
      <c r="S1366" s="178">
        <f t="shared" si="148"/>
        <v>0</v>
      </c>
      <c r="T1366" s="186">
        <f t="shared" si="149"/>
        <v>2</v>
      </c>
      <c r="U1366" s="179">
        <f t="shared" si="150"/>
        <v>2</v>
      </c>
      <c r="V1366" s="1">
        <f t="shared" si="151"/>
        <v>25</v>
      </c>
      <c r="W1366" s="8">
        <f t="shared" ref="W1366:W1429" si="152">IF(N1366="won",V1366*0.25,-V1366)</f>
        <v>6.25</v>
      </c>
      <c r="X1366" s="15">
        <f t="shared" ref="X1366:X1429" si="153">SUM(X1365,W1366)</f>
        <v>7406.25</v>
      </c>
      <c r="Y1366"/>
      <c r="Z1366"/>
      <c r="AA1366"/>
      <c r="AB1366"/>
      <c r="AC1366"/>
      <c r="AD1366"/>
    </row>
    <row r="1367" spans="2:30">
      <c r="B1367" s="2" t="s">
        <v>270</v>
      </c>
      <c r="C1367" s="2" t="s">
        <v>67</v>
      </c>
      <c r="D1367" s="2" t="s">
        <v>68</v>
      </c>
      <c r="E1367" s="3">
        <v>45361.760416666664</v>
      </c>
      <c r="F1367" s="2" t="s">
        <v>88</v>
      </c>
      <c r="G1367" s="2" t="s">
        <v>342</v>
      </c>
      <c r="H1367" s="2">
        <v>62</v>
      </c>
      <c r="I1367" s="2">
        <v>0</v>
      </c>
      <c r="J1367" s="2">
        <v>20</v>
      </c>
      <c r="K1367" s="2">
        <v>33</v>
      </c>
      <c r="L1367" s="2">
        <v>2.44</v>
      </c>
      <c r="M1367" s="2"/>
      <c r="N1367" s="2" t="s">
        <v>95</v>
      </c>
      <c r="O1367" s="10">
        <v>1</v>
      </c>
      <c r="P1367" s="10">
        <v>0</v>
      </c>
      <c r="Q1367" s="184">
        <v>1</v>
      </c>
      <c r="R1367" s="184">
        <v>0</v>
      </c>
      <c r="S1367" s="178">
        <f t="shared" si="148"/>
        <v>1</v>
      </c>
      <c r="T1367" s="186">
        <f t="shared" si="149"/>
        <v>1</v>
      </c>
      <c r="U1367" s="179">
        <f t="shared" si="150"/>
        <v>0</v>
      </c>
      <c r="V1367" s="1">
        <f t="shared" si="151"/>
        <v>25</v>
      </c>
      <c r="W1367" s="8">
        <f t="shared" si="152"/>
        <v>6.25</v>
      </c>
      <c r="X1367" s="15">
        <f t="shared" si="153"/>
        <v>7412.5</v>
      </c>
      <c r="Y1367"/>
      <c r="Z1367"/>
      <c r="AA1367"/>
      <c r="AB1367"/>
      <c r="AC1367"/>
      <c r="AD1367"/>
    </row>
    <row r="1368" spans="2:30">
      <c r="B1368" s="2" t="s">
        <v>270</v>
      </c>
      <c r="C1368" s="2" t="s">
        <v>67</v>
      </c>
      <c r="D1368" s="2" t="s">
        <v>169</v>
      </c>
      <c r="E1368" s="3">
        <v>45361.760416666664</v>
      </c>
      <c r="F1368" s="2" t="s">
        <v>372</v>
      </c>
      <c r="G1368" s="2" t="s">
        <v>171</v>
      </c>
      <c r="H1368" s="2">
        <v>71</v>
      </c>
      <c r="I1368" s="2">
        <v>0</v>
      </c>
      <c r="J1368" s="2">
        <v>20</v>
      </c>
      <c r="K1368" s="2">
        <v>35</v>
      </c>
      <c r="L1368" s="2">
        <v>2.13</v>
      </c>
      <c r="M1368" s="2"/>
      <c r="N1368" s="2" t="s">
        <v>95</v>
      </c>
      <c r="O1368" s="10">
        <v>1</v>
      </c>
      <c r="P1368" s="10">
        <v>0</v>
      </c>
      <c r="Q1368" s="184">
        <v>1</v>
      </c>
      <c r="R1368" s="184">
        <v>0</v>
      </c>
      <c r="S1368" s="178">
        <f t="shared" si="148"/>
        <v>1</v>
      </c>
      <c r="T1368" s="186">
        <f t="shared" si="149"/>
        <v>1</v>
      </c>
      <c r="U1368" s="179">
        <f t="shared" si="150"/>
        <v>0</v>
      </c>
      <c r="V1368" s="1">
        <f t="shared" si="151"/>
        <v>25</v>
      </c>
      <c r="W1368" s="8">
        <f t="shared" si="152"/>
        <v>6.25</v>
      </c>
      <c r="X1368" s="15">
        <f t="shared" si="153"/>
        <v>7418.75</v>
      </c>
      <c r="Y1368"/>
      <c r="Z1368"/>
      <c r="AA1368"/>
      <c r="AB1368"/>
      <c r="AC1368"/>
      <c r="AD1368"/>
    </row>
    <row r="1369" spans="2:30">
      <c r="B1369" s="2" t="s">
        <v>270</v>
      </c>
      <c r="C1369" s="2" t="s">
        <v>58</v>
      </c>
      <c r="D1369" s="2" t="s">
        <v>59</v>
      </c>
      <c r="E1369" s="3">
        <v>45361.854166666664</v>
      </c>
      <c r="F1369" s="2" t="s">
        <v>60</v>
      </c>
      <c r="G1369" s="2" t="s">
        <v>105</v>
      </c>
      <c r="H1369" s="2">
        <v>60</v>
      </c>
      <c r="I1369" s="2">
        <v>0</v>
      </c>
      <c r="J1369" s="2">
        <v>20</v>
      </c>
      <c r="K1369" s="2">
        <v>33</v>
      </c>
      <c r="L1369" s="2">
        <v>3.22</v>
      </c>
      <c r="M1369" s="2"/>
      <c r="N1369" s="2" t="s">
        <v>95</v>
      </c>
      <c r="O1369" s="10">
        <v>2</v>
      </c>
      <c r="P1369" s="10">
        <v>1</v>
      </c>
      <c r="Q1369" s="184">
        <v>3</v>
      </c>
      <c r="R1369" s="184">
        <v>1</v>
      </c>
      <c r="S1369" s="178">
        <f t="shared" si="148"/>
        <v>3</v>
      </c>
      <c r="T1369" s="186">
        <f t="shared" si="149"/>
        <v>4</v>
      </c>
      <c r="U1369" s="179">
        <f t="shared" si="150"/>
        <v>1</v>
      </c>
      <c r="V1369" s="1">
        <f t="shared" si="151"/>
        <v>25</v>
      </c>
      <c r="W1369" s="8">
        <f t="shared" si="152"/>
        <v>6.25</v>
      </c>
      <c r="X1369" s="15">
        <f t="shared" si="153"/>
        <v>7425</v>
      </c>
      <c r="Y1369"/>
      <c r="Z1369"/>
      <c r="AA1369"/>
      <c r="AB1369"/>
      <c r="AC1369"/>
      <c r="AD1369"/>
    </row>
    <row r="1370" spans="2:30">
      <c r="B1370" s="2" t="s">
        <v>270</v>
      </c>
      <c r="C1370" s="2" t="s">
        <v>6</v>
      </c>
      <c r="D1370" s="2" t="s">
        <v>62</v>
      </c>
      <c r="E1370" s="3">
        <v>45362.833333333336</v>
      </c>
      <c r="F1370" s="2" t="s">
        <v>65</v>
      </c>
      <c r="G1370" s="2" t="s">
        <v>164</v>
      </c>
      <c r="H1370" s="2">
        <v>60</v>
      </c>
      <c r="I1370" s="2">
        <v>0</v>
      </c>
      <c r="J1370" s="2">
        <v>20</v>
      </c>
      <c r="K1370" s="2">
        <v>35</v>
      </c>
      <c r="L1370" s="2">
        <v>3.59</v>
      </c>
      <c r="M1370" s="2"/>
      <c r="N1370" s="2" t="s">
        <v>95</v>
      </c>
      <c r="O1370" s="10">
        <v>1</v>
      </c>
      <c r="P1370" s="10">
        <v>1</v>
      </c>
      <c r="Q1370" s="184">
        <v>3</v>
      </c>
      <c r="R1370" s="184">
        <v>2</v>
      </c>
      <c r="S1370" s="178">
        <f t="shared" si="148"/>
        <v>2</v>
      </c>
      <c r="T1370" s="186">
        <f t="shared" si="149"/>
        <v>5</v>
      </c>
      <c r="U1370" s="179">
        <f t="shared" si="150"/>
        <v>3</v>
      </c>
      <c r="V1370" s="1">
        <f t="shared" si="151"/>
        <v>25</v>
      </c>
      <c r="W1370" s="8">
        <f t="shared" si="152"/>
        <v>6.25</v>
      </c>
      <c r="X1370" s="15">
        <f t="shared" si="153"/>
        <v>7431.25</v>
      </c>
      <c r="Y1370"/>
      <c r="Z1370"/>
      <c r="AA1370"/>
      <c r="AB1370"/>
      <c r="AC1370"/>
      <c r="AD1370"/>
    </row>
    <row r="1371" spans="2:30">
      <c r="B1371" s="2" t="s">
        <v>270</v>
      </c>
      <c r="C1371" s="2" t="s">
        <v>6</v>
      </c>
      <c r="D1371" s="2" t="s">
        <v>62</v>
      </c>
      <c r="E1371" s="3">
        <v>45364.8125</v>
      </c>
      <c r="F1371" s="2" t="s">
        <v>117</v>
      </c>
      <c r="G1371" s="2" t="s">
        <v>86</v>
      </c>
      <c r="H1371" s="2">
        <v>68</v>
      </c>
      <c r="I1371" s="2">
        <v>0</v>
      </c>
      <c r="J1371" s="2">
        <v>20</v>
      </c>
      <c r="K1371" s="2">
        <v>25</v>
      </c>
      <c r="L1371" s="2">
        <v>2.59</v>
      </c>
      <c r="M1371" s="2"/>
      <c r="N1371" s="2" t="s">
        <v>95</v>
      </c>
      <c r="O1371" s="10">
        <v>0</v>
      </c>
      <c r="P1371" s="10">
        <v>3</v>
      </c>
      <c r="Q1371" s="184">
        <v>4</v>
      </c>
      <c r="R1371" s="184">
        <v>3</v>
      </c>
      <c r="S1371" s="178">
        <f t="shared" si="148"/>
        <v>3</v>
      </c>
      <c r="T1371" s="186">
        <f t="shared" si="149"/>
        <v>7</v>
      </c>
      <c r="U1371" s="179">
        <f t="shared" si="150"/>
        <v>4</v>
      </c>
      <c r="V1371" s="1">
        <f t="shared" si="151"/>
        <v>25</v>
      </c>
      <c r="W1371" s="8">
        <f t="shared" si="152"/>
        <v>6.25</v>
      </c>
      <c r="X1371" s="15">
        <f t="shared" si="153"/>
        <v>7437.5</v>
      </c>
      <c r="Y1371"/>
      <c r="Z1371"/>
      <c r="AA1371"/>
      <c r="AB1371"/>
      <c r="AC1371"/>
      <c r="AD1371"/>
    </row>
    <row r="1372" spans="2:30">
      <c r="B1372" s="2" t="s">
        <v>270</v>
      </c>
      <c r="C1372" s="2" t="s">
        <v>67</v>
      </c>
      <c r="D1372" s="2" t="s">
        <v>169</v>
      </c>
      <c r="E1372" s="3">
        <v>45366.791666666664</v>
      </c>
      <c r="F1372" s="2" t="s">
        <v>373</v>
      </c>
      <c r="G1372" s="2" t="s">
        <v>396</v>
      </c>
      <c r="H1372" s="2">
        <v>60</v>
      </c>
      <c r="I1372" s="2">
        <v>0</v>
      </c>
      <c r="J1372" s="2">
        <v>20</v>
      </c>
      <c r="K1372" s="2">
        <v>32</v>
      </c>
      <c r="L1372" s="2">
        <v>2.19</v>
      </c>
      <c r="M1372" s="2"/>
      <c r="N1372" s="2" t="s">
        <v>95</v>
      </c>
      <c r="O1372" s="10">
        <v>0</v>
      </c>
      <c r="P1372" s="10">
        <v>0</v>
      </c>
      <c r="Q1372" s="184">
        <v>0</v>
      </c>
      <c r="R1372" s="184">
        <v>1</v>
      </c>
      <c r="S1372" s="178">
        <f t="shared" si="148"/>
        <v>0</v>
      </c>
      <c r="T1372" s="186">
        <f t="shared" si="149"/>
        <v>1</v>
      </c>
      <c r="U1372" s="179">
        <f t="shared" si="150"/>
        <v>1</v>
      </c>
      <c r="V1372" s="1">
        <f t="shared" si="151"/>
        <v>25</v>
      </c>
      <c r="W1372" s="8">
        <f t="shared" si="152"/>
        <v>6.25</v>
      </c>
      <c r="X1372" s="15">
        <f t="shared" si="153"/>
        <v>7443.75</v>
      </c>
      <c r="Y1372"/>
      <c r="Z1372"/>
      <c r="AA1372"/>
      <c r="AB1372"/>
      <c r="AC1372"/>
      <c r="AD1372"/>
    </row>
    <row r="1373" spans="2:30">
      <c r="B1373" s="2" t="s">
        <v>270</v>
      </c>
      <c r="C1373" s="2" t="s">
        <v>58</v>
      </c>
      <c r="D1373" s="2" t="s">
        <v>59</v>
      </c>
      <c r="E1373" s="3">
        <v>45366.84375</v>
      </c>
      <c r="F1373" s="2" t="s">
        <v>105</v>
      </c>
      <c r="G1373" s="2" t="s">
        <v>128</v>
      </c>
      <c r="H1373" s="2">
        <v>62</v>
      </c>
      <c r="I1373" s="2">
        <v>0</v>
      </c>
      <c r="J1373" s="2">
        <v>20</v>
      </c>
      <c r="K1373" s="2">
        <v>29</v>
      </c>
      <c r="L1373" s="2">
        <v>2.5</v>
      </c>
      <c r="M1373" s="2"/>
      <c r="N1373" s="2" t="s">
        <v>95</v>
      </c>
      <c r="O1373" s="10">
        <v>0</v>
      </c>
      <c r="P1373" s="10">
        <v>0</v>
      </c>
      <c r="Q1373" s="184">
        <v>1</v>
      </c>
      <c r="R1373" s="184">
        <v>0</v>
      </c>
      <c r="S1373" s="178">
        <f t="shared" si="148"/>
        <v>0</v>
      </c>
      <c r="T1373" s="186">
        <f t="shared" si="149"/>
        <v>1</v>
      </c>
      <c r="U1373" s="179">
        <f t="shared" si="150"/>
        <v>1</v>
      </c>
      <c r="V1373" s="1">
        <f t="shared" si="151"/>
        <v>25</v>
      </c>
      <c r="W1373" s="8">
        <f t="shared" si="152"/>
        <v>6.25</v>
      </c>
      <c r="X1373" s="15">
        <f t="shared" si="153"/>
        <v>7450</v>
      </c>
      <c r="Y1373"/>
      <c r="Z1373"/>
      <c r="AA1373"/>
      <c r="AB1373"/>
      <c r="AC1373"/>
      <c r="AD1373"/>
    </row>
    <row r="1374" spans="2:30">
      <c r="B1374" s="2" t="s">
        <v>270</v>
      </c>
      <c r="C1374" s="2" t="s">
        <v>80</v>
      </c>
      <c r="D1374" s="2" t="s">
        <v>81</v>
      </c>
      <c r="E1374" s="3">
        <v>45367.4375</v>
      </c>
      <c r="F1374" s="2" t="s">
        <v>293</v>
      </c>
      <c r="G1374" s="2" t="s">
        <v>83</v>
      </c>
      <c r="H1374" s="2">
        <v>61</v>
      </c>
      <c r="I1374" s="2">
        <v>0</v>
      </c>
      <c r="J1374" s="2">
        <v>20</v>
      </c>
      <c r="K1374" s="2">
        <v>35</v>
      </c>
      <c r="L1374" s="2">
        <v>2.31</v>
      </c>
      <c r="M1374" s="2"/>
      <c r="N1374" s="2" t="s">
        <v>95</v>
      </c>
      <c r="O1374" s="10">
        <v>0</v>
      </c>
      <c r="P1374" s="10">
        <v>0</v>
      </c>
      <c r="Q1374" s="184">
        <v>1</v>
      </c>
      <c r="R1374" s="184">
        <v>0</v>
      </c>
      <c r="S1374" s="178">
        <f t="shared" si="148"/>
        <v>0</v>
      </c>
      <c r="T1374" s="186">
        <f t="shared" si="149"/>
        <v>1</v>
      </c>
      <c r="U1374" s="179">
        <f t="shared" si="150"/>
        <v>1</v>
      </c>
      <c r="V1374" s="1">
        <f t="shared" si="151"/>
        <v>25</v>
      </c>
      <c r="W1374" s="8">
        <f t="shared" si="152"/>
        <v>6.25</v>
      </c>
      <c r="X1374" s="15">
        <f t="shared" si="153"/>
        <v>7456.25</v>
      </c>
      <c r="Y1374"/>
      <c r="Z1374"/>
      <c r="AA1374"/>
      <c r="AB1374"/>
      <c r="AC1374"/>
      <c r="AD1374"/>
    </row>
    <row r="1375" spans="2:30">
      <c r="B1375" s="2" t="s">
        <v>270</v>
      </c>
      <c r="C1375" s="2" t="s">
        <v>6</v>
      </c>
      <c r="D1375" s="2" t="s">
        <v>7</v>
      </c>
      <c r="E1375" s="3">
        <v>45367.625</v>
      </c>
      <c r="F1375" s="2" t="s">
        <v>27</v>
      </c>
      <c r="G1375" s="2" t="s">
        <v>114</v>
      </c>
      <c r="H1375" s="2">
        <v>69</v>
      </c>
      <c r="I1375" s="2">
        <v>0</v>
      </c>
      <c r="J1375" s="2">
        <v>20</v>
      </c>
      <c r="K1375" s="2">
        <v>36</v>
      </c>
      <c r="L1375" s="2">
        <v>2.74</v>
      </c>
      <c r="M1375" s="2"/>
      <c r="N1375" s="2" t="s">
        <v>95</v>
      </c>
      <c r="O1375" s="10">
        <v>0</v>
      </c>
      <c r="P1375" s="10">
        <v>1</v>
      </c>
      <c r="Q1375" s="184">
        <v>1</v>
      </c>
      <c r="R1375" s="184">
        <v>1</v>
      </c>
      <c r="S1375" s="178">
        <f t="shared" si="148"/>
        <v>1</v>
      </c>
      <c r="T1375" s="186">
        <f t="shared" si="149"/>
        <v>2</v>
      </c>
      <c r="U1375" s="179">
        <f t="shared" si="150"/>
        <v>1</v>
      </c>
      <c r="V1375" s="1">
        <f t="shared" si="151"/>
        <v>25</v>
      </c>
      <c r="W1375" s="8">
        <f t="shared" si="152"/>
        <v>6.25</v>
      </c>
      <c r="X1375" s="15">
        <f t="shared" si="153"/>
        <v>7462.5</v>
      </c>
      <c r="Y1375"/>
      <c r="Z1375"/>
      <c r="AA1375"/>
      <c r="AB1375"/>
      <c r="AC1375"/>
      <c r="AD1375"/>
    </row>
    <row r="1376" spans="2:30">
      <c r="B1376" s="2" t="s">
        <v>270</v>
      </c>
      <c r="C1376" s="2" t="s">
        <v>13</v>
      </c>
      <c r="D1376" s="2" t="s">
        <v>37</v>
      </c>
      <c r="E1376" s="3">
        <v>45367.625</v>
      </c>
      <c r="F1376" s="2" t="s">
        <v>38</v>
      </c>
      <c r="G1376" s="2" t="s">
        <v>319</v>
      </c>
      <c r="H1376" s="2">
        <v>59</v>
      </c>
      <c r="I1376" s="2">
        <v>0</v>
      </c>
      <c r="J1376" s="2">
        <v>20</v>
      </c>
      <c r="K1376" s="2">
        <v>29</v>
      </c>
      <c r="L1376" s="2">
        <v>2.9</v>
      </c>
      <c r="M1376" s="2"/>
      <c r="N1376" s="2" t="s">
        <v>95</v>
      </c>
      <c r="O1376" s="10">
        <v>0</v>
      </c>
      <c r="P1376" s="10">
        <v>1</v>
      </c>
      <c r="Q1376" s="184">
        <v>0</v>
      </c>
      <c r="R1376" s="184">
        <v>1</v>
      </c>
      <c r="S1376" s="178">
        <f t="shared" si="148"/>
        <v>1</v>
      </c>
      <c r="T1376" s="186">
        <f t="shared" si="149"/>
        <v>1</v>
      </c>
      <c r="U1376" s="179">
        <f t="shared" si="150"/>
        <v>0</v>
      </c>
      <c r="V1376" s="1">
        <f t="shared" si="151"/>
        <v>25</v>
      </c>
      <c r="W1376" s="8">
        <f t="shared" si="152"/>
        <v>6.25</v>
      </c>
      <c r="X1376" s="15">
        <f t="shared" si="153"/>
        <v>7468.75</v>
      </c>
      <c r="Y1376"/>
      <c r="Z1376"/>
      <c r="AA1376"/>
      <c r="AB1376"/>
      <c r="AC1376"/>
      <c r="AD1376"/>
    </row>
    <row r="1377" spans="2:30">
      <c r="B1377" s="2" t="s">
        <v>270</v>
      </c>
      <c r="C1377" s="2" t="s">
        <v>119</v>
      </c>
      <c r="D1377" s="2" t="s">
        <v>120</v>
      </c>
      <c r="E1377" s="3">
        <v>45367.635416666664</v>
      </c>
      <c r="F1377" s="2" t="s">
        <v>348</v>
      </c>
      <c r="G1377" s="2" t="s">
        <v>122</v>
      </c>
      <c r="H1377" s="2">
        <v>60</v>
      </c>
      <c r="I1377" s="2">
        <v>0</v>
      </c>
      <c r="J1377" s="2">
        <v>20</v>
      </c>
      <c r="K1377" s="2">
        <v>37</v>
      </c>
      <c r="L1377" s="2">
        <v>2.14</v>
      </c>
      <c r="M1377" s="2"/>
      <c r="N1377" s="2" t="s">
        <v>95</v>
      </c>
      <c r="O1377" s="10">
        <v>1</v>
      </c>
      <c r="P1377" s="10">
        <v>2</v>
      </c>
      <c r="Q1377" s="184">
        <v>2</v>
      </c>
      <c r="R1377" s="184">
        <v>4</v>
      </c>
      <c r="S1377" s="178">
        <f t="shared" si="148"/>
        <v>3</v>
      </c>
      <c r="T1377" s="186">
        <f t="shared" si="149"/>
        <v>6</v>
      </c>
      <c r="U1377" s="179">
        <f t="shared" si="150"/>
        <v>3</v>
      </c>
      <c r="V1377" s="1">
        <f t="shared" si="151"/>
        <v>25</v>
      </c>
      <c r="W1377" s="8">
        <f t="shared" si="152"/>
        <v>6.25</v>
      </c>
      <c r="X1377" s="15">
        <f t="shared" si="153"/>
        <v>7475</v>
      </c>
      <c r="Y1377"/>
      <c r="Z1377"/>
      <c r="AA1377"/>
      <c r="AB1377"/>
      <c r="AC1377"/>
      <c r="AD1377"/>
    </row>
    <row r="1378" spans="2:30">
      <c r="B1378" s="2" t="s">
        <v>270</v>
      </c>
      <c r="C1378" s="2" t="s">
        <v>20</v>
      </c>
      <c r="D1378" s="2" t="s">
        <v>21</v>
      </c>
      <c r="E1378" s="3">
        <v>45367.708333333336</v>
      </c>
      <c r="F1378" s="2" t="s">
        <v>110</v>
      </c>
      <c r="G1378" s="2" t="s">
        <v>98</v>
      </c>
      <c r="H1378" s="2">
        <v>69</v>
      </c>
      <c r="I1378" s="2">
        <v>0</v>
      </c>
      <c r="J1378" s="2">
        <v>20</v>
      </c>
      <c r="K1378" s="2">
        <v>40</v>
      </c>
      <c r="L1378" s="2">
        <v>2.58</v>
      </c>
      <c r="M1378" s="2"/>
      <c r="N1378" s="2" t="s">
        <v>95</v>
      </c>
      <c r="O1378" s="10">
        <v>0</v>
      </c>
      <c r="P1378" s="10">
        <v>1</v>
      </c>
      <c r="Q1378" s="184">
        <v>0</v>
      </c>
      <c r="R1378" s="184">
        <v>1</v>
      </c>
      <c r="S1378" s="178">
        <f t="shared" si="148"/>
        <v>1</v>
      </c>
      <c r="T1378" s="186">
        <f t="shared" si="149"/>
        <v>1</v>
      </c>
      <c r="U1378" s="179">
        <f t="shared" si="150"/>
        <v>0</v>
      </c>
      <c r="V1378" s="1">
        <f t="shared" si="151"/>
        <v>25</v>
      </c>
      <c r="W1378" s="8">
        <f t="shared" si="152"/>
        <v>6.25</v>
      </c>
      <c r="X1378" s="15">
        <f t="shared" si="153"/>
        <v>7481.25</v>
      </c>
      <c r="Y1378"/>
      <c r="Z1378"/>
      <c r="AA1378"/>
      <c r="AB1378"/>
      <c r="AC1378"/>
      <c r="AD1378"/>
    </row>
    <row r="1379" spans="2:30">
      <c r="B1379" s="2" t="s">
        <v>270</v>
      </c>
      <c r="C1379" s="2" t="s">
        <v>13</v>
      </c>
      <c r="D1379" s="2" t="s">
        <v>37</v>
      </c>
      <c r="E1379" s="3">
        <v>45368.5</v>
      </c>
      <c r="F1379" s="2" t="s">
        <v>306</v>
      </c>
      <c r="G1379" s="2" t="s">
        <v>79</v>
      </c>
      <c r="H1379" s="2">
        <v>63</v>
      </c>
      <c r="I1379" s="2">
        <v>0</v>
      </c>
      <c r="J1379" s="2">
        <v>20</v>
      </c>
      <c r="K1379" s="2">
        <v>25</v>
      </c>
      <c r="L1379" s="2">
        <v>2.99</v>
      </c>
      <c r="M1379" s="2"/>
      <c r="N1379" s="2" t="s">
        <v>95</v>
      </c>
      <c r="O1379" s="10">
        <v>0</v>
      </c>
      <c r="P1379" s="10">
        <v>0</v>
      </c>
      <c r="Q1379" s="184">
        <v>1</v>
      </c>
      <c r="R1379" s="184">
        <v>0</v>
      </c>
      <c r="S1379" s="178">
        <f t="shared" si="148"/>
        <v>0</v>
      </c>
      <c r="T1379" s="186">
        <f t="shared" si="149"/>
        <v>1</v>
      </c>
      <c r="U1379" s="179">
        <f t="shared" si="150"/>
        <v>1</v>
      </c>
      <c r="V1379" s="1">
        <f t="shared" si="151"/>
        <v>25</v>
      </c>
      <c r="W1379" s="8">
        <f t="shared" si="152"/>
        <v>6.25</v>
      </c>
      <c r="X1379" s="15">
        <f t="shared" si="153"/>
        <v>7487.5</v>
      </c>
      <c r="Y1379"/>
      <c r="Z1379"/>
      <c r="AA1379"/>
      <c r="AB1379"/>
      <c r="AC1379"/>
      <c r="AD1379"/>
    </row>
    <row r="1380" spans="2:30">
      <c r="B1380" s="2" t="s">
        <v>270</v>
      </c>
      <c r="C1380" s="2" t="s">
        <v>149</v>
      </c>
      <c r="D1380" s="2" t="s">
        <v>153</v>
      </c>
      <c r="E1380" s="3">
        <v>45368.5625</v>
      </c>
      <c r="F1380" s="2" t="s">
        <v>250</v>
      </c>
      <c r="G1380" s="2" t="s">
        <v>241</v>
      </c>
      <c r="H1380" s="2">
        <v>59</v>
      </c>
      <c r="I1380" s="2">
        <v>0</v>
      </c>
      <c r="J1380" s="2">
        <v>20</v>
      </c>
      <c r="K1380" s="2">
        <v>29</v>
      </c>
      <c r="L1380" s="2">
        <v>3.14</v>
      </c>
      <c r="M1380" s="2"/>
      <c r="N1380" s="2" t="s">
        <v>95</v>
      </c>
      <c r="O1380" s="10">
        <v>0</v>
      </c>
      <c r="P1380" s="10">
        <v>0</v>
      </c>
      <c r="Q1380" s="184">
        <v>1</v>
      </c>
      <c r="R1380" s="184">
        <v>0</v>
      </c>
      <c r="S1380" s="178">
        <f t="shared" si="148"/>
        <v>0</v>
      </c>
      <c r="T1380" s="186">
        <f t="shared" si="149"/>
        <v>1</v>
      </c>
      <c r="U1380" s="179">
        <f t="shared" si="150"/>
        <v>1</v>
      </c>
      <c r="V1380" s="1">
        <f t="shared" si="151"/>
        <v>25</v>
      </c>
      <c r="W1380" s="8">
        <f t="shared" si="152"/>
        <v>6.25</v>
      </c>
      <c r="X1380" s="15">
        <f t="shared" si="153"/>
        <v>7493.75</v>
      </c>
      <c r="Y1380"/>
      <c r="Z1380"/>
      <c r="AA1380"/>
      <c r="AB1380"/>
      <c r="AC1380"/>
      <c r="AD1380"/>
    </row>
    <row r="1381" spans="2:30">
      <c r="B1381" s="2" t="s">
        <v>270</v>
      </c>
      <c r="C1381" s="2" t="s">
        <v>20</v>
      </c>
      <c r="D1381" s="2" t="s">
        <v>21</v>
      </c>
      <c r="E1381" s="3">
        <v>45368.583333333336</v>
      </c>
      <c r="F1381" s="2" t="s">
        <v>598</v>
      </c>
      <c r="G1381" s="2" t="s">
        <v>109</v>
      </c>
      <c r="H1381" s="2">
        <v>60</v>
      </c>
      <c r="I1381" s="2">
        <v>0</v>
      </c>
      <c r="J1381" s="2">
        <v>20</v>
      </c>
      <c r="K1381" s="2">
        <v>37</v>
      </c>
      <c r="L1381" s="2">
        <v>2.52</v>
      </c>
      <c r="M1381" s="2"/>
      <c r="N1381" s="2" t="s">
        <v>95</v>
      </c>
      <c r="O1381" s="10">
        <v>0</v>
      </c>
      <c r="P1381" s="10">
        <v>1</v>
      </c>
      <c r="Q1381" s="184">
        <v>1</v>
      </c>
      <c r="R1381" s="184">
        <v>3</v>
      </c>
      <c r="S1381" s="178">
        <f t="shared" si="148"/>
        <v>1</v>
      </c>
      <c r="T1381" s="186">
        <f t="shared" si="149"/>
        <v>4</v>
      </c>
      <c r="U1381" s="179">
        <f t="shared" si="150"/>
        <v>3</v>
      </c>
      <c r="V1381" s="1">
        <f t="shared" si="151"/>
        <v>25</v>
      </c>
      <c r="W1381" s="8">
        <f t="shared" si="152"/>
        <v>6.25</v>
      </c>
      <c r="X1381" s="15">
        <f t="shared" si="153"/>
        <v>7500</v>
      </c>
      <c r="Y1381"/>
      <c r="Z1381"/>
      <c r="AA1381"/>
      <c r="AB1381"/>
      <c r="AC1381"/>
      <c r="AD1381"/>
    </row>
    <row r="1382" spans="2:30">
      <c r="B1382" s="2" t="s">
        <v>270</v>
      </c>
      <c r="C1382" s="2" t="s">
        <v>149</v>
      </c>
      <c r="D1382" s="2" t="s">
        <v>153</v>
      </c>
      <c r="E1382" s="3">
        <v>45368.65625</v>
      </c>
      <c r="F1382" s="2" t="s">
        <v>395</v>
      </c>
      <c r="G1382" s="2" t="s">
        <v>363</v>
      </c>
      <c r="H1382" s="2">
        <v>61</v>
      </c>
      <c r="I1382" s="2">
        <v>0</v>
      </c>
      <c r="J1382" s="2">
        <v>20</v>
      </c>
      <c r="K1382" s="2">
        <v>26</v>
      </c>
      <c r="L1382" s="2">
        <v>3.57</v>
      </c>
      <c r="M1382" s="2"/>
      <c r="N1382" s="2" t="s">
        <v>95</v>
      </c>
      <c r="O1382" s="10">
        <v>1</v>
      </c>
      <c r="P1382" s="10">
        <v>0</v>
      </c>
      <c r="Q1382" s="184">
        <v>2</v>
      </c>
      <c r="R1382" s="184">
        <v>2</v>
      </c>
      <c r="S1382" s="178">
        <f t="shared" si="148"/>
        <v>1</v>
      </c>
      <c r="T1382" s="186">
        <f t="shared" si="149"/>
        <v>4</v>
      </c>
      <c r="U1382" s="179">
        <f t="shared" si="150"/>
        <v>3</v>
      </c>
      <c r="V1382" s="1">
        <f t="shared" si="151"/>
        <v>25</v>
      </c>
      <c r="W1382" s="8">
        <f t="shared" si="152"/>
        <v>6.25</v>
      </c>
      <c r="X1382" s="15">
        <f t="shared" si="153"/>
        <v>7506.25</v>
      </c>
      <c r="Y1382"/>
      <c r="Z1382"/>
      <c r="AA1382"/>
      <c r="AB1382"/>
      <c r="AC1382"/>
      <c r="AD1382"/>
    </row>
    <row r="1383" spans="2:30">
      <c r="B1383" s="2" t="s">
        <v>270</v>
      </c>
      <c r="C1383" s="2" t="s">
        <v>434</v>
      </c>
      <c r="D1383" s="2" t="s">
        <v>435</v>
      </c>
      <c r="E1383" s="3">
        <v>45368.666666666664</v>
      </c>
      <c r="F1383" s="2" t="s">
        <v>556</v>
      </c>
      <c r="G1383" s="2" t="s">
        <v>599</v>
      </c>
      <c r="H1383" s="2">
        <v>64</v>
      </c>
      <c r="I1383" s="2">
        <v>0</v>
      </c>
      <c r="J1383" s="2">
        <v>20</v>
      </c>
      <c r="K1383" s="2">
        <v>33</v>
      </c>
      <c r="L1383" s="2">
        <v>1.69</v>
      </c>
      <c r="M1383" s="2"/>
      <c r="N1383" s="2" t="s">
        <v>95</v>
      </c>
      <c r="O1383" s="10">
        <v>1</v>
      </c>
      <c r="P1383" s="10">
        <v>0</v>
      </c>
      <c r="Q1383" s="184">
        <v>2</v>
      </c>
      <c r="R1383" s="184">
        <v>0</v>
      </c>
      <c r="S1383" s="178">
        <f t="shared" si="148"/>
        <v>1</v>
      </c>
      <c r="T1383" s="186">
        <f t="shared" si="149"/>
        <v>2</v>
      </c>
      <c r="U1383" s="179">
        <f t="shared" si="150"/>
        <v>1</v>
      </c>
      <c r="V1383" s="1">
        <f t="shared" si="151"/>
        <v>25</v>
      </c>
      <c r="W1383" s="8">
        <f t="shared" si="152"/>
        <v>6.25</v>
      </c>
      <c r="X1383" s="15">
        <f t="shared" si="153"/>
        <v>7512.5</v>
      </c>
      <c r="Y1383"/>
      <c r="Z1383"/>
      <c r="AA1383"/>
      <c r="AB1383"/>
      <c r="AC1383"/>
      <c r="AD1383"/>
    </row>
    <row r="1384" spans="2:30">
      <c r="B1384" s="2" t="s">
        <v>270</v>
      </c>
      <c r="C1384" s="2" t="s">
        <v>67</v>
      </c>
      <c r="D1384" s="2" t="s">
        <v>68</v>
      </c>
      <c r="E1384" s="3">
        <v>45368.729166666664</v>
      </c>
      <c r="F1384" s="2" t="s">
        <v>337</v>
      </c>
      <c r="G1384" s="2" t="s">
        <v>439</v>
      </c>
      <c r="H1384" s="2">
        <v>62</v>
      </c>
      <c r="I1384" s="2">
        <v>0</v>
      </c>
      <c r="J1384" s="2">
        <v>20</v>
      </c>
      <c r="K1384" s="2">
        <v>36</v>
      </c>
      <c r="L1384" s="2">
        <v>3.19</v>
      </c>
      <c r="M1384" s="2"/>
      <c r="N1384" s="2" t="s">
        <v>95</v>
      </c>
      <c r="O1384" s="10">
        <v>2</v>
      </c>
      <c r="P1384" s="10">
        <v>0</v>
      </c>
      <c r="Q1384" s="184">
        <v>4</v>
      </c>
      <c r="R1384" s="184">
        <v>0</v>
      </c>
      <c r="S1384" s="178">
        <f t="shared" si="148"/>
        <v>2</v>
      </c>
      <c r="T1384" s="186">
        <f t="shared" si="149"/>
        <v>4</v>
      </c>
      <c r="U1384" s="179">
        <f t="shared" si="150"/>
        <v>2</v>
      </c>
      <c r="V1384" s="1">
        <f t="shared" si="151"/>
        <v>25</v>
      </c>
      <c r="W1384" s="8">
        <f t="shared" si="152"/>
        <v>6.25</v>
      </c>
      <c r="X1384" s="15">
        <f t="shared" si="153"/>
        <v>7518.75</v>
      </c>
      <c r="Y1384"/>
      <c r="Z1384"/>
      <c r="AA1384"/>
      <c r="AB1384"/>
      <c r="AC1384"/>
      <c r="AD1384"/>
    </row>
    <row r="1385" spans="2:30">
      <c r="B1385" s="2" t="s">
        <v>270</v>
      </c>
      <c r="C1385" s="2" t="s">
        <v>6</v>
      </c>
      <c r="D1385" s="2" t="s">
        <v>7</v>
      </c>
      <c r="E1385" s="3">
        <v>45374.625</v>
      </c>
      <c r="F1385" s="2" t="s">
        <v>84</v>
      </c>
      <c r="G1385" s="2" t="s">
        <v>420</v>
      </c>
      <c r="H1385" s="2">
        <v>62</v>
      </c>
      <c r="I1385" s="2">
        <v>0</v>
      </c>
      <c r="J1385" s="2">
        <v>20</v>
      </c>
      <c r="K1385" s="2">
        <v>38</v>
      </c>
      <c r="L1385" s="2">
        <v>2.4500000000000002</v>
      </c>
      <c r="M1385" s="2"/>
      <c r="N1385" s="2" t="s">
        <v>95</v>
      </c>
      <c r="O1385" s="10">
        <v>2</v>
      </c>
      <c r="P1385" s="10">
        <v>1</v>
      </c>
      <c r="Q1385" s="184">
        <v>3</v>
      </c>
      <c r="R1385" s="184">
        <v>1</v>
      </c>
      <c r="S1385" s="178">
        <f t="shared" si="148"/>
        <v>3</v>
      </c>
      <c r="T1385" s="186">
        <f t="shared" si="149"/>
        <v>4</v>
      </c>
      <c r="U1385" s="179">
        <f t="shared" si="150"/>
        <v>1</v>
      </c>
      <c r="V1385" s="1">
        <f t="shared" si="151"/>
        <v>25</v>
      </c>
      <c r="W1385" s="8">
        <f t="shared" si="152"/>
        <v>6.25</v>
      </c>
      <c r="X1385" s="15">
        <f t="shared" si="153"/>
        <v>7525</v>
      </c>
      <c r="Y1385"/>
      <c r="Z1385"/>
      <c r="AA1385"/>
      <c r="AB1385"/>
      <c r="AC1385"/>
      <c r="AD1385"/>
    </row>
    <row r="1386" spans="2:30">
      <c r="B1386" s="2" t="s">
        <v>270</v>
      </c>
      <c r="C1386" s="2" t="s">
        <v>6</v>
      </c>
      <c r="D1386" s="2" t="s">
        <v>14</v>
      </c>
      <c r="E1386" s="3">
        <v>45380.520833333336</v>
      </c>
      <c r="F1386" s="2" t="s">
        <v>201</v>
      </c>
      <c r="G1386" s="2" t="s">
        <v>290</v>
      </c>
      <c r="H1386" s="2">
        <v>60</v>
      </c>
      <c r="I1386" s="2">
        <v>0</v>
      </c>
      <c r="J1386" s="2">
        <v>20</v>
      </c>
      <c r="K1386" s="2">
        <v>36</v>
      </c>
      <c r="L1386" s="2">
        <v>2.11</v>
      </c>
      <c r="M1386" s="2"/>
      <c r="N1386" s="2" t="s">
        <v>95</v>
      </c>
      <c r="O1386" s="10">
        <v>0</v>
      </c>
      <c r="P1386" s="10">
        <v>0</v>
      </c>
      <c r="Q1386" s="184">
        <v>1</v>
      </c>
      <c r="R1386" s="184">
        <v>0</v>
      </c>
      <c r="S1386" s="178">
        <f t="shared" si="148"/>
        <v>0</v>
      </c>
      <c r="T1386" s="186">
        <f t="shared" si="149"/>
        <v>1</v>
      </c>
      <c r="U1386" s="179">
        <f t="shared" si="150"/>
        <v>1</v>
      </c>
      <c r="V1386" s="1">
        <f t="shared" si="151"/>
        <v>25</v>
      </c>
      <c r="W1386" s="8">
        <f t="shared" si="152"/>
        <v>6.25</v>
      </c>
      <c r="X1386" s="15">
        <f t="shared" si="153"/>
        <v>7531.25</v>
      </c>
      <c r="Y1386"/>
      <c r="Z1386"/>
      <c r="AA1386"/>
      <c r="AB1386"/>
      <c r="AC1386"/>
      <c r="AD1386"/>
    </row>
    <row r="1387" spans="2:30">
      <c r="B1387" s="2" t="s">
        <v>270</v>
      </c>
      <c r="C1387" s="2" t="s">
        <v>6</v>
      </c>
      <c r="D1387" s="2" t="s">
        <v>7</v>
      </c>
      <c r="E1387" s="3">
        <v>45380.625</v>
      </c>
      <c r="F1387" s="2" t="s">
        <v>27</v>
      </c>
      <c r="G1387" s="2" t="s">
        <v>397</v>
      </c>
      <c r="H1387" s="2">
        <v>62</v>
      </c>
      <c r="I1387" s="2">
        <v>0</v>
      </c>
      <c r="J1387" s="2">
        <v>20</v>
      </c>
      <c r="K1387" s="2">
        <v>40</v>
      </c>
      <c r="L1387" s="2">
        <v>2.5</v>
      </c>
      <c r="M1387" s="2"/>
      <c r="N1387" s="2" t="s">
        <v>95</v>
      </c>
      <c r="O1387" s="10">
        <v>0</v>
      </c>
      <c r="P1387" s="10">
        <v>1</v>
      </c>
      <c r="Q1387" s="184">
        <v>2</v>
      </c>
      <c r="R1387" s="184">
        <v>1</v>
      </c>
      <c r="S1387" s="178">
        <f t="shared" si="148"/>
        <v>1</v>
      </c>
      <c r="T1387" s="186">
        <f t="shared" si="149"/>
        <v>3</v>
      </c>
      <c r="U1387" s="179">
        <f t="shared" si="150"/>
        <v>2</v>
      </c>
      <c r="V1387" s="1">
        <f t="shared" si="151"/>
        <v>25</v>
      </c>
      <c r="W1387" s="8">
        <f t="shared" si="152"/>
        <v>6.25</v>
      </c>
      <c r="X1387" s="15">
        <f t="shared" si="153"/>
        <v>7537.5</v>
      </c>
      <c r="Y1387"/>
      <c r="Z1387"/>
      <c r="AA1387"/>
      <c r="AB1387"/>
      <c r="AC1387"/>
      <c r="AD1387"/>
    </row>
    <row r="1388" spans="2:30">
      <c r="B1388" s="2" t="s">
        <v>270</v>
      </c>
      <c r="C1388" s="2" t="s">
        <v>6</v>
      </c>
      <c r="D1388" s="2" t="s">
        <v>11</v>
      </c>
      <c r="E1388" s="3">
        <v>45380.625</v>
      </c>
      <c r="F1388" s="2" t="s">
        <v>231</v>
      </c>
      <c r="G1388" s="2" t="s">
        <v>198</v>
      </c>
      <c r="H1388" s="2">
        <v>65</v>
      </c>
      <c r="I1388" s="2">
        <v>0</v>
      </c>
      <c r="J1388" s="2">
        <v>20</v>
      </c>
      <c r="K1388" s="2">
        <v>41</v>
      </c>
      <c r="L1388" s="2">
        <v>1.9</v>
      </c>
      <c r="M1388" s="2"/>
      <c r="N1388" s="2" t="s">
        <v>95</v>
      </c>
      <c r="O1388" s="10">
        <v>1</v>
      </c>
      <c r="P1388" s="10">
        <v>0</v>
      </c>
      <c r="Q1388" s="184">
        <v>1</v>
      </c>
      <c r="R1388" s="184">
        <v>0</v>
      </c>
      <c r="S1388" s="178">
        <f t="shared" si="148"/>
        <v>1</v>
      </c>
      <c r="T1388" s="186">
        <f t="shared" si="149"/>
        <v>1</v>
      </c>
      <c r="U1388" s="179">
        <f t="shared" si="150"/>
        <v>0</v>
      </c>
      <c r="V1388" s="1">
        <f t="shared" si="151"/>
        <v>25</v>
      </c>
      <c r="W1388" s="8">
        <f t="shared" si="152"/>
        <v>6.25</v>
      </c>
      <c r="X1388" s="15">
        <f t="shared" si="153"/>
        <v>7543.75</v>
      </c>
      <c r="Y1388"/>
      <c r="Z1388"/>
      <c r="AA1388"/>
      <c r="AB1388"/>
      <c r="AC1388"/>
      <c r="AD1388"/>
    </row>
    <row r="1389" spans="2:30">
      <c r="B1389" s="2" t="s">
        <v>270</v>
      </c>
      <c r="C1389" s="2" t="s">
        <v>6</v>
      </c>
      <c r="D1389" s="2" t="s">
        <v>14</v>
      </c>
      <c r="E1389" s="3">
        <v>45380.625</v>
      </c>
      <c r="F1389" s="2" t="s">
        <v>421</v>
      </c>
      <c r="G1389" s="2" t="s">
        <v>376</v>
      </c>
      <c r="H1389" s="2">
        <v>66</v>
      </c>
      <c r="I1389" s="2">
        <v>0</v>
      </c>
      <c r="J1389" s="2">
        <v>20</v>
      </c>
      <c r="K1389" s="2">
        <v>33</v>
      </c>
      <c r="L1389" s="2">
        <v>2.27</v>
      </c>
      <c r="M1389" s="2"/>
      <c r="N1389" s="2" t="s">
        <v>95</v>
      </c>
      <c r="O1389" s="10">
        <v>0</v>
      </c>
      <c r="P1389" s="10">
        <v>2</v>
      </c>
      <c r="Q1389" s="184">
        <v>1</v>
      </c>
      <c r="R1389" s="184">
        <v>3</v>
      </c>
      <c r="S1389" s="178">
        <f t="shared" si="148"/>
        <v>2</v>
      </c>
      <c r="T1389" s="186">
        <f t="shared" si="149"/>
        <v>4</v>
      </c>
      <c r="U1389" s="179">
        <f t="shared" si="150"/>
        <v>2</v>
      </c>
      <c r="V1389" s="1">
        <f t="shared" si="151"/>
        <v>25</v>
      </c>
      <c r="W1389" s="8">
        <f t="shared" si="152"/>
        <v>6.25</v>
      </c>
      <c r="X1389" s="15">
        <f t="shared" si="153"/>
        <v>7550</v>
      </c>
      <c r="Y1389"/>
      <c r="Z1389"/>
      <c r="AA1389"/>
      <c r="AB1389"/>
      <c r="AC1389"/>
      <c r="AD1389"/>
    </row>
    <row r="1390" spans="2:30">
      <c r="B1390" s="2" t="s">
        <v>270</v>
      </c>
      <c r="C1390" s="2" t="s">
        <v>6</v>
      </c>
      <c r="D1390" s="2" t="s">
        <v>14</v>
      </c>
      <c r="E1390" s="3">
        <v>45380.625</v>
      </c>
      <c r="F1390" s="2" t="s">
        <v>56</v>
      </c>
      <c r="G1390" s="2" t="s">
        <v>17</v>
      </c>
      <c r="H1390" s="2">
        <v>59</v>
      </c>
      <c r="I1390" s="2">
        <v>0</v>
      </c>
      <c r="J1390" s="2">
        <v>20</v>
      </c>
      <c r="K1390" s="2">
        <v>31</v>
      </c>
      <c r="L1390" s="2">
        <v>2.54</v>
      </c>
      <c r="M1390" s="2"/>
      <c r="N1390" s="2" t="s">
        <v>95</v>
      </c>
      <c r="O1390" s="10">
        <v>1</v>
      </c>
      <c r="P1390" s="10">
        <v>0</v>
      </c>
      <c r="Q1390" s="184">
        <v>1</v>
      </c>
      <c r="R1390" s="184">
        <v>1</v>
      </c>
      <c r="S1390" s="178">
        <f t="shared" si="148"/>
        <v>1</v>
      </c>
      <c r="T1390" s="186">
        <f t="shared" si="149"/>
        <v>2</v>
      </c>
      <c r="U1390" s="179">
        <f t="shared" si="150"/>
        <v>1</v>
      </c>
      <c r="V1390" s="1">
        <f t="shared" si="151"/>
        <v>25</v>
      </c>
      <c r="W1390" s="8">
        <f t="shared" si="152"/>
        <v>6.25</v>
      </c>
      <c r="X1390" s="15">
        <f t="shared" si="153"/>
        <v>7556.25</v>
      </c>
      <c r="Y1390"/>
      <c r="Z1390"/>
      <c r="AA1390"/>
      <c r="AB1390"/>
      <c r="AC1390"/>
      <c r="AD1390"/>
    </row>
    <row r="1391" spans="2:30">
      <c r="B1391" s="2" t="s">
        <v>270</v>
      </c>
      <c r="C1391" s="2" t="s">
        <v>67</v>
      </c>
      <c r="D1391" s="2" t="s">
        <v>169</v>
      </c>
      <c r="E1391" s="3">
        <v>45380.791666666664</v>
      </c>
      <c r="F1391" s="2" t="s">
        <v>203</v>
      </c>
      <c r="G1391" s="2" t="s">
        <v>630</v>
      </c>
      <c r="H1391" s="2">
        <v>59</v>
      </c>
      <c r="I1391" s="2">
        <v>0</v>
      </c>
      <c r="J1391" s="2">
        <v>20</v>
      </c>
      <c r="K1391" s="2">
        <v>31</v>
      </c>
      <c r="L1391" s="2">
        <v>1.59</v>
      </c>
      <c r="M1391" s="2"/>
      <c r="N1391" s="2" t="s">
        <v>95</v>
      </c>
      <c r="O1391" s="10">
        <v>0</v>
      </c>
      <c r="P1391" s="10">
        <v>1</v>
      </c>
      <c r="Q1391" s="184">
        <v>0</v>
      </c>
      <c r="R1391" s="184">
        <v>1</v>
      </c>
      <c r="S1391" s="178">
        <f t="shared" si="148"/>
        <v>1</v>
      </c>
      <c r="T1391" s="186">
        <f t="shared" si="149"/>
        <v>1</v>
      </c>
      <c r="U1391" s="179">
        <f t="shared" si="150"/>
        <v>0</v>
      </c>
      <c r="V1391" s="1">
        <f t="shared" si="151"/>
        <v>25</v>
      </c>
      <c r="W1391" s="8">
        <f t="shared" si="152"/>
        <v>6.25</v>
      </c>
      <c r="X1391" s="15">
        <f t="shared" si="153"/>
        <v>7562.5</v>
      </c>
      <c r="Y1391"/>
      <c r="Z1391"/>
      <c r="AA1391"/>
      <c r="AB1391"/>
      <c r="AC1391"/>
      <c r="AD1391"/>
    </row>
    <row r="1392" spans="2:30">
      <c r="B1392" s="2" t="s">
        <v>270</v>
      </c>
      <c r="C1392" s="2" t="s">
        <v>58</v>
      </c>
      <c r="D1392" s="2" t="s">
        <v>59</v>
      </c>
      <c r="E1392" s="3">
        <v>45380.854166666664</v>
      </c>
      <c r="F1392" s="2" t="s">
        <v>75</v>
      </c>
      <c r="G1392" s="2" t="s">
        <v>125</v>
      </c>
      <c r="H1392" s="2">
        <v>61</v>
      </c>
      <c r="I1392" s="2">
        <v>0</v>
      </c>
      <c r="J1392" s="2">
        <v>20</v>
      </c>
      <c r="K1392" s="2">
        <v>32</v>
      </c>
      <c r="L1392" s="2">
        <v>2.8</v>
      </c>
      <c r="M1392" s="2"/>
      <c r="N1392" s="2" t="s">
        <v>95</v>
      </c>
      <c r="O1392" s="10">
        <v>1</v>
      </c>
      <c r="P1392" s="10">
        <v>2</v>
      </c>
      <c r="Q1392" s="184">
        <v>1</v>
      </c>
      <c r="R1392" s="184">
        <v>2</v>
      </c>
      <c r="S1392" s="178">
        <f t="shared" si="148"/>
        <v>3</v>
      </c>
      <c r="T1392" s="186">
        <f t="shared" si="149"/>
        <v>3</v>
      </c>
      <c r="U1392" s="179">
        <f t="shared" si="150"/>
        <v>0</v>
      </c>
      <c r="V1392" s="1">
        <f t="shared" si="151"/>
        <v>25</v>
      </c>
      <c r="W1392" s="8">
        <f t="shared" si="152"/>
        <v>6.25</v>
      </c>
      <c r="X1392" s="15">
        <f t="shared" si="153"/>
        <v>7568.75</v>
      </c>
      <c r="Y1392"/>
      <c r="Z1392"/>
      <c r="AA1392"/>
      <c r="AB1392"/>
      <c r="AC1392"/>
      <c r="AD1392"/>
    </row>
    <row r="1393" spans="2:30">
      <c r="B1393" s="2" t="s">
        <v>270</v>
      </c>
      <c r="C1393" s="2" t="s">
        <v>77</v>
      </c>
      <c r="D1393" s="2" t="s">
        <v>234</v>
      </c>
      <c r="E1393" s="3">
        <v>45381.5</v>
      </c>
      <c r="F1393" s="2" t="s">
        <v>631</v>
      </c>
      <c r="G1393" s="2" t="s">
        <v>632</v>
      </c>
      <c r="H1393" s="2">
        <v>61</v>
      </c>
      <c r="I1393" s="2">
        <v>0</v>
      </c>
      <c r="J1393" s="2">
        <v>20</v>
      </c>
      <c r="K1393" s="2">
        <v>26</v>
      </c>
      <c r="L1393" s="2">
        <v>3.42</v>
      </c>
      <c r="M1393" s="2"/>
      <c r="N1393" s="2" t="s">
        <v>95</v>
      </c>
      <c r="O1393" s="10">
        <v>1</v>
      </c>
      <c r="P1393" s="10">
        <v>0</v>
      </c>
      <c r="Q1393" s="184">
        <v>1</v>
      </c>
      <c r="R1393" s="184">
        <v>3</v>
      </c>
      <c r="S1393" s="178">
        <f t="shared" si="148"/>
        <v>1</v>
      </c>
      <c r="T1393" s="186">
        <f t="shared" si="149"/>
        <v>4</v>
      </c>
      <c r="U1393" s="179">
        <f t="shared" si="150"/>
        <v>3</v>
      </c>
      <c r="V1393" s="1">
        <f t="shared" si="151"/>
        <v>25</v>
      </c>
      <c r="W1393" s="8">
        <f t="shared" si="152"/>
        <v>6.25</v>
      </c>
      <c r="X1393" s="15">
        <f t="shared" si="153"/>
        <v>7575</v>
      </c>
      <c r="Y1393"/>
      <c r="Z1393"/>
      <c r="AA1393"/>
      <c r="AB1393"/>
      <c r="AC1393"/>
      <c r="AD1393"/>
    </row>
    <row r="1394" spans="2:30">
      <c r="B1394" s="2" t="s">
        <v>270</v>
      </c>
      <c r="C1394" s="2" t="s">
        <v>6</v>
      </c>
      <c r="D1394" s="2" t="s">
        <v>62</v>
      </c>
      <c r="E1394" s="3">
        <v>45381.520833333336</v>
      </c>
      <c r="F1394" s="2" t="s">
        <v>164</v>
      </c>
      <c r="G1394" s="2" t="s">
        <v>74</v>
      </c>
      <c r="H1394" s="2">
        <v>61</v>
      </c>
      <c r="I1394" s="2">
        <v>0</v>
      </c>
      <c r="J1394" s="2">
        <v>20</v>
      </c>
      <c r="K1394" s="2">
        <v>30</v>
      </c>
      <c r="L1394" s="2">
        <v>3.57</v>
      </c>
      <c r="M1394" s="2"/>
      <c r="N1394" s="2" t="s">
        <v>95</v>
      </c>
      <c r="O1394" s="10">
        <v>1</v>
      </c>
      <c r="P1394" s="10">
        <v>2</v>
      </c>
      <c r="Q1394" s="184">
        <v>4</v>
      </c>
      <c r="R1394" s="184">
        <v>3</v>
      </c>
      <c r="S1394" s="178">
        <f t="shared" si="148"/>
        <v>3</v>
      </c>
      <c r="T1394" s="186">
        <f t="shared" si="149"/>
        <v>7</v>
      </c>
      <c r="U1394" s="179">
        <f t="shared" si="150"/>
        <v>4</v>
      </c>
      <c r="V1394" s="1">
        <f t="shared" si="151"/>
        <v>25</v>
      </c>
      <c r="W1394" s="8">
        <f t="shared" si="152"/>
        <v>6.25</v>
      </c>
      <c r="X1394" s="15">
        <f t="shared" si="153"/>
        <v>7581.25</v>
      </c>
      <c r="Y1394"/>
      <c r="Z1394"/>
      <c r="AA1394"/>
      <c r="AB1394"/>
      <c r="AC1394"/>
      <c r="AD1394"/>
    </row>
    <row r="1395" spans="2:30">
      <c r="B1395" s="2" t="s">
        <v>270</v>
      </c>
      <c r="C1395" s="2" t="s">
        <v>77</v>
      </c>
      <c r="D1395" s="2" t="s">
        <v>251</v>
      </c>
      <c r="E1395" s="3">
        <v>45381.541666666664</v>
      </c>
      <c r="F1395" s="2" t="s">
        <v>608</v>
      </c>
      <c r="G1395" s="2" t="s">
        <v>259</v>
      </c>
      <c r="H1395" s="2">
        <v>61</v>
      </c>
      <c r="I1395" s="2">
        <v>0</v>
      </c>
      <c r="J1395" s="2">
        <v>20</v>
      </c>
      <c r="K1395" s="2">
        <v>32</v>
      </c>
      <c r="L1395" s="2">
        <v>0</v>
      </c>
      <c r="M1395" s="2"/>
      <c r="N1395" s="2" t="s">
        <v>95</v>
      </c>
      <c r="O1395" s="10">
        <v>0</v>
      </c>
      <c r="P1395" s="10">
        <v>0</v>
      </c>
      <c r="Q1395" s="184">
        <v>1</v>
      </c>
      <c r="R1395" s="184">
        <v>2</v>
      </c>
      <c r="S1395" s="178">
        <f t="shared" si="148"/>
        <v>0</v>
      </c>
      <c r="T1395" s="186">
        <f t="shared" si="149"/>
        <v>3</v>
      </c>
      <c r="U1395" s="179">
        <f t="shared" si="150"/>
        <v>3</v>
      </c>
      <c r="V1395" s="1">
        <f t="shared" si="151"/>
        <v>25</v>
      </c>
      <c r="W1395" s="8">
        <f t="shared" si="152"/>
        <v>6.25</v>
      </c>
      <c r="X1395" s="15">
        <f t="shared" si="153"/>
        <v>7587.5</v>
      </c>
      <c r="Y1395"/>
      <c r="Z1395"/>
      <c r="AA1395"/>
      <c r="AB1395"/>
      <c r="AC1395"/>
      <c r="AD1395"/>
    </row>
    <row r="1396" spans="2:30">
      <c r="B1396" s="2" t="s">
        <v>270</v>
      </c>
      <c r="C1396" s="2" t="s">
        <v>6</v>
      </c>
      <c r="D1396" s="2" t="s">
        <v>62</v>
      </c>
      <c r="E1396" s="3">
        <v>45381.625</v>
      </c>
      <c r="F1396" s="2" t="s">
        <v>264</v>
      </c>
      <c r="G1396" s="2" t="s">
        <v>66</v>
      </c>
      <c r="H1396" s="2">
        <v>63</v>
      </c>
      <c r="I1396" s="2">
        <v>0</v>
      </c>
      <c r="J1396" s="2">
        <v>20</v>
      </c>
      <c r="K1396" s="2">
        <v>36</v>
      </c>
      <c r="L1396" s="2">
        <v>2.4300000000000002</v>
      </c>
      <c r="M1396" s="2"/>
      <c r="N1396" s="2" t="s">
        <v>95</v>
      </c>
      <c r="O1396" s="10">
        <v>0</v>
      </c>
      <c r="P1396" s="10">
        <v>1</v>
      </c>
      <c r="Q1396" s="184">
        <v>1</v>
      </c>
      <c r="R1396" s="184">
        <v>1</v>
      </c>
      <c r="S1396" s="178">
        <f t="shared" si="148"/>
        <v>1</v>
      </c>
      <c r="T1396" s="186">
        <f t="shared" si="149"/>
        <v>2</v>
      </c>
      <c r="U1396" s="179">
        <f t="shared" si="150"/>
        <v>1</v>
      </c>
      <c r="V1396" s="1">
        <f t="shared" si="151"/>
        <v>25</v>
      </c>
      <c r="W1396" s="8">
        <f t="shared" si="152"/>
        <v>6.25</v>
      </c>
      <c r="X1396" s="15">
        <f t="shared" si="153"/>
        <v>7593.75</v>
      </c>
      <c r="Y1396"/>
      <c r="Z1396"/>
      <c r="AA1396"/>
      <c r="AB1396"/>
      <c r="AC1396"/>
      <c r="AD1396"/>
    </row>
    <row r="1397" spans="2:30">
      <c r="B1397" s="2" t="s">
        <v>270</v>
      </c>
      <c r="C1397" s="2" t="s">
        <v>6</v>
      </c>
      <c r="D1397" s="2" t="s">
        <v>62</v>
      </c>
      <c r="E1397" s="3">
        <v>45381.625</v>
      </c>
      <c r="F1397" s="2" t="s">
        <v>116</v>
      </c>
      <c r="G1397" s="2" t="s">
        <v>86</v>
      </c>
      <c r="H1397" s="2">
        <v>67</v>
      </c>
      <c r="I1397" s="2">
        <v>0</v>
      </c>
      <c r="J1397" s="2">
        <v>20</v>
      </c>
      <c r="K1397" s="2">
        <v>22</v>
      </c>
      <c r="L1397" s="2">
        <v>3.37</v>
      </c>
      <c r="M1397" s="2"/>
      <c r="N1397" s="2" t="s">
        <v>95</v>
      </c>
      <c r="O1397" s="10">
        <v>0</v>
      </c>
      <c r="P1397" s="10">
        <v>1</v>
      </c>
      <c r="Q1397" s="184">
        <v>2</v>
      </c>
      <c r="R1397" s="184">
        <v>1</v>
      </c>
      <c r="S1397" s="178">
        <f t="shared" si="148"/>
        <v>1</v>
      </c>
      <c r="T1397" s="186">
        <f t="shared" si="149"/>
        <v>3</v>
      </c>
      <c r="U1397" s="179">
        <f t="shared" si="150"/>
        <v>2</v>
      </c>
      <c r="V1397" s="1">
        <f t="shared" si="151"/>
        <v>25</v>
      </c>
      <c r="W1397" s="8">
        <f t="shared" si="152"/>
        <v>6.25</v>
      </c>
      <c r="X1397" s="15">
        <f t="shared" si="153"/>
        <v>7600</v>
      </c>
      <c r="Y1397"/>
      <c r="Z1397"/>
      <c r="AA1397"/>
      <c r="AB1397"/>
      <c r="AC1397"/>
      <c r="AD1397"/>
    </row>
    <row r="1398" spans="2:30">
      <c r="B1398" s="2" t="s">
        <v>270</v>
      </c>
      <c r="C1398" s="2" t="s">
        <v>296</v>
      </c>
      <c r="D1398" s="2" t="s">
        <v>78</v>
      </c>
      <c r="E1398" s="3">
        <v>45381.708333333336</v>
      </c>
      <c r="F1398" s="2" t="s">
        <v>360</v>
      </c>
      <c r="G1398" s="2" t="s">
        <v>368</v>
      </c>
      <c r="H1398" s="2">
        <v>64</v>
      </c>
      <c r="I1398" s="2">
        <v>0</v>
      </c>
      <c r="J1398" s="2">
        <v>20</v>
      </c>
      <c r="K1398" s="2">
        <v>33</v>
      </c>
      <c r="L1398" s="2">
        <v>2.04</v>
      </c>
      <c r="M1398" s="2"/>
      <c r="N1398" s="2" t="s">
        <v>95</v>
      </c>
      <c r="O1398" s="10">
        <v>0</v>
      </c>
      <c r="P1398" s="10">
        <v>0</v>
      </c>
      <c r="Q1398" s="184">
        <v>1</v>
      </c>
      <c r="R1398" s="184">
        <v>3</v>
      </c>
      <c r="S1398" s="178">
        <f t="shared" si="148"/>
        <v>0</v>
      </c>
      <c r="T1398" s="186">
        <f t="shared" si="149"/>
        <v>4</v>
      </c>
      <c r="U1398" s="179">
        <f t="shared" si="150"/>
        <v>4</v>
      </c>
      <c r="V1398" s="1">
        <f t="shared" si="151"/>
        <v>25</v>
      </c>
      <c r="W1398" s="8">
        <f t="shared" si="152"/>
        <v>6.25</v>
      </c>
      <c r="X1398" s="15">
        <f t="shared" si="153"/>
        <v>7606.25</v>
      </c>
      <c r="Y1398"/>
      <c r="Z1398"/>
      <c r="AA1398"/>
      <c r="AB1398"/>
      <c r="AC1398"/>
      <c r="AD1398"/>
    </row>
    <row r="1399" spans="2:30">
      <c r="B1399" s="2" t="s">
        <v>270</v>
      </c>
      <c r="C1399" s="2" t="s">
        <v>119</v>
      </c>
      <c r="D1399" s="2" t="s">
        <v>120</v>
      </c>
      <c r="E1399" s="3">
        <v>45381.833333333336</v>
      </c>
      <c r="F1399" s="2" t="s">
        <v>361</v>
      </c>
      <c r="G1399" s="2" t="s">
        <v>389</v>
      </c>
      <c r="H1399" s="2">
        <v>63</v>
      </c>
      <c r="I1399" s="2">
        <v>0</v>
      </c>
      <c r="J1399" s="2">
        <v>20</v>
      </c>
      <c r="K1399" s="2">
        <v>34</v>
      </c>
      <c r="L1399" s="2">
        <v>2.86</v>
      </c>
      <c r="M1399" s="2"/>
      <c r="N1399" s="2" t="s">
        <v>95</v>
      </c>
      <c r="O1399" s="10">
        <v>0</v>
      </c>
      <c r="P1399" s="10">
        <v>0</v>
      </c>
      <c r="Q1399" s="184">
        <v>1</v>
      </c>
      <c r="R1399" s="184">
        <v>0</v>
      </c>
      <c r="S1399" s="178">
        <f t="shared" si="148"/>
        <v>0</v>
      </c>
      <c r="T1399" s="186">
        <f t="shared" si="149"/>
        <v>1</v>
      </c>
      <c r="U1399" s="179">
        <f t="shared" si="150"/>
        <v>1</v>
      </c>
      <c r="V1399" s="1">
        <f t="shared" si="151"/>
        <v>25</v>
      </c>
      <c r="W1399" s="8">
        <f t="shared" si="152"/>
        <v>6.25</v>
      </c>
      <c r="X1399" s="15">
        <f t="shared" si="153"/>
        <v>7612.5</v>
      </c>
      <c r="Y1399"/>
      <c r="Z1399"/>
      <c r="AA1399"/>
      <c r="AB1399"/>
      <c r="AC1399"/>
      <c r="AD1399"/>
    </row>
    <row r="1400" spans="2:30">
      <c r="B1400" s="2" t="s">
        <v>270</v>
      </c>
      <c r="C1400" s="2" t="s">
        <v>77</v>
      </c>
      <c r="D1400" s="2" t="s">
        <v>234</v>
      </c>
      <c r="E1400" s="3">
        <v>45382.520833333336</v>
      </c>
      <c r="F1400" s="2" t="s">
        <v>633</v>
      </c>
      <c r="G1400" s="2" t="s">
        <v>247</v>
      </c>
      <c r="H1400" s="2">
        <v>60</v>
      </c>
      <c r="I1400" s="2">
        <v>0</v>
      </c>
      <c r="J1400" s="2">
        <v>20</v>
      </c>
      <c r="K1400" s="2">
        <v>34</v>
      </c>
      <c r="L1400" s="2">
        <v>3.08</v>
      </c>
      <c r="M1400" s="2"/>
      <c r="N1400" s="2" t="s">
        <v>95</v>
      </c>
      <c r="O1400" s="10">
        <v>0</v>
      </c>
      <c r="P1400" s="10">
        <v>0</v>
      </c>
      <c r="Q1400" s="184">
        <v>1</v>
      </c>
      <c r="R1400" s="184">
        <v>1</v>
      </c>
      <c r="S1400" s="178">
        <f t="shared" si="148"/>
        <v>0</v>
      </c>
      <c r="T1400" s="186">
        <f t="shared" si="149"/>
        <v>2</v>
      </c>
      <c r="U1400" s="179">
        <f t="shared" si="150"/>
        <v>2</v>
      </c>
      <c r="V1400" s="1">
        <f t="shared" si="151"/>
        <v>25</v>
      </c>
      <c r="W1400" s="8">
        <f t="shared" si="152"/>
        <v>6.25</v>
      </c>
      <c r="X1400" s="15">
        <f t="shared" si="153"/>
        <v>7618.75</v>
      </c>
      <c r="Y1400"/>
      <c r="Z1400"/>
      <c r="AA1400"/>
      <c r="AB1400"/>
      <c r="AC1400"/>
      <c r="AD1400"/>
    </row>
    <row r="1401" spans="2:30">
      <c r="B1401" s="2" t="s">
        <v>270</v>
      </c>
      <c r="C1401" s="2" t="s">
        <v>133</v>
      </c>
      <c r="D1401" s="2" t="s">
        <v>78</v>
      </c>
      <c r="E1401" s="3">
        <v>45382.666666666664</v>
      </c>
      <c r="F1401" s="2" t="s">
        <v>466</v>
      </c>
      <c r="G1401" s="2" t="s">
        <v>137</v>
      </c>
      <c r="H1401" s="2">
        <v>67</v>
      </c>
      <c r="I1401" s="2">
        <v>0</v>
      </c>
      <c r="J1401" s="2">
        <v>20</v>
      </c>
      <c r="K1401" s="2">
        <v>31</v>
      </c>
      <c r="L1401" s="2">
        <v>2.12</v>
      </c>
      <c r="M1401" s="2"/>
      <c r="N1401" s="2" t="s">
        <v>95</v>
      </c>
      <c r="O1401" s="10">
        <v>1</v>
      </c>
      <c r="P1401" s="10">
        <v>2</v>
      </c>
      <c r="Q1401" s="184">
        <v>2</v>
      </c>
      <c r="R1401" s="184">
        <v>3</v>
      </c>
      <c r="S1401" s="178">
        <f t="shared" si="148"/>
        <v>3</v>
      </c>
      <c r="T1401" s="186">
        <f t="shared" si="149"/>
        <v>5</v>
      </c>
      <c r="U1401" s="179">
        <f t="shared" si="150"/>
        <v>2</v>
      </c>
      <c r="V1401" s="1">
        <f t="shared" si="151"/>
        <v>25</v>
      </c>
      <c r="W1401" s="8">
        <f t="shared" si="152"/>
        <v>6.25</v>
      </c>
      <c r="X1401" s="15">
        <f t="shared" si="153"/>
        <v>7625</v>
      </c>
      <c r="Y1401"/>
      <c r="Z1401"/>
      <c r="AA1401"/>
      <c r="AB1401"/>
      <c r="AC1401"/>
      <c r="AD1401"/>
    </row>
    <row r="1402" spans="2:30">
      <c r="B1402" s="2" t="s">
        <v>270</v>
      </c>
      <c r="C1402" s="2" t="s">
        <v>133</v>
      </c>
      <c r="D1402" s="2" t="s">
        <v>78</v>
      </c>
      <c r="E1402" s="3">
        <v>45382.770833333336</v>
      </c>
      <c r="F1402" s="2" t="s">
        <v>136</v>
      </c>
      <c r="G1402" s="2" t="s">
        <v>394</v>
      </c>
      <c r="H1402" s="2">
        <v>61</v>
      </c>
      <c r="I1402" s="2">
        <v>0</v>
      </c>
      <c r="J1402" s="2">
        <v>20</v>
      </c>
      <c r="K1402" s="2">
        <v>36</v>
      </c>
      <c r="L1402" s="2">
        <v>2.59</v>
      </c>
      <c r="M1402" s="2"/>
      <c r="N1402" s="2" t="s">
        <v>95</v>
      </c>
      <c r="O1402" s="10">
        <v>0</v>
      </c>
      <c r="P1402" s="10">
        <v>1</v>
      </c>
      <c r="Q1402" s="184">
        <v>1</v>
      </c>
      <c r="R1402" s="184">
        <v>1</v>
      </c>
      <c r="S1402" s="178">
        <f t="shared" si="148"/>
        <v>1</v>
      </c>
      <c r="T1402" s="186">
        <f t="shared" si="149"/>
        <v>2</v>
      </c>
      <c r="U1402" s="179">
        <f t="shared" si="150"/>
        <v>1</v>
      </c>
      <c r="V1402" s="1">
        <f t="shared" si="151"/>
        <v>25</v>
      </c>
      <c r="W1402" s="8">
        <f t="shared" si="152"/>
        <v>6.25</v>
      </c>
      <c r="X1402" s="15">
        <f t="shared" si="153"/>
        <v>7631.25</v>
      </c>
      <c r="Y1402"/>
      <c r="Z1402"/>
      <c r="AA1402"/>
      <c r="AB1402"/>
      <c r="AC1402"/>
      <c r="AD1402"/>
    </row>
    <row r="1403" spans="2:30">
      <c r="B1403" s="2" t="s">
        <v>270</v>
      </c>
      <c r="C1403" s="2" t="s">
        <v>6</v>
      </c>
      <c r="D1403" s="2" t="s">
        <v>14</v>
      </c>
      <c r="E1403" s="3">
        <v>45383.520833333336</v>
      </c>
      <c r="F1403" s="2" t="s">
        <v>290</v>
      </c>
      <c r="G1403" s="2" t="s">
        <v>317</v>
      </c>
      <c r="H1403" s="2">
        <v>61</v>
      </c>
      <c r="I1403" s="2">
        <v>0</v>
      </c>
      <c r="J1403" s="2">
        <v>20</v>
      </c>
      <c r="K1403" s="2">
        <v>29</v>
      </c>
      <c r="L1403" s="2">
        <v>2.73</v>
      </c>
      <c r="M1403" s="2"/>
      <c r="N1403" s="2" t="s">
        <v>95</v>
      </c>
      <c r="O1403" s="10">
        <v>1</v>
      </c>
      <c r="P1403" s="10">
        <v>1</v>
      </c>
      <c r="Q1403" s="184">
        <v>3</v>
      </c>
      <c r="R1403" s="184">
        <v>1</v>
      </c>
      <c r="S1403" s="178">
        <f t="shared" si="148"/>
        <v>2</v>
      </c>
      <c r="T1403" s="186">
        <f t="shared" si="149"/>
        <v>4</v>
      </c>
      <c r="U1403" s="179">
        <f t="shared" si="150"/>
        <v>2</v>
      </c>
      <c r="V1403" s="1">
        <f t="shared" si="151"/>
        <v>25</v>
      </c>
      <c r="W1403" s="8">
        <f t="shared" si="152"/>
        <v>6.25</v>
      </c>
      <c r="X1403" s="15">
        <f t="shared" si="153"/>
        <v>7637.5</v>
      </c>
      <c r="Y1403"/>
      <c r="Z1403"/>
      <c r="AA1403"/>
      <c r="AB1403"/>
      <c r="AC1403"/>
      <c r="AD1403"/>
    </row>
    <row r="1404" spans="2:30">
      <c r="B1404" s="2" t="s">
        <v>270</v>
      </c>
      <c r="C1404" s="2" t="s">
        <v>6</v>
      </c>
      <c r="D1404" s="2" t="s">
        <v>7</v>
      </c>
      <c r="E1404" s="3">
        <v>45383.625</v>
      </c>
      <c r="F1404" s="2" t="s">
        <v>397</v>
      </c>
      <c r="G1404" s="2" t="s">
        <v>55</v>
      </c>
      <c r="H1404" s="2">
        <v>69</v>
      </c>
      <c r="I1404" s="2">
        <v>0</v>
      </c>
      <c r="J1404" s="2">
        <v>20</v>
      </c>
      <c r="K1404" s="2">
        <v>39</v>
      </c>
      <c r="L1404" s="2">
        <v>2.76</v>
      </c>
      <c r="M1404" s="2"/>
      <c r="N1404" s="2" t="s">
        <v>95</v>
      </c>
      <c r="O1404" s="10">
        <v>0</v>
      </c>
      <c r="P1404" s="10">
        <v>2</v>
      </c>
      <c r="Q1404" s="184">
        <v>0</v>
      </c>
      <c r="R1404" s="184">
        <v>4</v>
      </c>
      <c r="S1404" s="178">
        <f t="shared" si="148"/>
        <v>2</v>
      </c>
      <c r="T1404" s="186">
        <f t="shared" si="149"/>
        <v>4</v>
      </c>
      <c r="U1404" s="179">
        <f t="shared" si="150"/>
        <v>2</v>
      </c>
      <c r="V1404" s="1">
        <f t="shared" si="151"/>
        <v>25</v>
      </c>
      <c r="W1404" s="8">
        <f t="shared" si="152"/>
        <v>6.25</v>
      </c>
      <c r="X1404" s="15">
        <f t="shared" si="153"/>
        <v>7643.75</v>
      </c>
      <c r="Y1404"/>
      <c r="Z1404"/>
      <c r="AA1404"/>
      <c r="AB1404"/>
      <c r="AC1404"/>
      <c r="AD1404"/>
    </row>
    <row r="1405" spans="2:30">
      <c r="B1405" s="2" t="s">
        <v>270</v>
      </c>
      <c r="C1405" s="2" t="s">
        <v>6</v>
      </c>
      <c r="D1405" s="2" t="s">
        <v>62</v>
      </c>
      <c r="E1405" s="3">
        <v>45384.8125</v>
      </c>
      <c r="F1405" s="2" t="s">
        <v>264</v>
      </c>
      <c r="G1405" s="2" t="s">
        <v>115</v>
      </c>
      <c r="H1405" s="2">
        <v>68</v>
      </c>
      <c r="I1405" s="2">
        <v>0</v>
      </c>
      <c r="J1405" s="2">
        <v>20</v>
      </c>
      <c r="K1405" s="2">
        <v>43</v>
      </c>
      <c r="L1405" s="2">
        <v>2.66</v>
      </c>
      <c r="M1405" s="2"/>
      <c r="N1405" s="2" t="s">
        <v>95</v>
      </c>
      <c r="O1405" s="10">
        <v>3</v>
      </c>
      <c r="P1405" s="10">
        <v>0</v>
      </c>
      <c r="Q1405" s="184">
        <v>3</v>
      </c>
      <c r="R1405" s="184">
        <v>1</v>
      </c>
      <c r="S1405" s="178">
        <f t="shared" si="148"/>
        <v>3</v>
      </c>
      <c r="T1405" s="186">
        <f t="shared" si="149"/>
        <v>4</v>
      </c>
      <c r="U1405" s="179">
        <f t="shared" si="150"/>
        <v>1</v>
      </c>
      <c r="V1405" s="1">
        <f t="shared" si="151"/>
        <v>25</v>
      </c>
      <c r="W1405" s="8">
        <f t="shared" si="152"/>
        <v>6.25</v>
      </c>
      <c r="X1405" s="15">
        <f t="shared" si="153"/>
        <v>7650</v>
      </c>
      <c r="Y1405"/>
      <c r="Z1405"/>
      <c r="AA1405"/>
      <c r="AB1405"/>
      <c r="AC1405"/>
      <c r="AD1405"/>
    </row>
    <row r="1406" spans="2:30">
      <c r="B1406" s="2" t="s">
        <v>270</v>
      </c>
      <c r="C1406" s="2" t="s">
        <v>6</v>
      </c>
      <c r="D1406" s="2" t="s">
        <v>62</v>
      </c>
      <c r="E1406" s="3">
        <v>45384.822916666664</v>
      </c>
      <c r="F1406" s="2" t="s">
        <v>117</v>
      </c>
      <c r="G1406" s="2" t="s">
        <v>66</v>
      </c>
      <c r="H1406" s="2">
        <v>66</v>
      </c>
      <c r="I1406" s="2">
        <v>0</v>
      </c>
      <c r="J1406" s="2">
        <v>20</v>
      </c>
      <c r="K1406" s="2">
        <v>29</v>
      </c>
      <c r="L1406" s="2">
        <v>2.52</v>
      </c>
      <c r="M1406" s="2"/>
      <c r="N1406" s="2" t="s">
        <v>95</v>
      </c>
      <c r="O1406" s="10">
        <v>0</v>
      </c>
      <c r="P1406" s="10">
        <v>0</v>
      </c>
      <c r="Q1406" s="184">
        <v>1</v>
      </c>
      <c r="R1406" s="184">
        <v>0</v>
      </c>
      <c r="S1406" s="178">
        <f t="shared" si="148"/>
        <v>0</v>
      </c>
      <c r="T1406" s="186">
        <f t="shared" si="149"/>
        <v>1</v>
      </c>
      <c r="U1406" s="179">
        <f t="shared" si="150"/>
        <v>1</v>
      </c>
      <c r="V1406" s="1">
        <f t="shared" si="151"/>
        <v>25</v>
      </c>
      <c r="W1406" s="8">
        <f t="shared" si="152"/>
        <v>6.25</v>
      </c>
      <c r="X1406" s="15">
        <f t="shared" si="153"/>
        <v>7656.25</v>
      </c>
      <c r="Y1406"/>
      <c r="Z1406"/>
      <c r="AA1406"/>
      <c r="AB1406"/>
      <c r="AC1406"/>
      <c r="AD1406"/>
    </row>
    <row r="1407" spans="2:30">
      <c r="B1407" s="2" t="s">
        <v>270</v>
      </c>
      <c r="C1407" s="2" t="s">
        <v>441</v>
      </c>
      <c r="D1407" s="2" t="s">
        <v>442</v>
      </c>
      <c r="E1407" s="3">
        <v>45385.541666666664</v>
      </c>
      <c r="F1407" s="2" t="s">
        <v>443</v>
      </c>
      <c r="G1407" s="2" t="s">
        <v>445</v>
      </c>
      <c r="H1407" s="2">
        <v>64</v>
      </c>
      <c r="I1407" s="2">
        <v>0</v>
      </c>
      <c r="J1407" s="2">
        <v>20</v>
      </c>
      <c r="K1407" s="2">
        <v>28</v>
      </c>
      <c r="L1407" s="2">
        <v>1.54</v>
      </c>
      <c r="M1407" s="2"/>
      <c r="N1407" s="2" t="s">
        <v>95</v>
      </c>
      <c r="O1407" s="10">
        <v>0</v>
      </c>
      <c r="P1407" s="10">
        <v>2</v>
      </c>
      <c r="Q1407" s="184">
        <v>5</v>
      </c>
      <c r="R1407" s="184">
        <v>2</v>
      </c>
      <c r="S1407" s="178">
        <f t="shared" si="148"/>
        <v>2</v>
      </c>
      <c r="T1407" s="186">
        <f t="shared" si="149"/>
        <v>7</v>
      </c>
      <c r="U1407" s="179">
        <f t="shared" si="150"/>
        <v>5</v>
      </c>
      <c r="V1407" s="1">
        <f t="shared" si="151"/>
        <v>25</v>
      </c>
      <c r="W1407" s="8">
        <f t="shared" si="152"/>
        <v>6.25</v>
      </c>
      <c r="X1407" s="15">
        <f t="shared" si="153"/>
        <v>7662.5</v>
      </c>
      <c r="Y1407"/>
      <c r="Z1407"/>
      <c r="AA1407"/>
      <c r="AB1407"/>
      <c r="AC1407"/>
      <c r="AD1407"/>
    </row>
    <row r="1408" spans="2:30">
      <c r="B1408" s="2" t="s">
        <v>270</v>
      </c>
      <c r="C1408" s="2" t="s">
        <v>626</v>
      </c>
      <c r="D1408" s="2" t="s">
        <v>627</v>
      </c>
      <c r="E1408" s="3">
        <v>45385.663194444445</v>
      </c>
      <c r="F1408" s="2" t="s">
        <v>628</v>
      </c>
      <c r="G1408" s="2" t="s">
        <v>653</v>
      </c>
      <c r="H1408" s="2">
        <v>61</v>
      </c>
      <c r="I1408" s="2">
        <v>0</v>
      </c>
      <c r="J1408" s="2">
        <v>20</v>
      </c>
      <c r="K1408" s="2">
        <v>38</v>
      </c>
      <c r="L1408" s="2">
        <v>0</v>
      </c>
      <c r="M1408" s="2"/>
      <c r="N1408" s="2" t="s">
        <v>95</v>
      </c>
      <c r="O1408" s="10">
        <v>0</v>
      </c>
      <c r="P1408" s="10">
        <v>1</v>
      </c>
      <c r="Q1408" s="184">
        <v>2</v>
      </c>
      <c r="R1408" s="184">
        <v>3</v>
      </c>
      <c r="S1408" s="178">
        <f t="shared" si="148"/>
        <v>1</v>
      </c>
      <c r="T1408" s="186">
        <f t="shared" si="149"/>
        <v>5</v>
      </c>
      <c r="U1408" s="179">
        <f t="shared" si="150"/>
        <v>4</v>
      </c>
      <c r="V1408" s="1">
        <f t="shared" si="151"/>
        <v>25</v>
      </c>
      <c r="W1408" s="8">
        <f t="shared" si="152"/>
        <v>6.25</v>
      </c>
      <c r="X1408" s="15">
        <f t="shared" si="153"/>
        <v>7668.75</v>
      </c>
      <c r="Y1408"/>
      <c r="Z1408"/>
      <c r="AA1408"/>
      <c r="AB1408"/>
      <c r="AC1408"/>
      <c r="AD1408"/>
    </row>
    <row r="1409" spans="2:30">
      <c r="B1409" s="2" t="s">
        <v>270</v>
      </c>
      <c r="C1409" s="2" t="s">
        <v>80</v>
      </c>
      <c r="D1409" s="2" t="s">
        <v>81</v>
      </c>
      <c r="E1409" s="3">
        <v>45385.770833333336</v>
      </c>
      <c r="F1409" s="2" t="s">
        <v>82</v>
      </c>
      <c r="G1409" s="2" t="s">
        <v>550</v>
      </c>
      <c r="H1409" s="2">
        <v>63</v>
      </c>
      <c r="I1409" s="2">
        <v>0</v>
      </c>
      <c r="J1409" s="2">
        <v>20</v>
      </c>
      <c r="K1409" s="2">
        <v>34</v>
      </c>
      <c r="L1409" s="2">
        <v>2.04</v>
      </c>
      <c r="M1409" s="2"/>
      <c r="N1409" s="2" t="s">
        <v>95</v>
      </c>
      <c r="O1409" s="10">
        <v>0</v>
      </c>
      <c r="P1409" s="10">
        <v>1</v>
      </c>
      <c r="Q1409" s="184">
        <v>1</v>
      </c>
      <c r="R1409" s="184">
        <v>3</v>
      </c>
      <c r="S1409" s="178">
        <f t="shared" ref="S1409:S1472" si="154">SUM(O1409:P1409)</f>
        <v>1</v>
      </c>
      <c r="T1409" s="186">
        <f t="shared" ref="T1409:T1472" si="155">SUM(Q1409:R1409)</f>
        <v>4</v>
      </c>
      <c r="U1409" s="179">
        <f t="shared" ref="U1409:U1472" si="156">SUM(T1409-S1409)</f>
        <v>3</v>
      </c>
      <c r="V1409" s="1">
        <f t="shared" si="151"/>
        <v>25</v>
      </c>
      <c r="W1409" s="8">
        <f t="shared" si="152"/>
        <v>6.25</v>
      </c>
      <c r="X1409" s="15">
        <f t="shared" si="153"/>
        <v>7675</v>
      </c>
      <c r="Y1409"/>
      <c r="Z1409"/>
      <c r="AA1409"/>
      <c r="AB1409"/>
      <c r="AC1409"/>
      <c r="AD1409"/>
    </row>
    <row r="1410" spans="2:30">
      <c r="B1410" s="2" t="s">
        <v>270</v>
      </c>
      <c r="C1410" s="2" t="s">
        <v>6</v>
      </c>
      <c r="D1410" s="2" t="s">
        <v>62</v>
      </c>
      <c r="E1410" s="3">
        <v>45385.8125</v>
      </c>
      <c r="F1410" s="2" t="s">
        <v>73</v>
      </c>
      <c r="G1410" s="2" t="s">
        <v>86</v>
      </c>
      <c r="H1410" s="2">
        <v>64</v>
      </c>
      <c r="I1410" s="2">
        <v>0</v>
      </c>
      <c r="J1410" s="2">
        <v>20</v>
      </c>
      <c r="K1410" s="2">
        <v>25</v>
      </c>
      <c r="L1410" s="2">
        <v>3.04</v>
      </c>
      <c r="M1410" s="2"/>
      <c r="N1410" s="2" t="s">
        <v>95</v>
      </c>
      <c r="O1410" s="10">
        <v>2</v>
      </c>
      <c r="P1410" s="10">
        <v>0</v>
      </c>
      <c r="Q1410" s="184">
        <v>2</v>
      </c>
      <c r="R1410" s="184">
        <v>0</v>
      </c>
      <c r="S1410" s="178">
        <f t="shared" si="154"/>
        <v>2</v>
      </c>
      <c r="T1410" s="186">
        <f t="shared" si="155"/>
        <v>2</v>
      </c>
      <c r="U1410" s="179">
        <f t="shared" si="156"/>
        <v>0</v>
      </c>
      <c r="V1410" s="1">
        <f t="shared" si="151"/>
        <v>25</v>
      </c>
      <c r="W1410" s="8">
        <f t="shared" si="152"/>
        <v>6.25</v>
      </c>
      <c r="X1410" s="15">
        <f t="shared" si="153"/>
        <v>7681.25</v>
      </c>
      <c r="Y1410"/>
      <c r="Z1410"/>
      <c r="AA1410"/>
      <c r="AB1410"/>
      <c r="AC1410"/>
      <c r="AD1410"/>
    </row>
    <row r="1411" spans="2:30">
      <c r="B1411" s="2" t="s">
        <v>270</v>
      </c>
      <c r="C1411" s="2" t="s">
        <v>410</v>
      </c>
      <c r="D1411" s="2" t="s">
        <v>411</v>
      </c>
      <c r="E1411" s="3">
        <v>45387.708333333336</v>
      </c>
      <c r="F1411" s="2" t="s">
        <v>675</v>
      </c>
      <c r="G1411" s="2" t="s">
        <v>460</v>
      </c>
      <c r="H1411" s="2">
        <v>61</v>
      </c>
      <c r="I1411" s="2">
        <v>0</v>
      </c>
      <c r="J1411" s="2">
        <v>20</v>
      </c>
      <c r="K1411" s="2">
        <v>27</v>
      </c>
      <c r="L1411" s="2">
        <v>1.56</v>
      </c>
      <c r="M1411" s="2"/>
      <c r="N1411" s="2" t="s">
        <v>95</v>
      </c>
      <c r="O1411" s="10">
        <v>1</v>
      </c>
      <c r="P1411" s="10">
        <v>0</v>
      </c>
      <c r="Q1411" s="184">
        <v>2</v>
      </c>
      <c r="R1411" s="184">
        <v>2</v>
      </c>
      <c r="S1411" s="178">
        <f t="shared" si="154"/>
        <v>1</v>
      </c>
      <c r="T1411" s="186">
        <f t="shared" si="155"/>
        <v>4</v>
      </c>
      <c r="U1411" s="179">
        <f t="shared" si="156"/>
        <v>3</v>
      </c>
      <c r="V1411" s="1">
        <f t="shared" si="151"/>
        <v>25</v>
      </c>
      <c r="W1411" s="8">
        <f t="shared" si="152"/>
        <v>6.25</v>
      </c>
      <c r="X1411" s="15">
        <f t="shared" si="153"/>
        <v>7687.5</v>
      </c>
      <c r="Y1411"/>
      <c r="Z1411"/>
      <c r="AA1411"/>
      <c r="AB1411"/>
      <c r="AC1411"/>
      <c r="AD1411"/>
    </row>
    <row r="1412" spans="2:30">
      <c r="B1412" s="2" t="s">
        <v>270</v>
      </c>
      <c r="C1412" s="2" t="s">
        <v>20</v>
      </c>
      <c r="D1412" s="2" t="s">
        <v>21</v>
      </c>
      <c r="E1412" s="3">
        <v>45387.822916666664</v>
      </c>
      <c r="F1412" s="2" t="s">
        <v>110</v>
      </c>
      <c r="G1412" s="2" t="s">
        <v>370</v>
      </c>
      <c r="H1412" s="2">
        <v>59</v>
      </c>
      <c r="I1412" s="2">
        <v>0</v>
      </c>
      <c r="J1412" s="2">
        <v>20</v>
      </c>
      <c r="K1412" s="2">
        <v>30</v>
      </c>
      <c r="L1412" s="2">
        <v>2.4300000000000002</v>
      </c>
      <c r="M1412" s="2"/>
      <c r="N1412" s="2" t="s">
        <v>95</v>
      </c>
      <c r="O1412" s="10">
        <v>0</v>
      </c>
      <c r="P1412" s="10">
        <v>2</v>
      </c>
      <c r="Q1412" s="184">
        <v>2</v>
      </c>
      <c r="R1412" s="184">
        <v>2</v>
      </c>
      <c r="S1412" s="178">
        <f t="shared" si="154"/>
        <v>2</v>
      </c>
      <c r="T1412" s="186">
        <f t="shared" si="155"/>
        <v>4</v>
      </c>
      <c r="U1412" s="179">
        <f t="shared" si="156"/>
        <v>2</v>
      </c>
      <c r="V1412" s="1">
        <f t="shared" si="151"/>
        <v>25</v>
      </c>
      <c r="W1412" s="8">
        <f t="shared" si="152"/>
        <v>6.25</v>
      </c>
      <c r="X1412" s="15">
        <f t="shared" si="153"/>
        <v>7693.75</v>
      </c>
      <c r="Y1412"/>
      <c r="Z1412"/>
      <c r="AA1412"/>
      <c r="AB1412"/>
      <c r="AC1412"/>
      <c r="AD1412"/>
    </row>
    <row r="1413" spans="2:30">
      <c r="B1413" s="2" t="s">
        <v>270</v>
      </c>
      <c r="C1413" s="2" t="s">
        <v>44</v>
      </c>
      <c r="D1413" s="2" t="s">
        <v>45</v>
      </c>
      <c r="E1413" s="3">
        <v>45388.229166666664</v>
      </c>
      <c r="F1413" s="2" t="s">
        <v>53</v>
      </c>
      <c r="G1413" s="2" t="s">
        <v>143</v>
      </c>
      <c r="H1413" s="2">
        <v>62</v>
      </c>
      <c r="I1413" s="2">
        <v>0</v>
      </c>
      <c r="J1413" s="2">
        <v>20</v>
      </c>
      <c r="K1413" s="2">
        <v>37</v>
      </c>
      <c r="L1413" s="2">
        <v>3.43</v>
      </c>
      <c r="M1413" s="2"/>
      <c r="N1413" s="2" t="s">
        <v>95</v>
      </c>
      <c r="O1413" s="10">
        <v>0</v>
      </c>
      <c r="P1413" s="10">
        <v>2</v>
      </c>
      <c r="Q1413" s="184">
        <v>4</v>
      </c>
      <c r="R1413" s="184">
        <v>2</v>
      </c>
      <c r="S1413" s="178">
        <f t="shared" si="154"/>
        <v>2</v>
      </c>
      <c r="T1413" s="186">
        <f t="shared" si="155"/>
        <v>6</v>
      </c>
      <c r="U1413" s="179">
        <f t="shared" si="156"/>
        <v>4</v>
      </c>
      <c r="V1413" s="1">
        <f t="shared" ref="V1413:V1476" si="157">SUM($X$1*0.05)</f>
        <v>25</v>
      </c>
      <c r="W1413" s="8">
        <f t="shared" si="152"/>
        <v>6.25</v>
      </c>
      <c r="X1413" s="15">
        <f t="shared" si="153"/>
        <v>7700</v>
      </c>
      <c r="Y1413"/>
      <c r="Z1413"/>
      <c r="AA1413"/>
      <c r="AB1413"/>
      <c r="AC1413"/>
      <c r="AD1413"/>
    </row>
    <row r="1414" spans="2:30">
      <c r="B1414" s="2" t="s">
        <v>270</v>
      </c>
      <c r="C1414" s="2" t="s">
        <v>58</v>
      </c>
      <c r="D1414" s="2" t="s">
        <v>289</v>
      </c>
      <c r="E1414" s="3">
        <v>45388.458333333336</v>
      </c>
      <c r="F1414" s="2" t="s">
        <v>677</v>
      </c>
      <c r="G1414" s="2" t="s">
        <v>678</v>
      </c>
      <c r="H1414" s="2">
        <v>61</v>
      </c>
      <c r="I1414" s="2">
        <v>0</v>
      </c>
      <c r="J1414" s="2">
        <v>20</v>
      </c>
      <c r="K1414" s="2">
        <v>34</v>
      </c>
      <c r="L1414" s="2">
        <v>0</v>
      </c>
      <c r="M1414" s="2"/>
      <c r="N1414" s="2" t="s">
        <v>95</v>
      </c>
      <c r="O1414" s="10">
        <v>0</v>
      </c>
      <c r="P1414" s="10">
        <v>0</v>
      </c>
      <c r="Q1414" s="184">
        <v>3</v>
      </c>
      <c r="R1414" s="184">
        <v>0</v>
      </c>
      <c r="S1414" s="178">
        <f t="shared" si="154"/>
        <v>0</v>
      </c>
      <c r="T1414" s="186">
        <f t="shared" si="155"/>
        <v>3</v>
      </c>
      <c r="U1414" s="179">
        <f t="shared" si="156"/>
        <v>3</v>
      </c>
      <c r="V1414" s="1">
        <f t="shared" si="157"/>
        <v>25</v>
      </c>
      <c r="W1414" s="8">
        <f t="shared" si="152"/>
        <v>6.25</v>
      </c>
      <c r="X1414" s="15">
        <f t="shared" si="153"/>
        <v>7706.25</v>
      </c>
      <c r="Y1414"/>
      <c r="Z1414"/>
      <c r="AA1414"/>
      <c r="AB1414"/>
      <c r="AC1414"/>
      <c r="AD1414"/>
    </row>
    <row r="1415" spans="2:30">
      <c r="B1415" s="2" t="s">
        <v>270</v>
      </c>
      <c r="C1415" s="2" t="s">
        <v>13</v>
      </c>
      <c r="D1415" s="2" t="s">
        <v>14</v>
      </c>
      <c r="E1415" s="3">
        <v>45388.625</v>
      </c>
      <c r="F1415" s="2" t="s">
        <v>130</v>
      </c>
      <c r="G1415" s="2" t="s">
        <v>16</v>
      </c>
      <c r="H1415" s="2">
        <v>59</v>
      </c>
      <c r="I1415" s="2">
        <v>0</v>
      </c>
      <c r="J1415" s="2">
        <v>20</v>
      </c>
      <c r="K1415" s="2">
        <v>25</v>
      </c>
      <c r="L1415" s="2">
        <v>0</v>
      </c>
      <c r="M1415" s="2"/>
      <c r="N1415" s="2" t="s">
        <v>95</v>
      </c>
      <c r="O1415" s="10">
        <v>0</v>
      </c>
      <c r="P1415" s="10">
        <v>1</v>
      </c>
      <c r="Q1415" s="184">
        <v>1</v>
      </c>
      <c r="R1415" s="184">
        <v>1</v>
      </c>
      <c r="S1415" s="178">
        <f t="shared" si="154"/>
        <v>1</v>
      </c>
      <c r="T1415" s="186">
        <f t="shared" si="155"/>
        <v>2</v>
      </c>
      <c r="U1415" s="179">
        <f t="shared" si="156"/>
        <v>1</v>
      </c>
      <c r="V1415" s="1">
        <f t="shared" si="157"/>
        <v>25</v>
      </c>
      <c r="W1415" s="8">
        <f t="shared" si="152"/>
        <v>6.25</v>
      </c>
      <c r="X1415" s="15">
        <f t="shared" si="153"/>
        <v>7712.5</v>
      </c>
      <c r="Y1415"/>
      <c r="Z1415"/>
      <c r="AA1415"/>
      <c r="AB1415"/>
      <c r="AC1415"/>
      <c r="AD1415"/>
    </row>
    <row r="1416" spans="2:30">
      <c r="B1416" s="2" t="s">
        <v>270</v>
      </c>
      <c r="C1416" s="2" t="s">
        <v>6</v>
      </c>
      <c r="D1416" s="2" t="s">
        <v>14</v>
      </c>
      <c r="E1416" s="3">
        <v>45388.625</v>
      </c>
      <c r="F1416" s="2" t="s">
        <v>290</v>
      </c>
      <c r="G1416" s="2" t="s">
        <v>680</v>
      </c>
      <c r="H1416" s="2">
        <v>62</v>
      </c>
      <c r="I1416" s="2">
        <v>0</v>
      </c>
      <c r="J1416" s="2">
        <v>20</v>
      </c>
      <c r="K1416" s="2">
        <v>33</v>
      </c>
      <c r="L1416" s="2">
        <v>2.71</v>
      </c>
      <c r="M1416" s="2"/>
      <c r="N1416" s="2" t="s">
        <v>95</v>
      </c>
      <c r="O1416" s="10">
        <v>1</v>
      </c>
      <c r="P1416" s="10">
        <v>1</v>
      </c>
      <c r="Q1416" s="184">
        <v>2</v>
      </c>
      <c r="R1416" s="184">
        <v>1</v>
      </c>
      <c r="S1416" s="178">
        <f t="shared" si="154"/>
        <v>2</v>
      </c>
      <c r="T1416" s="186">
        <f t="shared" si="155"/>
        <v>3</v>
      </c>
      <c r="U1416" s="179">
        <f t="shared" si="156"/>
        <v>1</v>
      </c>
      <c r="V1416" s="1">
        <f t="shared" si="157"/>
        <v>25</v>
      </c>
      <c r="W1416" s="8">
        <f t="shared" si="152"/>
        <v>6.25</v>
      </c>
      <c r="X1416" s="15">
        <f t="shared" si="153"/>
        <v>7718.75</v>
      </c>
      <c r="Y1416"/>
      <c r="Z1416"/>
      <c r="AA1416"/>
      <c r="AB1416"/>
      <c r="AC1416"/>
      <c r="AD1416"/>
    </row>
    <row r="1417" spans="2:30">
      <c r="B1417" s="2" t="s">
        <v>270</v>
      </c>
      <c r="C1417" s="2" t="s">
        <v>67</v>
      </c>
      <c r="D1417" s="2" t="s">
        <v>169</v>
      </c>
      <c r="E1417" s="3">
        <v>45388.625</v>
      </c>
      <c r="F1417" s="2" t="s">
        <v>681</v>
      </c>
      <c r="G1417" s="2" t="s">
        <v>203</v>
      </c>
      <c r="H1417" s="2">
        <v>62</v>
      </c>
      <c r="I1417" s="2">
        <v>0</v>
      </c>
      <c r="J1417" s="2">
        <v>20</v>
      </c>
      <c r="K1417" s="2">
        <v>31</v>
      </c>
      <c r="L1417" s="2">
        <v>2.48</v>
      </c>
      <c r="M1417" s="2"/>
      <c r="N1417" s="2" t="s">
        <v>95</v>
      </c>
      <c r="O1417" s="10">
        <v>0</v>
      </c>
      <c r="P1417" s="10">
        <v>3</v>
      </c>
      <c r="Q1417" s="184">
        <v>1</v>
      </c>
      <c r="R1417" s="184">
        <v>4</v>
      </c>
      <c r="S1417" s="178">
        <f t="shared" si="154"/>
        <v>3</v>
      </c>
      <c r="T1417" s="186">
        <f t="shared" si="155"/>
        <v>5</v>
      </c>
      <c r="U1417" s="179">
        <f t="shared" si="156"/>
        <v>2</v>
      </c>
      <c r="V1417" s="1">
        <f t="shared" si="157"/>
        <v>25</v>
      </c>
      <c r="W1417" s="8">
        <f t="shared" si="152"/>
        <v>6.25</v>
      </c>
      <c r="X1417" s="15">
        <f t="shared" si="153"/>
        <v>7725</v>
      </c>
      <c r="Y1417"/>
      <c r="Z1417"/>
      <c r="AA1417"/>
      <c r="AB1417"/>
      <c r="AC1417"/>
      <c r="AD1417"/>
    </row>
    <row r="1418" spans="2:30">
      <c r="B1418" s="2" t="s">
        <v>270</v>
      </c>
      <c r="C1418" s="2" t="s">
        <v>6</v>
      </c>
      <c r="D1418" s="2" t="s">
        <v>62</v>
      </c>
      <c r="E1418" s="3">
        <v>45388.625</v>
      </c>
      <c r="F1418" s="2" t="s">
        <v>86</v>
      </c>
      <c r="G1418" s="2" t="s">
        <v>117</v>
      </c>
      <c r="H1418" s="2">
        <v>59</v>
      </c>
      <c r="I1418" s="2">
        <v>0</v>
      </c>
      <c r="J1418" s="2">
        <v>20</v>
      </c>
      <c r="K1418" s="2">
        <v>23</v>
      </c>
      <c r="L1418" s="2">
        <v>3.08</v>
      </c>
      <c r="M1418" s="2"/>
      <c r="N1418" s="2" t="s">
        <v>95</v>
      </c>
      <c r="O1418" s="10">
        <v>0</v>
      </c>
      <c r="P1418" s="10">
        <v>0</v>
      </c>
      <c r="Q1418" s="184">
        <v>2</v>
      </c>
      <c r="R1418" s="184">
        <v>1</v>
      </c>
      <c r="S1418" s="178">
        <f t="shared" si="154"/>
        <v>0</v>
      </c>
      <c r="T1418" s="186">
        <f t="shared" si="155"/>
        <v>3</v>
      </c>
      <c r="U1418" s="179">
        <f t="shared" si="156"/>
        <v>3</v>
      </c>
      <c r="V1418" s="1">
        <f t="shared" si="157"/>
        <v>25</v>
      </c>
      <c r="W1418" s="8">
        <f t="shared" si="152"/>
        <v>6.25</v>
      </c>
      <c r="X1418" s="15">
        <f t="shared" si="153"/>
        <v>7731.25</v>
      </c>
      <c r="Y1418"/>
      <c r="Z1418"/>
      <c r="AA1418"/>
      <c r="AB1418"/>
      <c r="AC1418"/>
      <c r="AD1418"/>
    </row>
    <row r="1419" spans="2:30">
      <c r="B1419" s="2" t="s">
        <v>270</v>
      </c>
      <c r="C1419" s="2" t="s">
        <v>6</v>
      </c>
      <c r="D1419" s="2" t="s">
        <v>14</v>
      </c>
      <c r="E1419" s="3">
        <v>45388.625</v>
      </c>
      <c r="F1419" s="2" t="s">
        <v>430</v>
      </c>
      <c r="G1419" s="2" t="s">
        <v>202</v>
      </c>
      <c r="H1419" s="2">
        <v>62</v>
      </c>
      <c r="I1419" s="2">
        <v>0</v>
      </c>
      <c r="J1419" s="2">
        <v>20</v>
      </c>
      <c r="K1419" s="2">
        <v>36</v>
      </c>
      <c r="L1419" s="2">
        <v>2.04</v>
      </c>
      <c r="M1419" s="2"/>
      <c r="N1419" s="2" t="s">
        <v>95</v>
      </c>
      <c r="O1419" s="10">
        <v>0</v>
      </c>
      <c r="P1419" s="10">
        <v>0</v>
      </c>
      <c r="Q1419" s="184">
        <v>0</v>
      </c>
      <c r="R1419" s="184">
        <v>2</v>
      </c>
      <c r="S1419" s="178">
        <f t="shared" si="154"/>
        <v>0</v>
      </c>
      <c r="T1419" s="186">
        <f t="shared" si="155"/>
        <v>2</v>
      </c>
      <c r="U1419" s="179">
        <f t="shared" si="156"/>
        <v>2</v>
      </c>
      <c r="V1419" s="1">
        <f t="shared" si="157"/>
        <v>25</v>
      </c>
      <c r="W1419" s="8">
        <f t="shared" si="152"/>
        <v>6.25</v>
      </c>
      <c r="X1419" s="15">
        <f t="shared" si="153"/>
        <v>7737.5</v>
      </c>
      <c r="Y1419"/>
      <c r="Z1419"/>
      <c r="AA1419"/>
      <c r="AB1419"/>
      <c r="AC1419"/>
      <c r="AD1419"/>
    </row>
    <row r="1420" spans="2:30">
      <c r="B1420" s="2" t="s">
        <v>270</v>
      </c>
      <c r="C1420" s="2" t="s">
        <v>6</v>
      </c>
      <c r="D1420" s="2" t="s">
        <v>62</v>
      </c>
      <c r="E1420" s="3">
        <v>45388.625</v>
      </c>
      <c r="F1420" s="2" t="s">
        <v>64</v>
      </c>
      <c r="G1420" s="2" t="s">
        <v>74</v>
      </c>
      <c r="H1420" s="2">
        <v>60</v>
      </c>
      <c r="I1420" s="2">
        <v>0</v>
      </c>
      <c r="J1420" s="2">
        <v>20</v>
      </c>
      <c r="K1420" s="2">
        <v>27</v>
      </c>
      <c r="L1420" s="2">
        <v>3.16</v>
      </c>
      <c r="M1420" s="2"/>
      <c r="N1420" s="2" t="s">
        <v>95</v>
      </c>
      <c r="O1420" s="10">
        <v>1</v>
      </c>
      <c r="P1420" s="10">
        <v>0</v>
      </c>
      <c r="Q1420" s="184">
        <v>1</v>
      </c>
      <c r="R1420" s="184">
        <v>2</v>
      </c>
      <c r="S1420" s="178">
        <f t="shared" si="154"/>
        <v>1</v>
      </c>
      <c r="T1420" s="186">
        <f t="shared" si="155"/>
        <v>3</v>
      </c>
      <c r="U1420" s="179">
        <f t="shared" si="156"/>
        <v>2</v>
      </c>
      <c r="V1420" s="1">
        <f t="shared" si="157"/>
        <v>25</v>
      </c>
      <c r="W1420" s="8">
        <f t="shared" si="152"/>
        <v>6.25</v>
      </c>
      <c r="X1420" s="15">
        <f t="shared" si="153"/>
        <v>7743.75</v>
      </c>
      <c r="Y1420"/>
      <c r="Z1420"/>
      <c r="AA1420"/>
      <c r="AB1420"/>
      <c r="AC1420"/>
      <c r="AD1420"/>
    </row>
    <row r="1421" spans="2:30">
      <c r="B1421" s="2" t="s">
        <v>270</v>
      </c>
      <c r="C1421" s="2" t="s">
        <v>20</v>
      </c>
      <c r="D1421" s="2" t="s">
        <v>322</v>
      </c>
      <c r="E1421" s="3">
        <v>45388.635416666664</v>
      </c>
      <c r="F1421" s="2" t="s">
        <v>334</v>
      </c>
      <c r="G1421" s="2" t="s">
        <v>487</v>
      </c>
      <c r="H1421" s="2">
        <v>59</v>
      </c>
      <c r="I1421" s="2">
        <v>0</v>
      </c>
      <c r="J1421" s="2">
        <v>20</v>
      </c>
      <c r="K1421" s="2">
        <v>35</v>
      </c>
      <c r="L1421" s="2">
        <v>2.04</v>
      </c>
      <c r="M1421" s="2"/>
      <c r="N1421" s="2" t="s">
        <v>95</v>
      </c>
      <c r="O1421" s="10">
        <v>2</v>
      </c>
      <c r="P1421" s="10">
        <v>1</v>
      </c>
      <c r="Q1421" s="184">
        <v>2</v>
      </c>
      <c r="R1421" s="184">
        <v>2</v>
      </c>
      <c r="S1421" s="178">
        <f t="shared" si="154"/>
        <v>3</v>
      </c>
      <c r="T1421" s="186">
        <f t="shared" si="155"/>
        <v>4</v>
      </c>
      <c r="U1421" s="179">
        <f t="shared" si="156"/>
        <v>1</v>
      </c>
      <c r="V1421" s="1">
        <f t="shared" si="157"/>
        <v>25</v>
      </c>
      <c r="W1421" s="8">
        <f t="shared" si="152"/>
        <v>6.25</v>
      </c>
      <c r="X1421" s="15">
        <f t="shared" si="153"/>
        <v>7750</v>
      </c>
      <c r="Y1421"/>
      <c r="Z1421"/>
      <c r="AA1421"/>
      <c r="AB1421"/>
      <c r="AC1421"/>
      <c r="AD1421"/>
    </row>
    <row r="1422" spans="2:30">
      <c r="B1422" s="2" t="s">
        <v>270</v>
      </c>
      <c r="C1422" s="2" t="s">
        <v>20</v>
      </c>
      <c r="D1422" s="2" t="s">
        <v>21</v>
      </c>
      <c r="E1422" s="3">
        <v>45388.708333333336</v>
      </c>
      <c r="F1422" s="2" t="s">
        <v>380</v>
      </c>
      <c r="G1422" s="2" t="s">
        <v>590</v>
      </c>
      <c r="H1422" s="2">
        <v>62</v>
      </c>
      <c r="I1422" s="2">
        <v>0</v>
      </c>
      <c r="J1422" s="2">
        <v>20</v>
      </c>
      <c r="K1422" s="2">
        <v>30</v>
      </c>
      <c r="L1422" s="2">
        <v>2.39</v>
      </c>
      <c r="M1422" s="2"/>
      <c r="N1422" s="2" t="s">
        <v>95</v>
      </c>
      <c r="O1422" s="10">
        <v>1</v>
      </c>
      <c r="P1422" s="10">
        <v>0</v>
      </c>
      <c r="Q1422" s="184">
        <v>1</v>
      </c>
      <c r="R1422" s="184">
        <v>0</v>
      </c>
      <c r="S1422" s="178">
        <f t="shared" si="154"/>
        <v>1</v>
      </c>
      <c r="T1422" s="186">
        <f t="shared" si="155"/>
        <v>1</v>
      </c>
      <c r="U1422" s="179">
        <f t="shared" si="156"/>
        <v>0</v>
      </c>
      <c r="V1422" s="1">
        <f t="shared" si="157"/>
        <v>25</v>
      </c>
      <c r="W1422" s="8">
        <f t="shared" si="152"/>
        <v>6.25</v>
      </c>
      <c r="X1422" s="15">
        <f t="shared" si="153"/>
        <v>7756.25</v>
      </c>
      <c r="Y1422"/>
      <c r="Z1422"/>
      <c r="AA1422"/>
      <c r="AB1422"/>
      <c r="AC1422"/>
      <c r="AD1422"/>
    </row>
    <row r="1423" spans="2:30">
      <c r="B1423" s="2" t="s">
        <v>270</v>
      </c>
      <c r="C1423" s="2" t="s">
        <v>296</v>
      </c>
      <c r="D1423" s="2" t="s">
        <v>78</v>
      </c>
      <c r="E1423" s="3">
        <v>45388.708333333336</v>
      </c>
      <c r="F1423" s="2" t="s">
        <v>297</v>
      </c>
      <c r="G1423" s="2" t="s">
        <v>368</v>
      </c>
      <c r="H1423" s="2">
        <v>73</v>
      </c>
      <c r="I1423" s="2">
        <v>0</v>
      </c>
      <c r="J1423" s="2">
        <v>20</v>
      </c>
      <c r="K1423" s="2">
        <v>42</v>
      </c>
      <c r="L1423" s="2">
        <v>2.23</v>
      </c>
      <c r="M1423" s="2"/>
      <c r="N1423" s="2" t="s">
        <v>95</v>
      </c>
      <c r="O1423" s="10">
        <v>0</v>
      </c>
      <c r="P1423" s="10">
        <v>0</v>
      </c>
      <c r="Q1423" s="184">
        <v>2</v>
      </c>
      <c r="R1423" s="184">
        <v>2</v>
      </c>
      <c r="S1423" s="178">
        <f t="shared" si="154"/>
        <v>0</v>
      </c>
      <c r="T1423" s="186">
        <f t="shared" si="155"/>
        <v>4</v>
      </c>
      <c r="U1423" s="179">
        <f t="shared" si="156"/>
        <v>4</v>
      </c>
      <c r="V1423" s="1">
        <f t="shared" si="157"/>
        <v>25</v>
      </c>
      <c r="W1423" s="8">
        <f t="shared" si="152"/>
        <v>6.25</v>
      </c>
      <c r="X1423" s="15">
        <f t="shared" si="153"/>
        <v>7762.5</v>
      </c>
      <c r="Y1423"/>
      <c r="Z1423"/>
      <c r="AA1423"/>
      <c r="AB1423"/>
      <c r="AC1423"/>
      <c r="AD1423"/>
    </row>
    <row r="1424" spans="2:30">
      <c r="B1424" s="2" t="s">
        <v>270</v>
      </c>
      <c r="C1424" s="2" t="s">
        <v>58</v>
      </c>
      <c r="D1424" s="2" t="s">
        <v>59</v>
      </c>
      <c r="E1424" s="3">
        <v>45388.75</v>
      </c>
      <c r="F1424" s="2" t="s">
        <v>112</v>
      </c>
      <c r="G1424" s="2" t="s">
        <v>76</v>
      </c>
      <c r="H1424" s="2">
        <v>62</v>
      </c>
      <c r="I1424" s="2">
        <v>0</v>
      </c>
      <c r="J1424" s="2">
        <v>20</v>
      </c>
      <c r="K1424" s="2">
        <v>27</v>
      </c>
      <c r="L1424" s="2">
        <v>3.08</v>
      </c>
      <c r="M1424" s="2"/>
      <c r="N1424" s="2" t="s">
        <v>95</v>
      </c>
      <c r="O1424" s="10">
        <v>0</v>
      </c>
      <c r="P1424" s="10">
        <v>2</v>
      </c>
      <c r="Q1424" s="184">
        <v>0</v>
      </c>
      <c r="R1424" s="184">
        <v>3</v>
      </c>
      <c r="S1424" s="178">
        <f t="shared" si="154"/>
        <v>2</v>
      </c>
      <c r="T1424" s="186">
        <f t="shared" si="155"/>
        <v>3</v>
      </c>
      <c r="U1424" s="179">
        <f t="shared" si="156"/>
        <v>1</v>
      </c>
      <c r="V1424" s="1">
        <f t="shared" si="157"/>
        <v>25</v>
      </c>
      <c r="W1424" s="8">
        <f t="shared" si="152"/>
        <v>6.25</v>
      </c>
      <c r="X1424" s="15">
        <f t="shared" si="153"/>
        <v>7768.75</v>
      </c>
      <c r="Y1424"/>
      <c r="Z1424"/>
      <c r="AA1424"/>
      <c r="AB1424"/>
      <c r="AC1424"/>
      <c r="AD1424"/>
    </row>
    <row r="1425" spans="2:30">
      <c r="B1425" s="2" t="s">
        <v>270</v>
      </c>
      <c r="C1425" s="2" t="s">
        <v>145</v>
      </c>
      <c r="D1425" s="2" t="s">
        <v>268</v>
      </c>
      <c r="E1425" s="3">
        <v>45388.75</v>
      </c>
      <c r="F1425" s="2" t="s">
        <v>484</v>
      </c>
      <c r="G1425" s="2" t="s">
        <v>686</v>
      </c>
      <c r="H1425" s="2">
        <v>60</v>
      </c>
      <c r="I1425" s="2">
        <v>0</v>
      </c>
      <c r="J1425" s="2">
        <v>20</v>
      </c>
      <c r="K1425" s="2">
        <v>31</v>
      </c>
      <c r="L1425" s="2">
        <v>1.95</v>
      </c>
      <c r="M1425" s="2"/>
      <c r="N1425" s="2" t="s">
        <v>95</v>
      </c>
      <c r="O1425" s="10">
        <v>1</v>
      </c>
      <c r="P1425" s="10">
        <v>1</v>
      </c>
      <c r="Q1425" s="184">
        <v>1</v>
      </c>
      <c r="R1425" s="184">
        <v>1</v>
      </c>
      <c r="S1425" s="178">
        <f t="shared" si="154"/>
        <v>2</v>
      </c>
      <c r="T1425" s="186">
        <f t="shared" si="155"/>
        <v>2</v>
      </c>
      <c r="U1425" s="179">
        <f t="shared" si="156"/>
        <v>0</v>
      </c>
      <c r="V1425" s="1">
        <f t="shared" si="157"/>
        <v>25</v>
      </c>
      <c r="W1425" s="8">
        <f t="shared" si="152"/>
        <v>6.25</v>
      </c>
      <c r="X1425" s="15">
        <f t="shared" si="153"/>
        <v>7775</v>
      </c>
      <c r="Y1425"/>
      <c r="Z1425"/>
      <c r="AA1425"/>
      <c r="AB1425"/>
      <c r="AC1425"/>
      <c r="AD1425"/>
    </row>
    <row r="1426" spans="2:30">
      <c r="B1426" s="2" t="s">
        <v>270</v>
      </c>
      <c r="C1426" s="2" t="s">
        <v>67</v>
      </c>
      <c r="D1426" s="2" t="s">
        <v>169</v>
      </c>
      <c r="E1426" s="3">
        <v>45389.520833333336</v>
      </c>
      <c r="F1426" s="2" t="s">
        <v>170</v>
      </c>
      <c r="G1426" s="2" t="s">
        <v>283</v>
      </c>
      <c r="H1426" s="2">
        <v>66</v>
      </c>
      <c r="I1426" s="2">
        <v>0</v>
      </c>
      <c r="J1426" s="2">
        <v>20</v>
      </c>
      <c r="K1426" s="2">
        <v>31</v>
      </c>
      <c r="L1426" s="2">
        <v>2.0699999999999998</v>
      </c>
      <c r="M1426" s="2"/>
      <c r="N1426" s="2" t="s">
        <v>95</v>
      </c>
      <c r="O1426" s="10">
        <v>0</v>
      </c>
      <c r="P1426" s="10">
        <v>0</v>
      </c>
      <c r="Q1426" s="184">
        <v>1</v>
      </c>
      <c r="R1426" s="184">
        <v>0</v>
      </c>
      <c r="S1426" s="178">
        <f t="shared" si="154"/>
        <v>0</v>
      </c>
      <c r="T1426" s="186">
        <f t="shared" si="155"/>
        <v>1</v>
      </c>
      <c r="U1426" s="179">
        <f t="shared" si="156"/>
        <v>1</v>
      </c>
      <c r="V1426" s="1">
        <f t="shared" si="157"/>
        <v>25</v>
      </c>
      <c r="W1426" s="8">
        <f t="shared" si="152"/>
        <v>6.25</v>
      </c>
      <c r="X1426" s="15">
        <f t="shared" si="153"/>
        <v>7781.25</v>
      </c>
      <c r="Y1426"/>
      <c r="Z1426"/>
      <c r="AA1426"/>
      <c r="AB1426"/>
      <c r="AC1426"/>
      <c r="AD1426"/>
    </row>
    <row r="1427" spans="2:30">
      <c r="B1427" s="2" t="s">
        <v>270</v>
      </c>
      <c r="C1427" s="2" t="s">
        <v>6</v>
      </c>
      <c r="D1427" s="2" t="s">
        <v>62</v>
      </c>
      <c r="E1427" s="3">
        <v>45389.645833333336</v>
      </c>
      <c r="F1427" s="2" t="s">
        <v>383</v>
      </c>
      <c r="G1427" s="2" t="s">
        <v>285</v>
      </c>
      <c r="H1427" s="2">
        <v>63</v>
      </c>
      <c r="I1427" s="2">
        <v>0</v>
      </c>
      <c r="J1427" s="2">
        <v>20</v>
      </c>
      <c r="K1427" s="2">
        <v>34</v>
      </c>
      <c r="L1427" s="2">
        <v>3.27</v>
      </c>
      <c r="M1427" s="2"/>
      <c r="N1427" s="2" t="s">
        <v>95</v>
      </c>
      <c r="O1427" s="10">
        <v>0</v>
      </c>
      <c r="P1427" s="10">
        <v>1</v>
      </c>
      <c r="Q1427" s="184">
        <v>2</v>
      </c>
      <c r="R1427" s="184">
        <v>2</v>
      </c>
      <c r="S1427" s="178">
        <f t="shared" si="154"/>
        <v>1</v>
      </c>
      <c r="T1427" s="186">
        <f t="shared" si="155"/>
        <v>4</v>
      </c>
      <c r="U1427" s="179">
        <f t="shared" si="156"/>
        <v>3</v>
      </c>
      <c r="V1427" s="1">
        <f t="shared" si="157"/>
        <v>25</v>
      </c>
      <c r="W1427" s="8">
        <f t="shared" si="152"/>
        <v>6.25</v>
      </c>
      <c r="X1427" s="15">
        <f t="shared" si="153"/>
        <v>7787.5</v>
      </c>
      <c r="Y1427"/>
      <c r="Z1427"/>
      <c r="AA1427"/>
      <c r="AB1427"/>
      <c r="AC1427"/>
      <c r="AD1427"/>
    </row>
    <row r="1428" spans="2:30">
      <c r="B1428" s="2" t="s">
        <v>270</v>
      </c>
      <c r="C1428" s="2" t="s">
        <v>626</v>
      </c>
      <c r="D1428" s="2" t="s">
        <v>627</v>
      </c>
      <c r="E1428" s="3">
        <v>45389.645833333336</v>
      </c>
      <c r="F1428" s="2" t="s">
        <v>635</v>
      </c>
      <c r="G1428" s="2" t="s">
        <v>628</v>
      </c>
      <c r="H1428" s="2">
        <v>67</v>
      </c>
      <c r="I1428" s="2">
        <v>0</v>
      </c>
      <c r="J1428" s="2">
        <v>20</v>
      </c>
      <c r="K1428" s="2">
        <v>36</v>
      </c>
      <c r="L1428" s="2">
        <v>0</v>
      </c>
      <c r="M1428" s="2"/>
      <c r="N1428" s="2" t="s">
        <v>95</v>
      </c>
      <c r="O1428" s="10">
        <v>1</v>
      </c>
      <c r="P1428" s="10">
        <v>1</v>
      </c>
      <c r="Q1428" s="184">
        <v>2</v>
      </c>
      <c r="R1428" s="184">
        <v>1</v>
      </c>
      <c r="S1428" s="178">
        <f t="shared" si="154"/>
        <v>2</v>
      </c>
      <c r="T1428" s="186">
        <f t="shared" si="155"/>
        <v>3</v>
      </c>
      <c r="U1428" s="179">
        <f t="shared" si="156"/>
        <v>1</v>
      </c>
      <c r="V1428" s="1">
        <f t="shared" si="157"/>
        <v>25</v>
      </c>
      <c r="W1428" s="8">
        <f t="shared" si="152"/>
        <v>6.25</v>
      </c>
      <c r="X1428" s="15">
        <f t="shared" si="153"/>
        <v>7793.75</v>
      </c>
      <c r="Y1428"/>
      <c r="Z1428"/>
      <c r="AA1428"/>
      <c r="AB1428"/>
      <c r="AC1428"/>
      <c r="AD1428"/>
    </row>
    <row r="1429" spans="2:30">
      <c r="B1429" s="2" t="s">
        <v>270</v>
      </c>
      <c r="C1429" s="2" t="s">
        <v>434</v>
      </c>
      <c r="D1429" s="2" t="s">
        <v>435</v>
      </c>
      <c r="E1429" s="3">
        <v>45389.708333333336</v>
      </c>
      <c r="F1429" s="2" t="s">
        <v>464</v>
      </c>
      <c r="G1429" s="2" t="s">
        <v>437</v>
      </c>
      <c r="H1429" s="2">
        <v>63</v>
      </c>
      <c r="I1429" s="2">
        <v>0</v>
      </c>
      <c r="J1429" s="2">
        <v>20</v>
      </c>
      <c r="K1429" s="2">
        <v>36</v>
      </c>
      <c r="L1429" s="2">
        <v>1.97</v>
      </c>
      <c r="M1429" s="2"/>
      <c r="N1429" s="2" t="s">
        <v>95</v>
      </c>
      <c r="O1429" s="10">
        <v>0</v>
      </c>
      <c r="P1429" s="10">
        <v>1</v>
      </c>
      <c r="Q1429" s="184">
        <v>0</v>
      </c>
      <c r="R1429" s="184">
        <v>1</v>
      </c>
      <c r="S1429" s="178">
        <f t="shared" si="154"/>
        <v>1</v>
      </c>
      <c r="T1429" s="186">
        <f t="shared" si="155"/>
        <v>1</v>
      </c>
      <c r="U1429" s="179">
        <f t="shared" si="156"/>
        <v>0</v>
      </c>
      <c r="V1429" s="1">
        <f t="shared" si="157"/>
        <v>25</v>
      </c>
      <c r="W1429" s="8">
        <f t="shared" si="152"/>
        <v>6.25</v>
      </c>
      <c r="X1429" s="15">
        <f t="shared" si="153"/>
        <v>7800</v>
      </c>
      <c r="Y1429"/>
      <c r="Z1429"/>
      <c r="AA1429"/>
      <c r="AB1429"/>
      <c r="AC1429"/>
      <c r="AD1429"/>
    </row>
    <row r="1430" spans="2:30">
      <c r="B1430" s="2" t="s">
        <v>270</v>
      </c>
      <c r="C1430" s="2" t="s">
        <v>133</v>
      </c>
      <c r="D1430" s="2" t="s">
        <v>78</v>
      </c>
      <c r="E1430" s="3">
        <v>45389.729166666664</v>
      </c>
      <c r="F1430" s="2" t="s">
        <v>136</v>
      </c>
      <c r="G1430" s="2" t="s">
        <v>466</v>
      </c>
      <c r="H1430" s="2">
        <v>63</v>
      </c>
      <c r="I1430" s="2">
        <v>0</v>
      </c>
      <c r="J1430" s="2">
        <v>20</v>
      </c>
      <c r="K1430" s="2">
        <v>37</v>
      </c>
      <c r="L1430" s="2">
        <v>2.27</v>
      </c>
      <c r="M1430" s="2"/>
      <c r="N1430" s="2" t="s">
        <v>95</v>
      </c>
      <c r="O1430" s="10">
        <v>0</v>
      </c>
      <c r="P1430" s="10">
        <v>0</v>
      </c>
      <c r="Q1430" s="184">
        <v>0</v>
      </c>
      <c r="R1430" s="184">
        <v>2</v>
      </c>
      <c r="S1430" s="178">
        <f t="shared" si="154"/>
        <v>0</v>
      </c>
      <c r="T1430" s="186">
        <f t="shared" si="155"/>
        <v>2</v>
      </c>
      <c r="U1430" s="179">
        <f t="shared" si="156"/>
        <v>2</v>
      </c>
      <c r="V1430" s="1">
        <f t="shared" si="157"/>
        <v>25</v>
      </c>
      <c r="W1430" s="8">
        <f t="shared" ref="W1430:W1493" si="158">IF(N1430="won",V1430*0.25,-V1430)</f>
        <v>6.25</v>
      </c>
      <c r="X1430" s="15">
        <f t="shared" ref="X1430:X1493" si="159">SUM(X1429,W1430)</f>
        <v>7806.25</v>
      </c>
      <c r="Y1430"/>
      <c r="Z1430"/>
      <c r="AA1430"/>
      <c r="AB1430"/>
      <c r="AC1430"/>
      <c r="AD1430"/>
    </row>
    <row r="1431" spans="2:30">
      <c r="B1431" s="2" t="s">
        <v>270</v>
      </c>
      <c r="C1431" s="2" t="s">
        <v>6</v>
      </c>
      <c r="D1431" s="2" t="s">
        <v>62</v>
      </c>
      <c r="E1431" s="3">
        <v>45389.729166666664</v>
      </c>
      <c r="F1431" s="2" t="s">
        <v>85</v>
      </c>
      <c r="G1431" s="2" t="s">
        <v>65</v>
      </c>
      <c r="H1431" s="2">
        <v>61</v>
      </c>
      <c r="I1431" s="2">
        <v>0</v>
      </c>
      <c r="J1431" s="2">
        <v>20</v>
      </c>
      <c r="K1431" s="2">
        <v>30</v>
      </c>
      <c r="L1431" s="2">
        <v>3.24</v>
      </c>
      <c r="M1431" s="2"/>
      <c r="N1431" s="2" t="s">
        <v>95</v>
      </c>
      <c r="O1431" s="10">
        <v>1</v>
      </c>
      <c r="P1431" s="10">
        <v>1</v>
      </c>
      <c r="Q1431" s="184">
        <v>2</v>
      </c>
      <c r="R1431" s="184">
        <v>2</v>
      </c>
      <c r="S1431" s="178">
        <f t="shared" si="154"/>
        <v>2</v>
      </c>
      <c r="T1431" s="186">
        <f t="shared" si="155"/>
        <v>4</v>
      </c>
      <c r="U1431" s="179">
        <f t="shared" si="156"/>
        <v>2</v>
      </c>
      <c r="V1431" s="1">
        <f t="shared" si="157"/>
        <v>25</v>
      </c>
      <c r="W1431" s="8">
        <f t="shared" si="158"/>
        <v>6.25</v>
      </c>
      <c r="X1431" s="15">
        <f t="shared" si="159"/>
        <v>7812.5</v>
      </c>
      <c r="Y1431"/>
      <c r="Z1431"/>
      <c r="AA1431"/>
      <c r="AB1431"/>
      <c r="AC1431"/>
      <c r="AD1431"/>
    </row>
    <row r="1432" spans="2:30">
      <c r="B1432" s="2" t="s">
        <v>270</v>
      </c>
      <c r="C1432" s="2" t="s">
        <v>133</v>
      </c>
      <c r="D1432" s="2" t="s">
        <v>78</v>
      </c>
      <c r="E1432" s="3">
        <v>45389.770833333336</v>
      </c>
      <c r="F1432" s="2" t="s">
        <v>447</v>
      </c>
      <c r="G1432" s="2" t="s">
        <v>137</v>
      </c>
      <c r="H1432" s="2">
        <v>62</v>
      </c>
      <c r="I1432" s="2">
        <v>0</v>
      </c>
      <c r="J1432" s="2">
        <v>20</v>
      </c>
      <c r="K1432" s="2">
        <v>34</v>
      </c>
      <c r="L1432" s="2">
        <v>2.5099999999999998</v>
      </c>
      <c r="M1432" s="2"/>
      <c r="N1432" s="2" t="s">
        <v>95</v>
      </c>
      <c r="O1432" s="10">
        <v>1</v>
      </c>
      <c r="P1432" s="10">
        <v>0</v>
      </c>
      <c r="Q1432" s="184">
        <v>2</v>
      </c>
      <c r="R1432" s="184">
        <v>2</v>
      </c>
      <c r="S1432" s="178">
        <f t="shared" si="154"/>
        <v>1</v>
      </c>
      <c r="T1432" s="186">
        <f t="shared" si="155"/>
        <v>4</v>
      </c>
      <c r="U1432" s="179">
        <f t="shared" si="156"/>
        <v>3</v>
      </c>
      <c r="V1432" s="1">
        <f t="shared" si="157"/>
        <v>25</v>
      </c>
      <c r="W1432" s="8">
        <f t="shared" si="158"/>
        <v>6.25</v>
      </c>
      <c r="X1432" s="15">
        <f t="shared" si="159"/>
        <v>7818.75</v>
      </c>
      <c r="Y1432"/>
      <c r="Z1432"/>
      <c r="AA1432"/>
      <c r="AB1432"/>
      <c r="AC1432"/>
      <c r="AD1432"/>
    </row>
    <row r="1433" spans="2:30">
      <c r="B1433" s="2" t="s">
        <v>270</v>
      </c>
      <c r="C1433" s="2" t="s">
        <v>48</v>
      </c>
      <c r="D1433" s="2" t="s">
        <v>49</v>
      </c>
      <c r="E1433" s="3">
        <v>45391.625</v>
      </c>
      <c r="F1433" s="2" t="s">
        <v>486</v>
      </c>
      <c r="G1433" s="2" t="s">
        <v>50</v>
      </c>
      <c r="H1433" s="2">
        <v>59</v>
      </c>
      <c r="I1433" s="2">
        <v>0</v>
      </c>
      <c r="J1433" s="2">
        <v>20</v>
      </c>
      <c r="K1433" s="2">
        <v>34</v>
      </c>
      <c r="L1433" s="2">
        <v>1.97</v>
      </c>
      <c r="M1433" s="2"/>
      <c r="N1433" s="2" t="s">
        <v>95</v>
      </c>
      <c r="O1433" s="10">
        <v>0</v>
      </c>
      <c r="P1433" s="10">
        <v>0</v>
      </c>
      <c r="Q1433" s="184">
        <v>2</v>
      </c>
      <c r="R1433" s="184">
        <v>1</v>
      </c>
      <c r="S1433" s="178">
        <f t="shared" si="154"/>
        <v>0</v>
      </c>
      <c r="T1433" s="186">
        <f t="shared" si="155"/>
        <v>3</v>
      </c>
      <c r="U1433" s="179">
        <f t="shared" si="156"/>
        <v>3</v>
      </c>
      <c r="V1433" s="1">
        <f t="shared" si="157"/>
        <v>25</v>
      </c>
      <c r="W1433" s="8">
        <f t="shared" si="158"/>
        <v>6.25</v>
      </c>
      <c r="X1433" s="15">
        <f t="shared" si="159"/>
        <v>7825</v>
      </c>
      <c r="Y1433"/>
      <c r="Z1433"/>
      <c r="AA1433"/>
      <c r="AB1433"/>
      <c r="AC1433"/>
      <c r="AD1433"/>
    </row>
    <row r="1434" spans="2:30">
      <c r="B1434" s="2" t="s">
        <v>270</v>
      </c>
      <c r="C1434" s="2" t="s">
        <v>6</v>
      </c>
      <c r="D1434" s="2" t="s">
        <v>7</v>
      </c>
      <c r="E1434" s="3">
        <v>45391.822916666664</v>
      </c>
      <c r="F1434" s="2" t="s">
        <v>397</v>
      </c>
      <c r="G1434" s="2" t="s">
        <v>420</v>
      </c>
      <c r="H1434" s="2">
        <v>67</v>
      </c>
      <c r="I1434" s="2">
        <v>0</v>
      </c>
      <c r="J1434" s="2">
        <v>20</v>
      </c>
      <c r="K1434" s="2">
        <v>34</v>
      </c>
      <c r="L1434" s="2">
        <v>2.92</v>
      </c>
      <c r="M1434" s="2"/>
      <c r="N1434" s="2" t="s">
        <v>95</v>
      </c>
      <c r="O1434" s="10">
        <v>1</v>
      </c>
      <c r="P1434" s="10">
        <v>1</v>
      </c>
      <c r="Q1434" s="184">
        <v>1</v>
      </c>
      <c r="R1434" s="184">
        <v>3</v>
      </c>
      <c r="S1434" s="178">
        <f t="shared" si="154"/>
        <v>2</v>
      </c>
      <c r="T1434" s="186">
        <f t="shared" si="155"/>
        <v>4</v>
      </c>
      <c r="U1434" s="179">
        <f t="shared" si="156"/>
        <v>2</v>
      </c>
      <c r="V1434" s="1">
        <f t="shared" si="157"/>
        <v>25</v>
      </c>
      <c r="W1434" s="8">
        <f t="shared" si="158"/>
        <v>6.25</v>
      </c>
      <c r="X1434" s="15">
        <f t="shared" si="159"/>
        <v>7831.25</v>
      </c>
      <c r="Y1434"/>
      <c r="Z1434"/>
      <c r="AA1434"/>
      <c r="AB1434"/>
      <c r="AC1434"/>
      <c r="AD1434"/>
    </row>
    <row r="1435" spans="2:30">
      <c r="B1435" s="2" t="s">
        <v>270</v>
      </c>
      <c r="C1435" s="2" t="s">
        <v>6</v>
      </c>
      <c r="D1435" s="2" t="s">
        <v>14</v>
      </c>
      <c r="E1435" s="3">
        <v>45391.822916666664</v>
      </c>
      <c r="F1435" s="2" t="s">
        <v>56</v>
      </c>
      <c r="G1435" s="2" t="s">
        <v>376</v>
      </c>
      <c r="H1435" s="2">
        <v>64</v>
      </c>
      <c r="I1435" s="2">
        <v>0</v>
      </c>
      <c r="J1435" s="2">
        <v>20</v>
      </c>
      <c r="K1435" s="2">
        <v>30</v>
      </c>
      <c r="L1435" s="2">
        <v>2.8</v>
      </c>
      <c r="M1435" s="2"/>
      <c r="N1435" s="2" t="s">
        <v>95</v>
      </c>
      <c r="O1435" s="9">
        <v>2</v>
      </c>
      <c r="P1435" s="10">
        <v>0</v>
      </c>
      <c r="Q1435" s="184">
        <v>2</v>
      </c>
      <c r="R1435" s="184">
        <v>1</v>
      </c>
      <c r="S1435" s="178">
        <f t="shared" si="154"/>
        <v>2</v>
      </c>
      <c r="T1435" s="186">
        <f t="shared" si="155"/>
        <v>3</v>
      </c>
      <c r="U1435" s="179">
        <f t="shared" si="156"/>
        <v>1</v>
      </c>
      <c r="V1435" s="1">
        <f t="shared" si="157"/>
        <v>25</v>
      </c>
      <c r="W1435" s="8">
        <f t="shared" si="158"/>
        <v>6.25</v>
      </c>
      <c r="X1435" s="15">
        <f t="shared" si="159"/>
        <v>7837.5</v>
      </c>
      <c r="Y1435"/>
      <c r="Z1435"/>
      <c r="AA1435"/>
      <c r="AB1435"/>
      <c r="AC1435"/>
      <c r="AD1435"/>
    </row>
    <row r="1436" spans="2:30">
      <c r="B1436" s="2" t="s">
        <v>270</v>
      </c>
      <c r="C1436" s="2" t="s">
        <v>77</v>
      </c>
      <c r="D1436" s="2" t="s">
        <v>234</v>
      </c>
      <c r="E1436" s="3">
        <v>45394.729166666664</v>
      </c>
      <c r="F1436" s="2" t="s">
        <v>633</v>
      </c>
      <c r="G1436" s="2" t="s">
        <v>631</v>
      </c>
      <c r="H1436" s="2">
        <v>61</v>
      </c>
      <c r="I1436" s="2">
        <v>0</v>
      </c>
      <c r="J1436" s="2">
        <v>20</v>
      </c>
      <c r="K1436" s="2">
        <v>33</v>
      </c>
      <c r="L1436" s="2">
        <v>3.13</v>
      </c>
      <c r="M1436" s="2"/>
      <c r="N1436" s="2" t="s">
        <v>95</v>
      </c>
      <c r="O1436" s="9">
        <v>0</v>
      </c>
      <c r="P1436" s="10">
        <v>1</v>
      </c>
      <c r="Q1436" s="184">
        <v>2</v>
      </c>
      <c r="R1436" s="184">
        <v>1</v>
      </c>
      <c r="S1436" s="178">
        <f t="shared" si="154"/>
        <v>1</v>
      </c>
      <c r="T1436" s="186">
        <f t="shared" si="155"/>
        <v>3</v>
      </c>
      <c r="U1436" s="179">
        <f t="shared" si="156"/>
        <v>2</v>
      </c>
      <c r="V1436" s="1">
        <f t="shared" si="157"/>
        <v>25</v>
      </c>
      <c r="W1436" s="8">
        <f t="shared" si="158"/>
        <v>6.25</v>
      </c>
      <c r="X1436" s="15">
        <f t="shared" si="159"/>
        <v>7843.75</v>
      </c>
      <c r="Y1436"/>
      <c r="Z1436"/>
      <c r="AA1436"/>
      <c r="AB1436"/>
      <c r="AC1436"/>
      <c r="AD1436"/>
    </row>
    <row r="1437" spans="2:30">
      <c r="B1437" s="2" t="s">
        <v>270</v>
      </c>
      <c r="C1437" s="2" t="s">
        <v>77</v>
      </c>
      <c r="D1437" s="2" t="s">
        <v>251</v>
      </c>
      <c r="E1437" s="3">
        <v>45394.75</v>
      </c>
      <c r="F1437" s="2" t="s">
        <v>707</v>
      </c>
      <c r="G1437" s="2" t="s">
        <v>259</v>
      </c>
      <c r="H1437" s="2">
        <v>65</v>
      </c>
      <c r="I1437" s="2">
        <v>0</v>
      </c>
      <c r="J1437" s="2">
        <v>20</v>
      </c>
      <c r="K1437" s="2">
        <v>35</v>
      </c>
      <c r="L1437" s="2">
        <v>0</v>
      </c>
      <c r="M1437" s="2"/>
      <c r="N1437" s="2" t="s">
        <v>95</v>
      </c>
      <c r="O1437" s="9">
        <v>1</v>
      </c>
      <c r="P1437" s="10">
        <v>0</v>
      </c>
      <c r="Q1437" s="184">
        <v>1</v>
      </c>
      <c r="R1437" s="184">
        <v>1</v>
      </c>
      <c r="S1437" s="178">
        <f t="shared" si="154"/>
        <v>1</v>
      </c>
      <c r="T1437" s="186">
        <f t="shared" si="155"/>
        <v>2</v>
      </c>
      <c r="U1437" s="179">
        <f t="shared" si="156"/>
        <v>1</v>
      </c>
      <c r="V1437" s="1">
        <f t="shared" si="157"/>
        <v>25</v>
      </c>
      <c r="W1437" s="8">
        <f t="shared" si="158"/>
        <v>6.25</v>
      </c>
      <c r="X1437" s="15">
        <f t="shared" si="159"/>
        <v>7850</v>
      </c>
      <c r="Y1437"/>
      <c r="Z1437"/>
      <c r="AA1437"/>
      <c r="AB1437"/>
      <c r="AC1437"/>
      <c r="AD1437"/>
    </row>
    <row r="1438" spans="2:30">
      <c r="B1438" s="2" t="s">
        <v>270</v>
      </c>
      <c r="C1438" s="2" t="s">
        <v>149</v>
      </c>
      <c r="D1438" s="2" t="s">
        <v>150</v>
      </c>
      <c r="E1438" s="3">
        <v>45394.791666666664</v>
      </c>
      <c r="F1438" s="2" t="s">
        <v>329</v>
      </c>
      <c r="G1438" s="2" t="s">
        <v>152</v>
      </c>
      <c r="H1438" s="2">
        <v>59</v>
      </c>
      <c r="I1438" s="2">
        <v>0</v>
      </c>
      <c r="J1438" s="2">
        <v>20</v>
      </c>
      <c r="K1438" s="2">
        <v>33</v>
      </c>
      <c r="L1438" s="2">
        <v>2.36</v>
      </c>
      <c r="M1438" s="2"/>
      <c r="N1438" s="2" t="s">
        <v>95</v>
      </c>
      <c r="O1438" s="9">
        <v>1</v>
      </c>
      <c r="P1438" s="10">
        <v>0</v>
      </c>
      <c r="Q1438" s="184">
        <v>1</v>
      </c>
      <c r="R1438" s="184">
        <v>3</v>
      </c>
      <c r="S1438" s="178">
        <f t="shared" si="154"/>
        <v>1</v>
      </c>
      <c r="T1438" s="186">
        <f t="shared" si="155"/>
        <v>4</v>
      </c>
      <c r="U1438" s="179">
        <f t="shared" si="156"/>
        <v>3</v>
      </c>
      <c r="V1438" s="1">
        <f t="shared" si="157"/>
        <v>25</v>
      </c>
      <c r="W1438" s="8">
        <f t="shared" si="158"/>
        <v>6.25</v>
      </c>
      <c r="X1438" s="15">
        <f t="shared" si="159"/>
        <v>7856.25</v>
      </c>
      <c r="Y1438"/>
      <c r="Z1438"/>
      <c r="AA1438"/>
      <c r="AB1438"/>
      <c r="AC1438"/>
      <c r="AD1438"/>
    </row>
    <row r="1439" spans="2:30">
      <c r="B1439" s="2" t="s">
        <v>270</v>
      </c>
      <c r="C1439" s="2" t="s">
        <v>6</v>
      </c>
      <c r="D1439" s="2" t="s">
        <v>14</v>
      </c>
      <c r="E1439" s="3">
        <v>45394.833333333336</v>
      </c>
      <c r="F1439" s="2" t="s">
        <v>57</v>
      </c>
      <c r="G1439" s="2" t="s">
        <v>290</v>
      </c>
      <c r="H1439" s="2">
        <v>62</v>
      </c>
      <c r="I1439" s="2">
        <v>0</v>
      </c>
      <c r="J1439" s="2">
        <v>20</v>
      </c>
      <c r="K1439" s="2">
        <v>35</v>
      </c>
      <c r="L1439" s="2">
        <v>2.34</v>
      </c>
      <c r="M1439" s="2"/>
      <c r="N1439" s="2" t="s">
        <v>95</v>
      </c>
      <c r="O1439" s="10">
        <v>1</v>
      </c>
      <c r="P1439" s="10">
        <v>0</v>
      </c>
      <c r="Q1439" s="184">
        <v>1</v>
      </c>
      <c r="R1439" s="184">
        <v>0</v>
      </c>
      <c r="S1439" s="178">
        <f t="shared" si="154"/>
        <v>1</v>
      </c>
      <c r="T1439" s="186">
        <f t="shared" si="155"/>
        <v>1</v>
      </c>
      <c r="U1439" s="179">
        <f t="shared" si="156"/>
        <v>0</v>
      </c>
      <c r="V1439" s="1">
        <f t="shared" si="157"/>
        <v>25</v>
      </c>
      <c r="W1439" s="8">
        <f t="shared" si="158"/>
        <v>6.25</v>
      </c>
      <c r="X1439" s="15">
        <f t="shared" si="159"/>
        <v>7862.5</v>
      </c>
      <c r="Y1439"/>
      <c r="Z1439"/>
      <c r="AA1439"/>
      <c r="AB1439"/>
      <c r="AC1439"/>
      <c r="AD1439"/>
    </row>
    <row r="1440" spans="2:30">
      <c r="B1440" s="2" t="s">
        <v>270</v>
      </c>
      <c r="C1440" s="2" t="s">
        <v>77</v>
      </c>
      <c r="D1440" s="2" t="s">
        <v>234</v>
      </c>
      <c r="E1440" s="3">
        <v>45395.5</v>
      </c>
      <c r="F1440" s="2" t="s">
        <v>407</v>
      </c>
      <c r="G1440" s="2" t="s">
        <v>632</v>
      </c>
      <c r="H1440" s="2">
        <v>61</v>
      </c>
      <c r="I1440" s="2">
        <v>0</v>
      </c>
      <c r="J1440" s="2">
        <v>20</v>
      </c>
      <c r="K1440" s="2">
        <v>35</v>
      </c>
      <c r="L1440" s="2">
        <v>3.17</v>
      </c>
      <c r="M1440" s="2"/>
      <c r="N1440" s="2" t="s">
        <v>95</v>
      </c>
      <c r="O1440" s="10">
        <v>0</v>
      </c>
      <c r="P1440" s="10">
        <v>1</v>
      </c>
      <c r="Q1440" s="184">
        <v>0</v>
      </c>
      <c r="R1440" s="184">
        <v>2</v>
      </c>
      <c r="S1440" s="178">
        <f t="shared" si="154"/>
        <v>1</v>
      </c>
      <c r="T1440" s="186">
        <f t="shared" si="155"/>
        <v>2</v>
      </c>
      <c r="U1440" s="179">
        <f t="shared" si="156"/>
        <v>1</v>
      </c>
      <c r="V1440" s="1">
        <f t="shared" si="157"/>
        <v>25</v>
      </c>
      <c r="W1440" s="8">
        <f t="shared" si="158"/>
        <v>6.25</v>
      </c>
      <c r="X1440" s="15">
        <f t="shared" si="159"/>
        <v>7868.75</v>
      </c>
      <c r="Y1440"/>
      <c r="Z1440"/>
      <c r="AA1440"/>
      <c r="AB1440"/>
      <c r="AC1440"/>
      <c r="AD1440"/>
    </row>
    <row r="1441" spans="2:30">
      <c r="B1441" s="2" t="s">
        <v>270</v>
      </c>
      <c r="C1441" s="2" t="s">
        <v>20</v>
      </c>
      <c r="D1441" s="2" t="s">
        <v>322</v>
      </c>
      <c r="E1441" s="3">
        <v>45395.541666666664</v>
      </c>
      <c r="F1441" s="2" t="s">
        <v>454</v>
      </c>
      <c r="G1441" s="2" t="s">
        <v>341</v>
      </c>
      <c r="H1441" s="2">
        <v>59</v>
      </c>
      <c r="I1441" s="2">
        <v>0</v>
      </c>
      <c r="J1441" s="2">
        <v>20</v>
      </c>
      <c r="K1441" s="2">
        <v>41</v>
      </c>
      <c r="L1441" s="2">
        <v>2.4300000000000002</v>
      </c>
      <c r="M1441" s="2"/>
      <c r="N1441" s="2" t="s">
        <v>95</v>
      </c>
      <c r="O1441" s="10">
        <v>1</v>
      </c>
      <c r="P1441" s="10">
        <v>1</v>
      </c>
      <c r="Q1441" s="184">
        <v>1</v>
      </c>
      <c r="R1441" s="184">
        <v>2</v>
      </c>
      <c r="S1441" s="178">
        <f t="shared" si="154"/>
        <v>2</v>
      </c>
      <c r="T1441" s="186">
        <f t="shared" si="155"/>
        <v>3</v>
      </c>
      <c r="U1441" s="179">
        <f t="shared" si="156"/>
        <v>1</v>
      </c>
      <c r="V1441" s="1">
        <f t="shared" si="157"/>
        <v>25</v>
      </c>
      <c r="W1441" s="8">
        <f t="shared" si="158"/>
        <v>6.25</v>
      </c>
      <c r="X1441" s="15">
        <f t="shared" si="159"/>
        <v>7875</v>
      </c>
      <c r="Y1441"/>
      <c r="Z1441"/>
      <c r="AA1441"/>
      <c r="AB1441"/>
      <c r="AC1441"/>
      <c r="AD1441"/>
    </row>
    <row r="1442" spans="2:30">
      <c r="B1442" s="2" t="s">
        <v>270</v>
      </c>
      <c r="C1442" s="2" t="s">
        <v>77</v>
      </c>
      <c r="D1442" s="2" t="s">
        <v>156</v>
      </c>
      <c r="E1442" s="3">
        <v>45395.604166666664</v>
      </c>
      <c r="F1442" s="2" t="s">
        <v>160</v>
      </c>
      <c r="G1442" s="2" t="s">
        <v>158</v>
      </c>
      <c r="H1442" s="2">
        <v>59</v>
      </c>
      <c r="I1442" s="2">
        <v>0</v>
      </c>
      <c r="J1442" s="2">
        <v>20</v>
      </c>
      <c r="K1442" s="2">
        <v>26</v>
      </c>
      <c r="L1442" s="2">
        <v>3.36</v>
      </c>
      <c r="M1442" s="2"/>
      <c r="N1442" s="2" t="s">
        <v>95</v>
      </c>
      <c r="O1442" s="10">
        <v>0</v>
      </c>
      <c r="P1442" s="10">
        <v>1</v>
      </c>
      <c r="Q1442" s="184">
        <v>4</v>
      </c>
      <c r="R1442" s="184">
        <v>1</v>
      </c>
      <c r="S1442" s="178">
        <f t="shared" si="154"/>
        <v>1</v>
      </c>
      <c r="T1442" s="186">
        <f t="shared" si="155"/>
        <v>5</v>
      </c>
      <c r="U1442" s="179">
        <f t="shared" si="156"/>
        <v>4</v>
      </c>
      <c r="V1442" s="1">
        <f t="shared" si="157"/>
        <v>25</v>
      </c>
      <c r="W1442" s="8">
        <f t="shared" si="158"/>
        <v>6.25</v>
      </c>
      <c r="X1442" s="15">
        <f t="shared" si="159"/>
        <v>7881.25</v>
      </c>
      <c r="Y1442"/>
      <c r="Z1442"/>
      <c r="AA1442"/>
      <c r="AB1442"/>
      <c r="AC1442"/>
      <c r="AD1442"/>
    </row>
    <row r="1443" spans="2:30">
      <c r="B1443" s="2" t="s">
        <v>270</v>
      </c>
      <c r="C1443" s="2" t="s">
        <v>77</v>
      </c>
      <c r="D1443" s="2" t="s">
        <v>156</v>
      </c>
      <c r="E1443" s="3">
        <v>45395.604166666664</v>
      </c>
      <c r="F1443" s="2" t="s">
        <v>157</v>
      </c>
      <c r="G1443" s="2" t="s">
        <v>438</v>
      </c>
      <c r="H1443" s="2">
        <v>67</v>
      </c>
      <c r="I1443" s="2">
        <v>0</v>
      </c>
      <c r="J1443" s="2">
        <v>20</v>
      </c>
      <c r="K1443" s="2">
        <v>36</v>
      </c>
      <c r="L1443" s="2">
        <v>3.57</v>
      </c>
      <c r="M1443" s="2"/>
      <c r="N1443" s="2" t="s">
        <v>95</v>
      </c>
      <c r="O1443" s="10">
        <v>0</v>
      </c>
      <c r="P1443" s="10">
        <v>0</v>
      </c>
      <c r="Q1443" s="184">
        <v>2</v>
      </c>
      <c r="R1443" s="184">
        <v>0</v>
      </c>
      <c r="S1443" s="178">
        <f t="shared" si="154"/>
        <v>0</v>
      </c>
      <c r="T1443" s="186">
        <f t="shared" si="155"/>
        <v>2</v>
      </c>
      <c r="U1443" s="179">
        <f t="shared" si="156"/>
        <v>2</v>
      </c>
      <c r="V1443" s="1">
        <f t="shared" si="157"/>
        <v>25</v>
      </c>
      <c r="W1443" s="8">
        <f t="shared" si="158"/>
        <v>6.25</v>
      </c>
      <c r="X1443" s="15">
        <f t="shared" si="159"/>
        <v>7887.5</v>
      </c>
      <c r="Y1443"/>
      <c r="Z1443"/>
      <c r="AA1443"/>
      <c r="AB1443"/>
      <c r="AC1443"/>
      <c r="AD1443"/>
    </row>
    <row r="1444" spans="2:30">
      <c r="B1444" s="2" t="s">
        <v>270</v>
      </c>
      <c r="C1444" s="2" t="s">
        <v>6</v>
      </c>
      <c r="D1444" s="2" t="s">
        <v>11</v>
      </c>
      <c r="E1444" s="3">
        <v>45395.625</v>
      </c>
      <c r="F1444" s="2" t="s">
        <v>585</v>
      </c>
      <c r="G1444" s="2" t="s">
        <v>198</v>
      </c>
      <c r="H1444" s="2">
        <v>62</v>
      </c>
      <c r="I1444" s="2">
        <v>0</v>
      </c>
      <c r="J1444" s="2">
        <v>20</v>
      </c>
      <c r="K1444" s="2">
        <v>34</v>
      </c>
      <c r="L1444" s="2">
        <v>2.0499999999999998</v>
      </c>
      <c r="M1444" s="2"/>
      <c r="N1444" s="2" t="s">
        <v>95</v>
      </c>
      <c r="O1444" s="10">
        <v>0</v>
      </c>
      <c r="P1444" s="10">
        <v>1</v>
      </c>
      <c r="Q1444" s="184">
        <v>0</v>
      </c>
      <c r="R1444" s="184">
        <v>1</v>
      </c>
      <c r="S1444" s="178">
        <f t="shared" si="154"/>
        <v>1</v>
      </c>
      <c r="T1444" s="186">
        <f t="shared" si="155"/>
        <v>1</v>
      </c>
      <c r="U1444" s="179">
        <f t="shared" si="156"/>
        <v>0</v>
      </c>
      <c r="V1444" s="1">
        <f t="shared" si="157"/>
        <v>25</v>
      </c>
      <c r="W1444" s="8">
        <f t="shared" si="158"/>
        <v>6.25</v>
      </c>
      <c r="X1444" s="15">
        <f t="shared" si="159"/>
        <v>7893.75</v>
      </c>
      <c r="Y1444"/>
      <c r="Z1444"/>
      <c r="AA1444"/>
      <c r="AB1444"/>
      <c r="AC1444"/>
      <c r="AD1444"/>
    </row>
    <row r="1445" spans="2:30">
      <c r="B1445" s="2" t="s">
        <v>270</v>
      </c>
      <c r="C1445" s="2" t="s">
        <v>6</v>
      </c>
      <c r="D1445" s="2" t="s">
        <v>11</v>
      </c>
      <c r="E1445" s="3">
        <v>45395.625</v>
      </c>
      <c r="F1445" s="2" t="s">
        <v>231</v>
      </c>
      <c r="G1445" s="2" t="s">
        <v>715</v>
      </c>
      <c r="H1445" s="2">
        <v>63</v>
      </c>
      <c r="I1445" s="2">
        <v>0</v>
      </c>
      <c r="J1445" s="2">
        <v>20</v>
      </c>
      <c r="K1445" s="2">
        <v>41</v>
      </c>
      <c r="L1445" s="2">
        <v>1.83</v>
      </c>
      <c r="M1445" s="2"/>
      <c r="N1445" s="2" t="s">
        <v>95</v>
      </c>
      <c r="O1445" s="10">
        <v>2</v>
      </c>
      <c r="P1445" s="10">
        <v>0</v>
      </c>
      <c r="Q1445" s="184">
        <v>3</v>
      </c>
      <c r="R1445" s="184">
        <v>0</v>
      </c>
      <c r="S1445" s="178">
        <f t="shared" si="154"/>
        <v>2</v>
      </c>
      <c r="T1445" s="186">
        <f t="shared" si="155"/>
        <v>3</v>
      </c>
      <c r="U1445" s="179">
        <f t="shared" si="156"/>
        <v>1</v>
      </c>
      <c r="V1445" s="1">
        <f t="shared" si="157"/>
        <v>25</v>
      </c>
      <c r="W1445" s="8">
        <f t="shared" si="158"/>
        <v>6.25</v>
      </c>
      <c r="X1445" s="15">
        <f t="shared" si="159"/>
        <v>7900</v>
      </c>
      <c r="Y1445"/>
      <c r="Z1445"/>
      <c r="AA1445"/>
      <c r="AB1445"/>
      <c r="AC1445"/>
      <c r="AD1445"/>
    </row>
    <row r="1446" spans="2:30">
      <c r="B1446" s="2" t="s">
        <v>270</v>
      </c>
      <c r="C1446" s="2" t="s">
        <v>6</v>
      </c>
      <c r="D1446" s="2" t="s">
        <v>7</v>
      </c>
      <c r="E1446" s="3">
        <v>45395.625</v>
      </c>
      <c r="F1446" s="2" t="s">
        <v>378</v>
      </c>
      <c r="G1446" s="2" t="s">
        <v>84</v>
      </c>
      <c r="H1446" s="2">
        <v>64</v>
      </c>
      <c r="I1446" s="2">
        <v>0</v>
      </c>
      <c r="J1446" s="2">
        <v>20</v>
      </c>
      <c r="K1446" s="2">
        <v>42</v>
      </c>
      <c r="L1446" s="2">
        <v>2.5</v>
      </c>
      <c r="M1446" s="2"/>
      <c r="N1446" s="2" t="s">
        <v>95</v>
      </c>
      <c r="O1446" s="10">
        <v>0</v>
      </c>
      <c r="P1446" s="10">
        <v>1</v>
      </c>
      <c r="Q1446" s="184">
        <v>2</v>
      </c>
      <c r="R1446" s="184">
        <v>2</v>
      </c>
      <c r="S1446" s="178">
        <f t="shared" si="154"/>
        <v>1</v>
      </c>
      <c r="T1446" s="186">
        <f t="shared" si="155"/>
        <v>4</v>
      </c>
      <c r="U1446" s="179">
        <f t="shared" si="156"/>
        <v>3</v>
      </c>
      <c r="V1446" s="1">
        <f t="shared" si="157"/>
        <v>25</v>
      </c>
      <c r="W1446" s="8">
        <f t="shared" si="158"/>
        <v>6.25</v>
      </c>
      <c r="X1446" s="15">
        <f t="shared" si="159"/>
        <v>7906.25</v>
      </c>
      <c r="Y1446"/>
      <c r="Z1446"/>
      <c r="AA1446"/>
      <c r="AB1446"/>
      <c r="AC1446"/>
      <c r="AD1446"/>
    </row>
    <row r="1447" spans="2:30">
      <c r="B1447" s="2" t="s">
        <v>270</v>
      </c>
      <c r="C1447" s="2" t="s">
        <v>6</v>
      </c>
      <c r="D1447" s="2" t="s">
        <v>7</v>
      </c>
      <c r="E1447" s="3">
        <v>45395.625</v>
      </c>
      <c r="F1447" s="2" t="s">
        <v>397</v>
      </c>
      <c r="G1447" s="2" t="s">
        <v>240</v>
      </c>
      <c r="H1447" s="2">
        <v>61</v>
      </c>
      <c r="I1447" s="2">
        <v>0</v>
      </c>
      <c r="J1447" s="2">
        <v>20</v>
      </c>
      <c r="K1447" s="2">
        <v>31</v>
      </c>
      <c r="L1447" s="2">
        <v>2.4</v>
      </c>
      <c r="M1447" s="2"/>
      <c r="N1447" s="2" t="s">
        <v>95</v>
      </c>
      <c r="O1447" s="10">
        <v>1</v>
      </c>
      <c r="P1447" s="10">
        <v>2</v>
      </c>
      <c r="Q1447" s="184">
        <v>1</v>
      </c>
      <c r="R1447" s="184">
        <v>2</v>
      </c>
      <c r="S1447" s="178">
        <f t="shared" si="154"/>
        <v>3</v>
      </c>
      <c r="T1447" s="186">
        <f t="shared" si="155"/>
        <v>3</v>
      </c>
      <c r="U1447" s="179">
        <f t="shared" si="156"/>
        <v>0</v>
      </c>
      <c r="V1447" s="1">
        <f t="shared" si="157"/>
        <v>25</v>
      </c>
      <c r="W1447" s="8">
        <f t="shared" si="158"/>
        <v>6.25</v>
      </c>
      <c r="X1447" s="15">
        <f t="shared" si="159"/>
        <v>7912.5</v>
      </c>
      <c r="Y1447"/>
      <c r="Z1447"/>
      <c r="AA1447"/>
      <c r="AB1447"/>
      <c r="AC1447"/>
      <c r="AD1447"/>
    </row>
    <row r="1448" spans="2:30">
      <c r="B1448" s="2" t="s">
        <v>270</v>
      </c>
      <c r="C1448" s="2" t="s">
        <v>58</v>
      </c>
      <c r="D1448" s="2" t="s">
        <v>289</v>
      </c>
      <c r="E1448" s="3">
        <v>45395.645833333336</v>
      </c>
      <c r="F1448" s="2" t="s">
        <v>716</v>
      </c>
      <c r="G1448" s="2" t="s">
        <v>452</v>
      </c>
      <c r="H1448" s="2">
        <v>60</v>
      </c>
      <c r="I1448" s="2">
        <v>0</v>
      </c>
      <c r="J1448" s="2">
        <v>20</v>
      </c>
      <c r="K1448" s="2">
        <v>34</v>
      </c>
      <c r="L1448" s="2">
        <v>0</v>
      </c>
      <c r="M1448" s="2"/>
      <c r="N1448" s="2" t="s">
        <v>95</v>
      </c>
      <c r="O1448" s="10">
        <v>0</v>
      </c>
      <c r="P1448" s="10">
        <v>0</v>
      </c>
      <c r="Q1448" s="184">
        <v>0</v>
      </c>
      <c r="R1448" s="184">
        <v>1</v>
      </c>
      <c r="S1448" s="178">
        <f t="shared" si="154"/>
        <v>0</v>
      </c>
      <c r="T1448" s="186">
        <f t="shared" si="155"/>
        <v>1</v>
      </c>
      <c r="U1448" s="179">
        <f t="shared" si="156"/>
        <v>1</v>
      </c>
      <c r="V1448" s="1">
        <f t="shared" si="157"/>
        <v>25</v>
      </c>
      <c r="W1448" s="8">
        <f t="shared" si="158"/>
        <v>6.25</v>
      </c>
      <c r="X1448" s="15">
        <f t="shared" si="159"/>
        <v>7918.75</v>
      </c>
      <c r="Y1448"/>
      <c r="Z1448"/>
      <c r="AA1448"/>
      <c r="AB1448"/>
      <c r="AC1448"/>
      <c r="AD1448"/>
    </row>
    <row r="1449" spans="2:30">
      <c r="B1449" s="2" t="s">
        <v>270</v>
      </c>
      <c r="C1449" s="2" t="s">
        <v>296</v>
      </c>
      <c r="D1449" s="2" t="s">
        <v>78</v>
      </c>
      <c r="E1449" s="3">
        <v>45395.708333333336</v>
      </c>
      <c r="F1449" s="2" t="s">
        <v>391</v>
      </c>
      <c r="G1449" s="2" t="s">
        <v>368</v>
      </c>
      <c r="H1449" s="2">
        <v>67</v>
      </c>
      <c r="I1449" s="2">
        <v>0</v>
      </c>
      <c r="J1449" s="2">
        <v>20</v>
      </c>
      <c r="K1449" s="2">
        <v>40</v>
      </c>
      <c r="L1449" s="2">
        <v>2.2999999999999998</v>
      </c>
      <c r="M1449" s="2"/>
      <c r="N1449" s="2" t="s">
        <v>95</v>
      </c>
      <c r="O1449" s="10">
        <v>0</v>
      </c>
      <c r="P1449" s="10">
        <v>1</v>
      </c>
      <c r="Q1449" s="184">
        <v>0</v>
      </c>
      <c r="R1449" s="184">
        <v>1</v>
      </c>
      <c r="S1449" s="178">
        <f t="shared" si="154"/>
        <v>1</v>
      </c>
      <c r="T1449" s="186">
        <f t="shared" si="155"/>
        <v>1</v>
      </c>
      <c r="U1449" s="179">
        <f t="shared" si="156"/>
        <v>0</v>
      </c>
      <c r="V1449" s="1">
        <f t="shared" si="157"/>
        <v>25</v>
      </c>
      <c r="W1449" s="8">
        <f t="shared" si="158"/>
        <v>6.25</v>
      </c>
      <c r="X1449" s="15">
        <f t="shared" si="159"/>
        <v>7925</v>
      </c>
      <c r="Y1449"/>
      <c r="Z1449"/>
      <c r="AA1449"/>
      <c r="AB1449"/>
      <c r="AC1449"/>
      <c r="AD1449"/>
    </row>
    <row r="1450" spans="2:30">
      <c r="B1450" s="2" t="s">
        <v>270</v>
      </c>
      <c r="C1450" s="2" t="s">
        <v>145</v>
      </c>
      <c r="D1450" s="2" t="s">
        <v>190</v>
      </c>
      <c r="E1450" s="3">
        <v>45395.833333333336</v>
      </c>
      <c r="F1450" s="2" t="s">
        <v>339</v>
      </c>
      <c r="G1450" s="2" t="s">
        <v>570</v>
      </c>
      <c r="H1450" s="2">
        <v>62</v>
      </c>
      <c r="I1450" s="2">
        <v>0</v>
      </c>
      <c r="J1450" s="2">
        <v>20</v>
      </c>
      <c r="K1450" s="2">
        <v>30</v>
      </c>
      <c r="L1450" s="2">
        <v>2.6</v>
      </c>
      <c r="M1450" s="2"/>
      <c r="N1450" s="2" t="s">
        <v>95</v>
      </c>
      <c r="O1450" s="10">
        <v>1</v>
      </c>
      <c r="P1450" s="10">
        <v>2</v>
      </c>
      <c r="Q1450" s="184">
        <v>1</v>
      </c>
      <c r="R1450" s="184">
        <v>2</v>
      </c>
      <c r="S1450" s="178">
        <f t="shared" si="154"/>
        <v>3</v>
      </c>
      <c r="T1450" s="186">
        <f t="shared" si="155"/>
        <v>3</v>
      </c>
      <c r="U1450" s="179">
        <f t="shared" si="156"/>
        <v>0</v>
      </c>
      <c r="V1450" s="1">
        <f t="shared" si="157"/>
        <v>25</v>
      </c>
      <c r="W1450" s="8">
        <f t="shared" si="158"/>
        <v>6.25</v>
      </c>
      <c r="X1450" s="15">
        <f t="shared" si="159"/>
        <v>7931.25</v>
      </c>
      <c r="Y1450"/>
      <c r="Z1450"/>
      <c r="AA1450"/>
      <c r="AB1450"/>
      <c r="AC1450"/>
      <c r="AD1450"/>
    </row>
    <row r="1451" spans="2:30">
      <c r="B1451" s="2" t="s">
        <v>270</v>
      </c>
      <c r="C1451" s="2" t="s">
        <v>77</v>
      </c>
      <c r="D1451" s="2" t="s">
        <v>234</v>
      </c>
      <c r="E1451" s="3">
        <v>45396.520833333336</v>
      </c>
      <c r="F1451" s="2" t="s">
        <v>413</v>
      </c>
      <c r="G1451" s="2" t="s">
        <v>247</v>
      </c>
      <c r="H1451" s="2">
        <v>63</v>
      </c>
      <c r="I1451" s="2">
        <v>0</v>
      </c>
      <c r="J1451" s="2">
        <v>20</v>
      </c>
      <c r="K1451" s="2">
        <v>37</v>
      </c>
      <c r="L1451" s="2">
        <v>3.05</v>
      </c>
      <c r="M1451" s="2"/>
      <c r="N1451" s="2" t="s">
        <v>95</v>
      </c>
      <c r="O1451" s="10">
        <v>2</v>
      </c>
      <c r="P1451" s="10">
        <v>0</v>
      </c>
      <c r="Q1451" s="184">
        <v>2</v>
      </c>
      <c r="R1451" s="184">
        <v>2</v>
      </c>
      <c r="S1451" s="178">
        <f t="shared" si="154"/>
        <v>2</v>
      </c>
      <c r="T1451" s="186">
        <f t="shared" si="155"/>
        <v>4</v>
      </c>
      <c r="U1451" s="179">
        <f t="shared" si="156"/>
        <v>2</v>
      </c>
      <c r="V1451" s="1">
        <f t="shared" si="157"/>
        <v>25</v>
      </c>
      <c r="W1451" s="8">
        <f t="shared" si="158"/>
        <v>6.25</v>
      </c>
      <c r="X1451" s="15">
        <f t="shared" si="159"/>
        <v>7937.5</v>
      </c>
      <c r="Y1451"/>
      <c r="Z1451"/>
      <c r="AA1451"/>
      <c r="AB1451"/>
      <c r="AC1451"/>
      <c r="AD1451"/>
    </row>
    <row r="1452" spans="2:30">
      <c r="B1452" s="2" t="s">
        <v>270</v>
      </c>
      <c r="C1452" s="2" t="s">
        <v>67</v>
      </c>
      <c r="D1452" s="2" t="s">
        <v>169</v>
      </c>
      <c r="E1452" s="3">
        <v>45396.520833333336</v>
      </c>
      <c r="F1452" s="2" t="s">
        <v>255</v>
      </c>
      <c r="G1452" s="2" t="s">
        <v>396</v>
      </c>
      <c r="H1452" s="2">
        <v>63</v>
      </c>
      <c r="I1452" s="2">
        <v>0</v>
      </c>
      <c r="J1452" s="2">
        <v>20</v>
      </c>
      <c r="K1452" s="2">
        <v>29</v>
      </c>
      <c r="L1452" s="2">
        <v>2.27</v>
      </c>
      <c r="M1452" s="2"/>
      <c r="N1452" s="2" t="s">
        <v>95</v>
      </c>
      <c r="O1452" s="10">
        <v>1</v>
      </c>
      <c r="P1452" s="10">
        <v>0</v>
      </c>
      <c r="Q1452" s="184">
        <v>2</v>
      </c>
      <c r="R1452" s="184">
        <v>0</v>
      </c>
      <c r="S1452" s="178">
        <f t="shared" si="154"/>
        <v>1</v>
      </c>
      <c r="T1452" s="186">
        <f t="shared" si="155"/>
        <v>2</v>
      </c>
      <c r="U1452" s="179">
        <f t="shared" si="156"/>
        <v>1</v>
      </c>
      <c r="V1452" s="1">
        <f t="shared" si="157"/>
        <v>25</v>
      </c>
      <c r="W1452" s="8">
        <f t="shared" si="158"/>
        <v>6.25</v>
      </c>
      <c r="X1452" s="15">
        <f t="shared" si="159"/>
        <v>7943.75</v>
      </c>
      <c r="Y1452"/>
      <c r="Z1452"/>
      <c r="AA1452"/>
      <c r="AB1452"/>
      <c r="AC1452"/>
      <c r="AD1452"/>
    </row>
    <row r="1453" spans="2:30">
      <c r="B1453" s="2" t="s">
        <v>270</v>
      </c>
      <c r="C1453" s="2" t="s">
        <v>626</v>
      </c>
      <c r="D1453" s="2" t="s">
        <v>627</v>
      </c>
      <c r="E1453" s="3">
        <v>45396.666666666664</v>
      </c>
      <c r="F1453" s="2" t="s">
        <v>720</v>
      </c>
      <c r="G1453" s="2" t="s">
        <v>629</v>
      </c>
      <c r="H1453" s="2">
        <v>61</v>
      </c>
      <c r="I1453" s="2">
        <v>0</v>
      </c>
      <c r="J1453" s="2">
        <v>20</v>
      </c>
      <c r="K1453" s="2">
        <v>29</v>
      </c>
      <c r="L1453" s="2">
        <v>0</v>
      </c>
      <c r="M1453" s="2"/>
      <c r="N1453" s="2" t="s">
        <v>95</v>
      </c>
      <c r="O1453" s="10">
        <v>1</v>
      </c>
      <c r="P1453" s="10">
        <v>0</v>
      </c>
      <c r="Q1453" s="184">
        <v>3</v>
      </c>
      <c r="R1453" s="184">
        <v>0</v>
      </c>
      <c r="S1453" s="178">
        <f t="shared" si="154"/>
        <v>1</v>
      </c>
      <c r="T1453" s="186">
        <f t="shared" si="155"/>
        <v>3</v>
      </c>
      <c r="U1453" s="179">
        <f t="shared" si="156"/>
        <v>2</v>
      </c>
      <c r="V1453" s="1">
        <f t="shared" si="157"/>
        <v>25</v>
      </c>
      <c r="W1453" s="8">
        <f t="shared" si="158"/>
        <v>6.25</v>
      </c>
      <c r="X1453" s="15">
        <f t="shared" si="159"/>
        <v>7950</v>
      </c>
      <c r="Y1453"/>
      <c r="Z1453"/>
      <c r="AA1453"/>
      <c r="AB1453"/>
      <c r="AC1453"/>
      <c r="AD1453"/>
    </row>
    <row r="1454" spans="2:30">
      <c r="B1454" s="2" t="s">
        <v>270</v>
      </c>
      <c r="C1454" s="2" t="s">
        <v>434</v>
      </c>
      <c r="D1454" s="2" t="s">
        <v>435</v>
      </c>
      <c r="E1454" s="3">
        <v>45396.708333333336</v>
      </c>
      <c r="F1454" s="2" t="s">
        <v>437</v>
      </c>
      <c r="G1454" s="2" t="s">
        <v>476</v>
      </c>
      <c r="H1454" s="2">
        <v>68</v>
      </c>
      <c r="I1454" s="2">
        <v>0</v>
      </c>
      <c r="J1454" s="2">
        <v>20</v>
      </c>
      <c r="K1454" s="2">
        <v>34</v>
      </c>
      <c r="L1454" s="2">
        <v>2.35</v>
      </c>
      <c r="M1454" s="2"/>
      <c r="N1454" s="2" t="s">
        <v>95</v>
      </c>
      <c r="O1454" s="10">
        <v>2</v>
      </c>
      <c r="P1454" s="10">
        <v>1</v>
      </c>
      <c r="Q1454" s="184">
        <v>2</v>
      </c>
      <c r="R1454" s="184">
        <v>2</v>
      </c>
      <c r="S1454" s="178">
        <f t="shared" si="154"/>
        <v>3</v>
      </c>
      <c r="T1454" s="186">
        <f t="shared" si="155"/>
        <v>4</v>
      </c>
      <c r="U1454" s="179">
        <f t="shared" si="156"/>
        <v>1</v>
      </c>
      <c r="V1454" s="1">
        <f t="shared" si="157"/>
        <v>25</v>
      </c>
      <c r="W1454" s="8">
        <f t="shared" si="158"/>
        <v>6.25</v>
      </c>
      <c r="X1454" s="15">
        <f t="shared" si="159"/>
        <v>7956.25</v>
      </c>
      <c r="Y1454"/>
      <c r="Z1454"/>
      <c r="AA1454"/>
      <c r="AB1454"/>
      <c r="AC1454"/>
      <c r="AD1454"/>
    </row>
    <row r="1455" spans="2:30">
      <c r="B1455" s="2" t="s">
        <v>270</v>
      </c>
      <c r="C1455" s="2" t="s">
        <v>626</v>
      </c>
      <c r="D1455" s="2" t="s">
        <v>627</v>
      </c>
      <c r="E1455" s="3">
        <v>45396.760416666664</v>
      </c>
      <c r="F1455" s="2" t="s">
        <v>722</v>
      </c>
      <c r="G1455" s="2" t="s">
        <v>653</v>
      </c>
      <c r="H1455" s="2">
        <v>61</v>
      </c>
      <c r="I1455" s="2">
        <v>0</v>
      </c>
      <c r="J1455" s="2">
        <v>20</v>
      </c>
      <c r="K1455" s="2">
        <v>37</v>
      </c>
      <c r="L1455" s="2">
        <v>0</v>
      </c>
      <c r="M1455" s="2"/>
      <c r="N1455" s="2" t="s">
        <v>95</v>
      </c>
      <c r="O1455" s="10">
        <v>1</v>
      </c>
      <c r="P1455" s="10">
        <v>0</v>
      </c>
      <c r="Q1455" s="184">
        <v>3</v>
      </c>
      <c r="R1455" s="184">
        <v>2</v>
      </c>
      <c r="S1455" s="178">
        <f t="shared" si="154"/>
        <v>1</v>
      </c>
      <c r="T1455" s="186">
        <f t="shared" si="155"/>
        <v>5</v>
      </c>
      <c r="U1455" s="179">
        <f t="shared" si="156"/>
        <v>4</v>
      </c>
      <c r="V1455" s="1">
        <f t="shared" si="157"/>
        <v>25</v>
      </c>
      <c r="W1455" s="8">
        <f t="shared" si="158"/>
        <v>6.25</v>
      </c>
      <c r="X1455" s="15">
        <f t="shared" si="159"/>
        <v>7962.5</v>
      </c>
      <c r="Y1455"/>
      <c r="Z1455"/>
      <c r="AA1455"/>
      <c r="AB1455"/>
      <c r="AC1455"/>
      <c r="AD1455"/>
    </row>
    <row r="1456" spans="2:30">
      <c r="B1456" s="2" t="s">
        <v>270</v>
      </c>
      <c r="C1456" s="2" t="s">
        <v>626</v>
      </c>
      <c r="D1456" s="2" t="s">
        <v>627</v>
      </c>
      <c r="E1456" s="3">
        <v>45397.708333333336</v>
      </c>
      <c r="F1456" s="2" t="s">
        <v>724</v>
      </c>
      <c r="G1456" s="2" t="s">
        <v>725</v>
      </c>
      <c r="H1456" s="2">
        <v>73</v>
      </c>
      <c r="I1456" s="2">
        <v>0</v>
      </c>
      <c r="J1456" s="2">
        <v>20</v>
      </c>
      <c r="K1456" s="2">
        <v>43</v>
      </c>
      <c r="L1456" s="2">
        <v>0</v>
      </c>
      <c r="M1456" s="2"/>
      <c r="N1456" s="2" t="s">
        <v>95</v>
      </c>
      <c r="O1456" s="10">
        <v>0</v>
      </c>
      <c r="P1456" s="10">
        <v>0</v>
      </c>
      <c r="Q1456" s="184">
        <v>1</v>
      </c>
      <c r="R1456" s="184">
        <v>0</v>
      </c>
      <c r="S1456" s="178">
        <f t="shared" si="154"/>
        <v>0</v>
      </c>
      <c r="T1456" s="186">
        <f t="shared" si="155"/>
        <v>1</v>
      </c>
      <c r="U1456" s="179">
        <f t="shared" si="156"/>
        <v>1</v>
      </c>
      <c r="V1456" s="1">
        <f t="shared" si="157"/>
        <v>25</v>
      </c>
      <c r="W1456" s="8">
        <f t="shared" si="158"/>
        <v>6.25</v>
      </c>
      <c r="X1456" s="15">
        <f t="shared" si="159"/>
        <v>7968.75</v>
      </c>
      <c r="Y1456"/>
      <c r="Z1456"/>
      <c r="AA1456"/>
      <c r="AB1456"/>
      <c r="AC1456"/>
      <c r="AD1456"/>
    </row>
    <row r="1457" spans="2:30">
      <c r="B1457" s="2" t="s">
        <v>270</v>
      </c>
      <c r="C1457" s="2" t="s">
        <v>119</v>
      </c>
      <c r="D1457" s="2" t="s">
        <v>120</v>
      </c>
      <c r="E1457" s="3">
        <v>45397.833333333336</v>
      </c>
      <c r="F1457" s="2" t="s">
        <v>348</v>
      </c>
      <c r="G1457" s="2" t="s">
        <v>350</v>
      </c>
      <c r="H1457" s="2">
        <v>67</v>
      </c>
      <c r="I1457" s="2">
        <v>0</v>
      </c>
      <c r="J1457" s="2">
        <v>20</v>
      </c>
      <c r="K1457" s="2">
        <v>45</v>
      </c>
      <c r="L1457" s="2">
        <v>2.1800000000000002</v>
      </c>
      <c r="M1457" s="2"/>
      <c r="N1457" s="2" t="s">
        <v>95</v>
      </c>
      <c r="O1457" s="10">
        <v>0</v>
      </c>
      <c r="P1457" s="10">
        <v>1</v>
      </c>
      <c r="Q1457" s="184">
        <v>0</v>
      </c>
      <c r="R1457" s="184">
        <v>1</v>
      </c>
      <c r="S1457" s="178">
        <f t="shared" si="154"/>
        <v>1</v>
      </c>
      <c r="T1457" s="186">
        <f t="shared" si="155"/>
        <v>1</v>
      </c>
      <c r="U1457" s="179">
        <f t="shared" si="156"/>
        <v>0</v>
      </c>
      <c r="V1457" s="1">
        <f t="shared" si="157"/>
        <v>25</v>
      </c>
      <c r="W1457" s="8">
        <f t="shared" si="158"/>
        <v>6.25</v>
      </c>
      <c r="X1457" s="15">
        <f t="shared" si="159"/>
        <v>7975</v>
      </c>
      <c r="Y1457"/>
      <c r="Z1457"/>
      <c r="AA1457"/>
      <c r="AB1457"/>
      <c r="AC1457"/>
      <c r="AD1457"/>
    </row>
    <row r="1458" spans="2:30">
      <c r="B1458" s="2" t="s">
        <v>270</v>
      </c>
      <c r="C1458" s="2" t="s">
        <v>44</v>
      </c>
      <c r="D1458" s="2" t="s">
        <v>45</v>
      </c>
      <c r="E1458" s="3">
        <v>45398.416666666664</v>
      </c>
      <c r="F1458" s="2" t="s">
        <v>53</v>
      </c>
      <c r="G1458" s="2" t="s">
        <v>124</v>
      </c>
      <c r="H1458" s="2">
        <v>59</v>
      </c>
      <c r="I1458" s="2">
        <v>0</v>
      </c>
      <c r="J1458" s="2">
        <v>20</v>
      </c>
      <c r="K1458" s="2">
        <v>37</v>
      </c>
      <c r="L1458" s="2">
        <v>3.3</v>
      </c>
      <c r="M1458" s="2"/>
      <c r="N1458" s="2" t="s">
        <v>95</v>
      </c>
      <c r="O1458" s="10">
        <v>2</v>
      </c>
      <c r="P1458" s="10">
        <v>1</v>
      </c>
      <c r="Q1458" s="184">
        <v>3</v>
      </c>
      <c r="R1458" s="184">
        <v>3</v>
      </c>
      <c r="S1458" s="178">
        <f t="shared" si="154"/>
        <v>3</v>
      </c>
      <c r="T1458" s="186">
        <f t="shared" si="155"/>
        <v>6</v>
      </c>
      <c r="U1458" s="179">
        <f t="shared" si="156"/>
        <v>3</v>
      </c>
      <c r="V1458" s="1">
        <f t="shared" si="157"/>
        <v>25</v>
      </c>
      <c r="W1458" s="8">
        <f t="shared" si="158"/>
        <v>6.25</v>
      </c>
      <c r="X1458" s="15">
        <f t="shared" si="159"/>
        <v>7981.25</v>
      </c>
      <c r="Y1458"/>
      <c r="Z1458"/>
      <c r="AA1458"/>
      <c r="AB1458"/>
      <c r="AC1458"/>
      <c r="AD1458"/>
    </row>
    <row r="1459" spans="2:30">
      <c r="B1459" s="2" t="s">
        <v>270</v>
      </c>
      <c r="C1459" s="2" t="s">
        <v>441</v>
      </c>
      <c r="D1459" s="2" t="s">
        <v>442</v>
      </c>
      <c r="E1459" s="3">
        <v>45400.541666666664</v>
      </c>
      <c r="F1459" s="2" t="s">
        <v>741</v>
      </c>
      <c r="G1459" s="2" t="s">
        <v>696</v>
      </c>
      <c r="H1459" s="2">
        <v>62</v>
      </c>
      <c r="I1459" s="2">
        <v>0</v>
      </c>
      <c r="J1459" s="2">
        <v>20</v>
      </c>
      <c r="K1459" s="2">
        <v>40</v>
      </c>
      <c r="L1459" s="2">
        <v>1.6</v>
      </c>
      <c r="M1459" s="2"/>
      <c r="N1459" s="2" t="s">
        <v>95</v>
      </c>
      <c r="O1459" s="10">
        <v>2</v>
      </c>
      <c r="P1459" s="10">
        <v>1</v>
      </c>
      <c r="Q1459" s="184">
        <v>2</v>
      </c>
      <c r="R1459" s="184">
        <v>2</v>
      </c>
      <c r="S1459" s="178">
        <f t="shared" si="154"/>
        <v>3</v>
      </c>
      <c r="T1459" s="186">
        <f t="shared" si="155"/>
        <v>4</v>
      </c>
      <c r="U1459" s="179">
        <f t="shared" si="156"/>
        <v>1</v>
      </c>
      <c r="V1459" s="1">
        <f t="shared" si="157"/>
        <v>25</v>
      </c>
      <c r="W1459" s="8">
        <f t="shared" si="158"/>
        <v>6.25</v>
      </c>
      <c r="X1459" s="15">
        <f t="shared" si="159"/>
        <v>7987.5</v>
      </c>
      <c r="Y1459"/>
      <c r="Z1459"/>
      <c r="AA1459"/>
      <c r="AB1459"/>
      <c r="AC1459"/>
      <c r="AD1459"/>
    </row>
    <row r="1460" spans="2:30">
      <c r="B1460" s="2" t="s">
        <v>270</v>
      </c>
      <c r="C1460" s="2" t="s">
        <v>67</v>
      </c>
      <c r="D1460" s="2" t="s">
        <v>169</v>
      </c>
      <c r="E1460" s="3">
        <v>45401.791666666664</v>
      </c>
      <c r="F1460" s="2" t="s">
        <v>393</v>
      </c>
      <c r="G1460" s="2" t="s">
        <v>171</v>
      </c>
      <c r="H1460" s="2">
        <v>60</v>
      </c>
      <c r="I1460" s="2">
        <v>0</v>
      </c>
      <c r="J1460" s="2">
        <v>20</v>
      </c>
      <c r="K1460" s="2">
        <v>28</v>
      </c>
      <c r="L1460" s="2">
        <v>2.54</v>
      </c>
      <c r="M1460" s="2"/>
      <c r="N1460" s="2" t="s">
        <v>95</v>
      </c>
      <c r="O1460" s="10">
        <v>0</v>
      </c>
      <c r="P1460" s="10">
        <v>1</v>
      </c>
      <c r="Q1460" s="184">
        <v>1</v>
      </c>
      <c r="R1460" s="184">
        <v>2</v>
      </c>
      <c r="S1460" s="178">
        <f t="shared" si="154"/>
        <v>1</v>
      </c>
      <c r="T1460" s="186">
        <f t="shared" si="155"/>
        <v>3</v>
      </c>
      <c r="U1460" s="179">
        <f t="shared" si="156"/>
        <v>2</v>
      </c>
      <c r="V1460" s="1">
        <f t="shared" si="157"/>
        <v>25</v>
      </c>
      <c r="W1460" s="8">
        <f t="shared" si="158"/>
        <v>6.25</v>
      </c>
      <c r="X1460" s="15">
        <f t="shared" si="159"/>
        <v>7993.75</v>
      </c>
      <c r="Y1460"/>
      <c r="Z1460"/>
      <c r="AA1460"/>
      <c r="AB1460"/>
      <c r="AC1460"/>
      <c r="AD1460"/>
    </row>
    <row r="1461" spans="2:30">
      <c r="B1461" s="2" t="s">
        <v>270</v>
      </c>
      <c r="C1461" s="2" t="s">
        <v>159</v>
      </c>
      <c r="D1461" s="2" t="s">
        <v>750</v>
      </c>
      <c r="E1461" s="3">
        <v>45402.083333333336</v>
      </c>
      <c r="F1461" s="2" t="s">
        <v>751</v>
      </c>
      <c r="G1461" s="2" t="s">
        <v>752</v>
      </c>
      <c r="H1461" s="2">
        <v>59</v>
      </c>
      <c r="I1461" s="2">
        <v>0</v>
      </c>
      <c r="J1461" s="2">
        <v>20</v>
      </c>
      <c r="K1461" s="2">
        <v>38</v>
      </c>
      <c r="L1461" s="2">
        <v>2.16</v>
      </c>
      <c r="M1461" s="2"/>
      <c r="N1461" s="2" t="s">
        <v>95</v>
      </c>
      <c r="O1461" s="10">
        <v>0</v>
      </c>
      <c r="P1461" s="10">
        <v>0</v>
      </c>
      <c r="Q1461" s="184">
        <v>0</v>
      </c>
      <c r="R1461" s="184">
        <v>2</v>
      </c>
      <c r="S1461" s="178">
        <f t="shared" si="154"/>
        <v>0</v>
      </c>
      <c r="T1461" s="186">
        <f t="shared" si="155"/>
        <v>2</v>
      </c>
      <c r="U1461" s="179">
        <f t="shared" si="156"/>
        <v>2</v>
      </c>
      <c r="V1461" s="1">
        <f t="shared" si="157"/>
        <v>25</v>
      </c>
      <c r="W1461" s="8">
        <f t="shared" si="158"/>
        <v>6.25</v>
      </c>
      <c r="X1461" s="15">
        <f t="shared" si="159"/>
        <v>8000</v>
      </c>
      <c r="Y1461"/>
      <c r="Z1461"/>
      <c r="AA1461"/>
      <c r="AB1461"/>
      <c r="AC1461"/>
      <c r="AD1461"/>
    </row>
    <row r="1462" spans="2:30">
      <c r="B1462" s="2" t="s">
        <v>270</v>
      </c>
      <c r="C1462" s="2" t="s">
        <v>159</v>
      </c>
      <c r="D1462" s="2" t="s">
        <v>750</v>
      </c>
      <c r="E1462" s="3">
        <v>45402.173611111109</v>
      </c>
      <c r="F1462" s="2" t="s">
        <v>753</v>
      </c>
      <c r="G1462" s="2" t="s">
        <v>754</v>
      </c>
      <c r="H1462" s="2">
        <v>68</v>
      </c>
      <c r="I1462" s="2">
        <v>0</v>
      </c>
      <c r="J1462" s="2">
        <v>20</v>
      </c>
      <c r="K1462" s="2">
        <v>39</v>
      </c>
      <c r="L1462" s="2">
        <v>2.33</v>
      </c>
      <c r="M1462" s="2"/>
      <c r="N1462" s="2" t="s">
        <v>95</v>
      </c>
      <c r="O1462" s="10">
        <v>0</v>
      </c>
      <c r="P1462" s="10">
        <v>1</v>
      </c>
      <c r="Q1462" s="184">
        <v>3</v>
      </c>
      <c r="R1462" s="184">
        <v>1</v>
      </c>
      <c r="S1462" s="178">
        <f t="shared" si="154"/>
        <v>1</v>
      </c>
      <c r="T1462" s="186">
        <f t="shared" si="155"/>
        <v>4</v>
      </c>
      <c r="U1462" s="179">
        <f t="shared" si="156"/>
        <v>3</v>
      </c>
      <c r="V1462" s="1">
        <f t="shared" si="157"/>
        <v>25</v>
      </c>
      <c r="W1462" s="8">
        <f t="shared" si="158"/>
        <v>6.25</v>
      </c>
      <c r="X1462" s="15">
        <f t="shared" si="159"/>
        <v>8006.25</v>
      </c>
      <c r="Y1462"/>
      <c r="Z1462"/>
      <c r="AA1462"/>
      <c r="AB1462"/>
      <c r="AC1462"/>
      <c r="AD1462"/>
    </row>
    <row r="1463" spans="2:30">
      <c r="B1463" s="2" t="s">
        <v>270</v>
      </c>
      <c r="C1463" s="2" t="s">
        <v>44</v>
      </c>
      <c r="D1463" s="2" t="s">
        <v>45</v>
      </c>
      <c r="E1463" s="3">
        <v>45402.270833333336</v>
      </c>
      <c r="F1463" s="2" t="s">
        <v>321</v>
      </c>
      <c r="G1463" s="2" t="s">
        <v>126</v>
      </c>
      <c r="H1463" s="2">
        <v>61</v>
      </c>
      <c r="I1463" s="2">
        <v>0</v>
      </c>
      <c r="J1463" s="2">
        <v>20</v>
      </c>
      <c r="K1463" s="2">
        <v>25</v>
      </c>
      <c r="L1463" s="2">
        <v>2.95</v>
      </c>
      <c r="M1463" s="2"/>
      <c r="N1463" s="2" t="s">
        <v>95</v>
      </c>
      <c r="O1463" s="10">
        <v>0</v>
      </c>
      <c r="P1463" s="10">
        <v>2</v>
      </c>
      <c r="Q1463" s="184">
        <v>1</v>
      </c>
      <c r="R1463" s="184">
        <v>2</v>
      </c>
      <c r="S1463" s="178">
        <f t="shared" si="154"/>
        <v>2</v>
      </c>
      <c r="T1463" s="186">
        <f t="shared" si="155"/>
        <v>3</v>
      </c>
      <c r="U1463" s="179">
        <f t="shared" si="156"/>
        <v>1</v>
      </c>
      <c r="V1463" s="1">
        <f t="shared" si="157"/>
        <v>25</v>
      </c>
      <c r="W1463" s="8">
        <f t="shared" si="158"/>
        <v>6.25</v>
      </c>
      <c r="X1463" s="15">
        <f t="shared" si="159"/>
        <v>8012.5</v>
      </c>
      <c r="Y1463"/>
      <c r="Z1463"/>
      <c r="AA1463"/>
      <c r="AB1463"/>
      <c r="AC1463"/>
      <c r="AD1463"/>
    </row>
    <row r="1464" spans="2:30">
      <c r="B1464" s="2" t="s">
        <v>270</v>
      </c>
      <c r="C1464" s="2" t="s">
        <v>77</v>
      </c>
      <c r="D1464" s="2" t="s">
        <v>234</v>
      </c>
      <c r="E1464" s="3">
        <v>45402.5</v>
      </c>
      <c r="F1464" s="2" t="s">
        <v>631</v>
      </c>
      <c r="G1464" s="2" t="s">
        <v>407</v>
      </c>
      <c r="H1464" s="2">
        <v>69</v>
      </c>
      <c r="I1464" s="2">
        <v>0</v>
      </c>
      <c r="J1464" s="2">
        <v>20</v>
      </c>
      <c r="K1464" s="2">
        <v>31</v>
      </c>
      <c r="L1464" s="2">
        <v>3.38</v>
      </c>
      <c r="M1464" s="2"/>
      <c r="N1464" s="2" t="s">
        <v>95</v>
      </c>
      <c r="O1464" s="10">
        <v>1</v>
      </c>
      <c r="P1464" s="10">
        <v>0</v>
      </c>
      <c r="Q1464" s="184">
        <v>1</v>
      </c>
      <c r="R1464" s="184">
        <v>1</v>
      </c>
      <c r="S1464" s="178">
        <f t="shared" si="154"/>
        <v>1</v>
      </c>
      <c r="T1464" s="186">
        <f t="shared" si="155"/>
        <v>2</v>
      </c>
      <c r="U1464" s="179">
        <f t="shared" si="156"/>
        <v>1</v>
      </c>
      <c r="V1464" s="1">
        <f t="shared" si="157"/>
        <v>25</v>
      </c>
      <c r="W1464" s="8">
        <f t="shared" si="158"/>
        <v>6.25</v>
      </c>
      <c r="X1464" s="15">
        <f t="shared" si="159"/>
        <v>8018.75</v>
      </c>
      <c r="Y1464"/>
      <c r="Z1464"/>
      <c r="AA1464"/>
      <c r="AB1464"/>
      <c r="AC1464"/>
      <c r="AD1464"/>
    </row>
    <row r="1465" spans="2:30">
      <c r="B1465" s="2" t="s">
        <v>270</v>
      </c>
      <c r="C1465" s="2" t="s">
        <v>6</v>
      </c>
      <c r="D1465" s="2" t="s">
        <v>14</v>
      </c>
      <c r="E1465" s="3">
        <v>45402.520833333336</v>
      </c>
      <c r="F1465" s="2" t="s">
        <v>290</v>
      </c>
      <c r="G1465" s="2" t="s">
        <v>414</v>
      </c>
      <c r="H1465" s="2">
        <v>61</v>
      </c>
      <c r="I1465" s="2">
        <v>0</v>
      </c>
      <c r="J1465" s="2">
        <v>20</v>
      </c>
      <c r="K1465" s="2">
        <v>29</v>
      </c>
      <c r="L1465" s="2">
        <v>2.67</v>
      </c>
      <c r="M1465" s="2"/>
      <c r="N1465" s="2" t="s">
        <v>95</v>
      </c>
      <c r="O1465" s="10">
        <v>1</v>
      </c>
      <c r="P1465" s="10">
        <v>0</v>
      </c>
      <c r="Q1465" s="184">
        <v>2</v>
      </c>
      <c r="R1465" s="184">
        <v>1</v>
      </c>
      <c r="S1465" s="178">
        <f t="shared" si="154"/>
        <v>1</v>
      </c>
      <c r="T1465" s="186">
        <f t="shared" si="155"/>
        <v>3</v>
      </c>
      <c r="U1465" s="179">
        <f t="shared" si="156"/>
        <v>2</v>
      </c>
      <c r="V1465" s="1">
        <f t="shared" si="157"/>
        <v>25</v>
      </c>
      <c r="W1465" s="8">
        <f t="shared" si="158"/>
        <v>6.25</v>
      </c>
      <c r="X1465" s="15">
        <f t="shared" si="159"/>
        <v>8025</v>
      </c>
      <c r="Y1465"/>
      <c r="Z1465"/>
      <c r="AA1465"/>
      <c r="AB1465"/>
      <c r="AC1465"/>
      <c r="AD1465"/>
    </row>
    <row r="1466" spans="2:30">
      <c r="B1466" s="2" t="s">
        <v>270</v>
      </c>
      <c r="C1466" s="2" t="s">
        <v>6</v>
      </c>
      <c r="D1466" s="2" t="s">
        <v>11</v>
      </c>
      <c r="E1466" s="3">
        <v>45402.625</v>
      </c>
      <c r="F1466" s="2" t="s">
        <v>232</v>
      </c>
      <c r="G1466" s="2" t="s">
        <v>704</v>
      </c>
      <c r="H1466" s="2">
        <v>64</v>
      </c>
      <c r="I1466" s="2">
        <v>0</v>
      </c>
      <c r="J1466" s="2">
        <v>20</v>
      </c>
      <c r="K1466" s="2">
        <v>38</v>
      </c>
      <c r="L1466" s="2">
        <v>2</v>
      </c>
      <c r="M1466" s="2"/>
      <c r="N1466" s="2" t="s">
        <v>95</v>
      </c>
      <c r="O1466" s="10">
        <v>0</v>
      </c>
      <c r="P1466" s="10">
        <v>0</v>
      </c>
      <c r="Q1466" s="184">
        <v>2</v>
      </c>
      <c r="R1466" s="184">
        <v>0</v>
      </c>
      <c r="S1466" s="178">
        <f t="shared" si="154"/>
        <v>0</v>
      </c>
      <c r="T1466" s="186">
        <f t="shared" si="155"/>
        <v>2</v>
      </c>
      <c r="U1466" s="179">
        <f t="shared" si="156"/>
        <v>2</v>
      </c>
      <c r="V1466" s="1">
        <f t="shared" si="157"/>
        <v>25</v>
      </c>
      <c r="W1466" s="8">
        <f t="shared" si="158"/>
        <v>6.25</v>
      </c>
      <c r="X1466" s="15">
        <f t="shared" si="159"/>
        <v>8031.25</v>
      </c>
      <c r="Y1466"/>
      <c r="Z1466"/>
      <c r="AA1466"/>
      <c r="AB1466"/>
      <c r="AC1466"/>
      <c r="AD1466"/>
    </row>
    <row r="1467" spans="2:30">
      <c r="B1467" s="2" t="s">
        <v>270</v>
      </c>
      <c r="C1467" s="2" t="s">
        <v>6</v>
      </c>
      <c r="D1467" s="2" t="s">
        <v>7</v>
      </c>
      <c r="E1467" s="3">
        <v>45402.625</v>
      </c>
      <c r="F1467" s="2" t="s">
        <v>378</v>
      </c>
      <c r="G1467" s="2" t="s">
        <v>54</v>
      </c>
      <c r="H1467" s="2">
        <v>62</v>
      </c>
      <c r="I1467" s="2">
        <v>0</v>
      </c>
      <c r="J1467" s="2">
        <v>20</v>
      </c>
      <c r="K1467" s="2">
        <v>38</v>
      </c>
      <c r="L1467" s="2">
        <v>2.44</v>
      </c>
      <c r="M1467" s="2"/>
      <c r="N1467" s="2" t="s">
        <v>95</v>
      </c>
      <c r="O1467" s="10">
        <v>2</v>
      </c>
      <c r="P1467" s="10">
        <v>2</v>
      </c>
      <c r="Q1467" s="184">
        <v>3</v>
      </c>
      <c r="R1467" s="184">
        <v>5</v>
      </c>
      <c r="S1467" s="178">
        <f t="shared" si="154"/>
        <v>4</v>
      </c>
      <c r="T1467" s="186">
        <f t="shared" si="155"/>
        <v>8</v>
      </c>
      <c r="U1467" s="179">
        <f t="shared" si="156"/>
        <v>4</v>
      </c>
      <c r="V1467" s="1">
        <f t="shared" si="157"/>
        <v>25</v>
      </c>
      <c r="W1467" s="8">
        <f t="shared" si="158"/>
        <v>6.25</v>
      </c>
      <c r="X1467" s="15">
        <f t="shared" si="159"/>
        <v>8037.5</v>
      </c>
      <c r="Y1467"/>
      <c r="Z1467"/>
      <c r="AA1467"/>
      <c r="AB1467"/>
      <c r="AC1467"/>
      <c r="AD1467"/>
    </row>
    <row r="1468" spans="2:30">
      <c r="B1468" s="2" t="s">
        <v>270</v>
      </c>
      <c r="C1468" s="2" t="s">
        <v>6</v>
      </c>
      <c r="D1468" s="2" t="s">
        <v>14</v>
      </c>
      <c r="E1468" s="3">
        <v>45402.625</v>
      </c>
      <c r="F1468" s="2" t="s">
        <v>421</v>
      </c>
      <c r="G1468" s="2" t="s">
        <v>377</v>
      </c>
      <c r="H1468" s="2">
        <v>63</v>
      </c>
      <c r="I1468" s="2">
        <v>0</v>
      </c>
      <c r="J1468" s="2">
        <v>20</v>
      </c>
      <c r="K1468" s="2">
        <v>33</v>
      </c>
      <c r="L1468" s="2">
        <v>2.2999999999999998</v>
      </c>
      <c r="M1468" s="2"/>
      <c r="N1468" s="2" t="s">
        <v>95</v>
      </c>
      <c r="O1468" s="10">
        <v>0</v>
      </c>
      <c r="P1468" s="10">
        <v>0</v>
      </c>
      <c r="Q1468" s="184">
        <v>0</v>
      </c>
      <c r="R1468" s="184">
        <v>4</v>
      </c>
      <c r="S1468" s="178">
        <f t="shared" si="154"/>
        <v>0</v>
      </c>
      <c r="T1468" s="186">
        <f t="shared" si="155"/>
        <v>4</v>
      </c>
      <c r="U1468" s="179">
        <f t="shared" si="156"/>
        <v>4</v>
      </c>
      <c r="V1468" s="1">
        <f t="shared" si="157"/>
        <v>25</v>
      </c>
      <c r="W1468" s="8">
        <f t="shared" si="158"/>
        <v>6.25</v>
      </c>
      <c r="X1468" s="15">
        <f t="shared" si="159"/>
        <v>8043.75</v>
      </c>
      <c r="Y1468"/>
      <c r="Z1468"/>
      <c r="AA1468"/>
      <c r="AB1468"/>
      <c r="AC1468"/>
      <c r="AD1468"/>
    </row>
    <row r="1469" spans="2:30">
      <c r="B1469" s="2" t="s">
        <v>270</v>
      </c>
      <c r="C1469" s="2" t="s">
        <v>6</v>
      </c>
      <c r="D1469" s="2" t="s">
        <v>7</v>
      </c>
      <c r="E1469" s="3">
        <v>45402.625</v>
      </c>
      <c r="F1469" s="2" t="s">
        <v>84</v>
      </c>
      <c r="G1469" s="2" t="s">
        <v>55</v>
      </c>
      <c r="H1469" s="2">
        <v>62</v>
      </c>
      <c r="I1469" s="2">
        <v>0</v>
      </c>
      <c r="J1469" s="2">
        <v>20</v>
      </c>
      <c r="K1469" s="2">
        <v>36</v>
      </c>
      <c r="L1469" s="2">
        <v>2.4500000000000002</v>
      </c>
      <c r="M1469" s="2"/>
      <c r="N1469" s="2" t="s">
        <v>95</v>
      </c>
      <c r="O1469" s="10">
        <v>0</v>
      </c>
      <c r="P1469" s="10">
        <v>1</v>
      </c>
      <c r="Q1469" s="184">
        <v>2</v>
      </c>
      <c r="R1469" s="184">
        <v>2</v>
      </c>
      <c r="S1469" s="178">
        <f t="shared" si="154"/>
        <v>1</v>
      </c>
      <c r="T1469" s="186">
        <f t="shared" si="155"/>
        <v>4</v>
      </c>
      <c r="U1469" s="179">
        <f t="shared" si="156"/>
        <v>3</v>
      </c>
      <c r="V1469" s="1">
        <f t="shared" si="157"/>
        <v>25</v>
      </c>
      <c r="W1469" s="8">
        <f t="shared" si="158"/>
        <v>6.25</v>
      </c>
      <c r="X1469" s="15">
        <f t="shared" si="159"/>
        <v>8050</v>
      </c>
      <c r="Y1469"/>
      <c r="Z1469"/>
      <c r="AA1469"/>
      <c r="AB1469"/>
      <c r="AC1469"/>
      <c r="AD1469"/>
    </row>
    <row r="1470" spans="2:30">
      <c r="B1470" s="2" t="s">
        <v>270</v>
      </c>
      <c r="C1470" s="2" t="s">
        <v>159</v>
      </c>
      <c r="D1470" s="2" t="s">
        <v>750</v>
      </c>
      <c r="E1470" s="3">
        <v>45403.086805555555</v>
      </c>
      <c r="F1470" s="2" t="s">
        <v>757</v>
      </c>
      <c r="G1470" s="2" t="s">
        <v>758</v>
      </c>
      <c r="H1470" s="2">
        <v>65</v>
      </c>
      <c r="I1470" s="2">
        <v>0</v>
      </c>
      <c r="J1470" s="2">
        <v>20</v>
      </c>
      <c r="K1470" s="2">
        <v>35</v>
      </c>
      <c r="L1470" s="2">
        <v>2.57</v>
      </c>
      <c r="M1470" s="2"/>
      <c r="N1470" s="2" t="s">
        <v>95</v>
      </c>
      <c r="O1470" s="10">
        <v>0</v>
      </c>
      <c r="P1470" s="10">
        <v>0</v>
      </c>
      <c r="Q1470" s="184">
        <v>0</v>
      </c>
      <c r="R1470" s="184">
        <v>2</v>
      </c>
      <c r="S1470" s="178">
        <f t="shared" si="154"/>
        <v>0</v>
      </c>
      <c r="T1470" s="186">
        <f t="shared" si="155"/>
        <v>2</v>
      </c>
      <c r="U1470" s="179">
        <f t="shared" si="156"/>
        <v>2</v>
      </c>
      <c r="V1470" s="1">
        <f t="shared" si="157"/>
        <v>25</v>
      </c>
      <c r="W1470" s="8">
        <f t="shared" si="158"/>
        <v>6.25</v>
      </c>
      <c r="X1470" s="15">
        <f t="shared" si="159"/>
        <v>8056.25</v>
      </c>
      <c r="Y1470"/>
      <c r="Z1470"/>
      <c r="AA1470"/>
      <c r="AB1470"/>
      <c r="AC1470"/>
      <c r="AD1470"/>
    </row>
    <row r="1471" spans="2:30">
      <c r="B1471" s="2" t="s">
        <v>270</v>
      </c>
      <c r="C1471" s="2" t="s">
        <v>6</v>
      </c>
      <c r="D1471" s="2" t="s">
        <v>62</v>
      </c>
      <c r="E1471" s="3">
        <v>45403.625</v>
      </c>
      <c r="F1471" s="2" t="s">
        <v>102</v>
      </c>
      <c r="G1471" s="2" t="s">
        <v>117</v>
      </c>
      <c r="H1471" s="2">
        <v>67</v>
      </c>
      <c r="I1471" s="2">
        <v>0</v>
      </c>
      <c r="J1471" s="2">
        <v>20</v>
      </c>
      <c r="K1471" s="2">
        <v>30</v>
      </c>
      <c r="L1471" s="2">
        <v>3.04</v>
      </c>
      <c r="M1471" s="2"/>
      <c r="N1471" s="2" t="s">
        <v>95</v>
      </c>
      <c r="O1471" s="10">
        <v>1</v>
      </c>
      <c r="P1471" s="10">
        <v>1</v>
      </c>
      <c r="Q1471" s="184">
        <v>3</v>
      </c>
      <c r="R1471" s="184">
        <v>1</v>
      </c>
      <c r="S1471" s="178">
        <f t="shared" si="154"/>
        <v>2</v>
      </c>
      <c r="T1471" s="186">
        <f t="shared" si="155"/>
        <v>4</v>
      </c>
      <c r="U1471" s="179">
        <f t="shared" si="156"/>
        <v>2</v>
      </c>
      <c r="V1471" s="1">
        <f t="shared" si="157"/>
        <v>25</v>
      </c>
      <c r="W1471" s="8">
        <f t="shared" si="158"/>
        <v>6.25</v>
      </c>
      <c r="X1471" s="15">
        <f t="shared" si="159"/>
        <v>8062.5</v>
      </c>
      <c r="Y1471"/>
      <c r="Z1471"/>
      <c r="AA1471"/>
      <c r="AB1471"/>
      <c r="AC1471"/>
      <c r="AD1471"/>
    </row>
    <row r="1472" spans="2:30">
      <c r="B1472" s="2" t="s">
        <v>270</v>
      </c>
      <c r="C1472" s="2" t="s">
        <v>6</v>
      </c>
      <c r="D1472" s="2" t="s">
        <v>62</v>
      </c>
      <c r="E1472" s="3">
        <v>45403.625</v>
      </c>
      <c r="F1472" s="2" t="s">
        <v>66</v>
      </c>
      <c r="G1472" s="2" t="s">
        <v>74</v>
      </c>
      <c r="H1472" s="2">
        <v>61</v>
      </c>
      <c r="I1472" s="2">
        <v>0</v>
      </c>
      <c r="J1472" s="2">
        <v>20</v>
      </c>
      <c r="K1472" s="2">
        <v>26</v>
      </c>
      <c r="L1472" s="2">
        <v>3.17</v>
      </c>
      <c r="M1472" s="2"/>
      <c r="N1472" s="2" t="s">
        <v>95</v>
      </c>
      <c r="O1472" s="10">
        <v>4</v>
      </c>
      <c r="P1472" s="10">
        <v>1</v>
      </c>
      <c r="Q1472" s="184">
        <v>5</v>
      </c>
      <c r="R1472" s="184">
        <v>2</v>
      </c>
      <c r="S1472" s="178">
        <f t="shared" si="154"/>
        <v>5</v>
      </c>
      <c r="T1472" s="186">
        <f t="shared" si="155"/>
        <v>7</v>
      </c>
      <c r="U1472" s="179">
        <f t="shared" si="156"/>
        <v>2</v>
      </c>
      <c r="V1472" s="1">
        <f t="shared" si="157"/>
        <v>25</v>
      </c>
      <c r="W1472" s="8">
        <f t="shared" si="158"/>
        <v>6.25</v>
      </c>
      <c r="X1472" s="15">
        <f t="shared" si="159"/>
        <v>8068.75</v>
      </c>
      <c r="Y1472"/>
      <c r="Z1472"/>
      <c r="AA1472"/>
      <c r="AB1472"/>
      <c r="AC1472"/>
      <c r="AD1472"/>
    </row>
    <row r="1473" spans="2:30">
      <c r="B1473" s="2" t="s">
        <v>270</v>
      </c>
      <c r="C1473" s="2" t="s">
        <v>626</v>
      </c>
      <c r="D1473" s="2" t="s">
        <v>627</v>
      </c>
      <c r="E1473" s="3">
        <v>45403.625</v>
      </c>
      <c r="F1473" s="2" t="s">
        <v>724</v>
      </c>
      <c r="G1473" s="2" t="s">
        <v>725</v>
      </c>
      <c r="H1473" s="2">
        <v>73</v>
      </c>
      <c r="I1473" s="2">
        <v>0</v>
      </c>
      <c r="J1473" s="2">
        <v>20</v>
      </c>
      <c r="K1473" s="2">
        <v>46</v>
      </c>
      <c r="L1473" s="2">
        <v>0</v>
      </c>
      <c r="M1473" s="2"/>
      <c r="N1473" s="2" t="s">
        <v>95</v>
      </c>
      <c r="O1473" s="10">
        <v>0</v>
      </c>
      <c r="P1473" s="10">
        <v>0</v>
      </c>
      <c r="Q1473" s="184">
        <v>1</v>
      </c>
      <c r="R1473" s="184">
        <v>0</v>
      </c>
      <c r="S1473" s="178">
        <f t="shared" ref="S1473:S1536" si="160">SUM(O1473:P1473)</f>
        <v>0</v>
      </c>
      <c r="T1473" s="186">
        <f t="shared" ref="T1473:T1536" si="161">SUM(Q1473:R1473)</f>
        <v>1</v>
      </c>
      <c r="U1473" s="179">
        <f t="shared" ref="U1473:U1536" si="162">SUM(T1473-S1473)</f>
        <v>1</v>
      </c>
      <c r="V1473" s="1">
        <f t="shared" si="157"/>
        <v>25</v>
      </c>
      <c r="W1473" s="8">
        <f t="shared" si="158"/>
        <v>6.25</v>
      </c>
      <c r="X1473" s="15">
        <f t="shared" si="159"/>
        <v>8075</v>
      </c>
      <c r="Y1473"/>
      <c r="Z1473"/>
      <c r="AA1473"/>
      <c r="AB1473"/>
      <c r="AC1473"/>
      <c r="AD1473"/>
    </row>
    <row r="1474" spans="2:30">
      <c r="B1474" s="2" t="s">
        <v>270</v>
      </c>
      <c r="C1474" s="2" t="s">
        <v>133</v>
      </c>
      <c r="D1474" s="2" t="s">
        <v>78</v>
      </c>
      <c r="E1474" s="3">
        <v>45403.770833333336</v>
      </c>
      <c r="F1474" s="2" t="s">
        <v>488</v>
      </c>
      <c r="G1474" s="2" t="s">
        <v>137</v>
      </c>
      <c r="H1474" s="2">
        <v>60</v>
      </c>
      <c r="I1474" s="2">
        <v>0</v>
      </c>
      <c r="J1474" s="2">
        <v>20</v>
      </c>
      <c r="K1474" s="2">
        <v>32</v>
      </c>
      <c r="L1474" s="2">
        <v>2.69</v>
      </c>
      <c r="M1474" s="2"/>
      <c r="N1474" s="2" t="s">
        <v>95</v>
      </c>
      <c r="O1474" s="10">
        <v>1</v>
      </c>
      <c r="P1474" s="10">
        <v>0</v>
      </c>
      <c r="Q1474" s="184">
        <v>2</v>
      </c>
      <c r="R1474" s="184">
        <v>1</v>
      </c>
      <c r="S1474" s="178">
        <f t="shared" si="160"/>
        <v>1</v>
      </c>
      <c r="T1474" s="186">
        <f t="shared" si="161"/>
        <v>3</v>
      </c>
      <c r="U1474" s="179">
        <f t="shared" si="162"/>
        <v>2</v>
      </c>
      <c r="V1474" s="1">
        <f t="shared" si="157"/>
        <v>25</v>
      </c>
      <c r="W1474" s="8">
        <f t="shared" si="158"/>
        <v>6.25</v>
      </c>
      <c r="X1474" s="15">
        <f t="shared" si="159"/>
        <v>8081.25</v>
      </c>
      <c r="Y1474"/>
      <c r="Z1474"/>
      <c r="AA1474"/>
      <c r="AB1474"/>
      <c r="AC1474"/>
      <c r="AD1474"/>
    </row>
    <row r="1475" spans="2:30">
      <c r="B1475" s="2" t="s">
        <v>270</v>
      </c>
      <c r="C1475" s="2" t="s">
        <v>6</v>
      </c>
      <c r="D1475" s="2" t="s">
        <v>7</v>
      </c>
      <c r="E1475" s="3">
        <v>45405.822916666664</v>
      </c>
      <c r="F1475" s="2" t="s">
        <v>27</v>
      </c>
      <c r="G1475" s="2" t="s">
        <v>705</v>
      </c>
      <c r="H1475" s="2">
        <v>59</v>
      </c>
      <c r="I1475" s="2">
        <v>0</v>
      </c>
      <c r="J1475" s="2">
        <v>20</v>
      </c>
      <c r="K1475" s="2">
        <v>31</v>
      </c>
      <c r="L1475" s="2">
        <v>2.33</v>
      </c>
      <c r="M1475" s="2"/>
      <c r="N1475" s="2" t="s">
        <v>95</v>
      </c>
      <c r="O1475" s="10">
        <v>1</v>
      </c>
      <c r="P1475" s="10">
        <v>2</v>
      </c>
      <c r="Q1475" s="184">
        <v>1</v>
      </c>
      <c r="R1475" s="184">
        <v>4</v>
      </c>
      <c r="S1475" s="178">
        <f t="shared" si="160"/>
        <v>3</v>
      </c>
      <c r="T1475" s="186">
        <f t="shared" si="161"/>
        <v>5</v>
      </c>
      <c r="U1475" s="179">
        <f t="shared" si="162"/>
        <v>2</v>
      </c>
      <c r="V1475" s="1">
        <f t="shared" si="157"/>
        <v>25</v>
      </c>
      <c r="W1475" s="8">
        <f t="shared" si="158"/>
        <v>6.25</v>
      </c>
      <c r="X1475" s="15">
        <f t="shared" si="159"/>
        <v>8087.5</v>
      </c>
      <c r="Y1475"/>
      <c r="Z1475"/>
      <c r="AA1475"/>
      <c r="AB1475"/>
      <c r="AC1475"/>
      <c r="AD1475"/>
    </row>
    <row r="1476" spans="2:30">
      <c r="B1476" s="2" t="s">
        <v>270</v>
      </c>
      <c r="C1476" s="2" t="s">
        <v>6</v>
      </c>
      <c r="D1476" s="2" t="s">
        <v>62</v>
      </c>
      <c r="E1476" s="3">
        <v>45405.833333333336</v>
      </c>
      <c r="F1476" s="2" t="s">
        <v>73</v>
      </c>
      <c r="G1476" s="2" t="s">
        <v>65</v>
      </c>
      <c r="H1476" s="2">
        <v>61</v>
      </c>
      <c r="I1476" s="2">
        <v>0</v>
      </c>
      <c r="J1476" s="2">
        <v>20</v>
      </c>
      <c r="K1476" s="2">
        <v>29</v>
      </c>
      <c r="L1476" s="2">
        <v>3.16</v>
      </c>
      <c r="M1476" s="2"/>
      <c r="N1476" s="2" t="s">
        <v>95</v>
      </c>
      <c r="O1476" s="10">
        <v>1</v>
      </c>
      <c r="P1476" s="10">
        <v>0</v>
      </c>
      <c r="Q1476" s="184">
        <v>5</v>
      </c>
      <c r="R1476" s="184">
        <v>0</v>
      </c>
      <c r="S1476" s="178">
        <f t="shared" si="160"/>
        <v>1</v>
      </c>
      <c r="T1476" s="186">
        <f t="shared" si="161"/>
        <v>5</v>
      </c>
      <c r="U1476" s="179">
        <f t="shared" si="162"/>
        <v>4</v>
      </c>
      <c r="V1476" s="1">
        <f t="shared" si="157"/>
        <v>25</v>
      </c>
      <c r="W1476" s="8">
        <f t="shared" si="158"/>
        <v>6.25</v>
      </c>
      <c r="X1476" s="15">
        <f t="shared" si="159"/>
        <v>8093.75</v>
      </c>
      <c r="Y1476"/>
      <c r="Z1476"/>
      <c r="AA1476"/>
      <c r="AB1476"/>
      <c r="AC1476"/>
      <c r="AD1476"/>
    </row>
    <row r="1477" spans="2:30">
      <c r="B1477" s="2" t="s">
        <v>270</v>
      </c>
      <c r="C1477" s="2" t="s">
        <v>133</v>
      </c>
      <c r="D1477" s="2" t="s">
        <v>78</v>
      </c>
      <c r="E1477" s="3">
        <v>45406.625</v>
      </c>
      <c r="F1477" s="2" t="s">
        <v>394</v>
      </c>
      <c r="G1477" s="2" t="s">
        <v>137</v>
      </c>
      <c r="H1477" s="2">
        <v>64</v>
      </c>
      <c r="I1477" s="2">
        <v>0</v>
      </c>
      <c r="J1477" s="2">
        <v>20</v>
      </c>
      <c r="K1477" s="2">
        <v>31</v>
      </c>
      <c r="L1477" s="2">
        <v>2.2599999999999998</v>
      </c>
      <c r="M1477" s="2"/>
      <c r="N1477" s="2" t="s">
        <v>95</v>
      </c>
      <c r="O1477" s="10">
        <v>1</v>
      </c>
      <c r="P1477" s="10">
        <v>0</v>
      </c>
      <c r="Q1477" s="184">
        <v>1</v>
      </c>
      <c r="R1477" s="184">
        <v>1</v>
      </c>
      <c r="S1477" s="178">
        <f t="shared" si="160"/>
        <v>1</v>
      </c>
      <c r="T1477" s="186">
        <f t="shared" si="161"/>
        <v>2</v>
      </c>
      <c r="U1477" s="179">
        <f t="shared" si="162"/>
        <v>1</v>
      </c>
      <c r="V1477" s="1">
        <f t="shared" ref="V1477:V1540" si="163">SUM($X$1*0.05)</f>
        <v>25</v>
      </c>
      <c r="W1477" s="8">
        <f t="shared" si="158"/>
        <v>6.25</v>
      </c>
      <c r="X1477" s="15">
        <f t="shared" si="159"/>
        <v>8100</v>
      </c>
      <c r="Y1477"/>
      <c r="Z1477"/>
      <c r="AA1477"/>
      <c r="AB1477"/>
      <c r="AC1477"/>
      <c r="AD1477"/>
    </row>
    <row r="1478" spans="2:30">
      <c r="B1478" s="2" t="s">
        <v>270</v>
      </c>
      <c r="C1478" s="2" t="s">
        <v>296</v>
      </c>
      <c r="D1478" s="2" t="s">
        <v>525</v>
      </c>
      <c r="E1478" s="3">
        <v>45406.770833333336</v>
      </c>
      <c r="F1478" s="2" t="s">
        <v>597</v>
      </c>
      <c r="G1478" s="2" t="s">
        <v>596</v>
      </c>
      <c r="H1478" s="2">
        <v>61</v>
      </c>
      <c r="I1478" s="2">
        <v>0</v>
      </c>
      <c r="J1478" s="2">
        <v>20</v>
      </c>
      <c r="K1478" s="2">
        <v>30</v>
      </c>
      <c r="L1478" s="2">
        <v>0</v>
      </c>
      <c r="M1478" s="2"/>
      <c r="N1478" s="2" t="s">
        <v>95</v>
      </c>
      <c r="O1478" s="10">
        <v>0</v>
      </c>
      <c r="P1478" s="10">
        <v>2</v>
      </c>
      <c r="Q1478" s="184">
        <v>0</v>
      </c>
      <c r="R1478" s="184">
        <v>2</v>
      </c>
      <c r="S1478" s="178">
        <f t="shared" si="160"/>
        <v>2</v>
      </c>
      <c r="T1478" s="186">
        <f t="shared" si="161"/>
        <v>2</v>
      </c>
      <c r="U1478" s="179">
        <f t="shared" si="162"/>
        <v>0</v>
      </c>
      <c r="V1478" s="1">
        <f t="shared" si="163"/>
        <v>25</v>
      </c>
      <c r="W1478" s="8">
        <f t="shared" si="158"/>
        <v>6.25</v>
      </c>
      <c r="X1478" s="15">
        <f t="shared" si="159"/>
        <v>8106.25</v>
      </c>
      <c r="Y1478"/>
      <c r="Z1478"/>
      <c r="AA1478"/>
      <c r="AB1478"/>
      <c r="AC1478"/>
      <c r="AD1478"/>
    </row>
    <row r="1479" spans="2:30">
      <c r="B1479" s="2" t="s">
        <v>270</v>
      </c>
      <c r="C1479" s="2" t="s">
        <v>67</v>
      </c>
      <c r="D1479" s="2" t="s">
        <v>68</v>
      </c>
      <c r="E1479" s="3">
        <v>45406.8125</v>
      </c>
      <c r="F1479" s="2" t="s">
        <v>265</v>
      </c>
      <c r="G1479" s="2" t="s">
        <v>343</v>
      </c>
      <c r="H1479" s="2">
        <v>61</v>
      </c>
      <c r="I1479" s="2">
        <v>0</v>
      </c>
      <c r="J1479" s="2">
        <v>20</v>
      </c>
      <c r="K1479" s="2">
        <v>34</v>
      </c>
      <c r="L1479" s="2">
        <v>2.5499999999999998</v>
      </c>
      <c r="M1479" s="2"/>
      <c r="N1479" s="2" t="s">
        <v>95</v>
      </c>
      <c r="O1479" s="10">
        <v>1</v>
      </c>
      <c r="P1479" s="10">
        <v>0</v>
      </c>
      <c r="Q1479" s="184">
        <v>4</v>
      </c>
      <c r="R1479" s="184">
        <v>0</v>
      </c>
      <c r="S1479" s="178">
        <f t="shared" si="160"/>
        <v>1</v>
      </c>
      <c r="T1479" s="186">
        <f t="shared" si="161"/>
        <v>4</v>
      </c>
      <c r="U1479" s="179">
        <f t="shared" si="162"/>
        <v>3</v>
      </c>
      <c r="V1479" s="1">
        <f t="shared" si="163"/>
        <v>25</v>
      </c>
      <c r="W1479" s="8">
        <f t="shared" si="158"/>
        <v>6.25</v>
      </c>
      <c r="X1479" s="15">
        <f t="shared" si="159"/>
        <v>8112.5</v>
      </c>
      <c r="Y1479"/>
      <c r="Z1479"/>
      <c r="AA1479"/>
      <c r="AB1479"/>
      <c r="AC1479"/>
      <c r="AD1479"/>
    </row>
    <row r="1480" spans="2:30">
      <c r="B1480" s="2" t="s">
        <v>270</v>
      </c>
      <c r="C1480" s="2" t="s">
        <v>6</v>
      </c>
      <c r="D1480" s="2" t="s">
        <v>62</v>
      </c>
      <c r="E1480" s="3">
        <v>45406.822916666664</v>
      </c>
      <c r="F1480" s="2" t="s">
        <v>64</v>
      </c>
      <c r="G1480" s="2" t="s">
        <v>117</v>
      </c>
      <c r="H1480" s="2">
        <v>68</v>
      </c>
      <c r="I1480" s="2">
        <v>0</v>
      </c>
      <c r="J1480" s="2">
        <v>20</v>
      </c>
      <c r="K1480" s="2">
        <v>29</v>
      </c>
      <c r="L1480" s="2">
        <v>2.76</v>
      </c>
      <c r="M1480" s="2"/>
      <c r="N1480" s="2" t="s">
        <v>95</v>
      </c>
      <c r="O1480" s="10">
        <v>0</v>
      </c>
      <c r="P1480" s="10">
        <v>1</v>
      </c>
      <c r="Q1480" s="184">
        <v>0</v>
      </c>
      <c r="R1480" s="184">
        <v>1</v>
      </c>
      <c r="S1480" s="178">
        <f t="shared" si="160"/>
        <v>1</v>
      </c>
      <c r="T1480" s="186">
        <f t="shared" si="161"/>
        <v>1</v>
      </c>
      <c r="U1480" s="179">
        <f t="shared" si="162"/>
        <v>0</v>
      </c>
      <c r="V1480" s="1">
        <f t="shared" si="163"/>
        <v>25</v>
      </c>
      <c r="W1480" s="8">
        <f t="shared" si="158"/>
        <v>6.25</v>
      </c>
      <c r="X1480" s="15">
        <f t="shared" si="159"/>
        <v>8118.75</v>
      </c>
      <c r="Y1480"/>
      <c r="Z1480"/>
      <c r="AA1480"/>
      <c r="AB1480"/>
      <c r="AC1480"/>
      <c r="AD1480"/>
    </row>
    <row r="1481" spans="2:30">
      <c r="B1481" s="2" t="s">
        <v>270</v>
      </c>
      <c r="C1481" s="2" t="s">
        <v>6</v>
      </c>
      <c r="D1481" s="2" t="s">
        <v>62</v>
      </c>
      <c r="E1481" s="3">
        <v>45406.833333333336</v>
      </c>
      <c r="F1481" s="2" t="s">
        <v>66</v>
      </c>
      <c r="G1481" s="2" t="s">
        <v>164</v>
      </c>
      <c r="H1481" s="2">
        <v>59</v>
      </c>
      <c r="I1481" s="2">
        <v>0</v>
      </c>
      <c r="J1481" s="2">
        <v>20</v>
      </c>
      <c r="K1481" s="2">
        <v>32</v>
      </c>
      <c r="L1481" s="2">
        <v>3.14</v>
      </c>
      <c r="M1481" s="2"/>
      <c r="N1481" s="2" t="s">
        <v>95</v>
      </c>
      <c r="O1481" s="10">
        <v>0</v>
      </c>
      <c r="P1481" s="10">
        <v>0</v>
      </c>
      <c r="Q1481" s="184">
        <v>2</v>
      </c>
      <c r="R1481" s="184">
        <v>0</v>
      </c>
      <c r="S1481" s="178">
        <f t="shared" si="160"/>
        <v>0</v>
      </c>
      <c r="T1481" s="186">
        <f t="shared" si="161"/>
        <v>2</v>
      </c>
      <c r="U1481" s="179">
        <f t="shared" si="162"/>
        <v>2</v>
      </c>
      <c r="V1481" s="1">
        <f t="shared" si="163"/>
        <v>25</v>
      </c>
      <c r="W1481" s="8">
        <f t="shared" si="158"/>
        <v>6.25</v>
      </c>
      <c r="X1481" s="15">
        <f t="shared" si="159"/>
        <v>8125</v>
      </c>
      <c r="Y1481"/>
      <c r="Z1481"/>
      <c r="AA1481"/>
      <c r="AB1481"/>
      <c r="AC1481"/>
      <c r="AD1481"/>
    </row>
    <row r="1482" spans="2:30">
      <c r="B1482" s="2" t="s">
        <v>270</v>
      </c>
      <c r="C1482" s="2" t="s">
        <v>6</v>
      </c>
      <c r="D1482" s="2" t="s">
        <v>62</v>
      </c>
      <c r="E1482" s="3">
        <v>45406.833333333336</v>
      </c>
      <c r="F1482" s="2" t="s">
        <v>383</v>
      </c>
      <c r="G1482" s="2" t="s">
        <v>85</v>
      </c>
      <c r="H1482" s="2">
        <v>60</v>
      </c>
      <c r="I1482" s="2">
        <v>0</v>
      </c>
      <c r="J1482" s="2">
        <v>20</v>
      </c>
      <c r="K1482" s="2">
        <v>29</v>
      </c>
      <c r="L1482" s="2">
        <v>2.71</v>
      </c>
      <c r="M1482" s="2"/>
      <c r="N1482" s="2" t="s">
        <v>95</v>
      </c>
      <c r="O1482" s="10">
        <v>1</v>
      </c>
      <c r="P1482" s="10">
        <v>1</v>
      </c>
      <c r="Q1482" s="184">
        <v>4</v>
      </c>
      <c r="R1482" s="184">
        <v>2</v>
      </c>
      <c r="S1482" s="178">
        <f t="shared" si="160"/>
        <v>2</v>
      </c>
      <c r="T1482" s="186">
        <f t="shared" si="161"/>
        <v>6</v>
      </c>
      <c r="U1482" s="179">
        <f t="shared" si="162"/>
        <v>4</v>
      </c>
      <c r="V1482" s="1">
        <f t="shared" si="163"/>
        <v>25</v>
      </c>
      <c r="W1482" s="8">
        <f t="shared" si="158"/>
        <v>6.25</v>
      </c>
      <c r="X1482" s="15">
        <f t="shared" si="159"/>
        <v>8131.25</v>
      </c>
      <c r="Y1482"/>
      <c r="Z1482"/>
      <c r="AA1482"/>
      <c r="AB1482"/>
      <c r="AC1482"/>
      <c r="AD1482"/>
    </row>
    <row r="1483" spans="2:30">
      <c r="B1483" s="2" t="s">
        <v>270</v>
      </c>
      <c r="C1483" s="2" t="s">
        <v>67</v>
      </c>
      <c r="D1483" s="2" t="s">
        <v>68</v>
      </c>
      <c r="E1483" s="3">
        <v>45407.8125</v>
      </c>
      <c r="F1483" s="2" t="s">
        <v>371</v>
      </c>
      <c r="G1483" s="2" t="s">
        <v>465</v>
      </c>
      <c r="H1483" s="2">
        <v>59</v>
      </c>
      <c r="I1483" s="2">
        <v>0</v>
      </c>
      <c r="J1483" s="2">
        <v>20</v>
      </c>
      <c r="K1483" s="2">
        <v>36</v>
      </c>
      <c r="L1483" s="2">
        <v>2.33</v>
      </c>
      <c r="M1483" s="2"/>
      <c r="N1483" s="2" t="s">
        <v>95</v>
      </c>
      <c r="O1483" s="9">
        <v>0</v>
      </c>
      <c r="P1483" s="9">
        <v>0</v>
      </c>
      <c r="Q1483" s="184">
        <v>0</v>
      </c>
      <c r="R1483" s="184">
        <v>3</v>
      </c>
      <c r="S1483" s="178">
        <f t="shared" si="160"/>
        <v>0</v>
      </c>
      <c r="T1483" s="186">
        <f t="shared" si="161"/>
        <v>3</v>
      </c>
      <c r="U1483" s="179">
        <f t="shared" si="162"/>
        <v>3</v>
      </c>
      <c r="V1483" s="1">
        <f t="shared" si="163"/>
        <v>25</v>
      </c>
      <c r="W1483" s="8">
        <f t="shared" si="158"/>
        <v>6.25</v>
      </c>
      <c r="X1483" s="15">
        <f t="shared" si="159"/>
        <v>8137.5</v>
      </c>
      <c r="Y1483"/>
      <c r="Z1483"/>
      <c r="AA1483"/>
      <c r="AB1483"/>
      <c r="AC1483"/>
      <c r="AD1483"/>
    </row>
    <row r="1484" spans="2:30">
      <c r="B1484" s="2" t="s">
        <v>270</v>
      </c>
      <c r="C1484" s="2" t="s">
        <v>149</v>
      </c>
      <c r="D1484" s="2" t="s">
        <v>150</v>
      </c>
      <c r="E1484" s="3">
        <v>45408.791666666664</v>
      </c>
      <c r="F1484" s="2" t="s">
        <v>179</v>
      </c>
      <c r="G1484" s="2" t="s">
        <v>152</v>
      </c>
      <c r="H1484" s="2">
        <v>62</v>
      </c>
      <c r="I1484" s="2">
        <v>0</v>
      </c>
      <c r="J1484" s="2">
        <v>20</v>
      </c>
      <c r="K1484" s="2">
        <v>32</v>
      </c>
      <c r="L1484" s="2">
        <v>2.48</v>
      </c>
      <c r="M1484" s="2"/>
      <c r="N1484" s="2" t="s">
        <v>95</v>
      </c>
      <c r="O1484" s="10">
        <v>1</v>
      </c>
      <c r="P1484" s="10">
        <v>0</v>
      </c>
      <c r="Q1484" s="184">
        <v>3</v>
      </c>
      <c r="R1484" s="184">
        <v>0</v>
      </c>
      <c r="S1484" s="178">
        <f t="shared" si="160"/>
        <v>1</v>
      </c>
      <c r="T1484" s="186">
        <f t="shared" si="161"/>
        <v>3</v>
      </c>
      <c r="U1484" s="179">
        <f t="shared" si="162"/>
        <v>2</v>
      </c>
      <c r="V1484" s="1">
        <f t="shared" si="163"/>
        <v>25</v>
      </c>
      <c r="W1484" s="8">
        <f t="shared" si="158"/>
        <v>6.25</v>
      </c>
      <c r="X1484" s="15">
        <f t="shared" si="159"/>
        <v>8143.75</v>
      </c>
      <c r="Y1484"/>
      <c r="Z1484"/>
      <c r="AA1484"/>
      <c r="AB1484"/>
      <c r="AC1484"/>
      <c r="AD1484"/>
    </row>
    <row r="1485" spans="2:30">
      <c r="B1485" s="2" t="s">
        <v>270</v>
      </c>
      <c r="C1485" s="2" t="s">
        <v>77</v>
      </c>
      <c r="D1485" s="2" t="s">
        <v>156</v>
      </c>
      <c r="E1485" s="3">
        <v>45408.8125</v>
      </c>
      <c r="F1485" s="2" t="s">
        <v>239</v>
      </c>
      <c r="G1485" s="2" t="s">
        <v>158</v>
      </c>
      <c r="H1485" s="2">
        <v>64</v>
      </c>
      <c r="I1485" s="2">
        <v>0</v>
      </c>
      <c r="J1485" s="2">
        <v>20</v>
      </c>
      <c r="K1485" s="2">
        <v>31</v>
      </c>
      <c r="L1485" s="2">
        <v>3.53</v>
      </c>
      <c r="M1485" s="2"/>
      <c r="N1485" s="2" t="s">
        <v>95</v>
      </c>
      <c r="O1485" s="10">
        <v>2</v>
      </c>
      <c r="P1485" s="10">
        <v>0</v>
      </c>
      <c r="Q1485" s="184">
        <v>3</v>
      </c>
      <c r="R1485" s="184">
        <v>2</v>
      </c>
      <c r="S1485" s="178">
        <f t="shared" si="160"/>
        <v>2</v>
      </c>
      <c r="T1485" s="186">
        <f t="shared" si="161"/>
        <v>5</v>
      </c>
      <c r="U1485" s="179">
        <f t="shared" si="162"/>
        <v>3</v>
      </c>
      <c r="V1485" s="1">
        <f t="shared" si="163"/>
        <v>25</v>
      </c>
      <c r="W1485" s="8">
        <f t="shared" si="158"/>
        <v>6.25</v>
      </c>
      <c r="X1485" s="15">
        <f t="shared" si="159"/>
        <v>8150</v>
      </c>
      <c r="Y1485"/>
      <c r="Z1485"/>
      <c r="AA1485"/>
      <c r="AB1485"/>
      <c r="AC1485"/>
      <c r="AD1485"/>
    </row>
    <row r="1486" spans="2:30">
      <c r="B1486" s="2" t="s">
        <v>270</v>
      </c>
      <c r="C1486" s="2" t="s">
        <v>6</v>
      </c>
      <c r="D1486" s="2" t="s">
        <v>11</v>
      </c>
      <c r="E1486" s="3">
        <v>45409.520833333336</v>
      </c>
      <c r="F1486" s="2" t="s">
        <v>231</v>
      </c>
      <c r="G1486" s="2" t="s">
        <v>585</v>
      </c>
      <c r="H1486" s="2">
        <v>62</v>
      </c>
      <c r="I1486" s="2">
        <v>0</v>
      </c>
      <c r="J1486" s="2">
        <v>20</v>
      </c>
      <c r="K1486" s="2">
        <v>37</v>
      </c>
      <c r="L1486" s="2">
        <v>1.76</v>
      </c>
      <c r="M1486" s="2"/>
      <c r="N1486" s="2" t="s">
        <v>95</v>
      </c>
      <c r="O1486" s="10">
        <v>1</v>
      </c>
      <c r="P1486" s="10">
        <v>0</v>
      </c>
      <c r="Q1486" s="184">
        <v>2</v>
      </c>
      <c r="R1486" s="184">
        <v>0</v>
      </c>
      <c r="S1486" s="178">
        <f t="shared" si="160"/>
        <v>1</v>
      </c>
      <c r="T1486" s="186">
        <f t="shared" si="161"/>
        <v>2</v>
      </c>
      <c r="U1486" s="179">
        <f t="shared" si="162"/>
        <v>1</v>
      </c>
      <c r="V1486" s="1">
        <f t="shared" si="163"/>
        <v>25</v>
      </c>
      <c r="W1486" s="8">
        <f t="shared" si="158"/>
        <v>6.25</v>
      </c>
      <c r="X1486" s="15">
        <f t="shared" si="159"/>
        <v>8156.25</v>
      </c>
      <c r="Y1486"/>
      <c r="Z1486"/>
      <c r="AA1486"/>
      <c r="AB1486"/>
      <c r="AC1486"/>
      <c r="AD1486"/>
    </row>
    <row r="1487" spans="2:30">
      <c r="B1487" s="2" t="s">
        <v>270</v>
      </c>
      <c r="C1487" s="2" t="s">
        <v>77</v>
      </c>
      <c r="D1487" s="2" t="s">
        <v>156</v>
      </c>
      <c r="E1487" s="3">
        <v>45409.604166666664</v>
      </c>
      <c r="F1487" s="2" t="s">
        <v>157</v>
      </c>
      <c r="G1487" s="2" t="s">
        <v>182</v>
      </c>
      <c r="H1487" s="2">
        <v>61</v>
      </c>
      <c r="I1487" s="2">
        <v>0</v>
      </c>
      <c r="J1487" s="2">
        <v>20</v>
      </c>
      <c r="K1487" s="2">
        <v>31</v>
      </c>
      <c r="L1487" s="2">
        <v>3.34</v>
      </c>
      <c r="M1487" s="2"/>
      <c r="N1487" s="2" t="s">
        <v>95</v>
      </c>
      <c r="O1487" s="10">
        <v>1</v>
      </c>
      <c r="P1487" s="10">
        <v>1</v>
      </c>
      <c r="Q1487" s="184">
        <v>2</v>
      </c>
      <c r="R1487" s="184">
        <v>1</v>
      </c>
      <c r="S1487" s="178">
        <f t="shared" si="160"/>
        <v>2</v>
      </c>
      <c r="T1487" s="186">
        <f t="shared" si="161"/>
        <v>3</v>
      </c>
      <c r="U1487" s="179">
        <f t="shared" si="162"/>
        <v>1</v>
      </c>
      <c r="V1487" s="1">
        <f t="shared" si="163"/>
        <v>25</v>
      </c>
      <c r="W1487" s="8">
        <f t="shared" si="158"/>
        <v>6.25</v>
      </c>
      <c r="X1487" s="15">
        <f t="shared" si="159"/>
        <v>8162.5</v>
      </c>
      <c r="Y1487"/>
      <c r="Z1487"/>
      <c r="AA1487"/>
      <c r="AB1487"/>
      <c r="AC1487"/>
      <c r="AD1487"/>
    </row>
    <row r="1488" spans="2:30">
      <c r="B1488" s="2" t="s">
        <v>270</v>
      </c>
      <c r="C1488" s="2" t="s">
        <v>77</v>
      </c>
      <c r="D1488" s="2" t="s">
        <v>156</v>
      </c>
      <c r="E1488" s="3">
        <v>45409.604166666664</v>
      </c>
      <c r="F1488" s="2" t="s">
        <v>284</v>
      </c>
      <c r="G1488" s="2" t="s">
        <v>254</v>
      </c>
      <c r="H1488" s="2">
        <v>61</v>
      </c>
      <c r="I1488" s="2">
        <v>0</v>
      </c>
      <c r="J1488" s="2">
        <v>20</v>
      </c>
      <c r="K1488" s="2">
        <v>35</v>
      </c>
      <c r="L1488" s="2">
        <v>3.09</v>
      </c>
      <c r="M1488" s="2"/>
      <c r="N1488" s="2" t="s">
        <v>95</v>
      </c>
      <c r="O1488" s="10">
        <v>0</v>
      </c>
      <c r="P1488" s="10">
        <v>0</v>
      </c>
      <c r="Q1488" s="184">
        <v>0</v>
      </c>
      <c r="R1488" s="184">
        <v>3</v>
      </c>
      <c r="S1488" s="178">
        <f t="shared" si="160"/>
        <v>0</v>
      </c>
      <c r="T1488" s="186">
        <f t="shared" si="161"/>
        <v>3</v>
      </c>
      <c r="U1488" s="179">
        <f t="shared" si="162"/>
        <v>3</v>
      </c>
      <c r="V1488" s="1">
        <f t="shared" si="163"/>
        <v>25</v>
      </c>
      <c r="W1488" s="8">
        <f t="shared" si="158"/>
        <v>6.25</v>
      </c>
      <c r="X1488" s="15">
        <f t="shared" si="159"/>
        <v>8168.75</v>
      </c>
      <c r="Y1488"/>
      <c r="Z1488"/>
      <c r="AA1488"/>
      <c r="AB1488"/>
      <c r="AC1488"/>
      <c r="AD1488"/>
    </row>
    <row r="1489" spans="2:30">
      <c r="B1489" s="2" t="s">
        <v>270</v>
      </c>
      <c r="C1489" s="2" t="s">
        <v>6</v>
      </c>
      <c r="D1489" s="2" t="s">
        <v>62</v>
      </c>
      <c r="E1489" s="3">
        <v>45409.625</v>
      </c>
      <c r="F1489" s="2" t="s">
        <v>383</v>
      </c>
      <c r="G1489" s="2" t="s">
        <v>103</v>
      </c>
      <c r="H1489" s="2">
        <v>59</v>
      </c>
      <c r="I1489" s="2">
        <v>0</v>
      </c>
      <c r="J1489" s="2">
        <v>20</v>
      </c>
      <c r="K1489" s="2">
        <v>32</v>
      </c>
      <c r="L1489" s="2">
        <v>2.97</v>
      </c>
      <c r="M1489" s="2"/>
      <c r="N1489" s="2" t="s">
        <v>95</v>
      </c>
      <c r="O1489" s="10">
        <v>0</v>
      </c>
      <c r="P1489" s="10">
        <v>0</v>
      </c>
      <c r="Q1489" s="184">
        <v>1</v>
      </c>
      <c r="R1489" s="184">
        <v>1</v>
      </c>
      <c r="S1489" s="178">
        <f t="shared" si="160"/>
        <v>0</v>
      </c>
      <c r="T1489" s="186">
        <f t="shared" si="161"/>
        <v>2</v>
      </c>
      <c r="U1489" s="179">
        <f t="shared" si="162"/>
        <v>2</v>
      </c>
      <c r="V1489" s="1">
        <f t="shared" si="163"/>
        <v>25</v>
      </c>
      <c r="W1489" s="8">
        <f t="shared" si="158"/>
        <v>6.25</v>
      </c>
      <c r="X1489" s="15">
        <f t="shared" si="159"/>
        <v>8175</v>
      </c>
      <c r="Y1489"/>
      <c r="Z1489"/>
      <c r="AA1489"/>
      <c r="AB1489"/>
      <c r="AC1489"/>
      <c r="AD1489"/>
    </row>
    <row r="1490" spans="2:30">
      <c r="B1490" s="2" t="s">
        <v>270</v>
      </c>
      <c r="C1490" s="2" t="s">
        <v>6</v>
      </c>
      <c r="D1490" s="2" t="s">
        <v>62</v>
      </c>
      <c r="E1490" s="3">
        <v>45409.625</v>
      </c>
      <c r="F1490" s="2" t="s">
        <v>164</v>
      </c>
      <c r="G1490" s="2" t="s">
        <v>85</v>
      </c>
      <c r="H1490" s="2">
        <v>60</v>
      </c>
      <c r="I1490" s="2">
        <v>0</v>
      </c>
      <c r="J1490" s="2">
        <v>20</v>
      </c>
      <c r="K1490" s="2">
        <v>32</v>
      </c>
      <c r="L1490" s="2">
        <v>3.45</v>
      </c>
      <c r="M1490" s="2"/>
      <c r="N1490" s="2" t="s">
        <v>95</v>
      </c>
      <c r="O1490" s="10">
        <v>1</v>
      </c>
      <c r="P1490" s="10">
        <v>1</v>
      </c>
      <c r="Q1490" s="184">
        <v>5</v>
      </c>
      <c r="R1490" s="184">
        <v>1</v>
      </c>
      <c r="S1490" s="178">
        <f t="shared" si="160"/>
        <v>2</v>
      </c>
      <c r="T1490" s="186">
        <f t="shared" si="161"/>
        <v>6</v>
      </c>
      <c r="U1490" s="179">
        <f t="shared" si="162"/>
        <v>4</v>
      </c>
      <c r="V1490" s="1">
        <f t="shared" si="163"/>
        <v>25</v>
      </c>
      <c r="W1490" s="8">
        <f t="shared" si="158"/>
        <v>6.25</v>
      </c>
      <c r="X1490" s="15">
        <f t="shared" si="159"/>
        <v>8181.25</v>
      </c>
      <c r="Y1490"/>
      <c r="Z1490"/>
      <c r="AA1490"/>
      <c r="AB1490"/>
      <c r="AC1490"/>
      <c r="AD1490"/>
    </row>
    <row r="1491" spans="2:30">
      <c r="B1491" s="2" t="s">
        <v>270</v>
      </c>
      <c r="C1491" s="2" t="s">
        <v>626</v>
      </c>
      <c r="D1491" s="2" t="s">
        <v>627</v>
      </c>
      <c r="E1491" s="3">
        <v>45409.625</v>
      </c>
      <c r="F1491" s="2" t="s">
        <v>774</v>
      </c>
      <c r="G1491" s="2" t="s">
        <v>775</v>
      </c>
      <c r="H1491" s="2">
        <v>59</v>
      </c>
      <c r="I1491" s="2">
        <v>0</v>
      </c>
      <c r="J1491" s="2">
        <v>20</v>
      </c>
      <c r="K1491" s="2">
        <v>45</v>
      </c>
      <c r="L1491" s="2">
        <v>0</v>
      </c>
      <c r="M1491" s="2"/>
      <c r="N1491" s="2" t="s">
        <v>95</v>
      </c>
      <c r="O1491" s="10">
        <v>0</v>
      </c>
      <c r="P1491" s="10">
        <v>2</v>
      </c>
      <c r="Q1491" s="184">
        <v>1</v>
      </c>
      <c r="R1491" s="184">
        <v>4</v>
      </c>
      <c r="S1491" s="178">
        <f t="shared" si="160"/>
        <v>2</v>
      </c>
      <c r="T1491" s="186">
        <f t="shared" si="161"/>
        <v>5</v>
      </c>
      <c r="U1491" s="179">
        <f t="shared" si="162"/>
        <v>3</v>
      </c>
      <c r="V1491" s="1">
        <f t="shared" si="163"/>
        <v>25</v>
      </c>
      <c r="W1491" s="8">
        <f t="shared" si="158"/>
        <v>6.25</v>
      </c>
      <c r="X1491" s="15">
        <f t="shared" si="159"/>
        <v>8187.5</v>
      </c>
      <c r="Y1491"/>
      <c r="Z1491"/>
      <c r="AA1491"/>
      <c r="AB1491"/>
      <c r="AC1491"/>
      <c r="AD1491"/>
    </row>
    <row r="1492" spans="2:30">
      <c r="B1492" s="2" t="s">
        <v>270</v>
      </c>
      <c r="C1492" s="2" t="s">
        <v>6</v>
      </c>
      <c r="D1492" s="2" t="s">
        <v>62</v>
      </c>
      <c r="E1492" s="3">
        <v>45409.625</v>
      </c>
      <c r="F1492" s="2" t="s">
        <v>64</v>
      </c>
      <c r="G1492" s="2" t="s">
        <v>86</v>
      </c>
      <c r="H1492" s="2">
        <v>65</v>
      </c>
      <c r="I1492" s="2">
        <v>0</v>
      </c>
      <c r="J1492" s="2">
        <v>20</v>
      </c>
      <c r="K1492" s="2">
        <v>25</v>
      </c>
      <c r="L1492" s="2">
        <v>2.94</v>
      </c>
      <c r="M1492" s="2"/>
      <c r="N1492" s="2" t="s">
        <v>95</v>
      </c>
      <c r="O1492" s="10">
        <v>1</v>
      </c>
      <c r="P1492" s="10">
        <v>0</v>
      </c>
      <c r="Q1492" s="184">
        <v>2</v>
      </c>
      <c r="R1492" s="184">
        <v>1</v>
      </c>
      <c r="S1492" s="178">
        <f t="shared" si="160"/>
        <v>1</v>
      </c>
      <c r="T1492" s="186">
        <f t="shared" si="161"/>
        <v>3</v>
      </c>
      <c r="U1492" s="179">
        <f t="shared" si="162"/>
        <v>2</v>
      </c>
      <c r="V1492" s="1">
        <f t="shared" si="163"/>
        <v>25</v>
      </c>
      <c r="W1492" s="8">
        <f t="shared" si="158"/>
        <v>6.25</v>
      </c>
      <c r="X1492" s="15">
        <f t="shared" si="159"/>
        <v>8193.75</v>
      </c>
      <c r="Y1492"/>
      <c r="Z1492"/>
      <c r="AA1492"/>
      <c r="AB1492"/>
      <c r="AC1492"/>
      <c r="AD1492"/>
    </row>
    <row r="1493" spans="2:30">
      <c r="B1493" s="2" t="s">
        <v>270</v>
      </c>
      <c r="C1493" s="2" t="s">
        <v>296</v>
      </c>
      <c r="D1493" s="2" t="s">
        <v>525</v>
      </c>
      <c r="E1493" s="3">
        <v>45409.708333333336</v>
      </c>
      <c r="F1493" s="2" t="s">
        <v>596</v>
      </c>
      <c r="G1493" s="2" t="s">
        <v>589</v>
      </c>
      <c r="H1493" s="2">
        <v>61</v>
      </c>
      <c r="I1493" s="2">
        <v>0</v>
      </c>
      <c r="J1493" s="2">
        <v>20</v>
      </c>
      <c r="K1493" s="2">
        <v>27</v>
      </c>
      <c r="L1493" s="2">
        <v>0</v>
      </c>
      <c r="M1493" s="2"/>
      <c r="N1493" s="2" t="s">
        <v>95</v>
      </c>
      <c r="O1493" s="10">
        <v>2</v>
      </c>
      <c r="P1493" s="10">
        <v>0</v>
      </c>
      <c r="Q1493" s="184">
        <v>6</v>
      </c>
      <c r="R1493" s="184">
        <v>0</v>
      </c>
      <c r="S1493" s="178">
        <f t="shared" si="160"/>
        <v>2</v>
      </c>
      <c r="T1493" s="186">
        <f t="shared" si="161"/>
        <v>6</v>
      </c>
      <c r="U1493" s="179">
        <f t="shared" si="162"/>
        <v>4</v>
      </c>
      <c r="V1493" s="1">
        <f t="shared" si="163"/>
        <v>25</v>
      </c>
      <c r="W1493" s="8">
        <f t="shared" si="158"/>
        <v>6.25</v>
      </c>
      <c r="X1493" s="15">
        <f t="shared" si="159"/>
        <v>8200</v>
      </c>
      <c r="Y1493"/>
      <c r="Z1493"/>
      <c r="AA1493"/>
      <c r="AB1493"/>
      <c r="AC1493"/>
      <c r="AD1493"/>
    </row>
    <row r="1494" spans="2:30">
      <c r="B1494" s="2" t="s">
        <v>270</v>
      </c>
      <c r="C1494" s="2" t="s">
        <v>6</v>
      </c>
      <c r="D1494" s="2" t="s">
        <v>62</v>
      </c>
      <c r="E1494" s="3">
        <v>45409.833333333336</v>
      </c>
      <c r="F1494" s="2" t="s">
        <v>102</v>
      </c>
      <c r="G1494" s="2" t="s">
        <v>65</v>
      </c>
      <c r="H1494" s="2">
        <v>64</v>
      </c>
      <c r="I1494" s="2">
        <v>0</v>
      </c>
      <c r="J1494" s="2">
        <v>20</v>
      </c>
      <c r="K1494" s="2">
        <v>31</v>
      </c>
      <c r="L1494" s="2">
        <v>3.35</v>
      </c>
      <c r="M1494" s="2"/>
      <c r="N1494" s="2" t="s">
        <v>95</v>
      </c>
      <c r="O1494" s="10">
        <v>2</v>
      </c>
      <c r="P1494" s="10">
        <v>0</v>
      </c>
      <c r="Q1494" s="184">
        <v>2</v>
      </c>
      <c r="R1494" s="184">
        <v>2</v>
      </c>
      <c r="S1494" s="178">
        <f t="shared" si="160"/>
        <v>2</v>
      </c>
      <c r="T1494" s="186">
        <f t="shared" si="161"/>
        <v>4</v>
      </c>
      <c r="U1494" s="179">
        <f t="shared" si="162"/>
        <v>2</v>
      </c>
      <c r="V1494" s="1">
        <f t="shared" si="163"/>
        <v>25</v>
      </c>
      <c r="W1494" s="8">
        <f t="shared" ref="W1494:W1557" si="164">IF(N1494="won",V1494*0.25,-V1494)</f>
        <v>6.25</v>
      </c>
      <c r="X1494" s="15">
        <f t="shared" ref="X1494:X1557" si="165">SUM(X1493,W1494)</f>
        <v>8206.25</v>
      </c>
      <c r="Y1494"/>
      <c r="Z1494"/>
      <c r="AA1494"/>
      <c r="AB1494"/>
      <c r="AC1494"/>
      <c r="AD1494"/>
    </row>
    <row r="1495" spans="2:30">
      <c r="B1495" s="2" t="s">
        <v>270</v>
      </c>
      <c r="C1495" s="2" t="s">
        <v>44</v>
      </c>
      <c r="D1495" s="2" t="s">
        <v>45</v>
      </c>
      <c r="E1495" s="3">
        <v>45410.25</v>
      </c>
      <c r="F1495" s="2" t="s">
        <v>46</v>
      </c>
      <c r="G1495" s="2" t="s">
        <v>131</v>
      </c>
      <c r="H1495" s="2">
        <v>63</v>
      </c>
      <c r="I1495" s="2">
        <v>0</v>
      </c>
      <c r="J1495" s="2">
        <v>20</v>
      </c>
      <c r="K1495" s="2">
        <v>33</v>
      </c>
      <c r="L1495" s="2">
        <v>2.99</v>
      </c>
      <c r="M1495" s="2"/>
      <c r="N1495" s="2" t="s">
        <v>95</v>
      </c>
      <c r="O1495" s="10">
        <v>3</v>
      </c>
      <c r="P1495" s="10">
        <v>0</v>
      </c>
      <c r="Q1495" s="184">
        <v>7</v>
      </c>
      <c r="R1495" s="184">
        <v>1</v>
      </c>
      <c r="S1495" s="178">
        <f t="shared" si="160"/>
        <v>3</v>
      </c>
      <c r="T1495" s="186">
        <f t="shared" si="161"/>
        <v>8</v>
      </c>
      <c r="U1495" s="179">
        <f t="shared" si="162"/>
        <v>5</v>
      </c>
      <c r="V1495" s="1">
        <f t="shared" si="163"/>
        <v>25</v>
      </c>
      <c r="W1495" s="8">
        <f t="shared" si="164"/>
        <v>6.25</v>
      </c>
      <c r="X1495" s="15">
        <f t="shared" si="165"/>
        <v>8212.5</v>
      </c>
      <c r="Y1495"/>
      <c r="Z1495"/>
      <c r="AA1495"/>
      <c r="AB1495"/>
      <c r="AC1495"/>
      <c r="AD1495"/>
    </row>
    <row r="1496" spans="2:30">
      <c r="B1496" s="2" t="s">
        <v>270</v>
      </c>
      <c r="C1496" s="2" t="s">
        <v>80</v>
      </c>
      <c r="D1496" s="2" t="s">
        <v>81</v>
      </c>
      <c r="E1496" s="3">
        <v>45410.583333333336</v>
      </c>
      <c r="F1496" s="2" t="s">
        <v>293</v>
      </c>
      <c r="G1496" s="2" t="s">
        <v>310</v>
      </c>
      <c r="H1496" s="2">
        <v>67</v>
      </c>
      <c r="I1496" s="2">
        <v>0</v>
      </c>
      <c r="J1496" s="2">
        <v>20</v>
      </c>
      <c r="K1496" s="2">
        <v>49</v>
      </c>
      <c r="L1496" s="2">
        <v>2.68</v>
      </c>
      <c r="M1496" s="2"/>
      <c r="N1496" s="2" t="s">
        <v>95</v>
      </c>
      <c r="O1496" s="10">
        <v>3</v>
      </c>
      <c r="P1496" s="10">
        <v>0</v>
      </c>
      <c r="Q1496" s="184">
        <v>6</v>
      </c>
      <c r="R1496" s="184">
        <v>0</v>
      </c>
      <c r="S1496" s="178">
        <f t="shared" si="160"/>
        <v>3</v>
      </c>
      <c r="T1496" s="186">
        <f t="shared" si="161"/>
        <v>6</v>
      </c>
      <c r="U1496" s="179">
        <f t="shared" si="162"/>
        <v>3</v>
      </c>
      <c r="V1496" s="1">
        <f t="shared" si="163"/>
        <v>25</v>
      </c>
      <c r="W1496" s="8">
        <f t="shared" si="164"/>
        <v>6.25</v>
      </c>
      <c r="X1496" s="15">
        <f t="shared" si="165"/>
        <v>8218.75</v>
      </c>
      <c r="Y1496"/>
      <c r="Z1496"/>
      <c r="AA1496"/>
      <c r="AB1496"/>
      <c r="AC1496"/>
      <c r="AD1496"/>
    </row>
    <row r="1497" spans="2:30">
      <c r="B1497" s="2" t="s">
        <v>270</v>
      </c>
      <c r="C1497" s="2" t="s">
        <v>145</v>
      </c>
      <c r="D1497" s="2" t="s">
        <v>190</v>
      </c>
      <c r="E1497" s="3">
        <v>45410.670138888891</v>
      </c>
      <c r="F1497" s="2" t="s">
        <v>339</v>
      </c>
      <c r="G1497" s="2" t="s">
        <v>783</v>
      </c>
      <c r="H1497" s="2">
        <v>67</v>
      </c>
      <c r="I1497" s="2">
        <v>0</v>
      </c>
      <c r="J1497" s="2">
        <v>20</v>
      </c>
      <c r="K1497" s="2">
        <v>36</v>
      </c>
      <c r="L1497" s="2">
        <v>2.35</v>
      </c>
      <c r="M1497" s="2"/>
      <c r="N1497" s="2" t="s">
        <v>95</v>
      </c>
      <c r="O1497" s="10">
        <v>2</v>
      </c>
      <c r="P1497" s="10">
        <v>1</v>
      </c>
      <c r="Q1497" s="184">
        <v>4</v>
      </c>
      <c r="R1497" s="184">
        <v>5</v>
      </c>
      <c r="S1497" s="178">
        <f t="shared" si="160"/>
        <v>3</v>
      </c>
      <c r="T1497" s="186">
        <f t="shared" si="161"/>
        <v>9</v>
      </c>
      <c r="U1497" s="179">
        <f t="shared" si="162"/>
        <v>6</v>
      </c>
      <c r="V1497" s="1">
        <f t="shared" si="163"/>
        <v>25</v>
      </c>
      <c r="W1497" s="8">
        <f t="shared" si="164"/>
        <v>6.25</v>
      </c>
      <c r="X1497" s="15">
        <f t="shared" si="165"/>
        <v>8225</v>
      </c>
      <c r="Y1497"/>
      <c r="Z1497"/>
      <c r="AA1497"/>
      <c r="AB1497"/>
      <c r="AC1497"/>
      <c r="AD1497"/>
    </row>
    <row r="1498" spans="2:30">
      <c r="B1498" s="2" t="s">
        <v>270</v>
      </c>
      <c r="C1498" s="2" t="s">
        <v>77</v>
      </c>
      <c r="D1498" s="2" t="s">
        <v>156</v>
      </c>
      <c r="E1498" s="3">
        <v>45410.6875</v>
      </c>
      <c r="F1498" s="2" t="s">
        <v>160</v>
      </c>
      <c r="G1498" s="2" t="s">
        <v>438</v>
      </c>
      <c r="H1498" s="2">
        <v>61</v>
      </c>
      <c r="I1498" s="2">
        <v>0</v>
      </c>
      <c r="J1498" s="2">
        <v>20</v>
      </c>
      <c r="K1498" s="2">
        <v>36</v>
      </c>
      <c r="L1498" s="2">
        <v>3</v>
      </c>
      <c r="M1498" s="2"/>
      <c r="N1498" s="2" t="s">
        <v>95</v>
      </c>
      <c r="O1498" s="10">
        <v>1</v>
      </c>
      <c r="P1498" s="10">
        <v>0</v>
      </c>
      <c r="Q1498" s="184">
        <v>1</v>
      </c>
      <c r="R1498" s="184">
        <v>1</v>
      </c>
      <c r="S1498" s="178">
        <f t="shared" si="160"/>
        <v>1</v>
      </c>
      <c r="T1498" s="186">
        <f t="shared" si="161"/>
        <v>2</v>
      </c>
      <c r="U1498" s="179">
        <f t="shared" si="162"/>
        <v>1</v>
      </c>
      <c r="V1498" s="1">
        <f t="shared" si="163"/>
        <v>25</v>
      </c>
      <c r="W1498" s="8">
        <f t="shared" si="164"/>
        <v>6.25</v>
      </c>
      <c r="X1498" s="15">
        <f t="shared" si="165"/>
        <v>8231.25</v>
      </c>
      <c r="Y1498"/>
      <c r="Z1498"/>
      <c r="AA1498"/>
      <c r="AB1498"/>
      <c r="AC1498"/>
      <c r="AD1498"/>
    </row>
    <row r="1499" spans="2:30">
      <c r="B1499" s="2" t="s">
        <v>270</v>
      </c>
      <c r="C1499" s="2" t="s">
        <v>20</v>
      </c>
      <c r="D1499" s="2" t="s">
        <v>21</v>
      </c>
      <c r="E1499" s="3">
        <v>45410.822916666664</v>
      </c>
      <c r="F1499" s="2" t="s">
        <v>784</v>
      </c>
      <c r="G1499" s="2" t="s">
        <v>370</v>
      </c>
      <c r="H1499" s="2">
        <v>62</v>
      </c>
      <c r="I1499" s="2">
        <v>0</v>
      </c>
      <c r="J1499" s="2">
        <v>20</v>
      </c>
      <c r="K1499" s="2">
        <v>35</v>
      </c>
      <c r="L1499" s="2">
        <v>2.5299999999999998</v>
      </c>
      <c r="M1499" s="2"/>
      <c r="N1499" s="2" t="s">
        <v>95</v>
      </c>
      <c r="O1499" s="10">
        <v>1</v>
      </c>
      <c r="P1499" s="10">
        <v>0</v>
      </c>
      <c r="Q1499" s="184">
        <v>5</v>
      </c>
      <c r="R1499" s="184">
        <v>1</v>
      </c>
      <c r="S1499" s="178">
        <f t="shared" si="160"/>
        <v>1</v>
      </c>
      <c r="T1499" s="186">
        <f t="shared" si="161"/>
        <v>6</v>
      </c>
      <c r="U1499" s="179">
        <f t="shared" si="162"/>
        <v>5</v>
      </c>
      <c r="V1499" s="1">
        <f t="shared" si="163"/>
        <v>25</v>
      </c>
      <c r="W1499" s="8">
        <f t="shared" si="164"/>
        <v>6.25</v>
      </c>
      <c r="X1499" s="15">
        <f t="shared" si="165"/>
        <v>8237.5</v>
      </c>
      <c r="Y1499"/>
      <c r="Z1499"/>
      <c r="AA1499"/>
      <c r="AB1499"/>
      <c r="AC1499"/>
      <c r="AD1499"/>
    </row>
    <row r="1500" spans="2:30">
      <c r="B1500" s="2" t="s">
        <v>270</v>
      </c>
      <c r="C1500" s="2" t="s">
        <v>119</v>
      </c>
      <c r="D1500" s="2" t="s">
        <v>120</v>
      </c>
      <c r="E1500" s="3">
        <v>45411.833333333336</v>
      </c>
      <c r="F1500" s="2" t="s">
        <v>361</v>
      </c>
      <c r="G1500" s="2" t="s">
        <v>350</v>
      </c>
      <c r="H1500" s="2">
        <v>71</v>
      </c>
      <c r="I1500" s="2">
        <v>0</v>
      </c>
      <c r="J1500" s="2">
        <v>20</v>
      </c>
      <c r="K1500" s="2">
        <v>42</v>
      </c>
      <c r="L1500" s="2">
        <v>2.86</v>
      </c>
      <c r="M1500" s="2"/>
      <c r="N1500" s="2" t="s">
        <v>95</v>
      </c>
      <c r="O1500" s="10">
        <v>1</v>
      </c>
      <c r="P1500" s="10">
        <v>2</v>
      </c>
      <c r="Q1500" s="184">
        <v>4</v>
      </c>
      <c r="R1500" s="184">
        <v>2</v>
      </c>
      <c r="S1500" s="178">
        <f t="shared" si="160"/>
        <v>3</v>
      </c>
      <c r="T1500" s="186">
        <f t="shared" si="161"/>
        <v>6</v>
      </c>
      <c r="U1500" s="179">
        <f t="shared" si="162"/>
        <v>3</v>
      </c>
      <c r="V1500" s="1">
        <f t="shared" si="163"/>
        <v>25</v>
      </c>
      <c r="W1500" s="8">
        <f t="shared" si="164"/>
        <v>6.25</v>
      </c>
      <c r="X1500" s="15">
        <f t="shared" si="165"/>
        <v>8243.75</v>
      </c>
      <c r="Y1500"/>
      <c r="Z1500"/>
      <c r="AA1500"/>
      <c r="AB1500"/>
      <c r="AC1500"/>
      <c r="AD1500"/>
    </row>
    <row r="1501" spans="2:30">
      <c r="B1501" s="2" t="s">
        <v>270</v>
      </c>
      <c r="C1501" s="2" t="s">
        <v>20</v>
      </c>
      <c r="D1501" s="2" t="s">
        <v>322</v>
      </c>
      <c r="E1501" s="3">
        <v>45413.479166666664</v>
      </c>
      <c r="F1501" s="2" t="s">
        <v>454</v>
      </c>
      <c r="G1501" s="2" t="s">
        <v>796</v>
      </c>
      <c r="H1501" s="2">
        <v>60</v>
      </c>
      <c r="I1501" s="2">
        <v>0</v>
      </c>
      <c r="J1501" s="2">
        <v>20</v>
      </c>
      <c r="K1501" s="2">
        <v>39</v>
      </c>
      <c r="L1501" s="2">
        <v>2.27</v>
      </c>
      <c r="M1501" s="2"/>
      <c r="N1501" s="2" t="s">
        <v>95</v>
      </c>
      <c r="O1501" s="10">
        <v>1</v>
      </c>
      <c r="P1501" s="10">
        <v>0</v>
      </c>
      <c r="Q1501" s="184">
        <v>2</v>
      </c>
      <c r="R1501" s="184">
        <v>1</v>
      </c>
      <c r="S1501" s="178">
        <f t="shared" si="160"/>
        <v>1</v>
      </c>
      <c r="T1501" s="186">
        <f t="shared" si="161"/>
        <v>3</v>
      </c>
      <c r="U1501" s="179">
        <f t="shared" si="162"/>
        <v>2</v>
      </c>
      <c r="V1501" s="1">
        <f t="shared" si="163"/>
        <v>25</v>
      </c>
      <c r="W1501" s="8">
        <f t="shared" si="164"/>
        <v>6.25</v>
      </c>
      <c r="X1501" s="15">
        <f t="shared" si="165"/>
        <v>8250</v>
      </c>
      <c r="Y1501"/>
      <c r="Z1501"/>
      <c r="AA1501"/>
      <c r="AB1501"/>
      <c r="AC1501"/>
      <c r="AD1501"/>
    </row>
    <row r="1502" spans="2:30">
      <c r="B1502" s="2" t="s">
        <v>270</v>
      </c>
      <c r="C1502" s="2" t="s">
        <v>626</v>
      </c>
      <c r="D1502" s="2" t="s">
        <v>627</v>
      </c>
      <c r="E1502" s="3">
        <v>45413.625</v>
      </c>
      <c r="F1502" s="2" t="s">
        <v>635</v>
      </c>
      <c r="G1502" s="2" t="s">
        <v>628</v>
      </c>
      <c r="H1502" s="2">
        <v>63</v>
      </c>
      <c r="I1502" s="2">
        <v>0</v>
      </c>
      <c r="J1502" s="2">
        <v>20</v>
      </c>
      <c r="K1502" s="2">
        <v>37</v>
      </c>
      <c r="L1502" s="2">
        <v>0</v>
      </c>
      <c r="M1502" s="2"/>
      <c r="N1502" s="2" t="s">
        <v>95</v>
      </c>
      <c r="O1502" s="10">
        <v>1</v>
      </c>
      <c r="P1502" s="10">
        <v>0</v>
      </c>
      <c r="Q1502" s="184">
        <v>2</v>
      </c>
      <c r="R1502" s="184">
        <v>0</v>
      </c>
      <c r="S1502" s="178">
        <f t="shared" si="160"/>
        <v>1</v>
      </c>
      <c r="T1502" s="186">
        <f t="shared" si="161"/>
        <v>2</v>
      </c>
      <c r="U1502" s="179">
        <f t="shared" si="162"/>
        <v>1</v>
      </c>
      <c r="V1502" s="1">
        <f t="shared" si="163"/>
        <v>25</v>
      </c>
      <c r="W1502" s="8">
        <f t="shared" si="164"/>
        <v>6.25</v>
      </c>
      <c r="X1502" s="15">
        <f t="shared" si="165"/>
        <v>8256.25</v>
      </c>
      <c r="Y1502"/>
      <c r="Z1502"/>
      <c r="AA1502"/>
      <c r="AB1502"/>
      <c r="AC1502"/>
      <c r="AD1502"/>
    </row>
    <row r="1503" spans="2:30">
      <c r="B1503" s="2" t="s">
        <v>270</v>
      </c>
      <c r="C1503" s="2" t="s">
        <v>410</v>
      </c>
      <c r="D1503" s="2" t="s">
        <v>411</v>
      </c>
      <c r="E1503" s="3">
        <v>45415.708333333336</v>
      </c>
      <c r="F1503" s="2" t="s">
        <v>675</v>
      </c>
      <c r="G1503" s="2" t="s">
        <v>797</v>
      </c>
      <c r="H1503" s="2">
        <v>59</v>
      </c>
      <c r="I1503" s="2">
        <v>0</v>
      </c>
      <c r="J1503" s="2">
        <v>20</v>
      </c>
      <c r="K1503" s="2">
        <v>33</v>
      </c>
      <c r="L1503" s="2">
        <v>1.83</v>
      </c>
      <c r="M1503" s="2"/>
      <c r="N1503" s="2" t="s">
        <v>95</v>
      </c>
      <c r="O1503" s="10">
        <v>2</v>
      </c>
      <c r="P1503" s="10">
        <v>0</v>
      </c>
      <c r="Q1503" s="184">
        <v>5</v>
      </c>
      <c r="R1503" s="184">
        <v>0</v>
      </c>
      <c r="S1503" s="178">
        <f t="shared" si="160"/>
        <v>2</v>
      </c>
      <c r="T1503" s="186">
        <f t="shared" si="161"/>
        <v>5</v>
      </c>
      <c r="U1503" s="179">
        <f t="shared" si="162"/>
        <v>3</v>
      </c>
      <c r="V1503" s="1">
        <f t="shared" si="163"/>
        <v>25</v>
      </c>
      <c r="W1503" s="8">
        <f t="shared" si="164"/>
        <v>6.25</v>
      </c>
      <c r="X1503" s="15">
        <f t="shared" si="165"/>
        <v>8262.5</v>
      </c>
      <c r="Y1503"/>
      <c r="Z1503"/>
      <c r="AA1503"/>
      <c r="AB1503"/>
      <c r="AC1503"/>
      <c r="AD1503"/>
    </row>
    <row r="1504" spans="2:30">
      <c r="B1504" s="2" t="s">
        <v>270</v>
      </c>
      <c r="C1504" s="2" t="s">
        <v>296</v>
      </c>
      <c r="D1504" s="2" t="s">
        <v>525</v>
      </c>
      <c r="E1504" s="3">
        <v>45415.802083333336</v>
      </c>
      <c r="F1504" s="2" t="s">
        <v>596</v>
      </c>
      <c r="G1504" s="2" t="s">
        <v>527</v>
      </c>
      <c r="H1504" s="2">
        <v>66</v>
      </c>
      <c r="I1504" s="2">
        <v>0</v>
      </c>
      <c r="J1504" s="2">
        <v>20</v>
      </c>
      <c r="K1504" s="2">
        <v>31</v>
      </c>
      <c r="L1504" s="2">
        <v>0</v>
      </c>
      <c r="M1504" s="2"/>
      <c r="N1504" s="2" t="s">
        <v>95</v>
      </c>
      <c r="O1504" s="10">
        <v>0</v>
      </c>
      <c r="P1504" s="10">
        <v>0</v>
      </c>
      <c r="Q1504" s="184">
        <v>2</v>
      </c>
      <c r="R1504" s="184">
        <v>1</v>
      </c>
      <c r="S1504" s="178">
        <f t="shared" si="160"/>
        <v>0</v>
      </c>
      <c r="T1504" s="186">
        <f t="shared" si="161"/>
        <v>3</v>
      </c>
      <c r="U1504" s="179">
        <f t="shared" si="162"/>
        <v>3</v>
      </c>
      <c r="V1504" s="1">
        <f t="shared" si="163"/>
        <v>25</v>
      </c>
      <c r="W1504" s="8">
        <f t="shared" si="164"/>
        <v>6.25</v>
      </c>
      <c r="X1504" s="15">
        <f t="shared" si="165"/>
        <v>8268.75</v>
      </c>
      <c r="Y1504"/>
      <c r="Z1504"/>
      <c r="AA1504"/>
      <c r="AB1504"/>
      <c r="AC1504"/>
      <c r="AD1504"/>
    </row>
    <row r="1505" spans="2:30">
      <c r="B1505" s="2" t="s">
        <v>270</v>
      </c>
      <c r="C1505" s="2" t="s">
        <v>44</v>
      </c>
      <c r="D1505" s="2" t="s">
        <v>45</v>
      </c>
      <c r="E1505" s="3">
        <v>45416.447916666664</v>
      </c>
      <c r="F1505" s="2" t="s">
        <v>46</v>
      </c>
      <c r="G1505" s="2" t="s">
        <v>143</v>
      </c>
      <c r="H1505" s="2">
        <v>61</v>
      </c>
      <c r="I1505" s="2">
        <v>0</v>
      </c>
      <c r="J1505" s="2">
        <v>20</v>
      </c>
      <c r="K1505" s="2">
        <v>29</v>
      </c>
      <c r="L1505" s="2">
        <v>3.59</v>
      </c>
      <c r="M1505" s="2"/>
      <c r="N1505" s="2" t="s">
        <v>95</v>
      </c>
      <c r="O1505" s="10">
        <v>1</v>
      </c>
      <c r="P1505" s="10">
        <v>0</v>
      </c>
      <c r="Q1505" s="184">
        <v>4</v>
      </c>
      <c r="R1505" s="184">
        <v>0</v>
      </c>
      <c r="S1505" s="178">
        <f t="shared" si="160"/>
        <v>1</v>
      </c>
      <c r="T1505" s="186">
        <f t="shared" si="161"/>
        <v>4</v>
      </c>
      <c r="U1505" s="179">
        <f t="shared" si="162"/>
        <v>3</v>
      </c>
      <c r="V1505" s="1">
        <f t="shared" si="163"/>
        <v>25</v>
      </c>
      <c r="W1505" s="8">
        <f t="shared" si="164"/>
        <v>6.25</v>
      </c>
      <c r="X1505" s="15">
        <f t="shared" si="165"/>
        <v>8275</v>
      </c>
      <c r="Y1505"/>
      <c r="Z1505"/>
      <c r="AA1505"/>
      <c r="AB1505"/>
      <c r="AC1505"/>
      <c r="AD1505"/>
    </row>
    <row r="1506" spans="2:30">
      <c r="B1506" s="2" t="s">
        <v>270</v>
      </c>
      <c r="C1506" s="2" t="s">
        <v>77</v>
      </c>
      <c r="D1506" s="2" t="s">
        <v>234</v>
      </c>
      <c r="E1506" s="3">
        <v>45416.5</v>
      </c>
      <c r="F1506" s="2" t="s">
        <v>633</v>
      </c>
      <c r="G1506" s="2" t="s">
        <v>687</v>
      </c>
      <c r="H1506" s="2">
        <v>62</v>
      </c>
      <c r="I1506" s="2">
        <v>0</v>
      </c>
      <c r="J1506" s="2">
        <v>20</v>
      </c>
      <c r="K1506" s="2">
        <v>33</v>
      </c>
      <c r="L1506" s="2">
        <v>2.82</v>
      </c>
      <c r="M1506" s="2"/>
      <c r="N1506" s="2" t="s">
        <v>95</v>
      </c>
      <c r="O1506" s="10">
        <v>1</v>
      </c>
      <c r="P1506" s="10">
        <v>2</v>
      </c>
      <c r="Q1506" s="184">
        <v>3</v>
      </c>
      <c r="R1506" s="184">
        <v>3</v>
      </c>
      <c r="S1506" s="178">
        <f t="shared" si="160"/>
        <v>3</v>
      </c>
      <c r="T1506" s="186">
        <f t="shared" si="161"/>
        <v>6</v>
      </c>
      <c r="U1506" s="179">
        <f t="shared" si="162"/>
        <v>3</v>
      </c>
      <c r="V1506" s="1">
        <f t="shared" si="163"/>
        <v>25</v>
      </c>
      <c r="W1506" s="8">
        <f t="shared" si="164"/>
        <v>6.25</v>
      </c>
      <c r="X1506" s="15">
        <f t="shared" si="165"/>
        <v>8281.25</v>
      </c>
      <c r="Y1506"/>
      <c r="Z1506"/>
      <c r="AA1506"/>
      <c r="AB1506"/>
      <c r="AC1506"/>
      <c r="AD1506"/>
    </row>
    <row r="1507" spans="2:30">
      <c r="B1507" s="2" t="s">
        <v>270</v>
      </c>
      <c r="C1507" s="2" t="s">
        <v>6</v>
      </c>
      <c r="D1507" s="2" t="s">
        <v>62</v>
      </c>
      <c r="E1507" s="3">
        <v>45416.520833333336</v>
      </c>
      <c r="F1507" s="2" t="s">
        <v>73</v>
      </c>
      <c r="G1507" s="2" t="s">
        <v>117</v>
      </c>
      <c r="H1507" s="2">
        <v>65</v>
      </c>
      <c r="I1507" s="2">
        <v>0</v>
      </c>
      <c r="J1507" s="2">
        <v>20</v>
      </c>
      <c r="K1507" s="2">
        <v>25</v>
      </c>
      <c r="L1507" s="2">
        <v>3.1</v>
      </c>
      <c r="M1507" s="2"/>
      <c r="N1507" s="2" t="s">
        <v>95</v>
      </c>
      <c r="O1507" s="10">
        <v>1</v>
      </c>
      <c r="P1507" s="10">
        <v>0</v>
      </c>
      <c r="Q1507" s="184">
        <v>3</v>
      </c>
      <c r="R1507" s="184">
        <v>0</v>
      </c>
      <c r="S1507" s="178">
        <f t="shared" si="160"/>
        <v>1</v>
      </c>
      <c r="T1507" s="186">
        <f t="shared" si="161"/>
        <v>3</v>
      </c>
      <c r="U1507" s="179">
        <f t="shared" si="162"/>
        <v>2</v>
      </c>
      <c r="V1507" s="1">
        <f t="shared" si="163"/>
        <v>25</v>
      </c>
      <c r="W1507" s="8">
        <f t="shared" si="164"/>
        <v>6.25</v>
      </c>
      <c r="X1507" s="15">
        <f t="shared" si="165"/>
        <v>8287.5</v>
      </c>
      <c r="Y1507"/>
      <c r="Z1507"/>
      <c r="AA1507"/>
      <c r="AB1507"/>
      <c r="AC1507"/>
      <c r="AD1507"/>
    </row>
    <row r="1508" spans="2:30">
      <c r="B1508" s="2" t="s">
        <v>270</v>
      </c>
      <c r="C1508" s="2" t="s">
        <v>6</v>
      </c>
      <c r="D1508" s="2" t="s">
        <v>62</v>
      </c>
      <c r="E1508" s="3">
        <v>45416.625</v>
      </c>
      <c r="F1508" s="2" t="s">
        <v>103</v>
      </c>
      <c r="G1508" s="2" t="s">
        <v>164</v>
      </c>
      <c r="H1508" s="2">
        <v>59</v>
      </c>
      <c r="I1508" s="2">
        <v>0</v>
      </c>
      <c r="J1508" s="2">
        <v>20</v>
      </c>
      <c r="K1508" s="2">
        <v>30</v>
      </c>
      <c r="L1508" s="2">
        <v>3.03</v>
      </c>
      <c r="M1508" s="2"/>
      <c r="N1508" s="2" t="s">
        <v>95</v>
      </c>
      <c r="O1508" s="10">
        <v>0</v>
      </c>
      <c r="P1508" s="10">
        <v>3</v>
      </c>
      <c r="Q1508" s="184">
        <v>1</v>
      </c>
      <c r="R1508" s="184">
        <v>4</v>
      </c>
      <c r="S1508" s="178">
        <f t="shared" si="160"/>
        <v>3</v>
      </c>
      <c r="T1508" s="186">
        <f t="shared" si="161"/>
        <v>5</v>
      </c>
      <c r="U1508" s="179">
        <f t="shared" si="162"/>
        <v>2</v>
      </c>
      <c r="V1508" s="1">
        <f t="shared" si="163"/>
        <v>25</v>
      </c>
      <c r="W1508" s="8">
        <f t="shared" si="164"/>
        <v>6.25</v>
      </c>
      <c r="X1508" s="15">
        <f t="shared" si="165"/>
        <v>8293.75</v>
      </c>
      <c r="Y1508"/>
      <c r="Z1508"/>
      <c r="AA1508"/>
      <c r="AB1508"/>
      <c r="AC1508"/>
      <c r="AD1508"/>
    </row>
    <row r="1509" spans="2:30">
      <c r="B1509" s="2" t="s">
        <v>270</v>
      </c>
      <c r="C1509" s="2" t="s">
        <v>58</v>
      </c>
      <c r="D1509" s="2" t="s">
        <v>59</v>
      </c>
      <c r="E1509" s="3">
        <v>45416.75</v>
      </c>
      <c r="F1509" s="2" t="s">
        <v>125</v>
      </c>
      <c r="G1509" s="2" t="s">
        <v>128</v>
      </c>
      <c r="H1509" s="2">
        <v>61</v>
      </c>
      <c r="I1509" s="2">
        <v>0</v>
      </c>
      <c r="J1509" s="2">
        <v>20</v>
      </c>
      <c r="K1509" s="2">
        <v>24</v>
      </c>
      <c r="L1509" s="2">
        <v>2.86</v>
      </c>
      <c r="M1509" s="2"/>
      <c r="N1509" s="2" t="s">
        <v>95</v>
      </c>
      <c r="O1509" s="10">
        <v>1</v>
      </c>
      <c r="P1509" s="10">
        <v>0</v>
      </c>
      <c r="Q1509" s="184">
        <v>3</v>
      </c>
      <c r="R1509" s="184">
        <v>0</v>
      </c>
      <c r="S1509" s="178">
        <f t="shared" si="160"/>
        <v>1</v>
      </c>
      <c r="T1509" s="186">
        <f t="shared" si="161"/>
        <v>3</v>
      </c>
      <c r="U1509" s="179">
        <f t="shared" si="162"/>
        <v>2</v>
      </c>
      <c r="V1509" s="1">
        <f t="shared" si="163"/>
        <v>25</v>
      </c>
      <c r="W1509" s="8">
        <f t="shared" si="164"/>
        <v>6.25</v>
      </c>
      <c r="X1509" s="15">
        <f t="shared" si="165"/>
        <v>8300</v>
      </c>
      <c r="Y1509"/>
      <c r="Z1509"/>
      <c r="AA1509"/>
      <c r="AB1509"/>
      <c r="AC1509"/>
      <c r="AD1509"/>
    </row>
    <row r="1510" spans="2:30">
      <c r="B1510" s="2" t="s">
        <v>270</v>
      </c>
      <c r="C1510" s="2" t="s">
        <v>67</v>
      </c>
      <c r="D1510" s="2" t="s">
        <v>68</v>
      </c>
      <c r="E1510" s="3">
        <v>45416.822916666664</v>
      </c>
      <c r="F1510" s="2" t="s">
        <v>337</v>
      </c>
      <c r="G1510" s="2" t="s">
        <v>343</v>
      </c>
      <c r="H1510" s="2">
        <v>66</v>
      </c>
      <c r="I1510" s="2">
        <v>0</v>
      </c>
      <c r="J1510" s="2">
        <v>20</v>
      </c>
      <c r="K1510" s="2">
        <v>41</v>
      </c>
      <c r="L1510" s="2">
        <v>2.86</v>
      </c>
      <c r="M1510" s="2"/>
      <c r="N1510" s="153" t="s">
        <v>95</v>
      </c>
      <c r="O1510" s="10">
        <v>3</v>
      </c>
      <c r="P1510" s="10">
        <v>1</v>
      </c>
      <c r="Q1510" s="184">
        <v>4</v>
      </c>
      <c r="R1510" s="184">
        <v>1</v>
      </c>
      <c r="S1510" s="178">
        <f t="shared" si="160"/>
        <v>4</v>
      </c>
      <c r="T1510" s="186">
        <f t="shared" si="161"/>
        <v>5</v>
      </c>
      <c r="U1510" s="179">
        <f t="shared" si="162"/>
        <v>1</v>
      </c>
      <c r="V1510" s="1">
        <f t="shared" si="163"/>
        <v>25</v>
      </c>
      <c r="W1510" s="8">
        <f t="shared" si="164"/>
        <v>6.25</v>
      </c>
      <c r="X1510" s="15">
        <f t="shared" si="165"/>
        <v>8306.25</v>
      </c>
      <c r="Y1510"/>
      <c r="Z1510"/>
      <c r="AA1510"/>
      <c r="AB1510"/>
      <c r="AC1510"/>
      <c r="AD1510"/>
    </row>
    <row r="1511" spans="2:30">
      <c r="B1511" s="2" t="s">
        <v>270</v>
      </c>
      <c r="C1511" s="2" t="s">
        <v>434</v>
      </c>
      <c r="D1511" s="2" t="s">
        <v>435</v>
      </c>
      <c r="E1511" s="3">
        <v>45417.541666666664</v>
      </c>
      <c r="F1511" s="2" t="s">
        <v>532</v>
      </c>
      <c r="G1511" s="2" t="s">
        <v>599</v>
      </c>
      <c r="H1511" s="2">
        <v>63</v>
      </c>
      <c r="I1511" s="2">
        <v>0</v>
      </c>
      <c r="J1511" s="2">
        <v>20</v>
      </c>
      <c r="K1511" s="2">
        <v>33</v>
      </c>
      <c r="L1511" s="2">
        <v>2.67</v>
      </c>
      <c r="M1511" s="2"/>
      <c r="N1511" s="2" t="s">
        <v>95</v>
      </c>
      <c r="O1511" s="10">
        <v>0</v>
      </c>
      <c r="P1511" s="10">
        <v>0</v>
      </c>
      <c r="Q1511" s="184">
        <v>0</v>
      </c>
      <c r="R1511" s="184">
        <v>1</v>
      </c>
      <c r="S1511" s="178">
        <f t="shared" si="160"/>
        <v>0</v>
      </c>
      <c r="T1511" s="186">
        <f t="shared" si="161"/>
        <v>1</v>
      </c>
      <c r="U1511" s="179">
        <f t="shared" si="162"/>
        <v>1</v>
      </c>
      <c r="V1511" s="1">
        <f t="shared" si="163"/>
        <v>25</v>
      </c>
      <c r="W1511" s="8">
        <f t="shared" si="164"/>
        <v>6.25</v>
      </c>
      <c r="X1511" s="15">
        <f t="shared" si="165"/>
        <v>8312.5</v>
      </c>
      <c r="Y1511"/>
      <c r="Z1511"/>
      <c r="AA1511"/>
      <c r="AB1511"/>
      <c r="AC1511"/>
      <c r="AD1511"/>
    </row>
    <row r="1512" spans="2:30">
      <c r="B1512" s="2" t="s">
        <v>270</v>
      </c>
      <c r="C1512" s="2" t="s">
        <v>20</v>
      </c>
      <c r="D1512" s="2" t="s">
        <v>322</v>
      </c>
      <c r="E1512" s="3">
        <v>45417.583333333336</v>
      </c>
      <c r="F1512" s="2" t="s">
        <v>796</v>
      </c>
      <c r="G1512" s="2" t="s">
        <v>730</v>
      </c>
      <c r="H1512" s="2">
        <v>62</v>
      </c>
      <c r="I1512" s="2">
        <v>0</v>
      </c>
      <c r="J1512" s="2">
        <v>20</v>
      </c>
      <c r="K1512" s="2">
        <v>38</v>
      </c>
      <c r="L1512" s="2">
        <v>2.02</v>
      </c>
      <c r="M1512" s="2"/>
      <c r="N1512" s="2" t="s">
        <v>95</v>
      </c>
      <c r="O1512" s="10">
        <v>1</v>
      </c>
      <c r="P1512" s="10">
        <v>0</v>
      </c>
      <c r="Q1512" s="184">
        <v>2</v>
      </c>
      <c r="R1512" s="184">
        <v>2</v>
      </c>
      <c r="S1512" s="178">
        <f t="shared" si="160"/>
        <v>1</v>
      </c>
      <c r="T1512" s="186">
        <f t="shared" si="161"/>
        <v>4</v>
      </c>
      <c r="U1512" s="179">
        <f t="shared" si="162"/>
        <v>3</v>
      </c>
      <c r="V1512" s="1">
        <f t="shared" si="163"/>
        <v>25</v>
      </c>
      <c r="W1512" s="8">
        <f t="shared" si="164"/>
        <v>6.25</v>
      </c>
      <c r="X1512" s="15">
        <f t="shared" si="165"/>
        <v>8318.75</v>
      </c>
      <c r="Y1512"/>
      <c r="Z1512"/>
      <c r="AA1512"/>
      <c r="AB1512"/>
      <c r="AC1512"/>
      <c r="AD1512"/>
    </row>
    <row r="1513" spans="2:30">
      <c r="B1513" s="2" t="s">
        <v>270</v>
      </c>
      <c r="C1513" s="2" t="s">
        <v>58</v>
      </c>
      <c r="D1513" s="2" t="s">
        <v>289</v>
      </c>
      <c r="E1513" s="3">
        <v>45417.75</v>
      </c>
      <c r="F1513" s="2" t="s">
        <v>716</v>
      </c>
      <c r="G1513" s="2" t="s">
        <v>624</v>
      </c>
      <c r="H1513" s="2">
        <v>65</v>
      </c>
      <c r="I1513" s="2">
        <v>0</v>
      </c>
      <c r="J1513" s="2">
        <v>20</v>
      </c>
      <c r="K1513" s="2">
        <v>44</v>
      </c>
      <c r="L1513" s="2">
        <v>0</v>
      </c>
      <c r="M1513" s="2"/>
      <c r="N1513" s="2" t="s">
        <v>95</v>
      </c>
      <c r="O1513" s="10">
        <v>2</v>
      </c>
      <c r="P1513" s="10">
        <v>0</v>
      </c>
      <c r="Q1513" s="184">
        <v>2</v>
      </c>
      <c r="R1513" s="184">
        <v>2</v>
      </c>
      <c r="S1513" s="178">
        <f t="shared" si="160"/>
        <v>2</v>
      </c>
      <c r="T1513" s="186">
        <f t="shared" si="161"/>
        <v>4</v>
      </c>
      <c r="U1513" s="179">
        <f t="shared" si="162"/>
        <v>2</v>
      </c>
      <c r="V1513" s="1">
        <f t="shared" si="163"/>
        <v>25</v>
      </c>
      <c r="W1513" s="8">
        <f t="shared" si="164"/>
        <v>6.25</v>
      </c>
      <c r="X1513" s="15">
        <f t="shared" si="165"/>
        <v>8325</v>
      </c>
      <c r="Y1513"/>
      <c r="Z1513"/>
      <c r="AA1513"/>
      <c r="AB1513"/>
      <c r="AC1513"/>
      <c r="AD1513"/>
    </row>
    <row r="1514" spans="2:30">
      <c r="B1514" s="2" t="s">
        <v>270</v>
      </c>
      <c r="C1514" s="2" t="s">
        <v>77</v>
      </c>
      <c r="D1514" s="2" t="s">
        <v>251</v>
      </c>
      <c r="E1514" s="3">
        <v>45417.770833333336</v>
      </c>
      <c r="F1514" s="2" t="s">
        <v>788</v>
      </c>
      <c r="G1514" s="2" t="s">
        <v>259</v>
      </c>
      <c r="H1514" s="2">
        <v>60</v>
      </c>
      <c r="I1514" s="2">
        <v>0</v>
      </c>
      <c r="J1514" s="2">
        <v>20</v>
      </c>
      <c r="K1514" s="2">
        <v>28</v>
      </c>
      <c r="L1514" s="2">
        <v>0</v>
      </c>
      <c r="M1514" s="2"/>
      <c r="N1514" s="2" t="s">
        <v>95</v>
      </c>
      <c r="O1514" s="10">
        <v>0</v>
      </c>
      <c r="P1514" s="10">
        <v>0</v>
      </c>
      <c r="Q1514" s="184">
        <v>1</v>
      </c>
      <c r="R1514" s="184">
        <v>1</v>
      </c>
      <c r="S1514" s="178">
        <f t="shared" si="160"/>
        <v>0</v>
      </c>
      <c r="T1514" s="186">
        <f t="shared" si="161"/>
        <v>2</v>
      </c>
      <c r="U1514" s="179">
        <f t="shared" si="162"/>
        <v>2</v>
      </c>
      <c r="V1514" s="1">
        <f t="shared" si="163"/>
        <v>25</v>
      </c>
      <c r="W1514" s="8">
        <f t="shared" si="164"/>
        <v>6.25</v>
      </c>
      <c r="X1514" s="15">
        <f t="shared" si="165"/>
        <v>8331.25</v>
      </c>
      <c r="Y1514"/>
      <c r="Z1514"/>
      <c r="AA1514"/>
      <c r="AB1514"/>
      <c r="AC1514"/>
      <c r="AD1514"/>
    </row>
    <row r="1515" spans="2:30">
      <c r="B1515" s="2" t="s">
        <v>270</v>
      </c>
      <c r="C1515" s="2" t="s">
        <v>626</v>
      </c>
      <c r="D1515" s="2" t="s">
        <v>627</v>
      </c>
      <c r="E1515" s="3">
        <v>45419.708333333336</v>
      </c>
      <c r="F1515" s="2" t="s">
        <v>774</v>
      </c>
      <c r="G1515" s="2" t="s">
        <v>725</v>
      </c>
      <c r="H1515" s="2">
        <v>65</v>
      </c>
      <c r="I1515" s="2">
        <v>0</v>
      </c>
      <c r="J1515" s="2">
        <v>20</v>
      </c>
      <c r="K1515" s="2">
        <v>45</v>
      </c>
      <c r="L1515" s="2">
        <v>0</v>
      </c>
      <c r="M1515" s="2"/>
      <c r="N1515" s="2" t="s">
        <v>95</v>
      </c>
      <c r="O1515" s="10">
        <v>0</v>
      </c>
      <c r="P1515" s="10">
        <v>0</v>
      </c>
      <c r="Q1515" s="184">
        <v>0</v>
      </c>
      <c r="R1515" s="184">
        <v>1</v>
      </c>
      <c r="S1515" s="178">
        <f t="shared" si="160"/>
        <v>0</v>
      </c>
      <c r="T1515" s="186">
        <f t="shared" si="161"/>
        <v>1</v>
      </c>
      <c r="U1515" s="179">
        <f t="shared" si="162"/>
        <v>1</v>
      </c>
      <c r="V1515" s="1">
        <f t="shared" si="163"/>
        <v>25</v>
      </c>
      <c r="W1515" s="8">
        <f t="shared" si="164"/>
        <v>6.25</v>
      </c>
      <c r="X1515" s="15">
        <f t="shared" si="165"/>
        <v>8337.5</v>
      </c>
      <c r="Y1515"/>
      <c r="Z1515"/>
      <c r="AA1515"/>
      <c r="AB1515"/>
      <c r="AC1515"/>
      <c r="AD1515"/>
    </row>
    <row r="1516" spans="2:30">
      <c r="B1516" s="2" t="s">
        <v>270</v>
      </c>
      <c r="C1516" s="2" t="s">
        <v>626</v>
      </c>
      <c r="D1516" s="2" t="s">
        <v>627</v>
      </c>
      <c r="E1516" s="3">
        <v>45419.708333333336</v>
      </c>
      <c r="F1516" s="2" t="s">
        <v>724</v>
      </c>
      <c r="G1516" s="2" t="s">
        <v>635</v>
      </c>
      <c r="H1516" s="2">
        <v>69</v>
      </c>
      <c r="I1516" s="2">
        <v>0</v>
      </c>
      <c r="J1516" s="2">
        <v>20</v>
      </c>
      <c r="K1516" s="2">
        <v>41</v>
      </c>
      <c r="L1516" s="2">
        <v>0</v>
      </c>
      <c r="M1516" s="2"/>
      <c r="N1516" s="2" t="s">
        <v>95</v>
      </c>
      <c r="O1516" s="10">
        <v>3</v>
      </c>
      <c r="P1516" s="10">
        <v>0</v>
      </c>
      <c r="Q1516" s="184">
        <v>3</v>
      </c>
      <c r="R1516" s="184">
        <v>1</v>
      </c>
      <c r="S1516" s="178">
        <f t="shared" si="160"/>
        <v>3</v>
      </c>
      <c r="T1516" s="186">
        <f t="shared" si="161"/>
        <v>4</v>
      </c>
      <c r="U1516" s="179">
        <f t="shared" si="162"/>
        <v>1</v>
      </c>
      <c r="V1516" s="1">
        <f t="shared" si="163"/>
        <v>25</v>
      </c>
      <c r="W1516" s="8">
        <f t="shared" si="164"/>
        <v>6.25</v>
      </c>
      <c r="X1516" s="15">
        <f t="shared" si="165"/>
        <v>8343.75</v>
      </c>
      <c r="Y1516"/>
      <c r="Z1516"/>
      <c r="AA1516"/>
      <c r="AB1516"/>
      <c r="AC1516"/>
      <c r="AD1516"/>
    </row>
    <row r="1517" spans="2:30">
      <c r="B1517" s="2" t="s">
        <v>270</v>
      </c>
      <c r="C1517" s="2" t="s">
        <v>77</v>
      </c>
      <c r="D1517" s="2" t="s">
        <v>156</v>
      </c>
      <c r="E1517" s="3">
        <v>45422.8125</v>
      </c>
      <c r="F1517" s="2" t="s">
        <v>284</v>
      </c>
      <c r="G1517" s="2" t="s">
        <v>168</v>
      </c>
      <c r="H1517" s="2">
        <v>61</v>
      </c>
      <c r="I1517" s="2">
        <v>0</v>
      </c>
      <c r="J1517" s="2">
        <v>20</v>
      </c>
      <c r="K1517" s="2">
        <v>30</v>
      </c>
      <c r="L1517" s="2">
        <v>3.32</v>
      </c>
      <c r="M1517" s="2"/>
      <c r="N1517" s="2" t="s">
        <v>95</v>
      </c>
      <c r="O1517" s="10">
        <v>0</v>
      </c>
      <c r="P1517" s="10">
        <v>0</v>
      </c>
      <c r="Q1517" s="184">
        <v>0</v>
      </c>
      <c r="R1517" s="184">
        <v>1</v>
      </c>
      <c r="S1517" s="178">
        <f t="shared" si="160"/>
        <v>0</v>
      </c>
      <c r="T1517" s="186">
        <f t="shared" si="161"/>
        <v>1</v>
      </c>
      <c r="U1517" s="179">
        <f t="shared" si="162"/>
        <v>1</v>
      </c>
      <c r="V1517" s="1">
        <f t="shared" si="163"/>
        <v>25</v>
      </c>
      <c r="W1517" s="8">
        <f t="shared" si="164"/>
        <v>6.25</v>
      </c>
      <c r="X1517" s="15">
        <f t="shared" si="165"/>
        <v>8350</v>
      </c>
      <c r="Y1517"/>
      <c r="Z1517"/>
      <c r="AA1517"/>
      <c r="AB1517"/>
      <c r="AC1517"/>
      <c r="AD1517"/>
    </row>
    <row r="1518" spans="2:30">
      <c r="B1518" s="2" t="s">
        <v>270</v>
      </c>
      <c r="C1518" s="2" t="s">
        <v>77</v>
      </c>
      <c r="D1518" s="2" t="s">
        <v>251</v>
      </c>
      <c r="E1518" s="3">
        <v>45423.541666666664</v>
      </c>
      <c r="F1518" s="2" t="s">
        <v>814</v>
      </c>
      <c r="G1518" s="2" t="s">
        <v>815</v>
      </c>
      <c r="H1518" s="2">
        <v>67</v>
      </c>
      <c r="I1518" s="2">
        <v>0</v>
      </c>
      <c r="J1518" s="2">
        <v>20</v>
      </c>
      <c r="K1518" s="2">
        <v>41</v>
      </c>
      <c r="L1518" s="2">
        <v>0</v>
      </c>
      <c r="M1518" s="2"/>
      <c r="N1518" s="2" t="s">
        <v>95</v>
      </c>
      <c r="O1518" s="10">
        <v>0</v>
      </c>
      <c r="P1518" s="10">
        <v>2</v>
      </c>
      <c r="Q1518" s="184">
        <v>1</v>
      </c>
      <c r="R1518" s="184">
        <v>2</v>
      </c>
      <c r="S1518" s="178">
        <f t="shared" si="160"/>
        <v>2</v>
      </c>
      <c r="T1518" s="186">
        <f t="shared" si="161"/>
        <v>3</v>
      </c>
      <c r="U1518" s="179">
        <f t="shared" si="162"/>
        <v>1</v>
      </c>
      <c r="V1518" s="1">
        <f t="shared" si="163"/>
        <v>25</v>
      </c>
      <c r="W1518" s="8">
        <f t="shared" si="164"/>
        <v>6.25</v>
      </c>
      <c r="X1518" s="15">
        <f t="shared" si="165"/>
        <v>8356.25</v>
      </c>
      <c r="Y1518"/>
      <c r="Z1518"/>
      <c r="AA1518"/>
      <c r="AB1518"/>
      <c r="AC1518"/>
      <c r="AD1518"/>
    </row>
    <row r="1519" spans="2:30">
      <c r="B1519" s="2" t="s">
        <v>270</v>
      </c>
      <c r="C1519" s="2" t="s">
        <v>77</v>
      </c>
      <c r="D1519" s="2" t="s">
        <v>251</v>
      </c>
      <c r="E1519" s="3">
        <v>45423.541666666664</v>
      </c>
      <c r="F1519" s="2" t="s">
        <v>295</v>
      </c>
      <c r="G1519" s="2" t="s">
        <v>816</v>
      </c>
      <c r="H1519" s="2">
        <v>64</v>
      </c>
      <c r="I1519" s="2">
        <v>0</v>
      </c>
      <c r="J1519" s="2">
        <v>20</v>
      </c>
      <c r="K1519" s="2">
        <v>31</v>
      </c>
      <c r="L1519" s="2">
        <v>0</v>
      </c>
      <c r="M1519" s="2"/>
      <c r="N1519" s="2" t="s">
        <v>95</v>
      </c>
      <c r="O1519" s="10">
        <v>1</v>
      </c>
      <c r="P1519" s="10">
        <v>1</v>
      </c>
      <c r="Q1519" s="184">
        <v>1</v>
      </c>
      <c r="R1519" s="184">
        <v>1</v>
      </c>
      <c r="S1519" s="178">
        <f t="shared" si="160"/>
        <v>2</v>
      </c>
      <c r="T1519" s="186">
        <f t="shared" si="161"/>
        <v>2</v>
      </c>
      <c r="U1519" s="179">
        <f t="shared" si="162"/>
        <v>0</v>
      </c>
      <c r="V1519" s="1">
        <f t="shared" si="163"/>
        <v>25</v>
      </c>
      <c r="W1519" s="8">
        <f t="shared" si="164"/>
        <v>6.25</v>
      </c>
      <c r="X1519" s="15">
        <f t="shared" si="165"/>
        <v>8362.5</v>
      </c>
      <c r="Y1519"/>
      <c r="Z1519"/>
      <c r="AA1519"/>
      <c r="AB1519"/>
      <c r="AC1519"/>
      <c r="AD1519"/>
    </row>
    <row r="1520" spans="2:30">
      <c r="B1520" s="2" t="s">
        <v>270</v>
      </c>
      <c r="C1520" s="2" t="s">
        <v>6</v>
      </c>
      <c r="D1520" s="2" t="s">
        <v>62</v>
      </c>
      <c r="E1520" s="3">
        <v>45423.625</v>
      </c>
      <c r="F1520" s="2" t="s">
        <v>117</v>
      </c>
      <c r="G1520" s="2" t="s">
        <v>63</v>
      </c>
      <c r="H1520" s="2">
        <v>62</v>
      </c>
      <c r="I1520" s="2">
        <v>0</v>
      </c>
      <c r="J1520" s="2">
        <v>20</v>
      </c>
      <c r="K1520" s="2">
        <v>31</v>
      </c>
      <c r="L1520" s="2">
        <v>2.91</v>
      </c>
      <c r="M1520" s="2"/>
      <c r="N1520" s="2" t="s">
        <v>95</v>
      </c>
      <c r="O1520" s="10">
        <v>0</v>
      </c>
      <c r="P1520" s="10">
        <v>0</v>
      </c>
      <c r="Q1520" s="184">
        <v>1</v>
      </c>
      <c r="R1520" s="185">
        <v>2</v>
      </c>
      <c r="S1520" s="178">
        <f t="shared" si="160"/>
        <v>0</v>
      </c>
      <c r="T1520" s="186">
        <f t="shared" si="161"/>
        <v>3</v>
      </c>
      <c r="U1520" s="179">
        <f t="shared" si="162"/>
        <v>3</v>
      </c>
      <c r="V1520" s="1">
        <f t="shared" si="163"/>
        <v>25</v>
      </c>
      <c r="W1520" s="8">
        <f t="shared" si="164"/>
        <v>6.25</v>
      </c>
      <c r="X1520" s="15">
        <f t="shared" si="165"/>
        <v>8368.75</v>
      </c>
      <c r="Y1520"/>
      <c r="Z1520"/>
      <c r="AA1520"/>
      <c r="AB1520"/>
      <c r="AC1520"/>
      <c r="AD1520"/>
    </row>
    <row r="1521" spans="2:30">
      <c r="B1521" s="2" t="s">
        <v>270</v>
      </c>
      <c r="C1521" s="2" t="s">
        <v>6</v>
      </c>
      <c r="D1521" s="2" t="s">
        <v>62</v>
      </c>
      <c r="E1521" s="3">
        <v>45423.625</v>
      </c>
      <c r="F1521" s="2" t="s">
        <v>116</v>
      </c>
      <c r="G1521" s="2" t="s">
        <v>103</v>
      </c>
      <c r="H1521" s="2">
        <v>63</v>
      </c>
      <c r="I1521" s="2">
        <v>0</v>
      </c>
      <c r="J1521" s="2">
        <v>20</v>
      </c>
      <c r="K1521" s="2">
        <v>31</v>
      </c>
      <c r="L1521" s="2">
        <v>3.24</v>
      </c>
      <c r="M1521" s="2"/>
      <c r="N1521" s="2" t="s">
        <v>95</v>
      </c>
      <c r="O1521" s="10">
        <v>1</v>
      </c>
      <c r="P1521" s="10">
        <v>1</v>
      </c>
      <c r="Q1521" s="184">
        <v>2</v>
      </c>
      <c r="R1521" s="185">
        <v>1</v>
      </c>
      <c r="S1521" s="178">
        <f t="shared" si="160"/>
        <v>2</v>
      </c>
      <c r="T1521" s="186">
        <f t="shared" si="161"/>
        <v>3</v>
      </c>
      <c r="U1521" s="179">
        <f t="shared" si="162"/>
        <v>1</v>
      </c>
      <c r="V1521" s="1">
        <f t="shared" si="163"/>
        <v>25</v>
      </c>
      <c r="W1521" s="8">
        <f t="shared" si="164"/>
        <v>6.25</v>
      </c>
      <c r="X1521" s="15">
        <f t="shared" si="165"/>
        <v>8375</v>
      </c>
      <c r="Y1521"/>
      <c r="Z1521"/>
      <c r="AA1521"/>
      <c r="AB1521"/>
      <c r="AC1521"/>
      <c r="AD1521"/>
    </row>
    <row r="1522" spans="2:30">
      <c r="B1522" s="2" t="s">
        <v>270</v>
      </c>
      <c r="C1522" s="2" t="s">
        <v>6</v>
      </c>
      <c r="D1522" s="2" t="s">
        <v>62</v>
      </c>
      <c r="E1522" s="3">
        <v>45423.625</v>
      </c>
      <c r="F1522" s="2" t="s">
        <v>64</v>
      </c>
      <c r="G1522" s="2" t="s">
        <v>66</v>
      </c>
      <c r="H1522" s="2">
        <v>67</v>
      </c>
      <c r="I1522" s="2">
        <v>0</v>
      </c>
      <c r="J1522" s="2">
        <v>20</v>
      </c>
      <c r="K1522" s="2">
        <v>34</v>
      </c>
      <c r="L1522" s="2">
        <v>2.67</v>
      </c>
      <c r="M1522" s="2"/>
      <c r="N1522" s="2" t="s">
        <v>95</v>
      </c>
      <c r="O1522" s="10">
        <v>0</v>
      </c>
      <c r="P1522" s="10">
        <v>2</v>
      </c>
      <c r="Q1522" s="184">
        <v>1</v>
      </c>
      <c r="R1522" s="185">
        <v>3</v>
      </c>
      <c r="S1522" s="178">
        <f t="shared" si="160"/>
        <v>2</v>
      </c>
      <c r="T1522" s="186">
        <f t="shared" si="161"/>
        <v>4</v>
      </c>
      <c r="U1522" s="179">
        <f t="shared" si="162"/>
        <v>2</v>
      </c>
      <c r="V1522" s="1">
        <f t="shared" si="163"/>
        <v>25</v>
      </c>
      <c r="W1522" s="8">
        <f t="shared" si="164"/>
        <v>6.25</v>
      </c>
      <c r="X1522" s="15">
        <f t="shared" si="165"/>
        <v>8381.25</v>
      </c>
      <c r="Y1522"/>
      <c r="Z1522"/>
      <c r="AA1522"/>
      <c r="AB1522"/>
      <c r="AC1522"/>
      <c r="AD1522"/>
    </row>
    <row r="1523" spans="2:30">
      <c r="B1523" s="2" t="s">
        <v>270</v>
      </c>
      <c r="C1523" s="2" t="s">
        <v>77</v>
      </c>
      <c r="D1523" s="2" t="s">
        <v>251</v>
      </c>
      <c r="E1523" s="3">
        <v>45423.645833333336</v>
      </c>
      <c r="F1523" s="2" t="s">
        <v>259</v>
      </c>
      <c r="G1523" s="2" t="s">
        <v>819</v>
      </c>
      <c r="H1523" s="2">
        <v>61</v>
      </c>
      <c r="I1523" s="2">
        <v>0</v>
      </c>
      <c r="J1523" s="2">
        <v>20</v>
      </c>
      <c r="K1523" s="2">
        <v>36</v>
      </c>
      <c r="L1523" s="2">
        <v>0</v>
      </c>
      <c r="M1523" s="2"/>
      <c r="N1523" s="2" t="s">
        <v>95</v>
      </c>
      <c r="O1523" s="10">
        <v>4</v>
      </c>
      <c r="P1523" s="10">
        <v>0</v>
      </c>
      <c r="Q1523" s="184">
        <v>4</v>
      </c>
      <c r="R1523" s="185">
        <v>2</v>
      </c>
      <c r="S1523" s="178">
        <f t="shared" si="160"/>
        <v>4</v>
      </c>
      <c r="T1523" s="186">
        <f t="shared" si="161"/>
        <v>6</v>
      </c>
      <c r="U1523" s="179">
        <f t="shared" si="162"/>
        <v>2</v>
      </c>
      <c r="V1523" s="1">
        <f t="shared" si="163"/>
        <v>25</v>
      </c>
      <c r="W1523" s="8">
        <f t="shared" si="164"/>
        <v>6.25</v>
      </c>
      <c r="X1523" s="15">
        <f t="shared" si="165"/>
        <v>8387.5</v>
      </c>
      <c r="Y1523"/>
      <c r="Z1523"/>
      <c r="AA1523"/>
      <c r="AB1523"/>
      <c r="AC1523"/>
      <c r="AD1523"/>
    </row>
    <row r="1524" spans="2:30">
      <c r="B1524" s="2" t="s">
        <v>270</v>
      </c>
      <c r="C1524" s="2" t="s">
        <v>296</v>
      </c>
      <c r="D1524" s="2" t="s">
        <v>525</v>
      </c>
      <c r="E1524" s="3">
        <v>45423.708333333336</v>
      </c>
      <c r="F1524" s="2" t="s">
        <v>731</v>
      </c>
      <c r="G1524" s="2" t="s">
        <v>526</v>
      </c>
      <c r="H1524" s="2">
        <v>72</v>
      </c>
      <c r="I1524" s="2">
        <v>0</v>
      </c>
      <c r="J1524" s="2">
        <v>20</v>
      </c>
      <c r="K1524" s="2">
        <v>45</v>
      </c>
      <c r="L1524" s="2">
        <v>0</v>
      </c>
      <c r="M1524" s="2"/>
      <c r="N1524" s="2" t="s">
        <v>95</v>
      </c>
      <c r="O1524" s="10">
        <v>1</v>
      </c>
      <c r="P1524" s="10">
        <v>0</v>
      </c>
      <c r="Q1524" s="184">
        <v>3</v>
      </c>
      <c r="R1524" s="185">
        <v>0</v>
      </c>
      <c r="S1524" s="178">
        <f t="shared" si="160"/>
        <v>1</v>
      </c>
      <c r="T1524" s="186">
        <f t="shared" si="161"/>
        <v>3</v>
      </c>
      <c r="U1524" s="179">
        <f t="shared" si="162"/>
        <v>2</v>
      </c>
      <c r="V1524" s="1">
        <f t="shared" si="163"/>
        <v>25</v>
      </c>
      <c r="W1524" s="8">
        <f t="shared" si="164"/>
        <v>6.25</v>
      </c>
      <c r="X1524" s="15">
        <f t="shared" si="165"/>
        <v>8393.75</v>
      </c>
      <c r="Y1524"/>
      <c r="Z1524"/>
      <c r="AA1524"/>
      <c r="AB1524"/>
      <c r="AC1524"/>
      <c r="AD1524"/>
    </row>
    <row r="1525" spans="2:30">
      <c r="B1525" s="2" t="s">
        <v>270</v>
      </c>
      <c r="C1525" s="2" t="s">
        <v>6</v>
      </c>
      <c r="D1525" s="2" t="s">
        <v>62</v>
      </c>
      <c r="E1525" s="3">
        <v>45423.729166666664</v>
      </c>
      <c r="F1525" s="2" t="s">
        <v>264</v>
      </c>
      <c r="G1525" s="2" t="s">
        <v>65</v>
      </c>
      <c r="H1525" s="2">
        <v>65</v>
      </c>
      <c r="I1525" s="2">
        <v>0</v>
      </c>
      <c r="J1525" s="2">
        <v>20</v>
      </c>
      <c r="K1525" s="2">
        <v>34</v>
      </c>
      <c r="L1525" s="2">
        <v>2.78</v>
      </c>
      <c r="M1525" s="2"/>
      <c r="N1525" s="2" t="s">
        <v>95</v>
      </c>
      <c r="O1525" s="10">
        <v>1</v>
      </c>
      <c r="P1525" s="10">
        <v>1</v>
      </c>
      <c r="Q1525" s="184">
        <v>2</v>
      </c>
      <c r="R1525" s="185">
        <v>3</v>
      </c>
      <c r="S1525" s="178">
        <f t="shared" si="160"/>
        <v>2</v>
      </c>
      <c r="T1525" s="186">
        <f t="shared" si="161"/>
        <v>5</v>
      </c>
      <c r="U1525" s="179">
        <f t="shared" si="162"/>
        <v>3</v>
      </c>
      <c r="V1525" s="1">
        <f t="shared" si="163"/>
        <v>25</v>
      </c>
      <c r="W1525" s="8">
        <f t="shared" si="164"/>
        <v>6.25</v>
      </c>
      <c r="X1525" s="15">
        <f t="shared" si="165"/>
        <v>8400</v>
      </c>
      <c r="Y1525"/>
      <c r="Z1525"/>
      <c r="AA1525"/>
      <c r="AB1525"/>
      <c r="AC1525"/>
      <c r="AD1525"/>
    </row>
    <row r="1526" spans="2:30">
      <c r="B1526" s="2" t="s">
        <v>270</v>
      </c>
      <c r="C1526" s="2" t="s">
        <v>296</v>
      </c>
      <c r="D1526" s="2" t="s">
        <v>78</v>
      </c>
      <c r="E1526" s="3">
        <v>45423.8125</v>
      </c>
      <c r="F1526" s="2" t="s">
        <v>652</v>
      </c>
      <c r="G1526" s="2" t="s">
        <v>368</v>
      </c>
      <c r="H1526" s="2">
        <v>60</v>
      </c>
      <c r="I1526" s="2">
        <v>0</v>
      </c>
      <c r="J1526" s="2">
        <v>20</v>
      </c>
      <c r="K1526" s="2">
        <v>35</v>
      </c>
      <c r="L1526" s="2">
        <v>2.81</v>
      </c>
      <c r="M1526" s="2"/>
      <c r="N1526" s="2" t="s">
        <v>95</v>
      </c>
      <c r="O1526" s="10">
        <v>0</v>
      </c>
      <c r="P1526" s="10">
        <v>1</v>
      </c>
      <c r="Q1526" s="184">
        <v>0</v>
      </c>
      <c r="R1526" s="185">
        <v>1</v>
      </c>
      <c r="S1526" s="178">
        <f t="shared" si="160"/>
        <v>1</v>
      </c>
      <c r="T1526" s="186">
        <f t="shared" si="161"/>
        <v>1</v>
      </c>
      <c r="U1526" s="179">
        <f t="shared" si="162"/>
        <v>0</v>
      </c>
      <c r="V1526" s="1">
        <f t="shared" si="163"/>
        <v>25</v>
      </c>
      <c r="W1526" s="8">
        <f t="shared" si="164"/>
        <v>6.25</v>
      </c>
      <c r="X1526" s="15">
        <f t="shared" si="165"/>
        <v>8406.25</v>
      </c>
      <c r="Y1526"/>
      <c r="Z1526"/>
      <c r="AA1526"/>
      <c r="AB1526"/>
      <c r="AC1526"/>
      <c r="AD1526"/>
    </row>
    <row r="1527" spans="2:30">
      <c r="B1527" s="2" t="s">
        <v>270</v>
      </c>
      <c r="C1527" s="2" t="s">
        <v>67</v>
      </c>
      <c r="D1527" s="2" t="s">
        <v>68</v>
      </c>
      <c r="E1527" s="3">
        <v>45423.822916666664</v>
      </c>
      <c r="F1527" s="2" t="s">
        <v>375</v>
      </c>
      <c r="G1527" s="2" t="s">
        <v>343</v>
      </c>
      <c r="H1527" s="2">
        <v>61</v>
      </c>
      <c r="I1527" s="2">
        <v>0</v>
      </c>
      <c r="J1527" s="2">
        <v>20</v>
      </c>
      <c r="K1527" s="2">
        <v>37</v>
      </c>
      <c r="L1527" s="2">
        <v>2.66</v>
      </c>
      <c r="M1527" s="2"/>
      <c r="N1527" s="2" t="s">
        <v>95</v>
      </c>
      <c r="O1527" s="10">
        <v>1</v>
      </c>
      <c r="P1527" s="10">
        <v>0</v>
      </c>
      <c r="Q1527" s="184">
        <v>2</v>
      </c>
      <c r="R1527" s="185">
        <v>1</v>
      </c>
      <c r="S1527" s="178">
        <f t="shared" si="160"/>
        <v>1</v>
      </c>
      <c r="T1527" s="186">
        <f t="shared" si="161"/>
        <v>3</v>
      </c>
      <c r="U1527" s="179">
        <f t="shared" si="162"/>
        <v>2</v>
      </c>
      <c r="V1527" s="1">
        <f t="shared" si="163"/>
        <v>25</v>
      </c>
      <c r="W1527" s="8">
        <f t="shared" si="164"/>
        <v>6.25</v>
      </c>
      <c r="X1527" s="15">
        <f t="shared" si="165"/>
        <v>8412.5</v>
      </c>
      <c r="Y1527"/>
      <c r="Z1527"/>
      <c r="AA1527"/>
      <c r="AB1527"/>
      <c r="AC1527"/>
      <c r="AD1527"/>
    </row>
    <row r="1528" spans="2:30">
      <c r="B1528" s="2" t="s">
        <v>270</v>
      </c>
      <c r="C1528" s="2" t="s">
        <v>296</v>
      </c>
      <c r="D1528" s="2" t="s">
        <v>78</v>
      </c>
      <c r="E1528" s="3">
        <v>45424.552083333336</v>
      </c>
      <c r="F1528" s="2" t="s">
        <v>297</v>
      </c>
      <c r="G1528" s="2" t="s">
        <v>382</v>
      </c>
      <c r="H1528" s="2">
        <v>61</v>
      </c>
      <c r="I1528" s="2">
        <v>0</v>
      </c>
      <c r="J1528" s="2">
        <v>20</v>
      </c>
      <c r="K1528" s="2">
        <v>36</v>
      </c>
      <c r="L1528" s="2">
        <v>2.15</v>
      </c>
      <c r="M1528" s="2"/>
      <c r="N1528" s="2" t="s">
        <v>95</v>
      </c>
      <c r="O1528" s="10">
        <v>1</v>
      </c>
      <c r="P1528" s="10">
        <v>2</v>
      </c>
      <c r="Q1528" s="184">
        <v>1</v>
      </c>
      <c r="R1528" s="184">
        <v>3</v>
      </c>
      <c r="S1528" s="178">
        <f t="shared" si="160"/>
        <v>3</v>
      </c>
      <c r="T1528" s="186">
        <f t="shared" si="161"/>
        <v>4</v>
      </c>
      <c r="U1528" s="179">
        <f t="shared" si="162"/>
        <v>1</v>
      </c>
      <c r="V1528" s="1">
        <f t="shared" si="163"/>
        <v>25</v>
      </c>
      <c r="W1528" s="8">
        <f t="shared" si="164"/>
        <v>6.25</v>
      </c>
      <c r="X1528" s="15">
        <f t="shared" si="165"/>
        <v>8418.75</v>
      </c>
      <c r="Y1528"/>
      <c r="Z1528"/>
      <c r="AA1528"/>
      <c r="AB1528"/>
      <c r="AC1528"/>
      <c r="AD1528"/>
    </row>
    <row r="1529" spans="2:30">
      <c r="B1529" s="2" t="s">
        <v>270</v>
      </c>
      <c r="C1529" s="2" t="s">
        <v>77</v>
      </c>
      <c r="D1529" s="2" t="s">
        <v>156</v>
      </c>
      <c r="E1529" s="3">
        <v>45424.604166666664</v>
      </c>
      <c r="F1529" s="2" t="s">
        <v>345</v>
      </c>
      <c r="G1529" s="2" t="s">
        <v>158</v>
      </c>
      <c r="H1529" s="2">
        <v>61</v>
      </c>
      <c r="I1529" s="2">
        <v>0</v>
      </c>
      <c r="J1529" s="2">
        <v>20</v>
      </c>
      <c r="K1529" s="2">
        <v>32</v>
      </c>
      <c r="L1529" s="2">
        <v>3.7</v>
      </c>
      <c r="M1529" s="2"/>
      <c r="N1529" s="2" t="s">
        <v>95</v>
      </c>
      <c r="O1529" s="10">
        <v>0</v>
      </c>
      <c r="P1529" s="10">
        <v>5</v>
      </c>
      <c r="Q1529" s="184">
        <v>0</v>
      </c>
      <c r="R1529" s="184">
        <v>6</v>
      </c>
      <c r="S1529" s="178">
        <f t="shared" si="160"/>
        <v>5</v>
      </c>
      <c r="T1529" s="186">
        <f t="shared" si="161"/>
        <v>6</v>
      </c>
      <c r="U1529" s="179">
        <f t="shared" si="162"/>
        <v>1</v>
      </c>
      <c r="V1529" s="1">
        <f t="shared" si="163"/>
        <v>25</v>
      </c>
      <c r="W1529" s="8">
        <f t="shared" si="164"/>
        <v>6.25</v>
      </c>
      <c r="X1529" s="15">
        <f t="shared" si="165"/>
        <v>8425</v>
      </c>
      <c r="Y1529"/>
      <c r="Z1529"/>
      <c r="AA1529"/>
      <c r="AB1529"/>
      <c r="AC1529"/>
      <c r="AD1529"/>
    </row>
    <row r="1530" spans="2:30">
      <c r="B1530" s="2" t="s">
        <v>270</v>
      </c>
      <c r="C1530" s="2" t="s">
        <v>434</v>
      </c>
      <c r="D1530" s="2" t="s">
        <v>435</v>
      </c>
      <c r="E1530" s="3">
        <v>45424.625</v>
      </c>
      <c r="F1530" s="2" t="s">
        <v>436</v>
      </c>
      <c r="G1530" s="2" t="s">
        <v>476</v>
      </c>
      <c r="H1530" s="2">
        <v>59</v>
      </c>
      <c r="I1530" s="2">
        <v>0</v>
      </c>
      <c r="J1530" s="2">
        <v>20</v>
      </c>
      <c r="K1530" s="2">
        <v>32</v>
      </c>
      <c r="L1530" s="2">
        <v>2.62</v>
      </c>
      <c r="M1530" s="2"/>
      <c r="N1530" s="2" t="s">
        <v>95</v>
      </c>
      <c r="O1530" s="10">
        <v>1</v>
      </c>
      <c r="P1530" s="10">
        <v>1</v>
      </c>
      <c r="Q1530" s="184">
        <v>1</v>
      </c>
      <c r="R1530" s="184">
        <v>3</v>
      </c>
      <c r="S1530" s="178">
        <f t="shared" si="160"/>
        <v>2</v>
      </c>
      <c r="T1530" s="186">
        <f t="shared" si="161"/>
        <v>4</v>
      </c>
      <c r="U1530" s="179">
        <f t="shared" si="162"/>
        <v>2</v>
      </c>
      <c r="V1530" s="1">
        <f t="shared" si="163"/>
        <v>25</v>
      </c>
      <c r="W1530" s="8">
        <f t="shared" si="164"/>
        <v>6.25</v>
      </c>
      <c r="X1530" s="15">
        <f t="shared" si="165"/>
        <v>8431.25</v>
      </c>
      <c r="Y1530"/>
      <c r="Z1530"/>
      <c r="AA1530"/>
      <c r="AB1530"/>
      <c r="AC1530"/>
      <c r="AD1530"/>
    </row>
    <row r="1531" spans="2:30">
      <c r="B1531" s="2" t="s">
        <v>270</v>
      </c>
      <c r="C1531" s="2" t="s">
        <v>58</v>
      </c>
      <c r="D1531" s="2" t="s">
        <v>289</v>
      </c>
      <c r="E1531" s="3">
        <v>45424.645833333336</v>
      </c>
      <c r="F1531" s="2" t="s">
        <v>800</v>
      </c>
      <c r="G1531" s="2" t="s">
        <v>624</v>
      </c>
      <c r="H1531" s="2">
        <v>61</v>
      </c>
      <c r="I1531" s="2">
        <v>0</v>
      </c>
      <c r="J1531" s="2">
        <v>20</v>
      </c>
      <c r="K1531" s="2">
        <v>37</v>
      </c>
      <c r="L1531" s="2">
        <v>0</v>
      </c>
      <c r="M1531" s="2"/>
      <c r="N1531" s="2" t="s">
        <v>95</v>
      </c>
      <c r="O1531" s="10">
        <v>0</v>
      </c>
      <c r="P1531" s="10">
        <v>1</v>
      </c>
      <c r="Q1531" s="184">
        <v>1</v>
      </c>
      <c r="R1531" s="184">
        <v>3</v>
      </c>
      <c r="S1531" s="178">
        <f t="shared" si="160"/>
        <v>1</v>
      </c>
      <c r="T1531" s="186">
        <f t="shared" si="161"/>
        <v>4</v>
      </c>
      <c r="U1531" s="179">
        <f t="shared" si="162"/>
        <v>3</v>
      </c>
      <c r="V1531" s="1">
        <f t="shared" si="163"/>
        <v>25</v>
      </c>
      <c r="W1531" s="8">
        <f t="shared" si="164"/>
        <v>6.25</v>
      </c>
      <c r="X1531" s="15">
        <f t="shared" si="165"/>
        <v>8437.5</v>
      </c>
      <c r="Y1531"/>
      <c r="Z1531"/>
      <c r="AA1531"/>
      <c r="AB1531"/>
      <c r="AC1531"/>
      <c r="AD1531"/>
    </row>
    <row r="1532" spans="2:30">
      <c r="B1532" s="2" t="s">
        <v>270</v>
      </c>
      <c r="C1532" s="2" t="s">
        <v>80</v>
      </c>
      <c r="D1532" s="2" t="s">
        <v>81</v>
      </c>
      <c r="E1532" s="3">
        <v>45424.708333333336</v>
      </c>
      <c r="F1532" s="2" t="s">
        <v>550</v>
      </c>
      <c r="G1532" s="2" t="s">
        <v>310</v>
      </c>
      <c r="H1532" s="2">
        <v>65</v>
      </c>
      <c r="I1532" s="2">
        <v>0</v>
      </c>
      <c r="J1532" s="2">
        <v>20</v>
      </c>
      <c r="K1532" s="2">
        <v>36</v>
      </c>
      <c r="L1532" s="2">
        <v>2.69</v>
      </c>
      <c r="M1532" s="2"/>
      <c r="N1532" s="2" t="s">
        <v>95</v>
      </c>
      <c r="O1532" s="10">
        <v>2</v>
      </c>
      <c r="P1532" s="10">
        <v>0</v>
      </c>
      <c r="Q1532" s="184">
        <v>3</v>
      </c>
      <c r="R1532" s="184">
        <v>0</v>
      </c>
      <c r="S1532" s="178">
        <f t="shared" si="160"/>
        <v>2</v>
      </c>
      <c r="T1532" s="186">
        <f t="shared" si="161"/>
        <v>3</v>
      </c>
      <c r="U1532" s="179">
        <f t="shared" si="162"/>
        <v>1</v>
      </c>
      <c r="V1532" s="1">
        <f t="shared" si="163"/>
        <v>25</v>
      </c>
      <c r="W1532" s="8">
        <f t="shared" si="164"/>
        <v>6.25</v>
      </c>
      <c r="X1532" s="15">
        <f t="shared" si="165"/>
        <v>8443.75</v>
      </c>
      <c r="Y1532"/>
      <c r="Z1532"/>
      <c r="AA1532"/>
      <c r="AB1532"/>
      <c r="AC1532"/>
      <c r="AD1532"/>
    </row>
    <row r="1533" spans="2:30">
      <c r="B1533" s="2" t="s">
        <v>270</v>
      </c>
      <c r="C1533" s="2" t="s">
        <v>77</v>
      </c>
      <c r="D1533" s="2" t="s">
        <v>156</v>
      </c>
      <c r="E1533" s="3">
        <v>45424.770833333336</v>
      </c>
      <c r="F1533" s="2" t="s">
        <v>239</v>
      </c>
      <c r="G1533" s="2" t="s">
        <v>325</v>
      </c>
      <c r="H1533" s="2">
        <v>62</v>
      </c>
      <c r="I1533" s="2">
        <v>0</v>
      </c>
      <c r="J1533" s="2">
        <v>20</v>
      </c>
      <c r="K1533" s="2">
        <v>39</v>
      </c>
      <c r="L1533" s="2">
        <v>3.44</v>
      </c>
      <c r="M1533" s="2"/>
      <c r="N1533" s="2" t="s">
        <v>95</v>
      </c>
      <c r="O1533" s="10">
        <v>0</v>
      </c>
      <c r="P1533" s="10">
        <v>2</v>
      </c>
      <c r="Q1533" s="184">
        <v>0</v>
      </c>
      <c r="R1533" s="184">
        <v>5</v>
      </c>
      <c r="S1533" s="178">
        <f t="shared" si="160"/>
        <v>2</v>
      </c>
      <c r="T1533" s="186">
        <f t="shared" si="161"/>
        <v>5</v>
      </c>
      <c r="U1533" s="179">
        <f t="shared" si="162"/>
        <v>3</v>
      </c>
      <c r="V1533" s="1">
        <f t="shared" si="163"/>
        <v>25</v>
      </c>
      <c r="W1533" s="8">
        <f t="shared" si="164"/>
        <v>6.25</v>
      </c>
      <c r="X1533" s="15">
        <f t="shared" si="165"/>
        <v>8450</v>
      </c>
      <c r="Y1533"/>
      <c r="Z1533"/>
      <c r="AA1533"/>
      <c r="AB1533"/>
      <c r="AC1533"/>
      <c r="AD1533"/>
    </row>
    <row r="1534" spans="2:30">
      <c r="B1534" s="2" t="s">
        <v>270</v>
      </c>
      <c r="C1534" s="2" t="s">
        <v>173</v>
      </c>
      <c r="D1534" s="2" t="s">
        <v>174</v>
      </c>
      <c r="E1534" s="3">
        <v>45424.916666666664</v>
      </c>
      <c r="F1534" s="2" t="s">
        <v>825</v>
      </c>
      <c r="G1534" s="2" t="s">
        <v>770</v>
      </c>
      <c r="H1534" s="2">
        <v>60</v>
      </c>
      <c r="I1534" s="2">
        <v>0</v>
      </c>
      <c r="J1534" s="2">
        <v>20</v>
      </c>
      <c r="K1534" s="2">
        <v>38</v>
      </c>
      <c r="L1534" s="2">
        <v>0</v>
      </c>
      <c r="M1534" s="2"/>
      <c r="N1534" s="2" t="s">
        <v>95</v>
      </c>
      <c r="O1534" s="10">
        <v>0</v>
      </c>
      <c r="P1534" s="10">
        <v>1</v>
      </c>
      <c r="Q1534" s="184">
        <v>2</v>
      </c>
      <c r="R1534" s="184">
        <v>2</v>
      </c>
      <c r="S1534" s="178">
        <f t="shared" si="160"/>
        <v>1</v>
      </c>
      <c r="T1534" s="186">
        <f t="shared" si="161"/>
        <v>4</v>
      </c>
      <c r="U1534" s="179">
        <f t="shared" si="162"/>
        <v>3</v>
      </c>
      <c r="V1534" s="1">
        <f t="shared" si="163"/>
        <v>25</v>
      </c>
      <c r="W1534" s="8">
        <f t="shared" si="164"/>
        <v>6.25</v>
      </c>
      <c r="X1534" s="15">
        <f t="shared" si="165"/>
        <v>8456.25</v>
      </c>
      <c r="Y1534"/>
      <c r="Z1534"/>
      <c r="AA1534"/>
      <c r="AB1534"/>
      <c r="AC1534"/>
      <c r="AD1534"/>
    </row>
    <row r="1535" spans="2:30">
      <c r="B1535" s="2" t="s">
        <v>270</v>
      </c>
      <c r="C1535" s="2" t="s">
        <v>441</v>
      </c>
      <c r="D1535" s="2" t="s">
        <v>442</v>
      </c>
      <c r="E1535" s="3">
        <v>45425.520833333336</v>
      </c>
      <c r="F1535" s="2" t="s">
        <v>696</v>
      </c>
      <c r="G1535" s="2" t="s">
        <v>445</v>
      </c>
      <c r="H1535" s="2">
        <v>59</v>
      </c>
      <c r="I1535" s="2">
        <v>0</v>
      </c>
      <c r="J1535" s="2">
        <v>20</v>
      </c>
      <c r="K1535" s="2">
        <v>26</v>
      </c>
      <c r="L1535" s="2">
        <v>2.3199999999999998</v>
      </c>
      <c r="M1535" s="2"/>
      <c r="N1535" s="2" t="s">
        <v>95</v>
      </c>
      <c r="O1535" s="10">
        <v>0</v>
      </c>
      <c r="P1535" s="10">
        <v>0</v>
      </c>
      <c r="Q1535" s="184">
        <v>1</v>
      </c>
      <c r="R1535" s="185">
        <v>2</v>
      </c>
      <c r="S1535" s="178">
        <f t="shared" si="160"/>
        <v>0</v>
      </c>
      <c r="T1535" s="186">
        <f t="shared" si="161"/>
        <v>3</v>
      </c>
      <c r="U1535" s="179">
        <f t="shared" si="162"/>
        <v>3</v>
      </c>
      <c r="V1535" s="1">
        <f t="shared" si="163"/>
        <v>25</v>
      </c>
      <c r="W1535" s="8">
        <f t="shared" si="164"/>
        <v>6.25</v>
      </c>
      <c r="X1535" s="15">
        <f t="shared" si="165"/>
        <v>8462.5</v>
      </c>
      <c r="Y1535"/>
      <c r="Z1535"/>
      <c r="AA1535"/>
      <c r="AB1535"/>
      <c r="AC1535"/>
      <c r="AD1535"/>
    </row>
    <row r="1536" spans="2:30">
      <c r="B1536" s="2" t="s">
        <v>270</v>
      </c>
      <c r="C1536" s="2" t="s">
        <v>67</v>
      </c>
      <c r="D1536" s="2" t="s">
        <v>68</v>
      </c>
      <c r="E1536" s="3">
        <v>45425.8125</v>
      </c>
      <c r="F1536" s="2" t="s">
        <v>265</v>
      </c>
      <c r="G1536" s="2" t="s">
        <v>465</v>
      </c>
      <c r="H1536" s="2">
        <v>60</v>
      </c>
      <c r="I1536" s="2">
        <v>0</v>
      </c>
      <c r="J1536" s="2">
        <v>20</v>
      </c>
      <c r="K1536" s="2">
        <v>27</v>
      </c>
      <c r="L1536" s="2">
        <v>2.4900000000000002</v>
      </c>
      <c r="M1536" s="2"/>
      <c r="N1536" s="2" t="s">
        <v>95</v>
      </c>
      <c r="O1536" s="10">
        <v>0</v>
      </c>
      <c r="P1536" s="10">
        <v>0</v>
      </c>
      <c r="Q1536" s="184">
        <v>2</v>
      </c>
      <c r="R1536" s="185">
        <v>2</v>
      </c>
      <c r="S1536" s="178">
        <f t="shared" si="160"/>
        <v>0</v>
      </c>
      <c r="T1536" s="186">
        <f t="shared" si="161"/>
        <v>4</v>
      </c>
      <c r="U1536" s="179">
        <f t="shared" si="162"/>
        <v>4</v>
      </c>
      <c r="V1536" s="1">
        <f t="shared" si="163"/>
        <v>25</v>
      </c>
      <c r="W1536" s="8">
        <f t="shared" si="164"/>
        <v>6.25</v>
      </c>
      <c r="X1536" s="15">
        <f t="shared" si="165"/>
        <v>8468.75</v>
      </c>
      <c r="Y1536"/>
      <c r="Z1536"/>
      <c r="AA1536"/>
      <c r="AB1536"/>
      <c r="AC1536"/>
      <c r="AD1536"/>
    </row>
    <row r="1537" spans="2:30">
      <c r="B1537" s="2" t="s">
        <v>270</v>
      </c>
      <c r="C1537" s="2" t="s">
        <v>6</v>
      </c>
      <c r="D1537" s="2" t="s">
        <v>62</v>
      </c>
      <c r="E1537" s="3">
        <v>45425.833333333336</v>
      </c>
      <c r="F1537" s="2" t="s">
        <v>102</v>
      </c>
      <c r="G1537" s="2" t="s">
        <v>285</v>
      </c>
      <c r="H1537" s="2">
        <v>66</v>
      </c>
      <c r="I1537" s="2">
        <v>0</v>
      </c>
      <c r="J1537" s="2">
        <v>20</v>
      </c>
      <c r="K1537" s="2">
        <v>35</v>
      </c>
      <c r="L1537" s="2">
        <v>2.96</v>
      </c>
      <c r="M1537" s="2"/>
      <c r="N1537" s="2" t="s">
        <v>95</v>
      </c>
      <c r="O1537" s="10">
        <v>1</v>
      </c>
      <c r="P1537" s="10">
        <v>2</v>
      </c>
      <c r="Q1537" s="184">
        <v>3</v>
      </c>
      <c r="R1537" s="185">
        <v>3</v>
      </c>
      <c r="S1537" s="178">
        <f t="shared" ref="S1537:S1600" si="166">SUM(O1537:P1537)</f>
        <v>3</v>
      </c>
      <c r="T1537" s="186">
        <f t="shared" ref="T1537:T1600" si="167">SUM(Q1537:R1537)</f>
        <v>6</v>
      </c>
      <c r="U1537" s="179">
        <f t="shared" ref="U1537:U1600" si="168">SUM(T1537-S1537)</f>
        <v>3</v>
      </c>
      <c r="V1537" s="1">
        <f t="shared" si="163"/>
        <v>25</v>
      </c>
      <c r="W1537" s="8">
        <f t="shared" si="164"/>
        <v>6.25</v>
      </c>
      <c r="X1537" s="15">
        <f t="shared" si="165"/>
        <v>8475</v>
      </c>
      <c r="Y1537"/>
      <c r="Z1537"/>
      <c r="AA1537"/>
      <c r="AB1537"/>
      <c r="AC1537"/>
      <c r="AD1537"/>
    </row>
    <row r="1538" spans="2:30">
      <c r="B1538" s="2" t="s">
        <v>270</v>
      </c>
      <c r="C1538" s="2" t="s">
        <v>6</v>
      </c>
      <c r="D1538" s="2" t="s">
        <v>62</v>
      </c>
      <c r="E1538" s="3">
        <v>45427.833333333336</v>
      </c>
      <c r="F1538" s="2" t="s">
        <v>383</v>
      </c>
      <c r="G1538" s="2" t="s">
        <v>164</v>
      </c>
      <c r="H1538" s="2">
        <v>60</v>
      </c>
      <c r="I1538" s="2">
        <v>0</v>
      </c>
      <c r="J1538" s="2">
        <v>20</v>
      </c>
      <c r="K1538" s="2">
        <v>30</v>
      </c>
      <c r="L1538" s="2">
        <v>3.04</v>
      </c>
      <c r="M1538" s="2"/>
      <c r="N1538" s="2" t="s">
        <v>95</v>
      </c>
      <c r="O1538" s="10">
        <v>1</v>
      </c>
      <c r="P1538" s="10">
        <v>0</v>
      </c>
      <c r="Q1538" s="184">
        <v>3</v>
      </c>
      <c r="R1538" s="185">
        <v>2</v>
      </c>
      <c r="S1538" s="178">
        <f t="shared" si="166"/>
        <v>1</v>
      </c>
      <c r="T1538" s="186">
        <f t="shared" si="167"/>
        <v>5</v>
      </c>
      <c r="U1538" s="179">
        <f t="shared" si="168"/>
        <v>4</v>
      </c>
      <c r="V1538" s="1">
        <f t="shared" si="163"/>
        <v>25</v>
      </c>
      <c r="W1538" s="8">
        <f t="shared" si="164"/>
        <v>6.25</v>
      </c>
      <c r="X1538" s="15">
        <f t="shared" si="165"/>
        <v>8481.25</v>
      </c>
      <c r="Y1538"/>
      <c r="Z1538"/>
      <c r="AA1538"/>
      <c r="AB1538"/>
      <c r="AC1538"/>
      <c r="AD1538"/>
    </row>
    <row r="1539" spans="2:30">
      <c r="B1539" s="2" t="s">
        <v>270</v>
      </c>
      <c r="C1539" s="2" t="s">
        <v>626</v>
      </c>
      <c r="D1539" s="2" t="s">
        <v>627</v>
      </c>
      <c r="E1539" s="3">
        <v>45429.729166666664</v>
      </c>
      <c r="F1539" s="2" t="s">
        <v>722</v>
      </c>
      <c r="G1539" s="2" t="s">
        <v>653</v>
      </c>
      <c r="H1539" s="2">
        <v>62</v>
      </c>
      <c r="I1539" s="2">
        <v>0</v>
      </c>
      <c r="J1539" s="2">
        <v>20</v>
      </c>
      <c r="K1539" s="2">
        <v>30</v>
      </c>
      <c r="L1539" s="2">
        <v>0</v>
      </c>
      <c r="M1539" s="2"/>
      <c r="N1539" s="2" t="s">
        <v>95</v>
      </c>
      <c r="O1539" s="10">
        <v>0</v>
      </c>
      <c r="P1539" s="10">
        <v>0</v>
      </c>
      <c r="Q1539" s="184">
        <v>0</v>
      </c>
      <c r="R1539" s="185">
        <v>1</v>
      </c>
      <c r="S1539" s="178">
        <f t="shared" si="166"/>
        <v>0</v>
      </c>
      <c r="T1539" s="186">
        <f t="shared" si="167"/>
        <v>1</v>
      </c>
      <c r="U1539" s="179">
        <f t="shared" si="168"/>
        <v>1</v>
      </c>
      <c r="V1539" s="1">
        <f t="shared" si="163"/>
        <v>25</v>
      </c>
      <c r="W1539" s="8">
        <f t="shared" si="164"/>
        <v>6.25</v>
      </c>
      <c r="X1539" s="15">
        <f t="shared" si="165"/>
        <v>8487.5</v>
      </c>
      <c r="Y1539"/>
      <c r="Z1539"/>
      <c r="AA1539"/>
      <c r="AB1539"/>
      <c r="AC1539"/>
      <c r="AD1539"/>
    </row>
    <row r="1540" spans="2:30">
      <c r="B1540" s="2" t="s">
        <v>270</v>
      </c>
      <c r="C1540" s="2" t="s">
        <v>119</v>
      </c>
      <c r="D1540" s="2" t="s">
        <v>166</v>
      </c>
      <c r="E1540" s="3">
        <v>45430.541666666664</v>
      </c>
      <c r="F1540" s="2" t="s">
        <v>603</v>
      </c>
      <c r="G1540" s="2" t="s">
        <v>841</v>
      </c>
      <c r="H1540" s="2">
        <v>69</v>
      </c>
      <c r="I1540" s="2">
        <v>0</v>
      </c>
      <c r="J1540" s="2">
        <v>20</v>
      </c>
      <c r="K1540" s="2">
        <v>46</v>
      </c>
      <c r="L1540" s="2">
        <v>1.9</v>
      </c>
      <c r="M1540" s="2"/>
      <c r="N1540" s="2" t="s">
        <v>95</v>
      </c>
      <c r="O1540" s="10">
        <v>0</v>
      </c>
      <c r="P1540" s="10">
        <v>0</v>
      </c>
      <c r="Q1540" s="184">
        <v>1</v>
      </c>
      <c r="R1540" s="185">
        <v>0</v>
      </c>
      <c r="S1540" s="178">
        <f t="shared" si="166"/>
        <v>0</v>
      </c>
      <c r="T1540" s="186">
        <f t="shared" si="167"/>
        <v>1</v>
      </c>
      <c r="U1540" s="179">
        <f t="shared" si="168"/>
        <v>1</v>
      </c>
      <c r="V1540" s="1">
        <f t="shared" si="163"/>
        <v>25</v>
      </c>
      <c r="W1540" s="8">
        <f t="shared" si="164"/>
        <v>6.25</v>
      </c>
      <c r="X1540" s="15">
        <f t="shared" si="165"/>
        <v>8493.75</v>
      </c>
      <c r="Y1540"/>
      <c r="Z1540"/>
      <c r="AA1540"/>
      <c r="AB1540"/>
      <c r="AC1540"/>
      <c r="AD1540"/>
    </row>
    <row r="1541" spans="2:30">
      <c r="B1541" s="2" t="s">
        <v>270</v>
      </c>
      <c r="C1541" s="2" t="s">
        <v>80</v>
      </c>
      <c r="D1541" s="2" t="s">
        <v>81</v>
      </c>
      <c r="E1541" s="3">
        <v>45430.708333333336</v>
      </c>
      <c r="F1541" s="2" t="s">
        <v>312</v>
      </c>
      <c r="G1541" s="2" t="s">
        <v>551</v>
      </c>
      <c r="H1541" s="2">
        <v>61</v>
      </c>
      <c r="I1541" s="2">
        <v>0</v>
      </c>
      <c r="J1541" s="2">
        <v>20</v>
      </c>
      <c r="K1541" s="2">
        <v>38</v>
      </c>
      <c r="L1541" s="2">
        <v>2.46</v>
      </c>
      <c r="M1541" s="2"/>
      <c r="N1541" s="2" t="s">
        <v>95</v>
      </c>
      <c r="O1541" s="10">
        <v>0</v>
      </c>
      <c r="P1541" s="10">
        <v>0</v>
      </c>
      <c r="Q1541" s="184">
        <v>3</v>
      </c>
      <c r="R1541" s="185">
        <v>1</v>
      </c>
      <c r="S1541" s="178">
        <f t="shared" si="166"/>
        <v>0</v>
      </c>
      <c r="T1541" s="186">
        <f t="shared" si="167"/>
        <v>4</v>
      </c>
      <c r="U1541" s="179">
        <f t="shared" si="168"/>
        <v>4</v>
      </c>
      <c r="V1541" s="1">
        <f t="shared" ref="V1541:V1604" si="169">SUM($X$1*0.05)</f>
        <v>25</v>
      </c>
      <c r="W1541" s="8">
        <f t="shared" si="164"/>
        <v>6.25</v>
      </c>
      <c r="X1541" s="15">
        <f t="shared" si="165"/>
        <v>8500</v>
      </c>
      <c r="Y1541"/>
      <c r="Z1541"/>
      <c r="AA1541"/>
      <c r="AB1541"/>
      <c r="AC1541"/>
      <c r="AD1541"/>
    </row>
    <row r="1542" spans="2:30">
      <c r="B1542" s="2" t="s">
        <v>270</v>
      </c>
      <c r="C1542" s="2" t="s">
        <v>58</v>
      </c>
      <c r="D1542" s="2" t="s">
        <v>59</v>
      </c>
      <c r="E1542" s="3">
        <v>45430.854166666664</v>
      </c>
      <c r="F1542" s="2" t="s">
        <v>112</v>
      </c>
      <c r="G1542" s="2" t="s">
        <v>172</v>
      </c>
      <c r="H1542" s="2">
        <v>61</v>
      </c>
      <c r="I1542" s="2">
        <v>0</v>
      </c>
      <c r="J1542" s="2">
        <v>20</v>
      </c>
      <c r="K1542" s="2">
        <v>32</v>
      </c>
      <c r="L1542" s="2">
        <v>2.86</v>
      </c>
      <c r="M1542" s="2"/>
      <c r="N1542" s="2" t="s">
        <v>95</v>
      </c>
      <c r="O1542" s="10">
        <v>0</v>
      </c>
      <c r="P1542" s="10">
        <v>0</v>
      </c>
      <c r="Q1542" s="184">
        <v>0</v>
      </c>
      <c r="R1542" s="185">
        <v>1</v>
      </c>
      <c r="S1542" s="178">
        <f t="shared" si="166"/>
        <v>0</v>
      </c>
      <c r="T1542" s="186">
        <f t="shared" si="167"/>
        <v>1</v>
      </c>
      <c r="U1542" s="179">
        <f t="shared" si="168"/>
        <v>1</v>
      </c>
      <c r="V1542" s="1">
        <f t="shared" si="169"/>
        <v>25</v>
      </c>
      <c r="W1542" s="8">
        <f t="shared" si="164"/>
        <v>6.25</v>
      </c>
      <c r="X1542" s="15">
        <f t="shared" si="165"/>
        <v>8506.25</v>
      </c>
      <c r="Y1542"/>
      <c r="Z1542"/>
      <c r="AA1542"/>
      <c r="AB1542"/>
      <c r="AC1542"/>
      <c r="AD1542"/>
    </row>
    <row r="1543" spans="2:30">
      <c r="B1543" s="2" t="s">
        <v>270</v>
      </c>
      <c r="C1543" s="2" t="s">
        <v>77</v>
      </c>
      <c r="D1543" s="2" t="s">
        <v>234</v>
      </c>
      <c r="E1543" s="3">
        <v>45431.604166666664</v>
      </c>
      <c r="F1543" s="2" t="s">
        <v>633</v>
      </c>
      <c r="G1543" s="2" t="s">
        <v>246</v>
      </c>
      <c r="H1543" s="2">
        <v>61</v>
      </c>
      <c r="I1543" s="2">
        <v>0</v>
      </c>
      <c r="J1543" s="2">
        <v>20</v>
      </c>
      <c r="K1543" s="2">
        <v>29</v>
      </c>
      <c r="L1543" s="2">
        <v>2.93</v>
      </c>
      <c r="M1543" s="2"/>
      <c r="N1543" s="2" t="s">
        <v>95</v>
      </c>
      <c r="O1543" s="10">
        <v>0</v>
      </c>
      <c r="P1543" s="10">
        <v>0</v>
      </c>
      <c r="Q1543" s="184">
        <v>2</v>
      </c>
      <c r="R1543" s="185">
        <v>0</v>
      </c>
      <c r="S1543" s="178">
        <f t="shared" si="166"/>
        <v>0</v>
      </c>
      <c r="T1543" s="186">
        <f t="shared" si="167"/>
        <v>2</v>
      </c>
      <c r="U1543" s="179">
        <f t="shared" si="168"/>
        <v>2</v>
      </c>
      <c r="V1543" s="1">
        <f t="shared" si="169"/>
        <v>25</v>
      </c>
      <c r="W1543" s="8">
        <f t="shared" si="164"/>
        <v>6.25</v>
      </c>
      <c r="X1543" s="15">
        <f t="shared" si="165"/>
        <v>8512.5</v>
      </c>
      <c r="Y1543"/>
      <c r="Z1543"/>
      <c r="AA1543"/>
      <c r="AB1543"/>
      <c r="AC1543"/>
      <c r="AD1543"/>
    </row>
    <row r="1544" spans="2:30">
      <c r="B1544" s="2" t="s">
        <v>270</v>
      </c>
      <c r="C1544" s="2" t="s">
        <v>77</v>
      </c>
      <c r="D1544" s="2" t="s">
        <v>234</v>
      </c>
      <c r="E1544" s="3">
        <v>45431.604166666664</v>
      </c>
      <c r="F1544" s="2" t="s">
        <v>631</v>
      </c>
      <c r="G1544" s="2" t="s">
        <v>687</v>
      </c>
      <c r="H1544" s="2">
        <v>63</v>
      </c>
      <c r="I1544" s="2">
        <v>0</v>
      </c>
      <c r="J1544" s="2">
        <v>20</v>
      </c>
      <c r="K1544" s="2">
        <v>26</v>
      </c>
      <c r="L1544" s="2">
        <v>2.83</v>
      </c>
      <c r="M1544" s="2"/>
      <c r="N1544" s="2" t="s">
        <v>95</v>
      </c>
      <c r="O1544" s="10">
        <v>1</v>
      </c>
      <c r="P1544" s="10">
        <v>0</v>
      </c>
      <c r="Q1544" s="184">
        <v>5</v>
      </c>
      <c r="R1544" s="185">
        <v>0</v>
      </c>
      <c r="S1544" s="178">
        <f t="shared" si="166"/>
        <v>1</v>
      </c>
      <c r="T1544" s="186">
        <f t="shared" si="167"/>
        <v>5</v>
      </c>
      <c r="U1544" s="179">
        <f t="shared" si="168"/>
        <v>4</v>
      </c>
      <c r="V1544" s="1">
        <f t="shared" si="169"/>
        <v>25</v>
      </c>
      <c r="W1544" s="8">
        <f t="shared" si="164"/>
        <v>6.25</v>
      </c>
      <c r="X1544" s="15">
        <f t="shared" si="165"/>
        <v>8518.75</v>
      </c>
      <c r="Y1544"/>
      <c r="Z1544"/>
      <c r="AA1544"/>
      <c r="AB1544"/>
      <c r="AC1544"/>
      <c r="AD1544"/>
    </row>
    <row r="1545" spans="2:30">
      <c r="B1545" s="2" t="s">
        <v>270</v>
      </c>
      <c r="C1545" s="2" t="s">
        <v>6</v>
      </c>
      <c r="D1545" s="2" t="s">
        <v>62</v>
      </c>
      <c r="E1545" s="3">
        <v>45431.666666666664</v>
      </c>
      <c r="F1545" s="2" t="s">
        <v>65</v>
      </c>
      <c r="G1545" s="2" t="s">
        <v>117</v>
      </c>
      <c r="H1545" s="2">
        <v>59</v>
      </c>
      <c r="I1545" s="2">
        <v>0</v>
      </c>
      <c r="J1545" s="2">
        <v>20</v>
      </c>
      <c r="K1545" s="2">
        <v>27</v>
      </c>
      <c r="L1545" s="2">
        <v>3.51</v>
      </c>
      <c r="M1545" s="2"/>
      <c r="N1545" s="2" t="s">
        <v>95</v>
      </c>
      <c r="O1545" s="10">
        <v>1</v>
      </c>
      <c r="P1545" s="10">
        <v>0</v>
      </c>
      <c r="Q1545" s="184">
        <v>2</v>
      </c>
      <c r="R1545" s="185">
        <v>1</v>
      </c>
      <c r="S1545" s="178">
        <f t="shared" si="166"/>
        <v>1</v>
      </c>
      <c r="T1545" s="186">
        <f t="shared" si="167"/>
        <v>3</v>
      </c>
      <c r="U1545" s="179">
        <f t="shared" si="168"/>
        <v>2</v>
      </c>
      <c r="V1545" s="1">
        <f t="shared" si="169"/>
        <v>25</v>
      </c>
      <c r="W1545" s="8">
        <f t="shared" si="164"/>
        <v>6.25</v>
      </c>
      <c r="X1545" s="15">
        <f t="shared" si="165"/>
        <v>8525</v>
      </c>
      <c r="Y1545"/>
      <c r="Z1545"/>
      <c r="AA1545"/>
      <c r="AB1545"/>
      <c r="AC1545"/>
      <c r="AD1545"/>
    </row>
    <row r="1546" spans="2:30">
      <c r="B1546" s="2" t="s">
        <v>270</v>
      </c>
      <c r="C1546" s="2" t="s">
        <v>20</v>
      </c>
      <c r="D1546" s="2" t="s">
        <v>21</v>
      </c>
      <c r="E1546" s="3">
        <v>45431.708333333336</v>
      </c>
      <c r="F1546" s="2" t="s">
        <v>25</v>
      </c>
      <c r="G1546" s="2" t="s">
        <v>590</v>
      </c>
      <c r="H1546" s="2">
        <v>59</v>
      </c>
      <c r="I1546" s="2">
        <v>0</v>
      </c>
      <c r="J1546" s="2">
        <v>20</v>
      </c>
      <c r="K1546" s="2">
        <v>29</v>
      </c>
      <c r="L1546" s="2">
        <v>2.73</v>
      </c>
      <c r="M1546" s="2"/>
      <c r="N1546" s="2" t="s">
        <v>95</v>
      </c>
      <c r="O1546" s="10">
        <v>0</v>
      </c>
      <c r="P1546" s="10">
        <v>1</v>
      </c>
      <c r="Q1546" s="184">
        <v>1</v>
      </c>
      <c r="R1546" s="185">
        <v>1</v>
      </c>
      <c r="S1546" s="178">
        <f t="shared" si="166"/>
        <v>1</v>
      </c>
      <c r="T1546" s="186">
        <f t="shared" si="167"/>
        <v>2</v>
      </c>
      <c r="U1546" s="179">
        <f t="shared" si="168"/>
        <v>1</v>
      </c>
      <c r="V1546" s="1">
        <f t="shared" si="169"/>
        <v>25</v>
      </c>
      <c r="W1546" s="8">
        <f t="shared" si="164"/>
        <v>6.25</v>
      </c>
      <c r="X1546" s="15">
        <f t="shared" si="165"/>
        <v>8531.25</v>
      </c>
      <c r="Y1546"/>
      <c r="Z1546"/>
      <c r="AA1546"/>
      <c r="AB1546"/>
      <c r="AC1546"/>
      <c r="AD1546"/>
    </row>
    <row r="1547" spans="2:30">
      <c r="B1547" s="2" t="s">
        <v>270</v>
      </c>
      <c r="C1547" s="2" t="s">
        <v>67</v>
      </c>
      <c r="D1547" s="2" t="s">
        <v>68</v>
      </c>
      <c r="E1547" s="3">
        <v>45431.729166666664</v>
      </c>
      <c r="F1547" s="2" t="s">
        <v>375</v>
      </c>
      <c r="G1547" s="2" t="s">
        <v>265</v>
      </c>
      <c r="H1547" s="2">
        <v>64</v>
      </c>
      <c r="I1547" s="2">
        <v>0</v>
      </c>
      <c r="J1547" s="2">
        <v>20</v>
      </c>
      <c r="K1547" s="2">
        <v>32</v>
      </c>
      <c r="L1547" s="2">
        <v>2.75</v>
      </c>
      <c r="M1547" s="2"/>
      <c r="N1547" s="2" t="s">
        <v>95</v>
      </c>
      <c r="O1547" s="10">
        <v>0</v>
      </c>
      <c r="P1547" s="10">
        <v>1</v>
      </c>
      <c r="Q1547" s="184">
        <v>0</v>
      </c>
      <c r="R1547" s="185">
        <v>1</v>
      </c>
      <c r="S1547" s="178">
        <f t="shared" si="166"/>
        <v>1</v>
      </c>
      <c r="T1547" s="186">
        <f t="shared" si="167"/>
        <v>1</v>
      </c>
      <c r="U1547" s="179">
        <f t="shared" si="168"/>
        <v>0</v>
      </c>
      <c r="V1547" s="1">
        <f t="shared" si="169"/>
        <v>25</v>
      </c>
      <c r="W1547" s="8">
        <f t="shared" si="164"/>
        <v>6.25</v>
      </c>
      <c r="X1547" s="15">
        <f t="shared" si="165"/>
        <v>8537.5</v>
      </c>
      <c r="Y1547"/>
      <c r="Z1547"/>
      <c r="AA1547"/>
      <c r="AB1547"/>
      <c r="AC1547"/>
      <c r="AD1547"/>
    </row>
    <row r="1548" spans="2:30">
      <c r="B1548" s="2" t="s">
        <v>270</v>
      </c>
      <c r="C1548" s="2" t="s">
        <v>133</v>
      </c>
      <c r="D1548" s="2" t="s">
        <v>78</v>
      </c>
      <c r="E1548" s="3">
        <v>45431.75</v>
      </c>
      <c r="F1548" s="2" t="s">
        <v>136</v>
      </c>
      <c r="G1548" s="2" t="s">
        <v>137</v>
      </c>
      <c r="H1548" s="2">
        <v>73</v>
      </c>
      <c r="I1548" s="2">
        <v>0</v>
      </c>
      <c r="J1548" s="2">
        <v>20</v>
      </c>
      <c r="K1548" s="2">
        <v>40</v>
      </c>
      <c r="L1548" s="2">
        <v>2.46</v>
      </c>
      <c r="M1548" s="2"/>
      <c r="N1548" s="2" t="s">
        <v>95</v>
      </c>
      <c r="O1548" s="10">
        <v>0</v>
      </c>
      <c r="P1548" s="10">
        <v>1</v>
      </c>
      <c r="Q1548" s="184">
        <v>1</v>
      </c>
      <c r="R1548" s="185">
        <v>2</v>
      </c>
      <c r="S1548" s="178">
        <f t="shared" si="166"/>
        <v>1</v>
      </c>
      <c r="T1548" s="186">
        <f t="shared" si="167"/>
        <v>3</v>
      </c>
      <c r="U1548" s="179">
        <f t="shared" si="168"/>
        <v>2</v>
      </c>
      <c r="V1548" s="1">
        <f t="shared" si="169"/>
        <v>25</v>
      </c>
      <c r="W1548" s="8">
        <f t="shared" si="164"/>
        <v>6.25</v>
      </c>
      <c r="X1548" s="15">
        <f t="shared" si="165"/>
        <v>8543.75</v>
      </c>
      <c r="Y1548"/>
      <c r="Z1548"/>
      <c r="AA1548"/>
      <c r="AB1548"/>
      <c r="AC1548"/>
      <c r="AD1548"/>
    </row>
    <row r="1549" spans="2:30">
      <c r="B1549" s="2" t="s">
        <v>270</v>
      </c>
      <c r="C1549" s="2" t="s">
        <v>119</v>
      </c>
      <c r="D1549" s="2" t="s">
        <v>120</v>
      </c>
      <c r="E1549" s="3">
        <v>45431.75</v>
      </c>
      <c r="F1549" s="2" t="s">
        <v>349</v>
      </c>
      <c r="G1549" s="2" t="s">
        <v>348</v>
      </c>
      <c r="H1549" s="2">
        <v>60</v>
      </c>
      <c r="I1549" s="2">
        <v>0</v>
      </c>
      <c r="J1549" s="2">
        <v>20</v>
      </c>
      <c r="K1549" s="2">
        <v>32</v>
      </c>
      <c r="L1549" s="2">
        <v>2.38</v>
      </c>
      <c r="M1549" s="2"/>
      <c r="N1549" s="2" t="s">
        <v>95</v>
      </c>
      <c r="O1549" s="10">
        <v>0</v>
      </c>
      <c r="P1549" s="10">
        <v>1</v>
      </c>
      <c r="Q1549" s="184">
        <v>1</v>
      </c>
      <c r="R1549" s="185">
        <v>4</v>
      </c>
      <c r="S1549" s="178">
        <f t="shared" si="166"/>
        <v>1</v>
      </c>
      <c r="T1549" s="186">
        <f t="shared" si="167"/>
        <v>5</v>
      </c>
      <c r="U1549" s="179">
        <f t="shared" si="168"/>
        <v>4</v>
      </c>
      <c r="V1549" s="1">
        <f t="shared" si="169"/>
        <v>25</v>
      </c>
      <c r="W1549" s="8">
        <f t="shared" si="164"/>
        <v>6.25</v>
      </c>
      <c r="X1549" s="15">
        <f t="shared" si="165"/>
        <v>8550</v>
      </c>
      <c r="Y1549"/>
      <c r="Z1549"/>
      <c r="AA1549"/>
      <c r="AB1549"/>
      <c r="AC1549"/>
      <c r="AD1549"/>
    </row>
    <row r="1550" spans="2:30">
      <c r="B1550" s="2" t="s">
        <v>270</v>
      </c>
      <c r="C1550" s="2" t="s">
        <v>119</v>
      </c>
      <c r="D1550" s="2" t="s">
        <v>120</v>
      </c>
      <c r="E1550" s="3">
        <v>45431.75</v>
      </c>
      <c r="F1550" s="2" t="s">
        <v>388</v>
      </c>
      <c r="G1550" s="2" t="s">
        <v>479</v>
      </c>
      <c r="H1550" s="2">
        <v>59</v>
      </c>
      <c r="I1550" s="2">
        <v>0</v>
      </c>
      <c r="J1550" s="2">
        <v>20</v>
      </c>
      <c r="K1550" s="2">
        <v>32</v>
      </c>
      <c r="L1550" s="2">
        <v>2.64</v>
      </c>
      <c r="M1550" s="2"/>
      <c r="N1550" s="2" t="s">
        <v>95</v>
      </c>
      <c r="O1550" s="10">
        <v>0</v>
      </c>
      <c r="P1550" s="10">
        <v>0</v>
      </c>
      <c r="Q1550" s="184">
        <v>1</v>
      </c>
      <c r="R1550" s="185">
        <v>2</v>
      </c>
      <c r="S1550" s="178">
        <f t="shared" si="166"/>
        <v>0</v>
      </c>
      <c r="T1550" s="186">
        <f t="shared" si="167"/>
        <v>3</v>
      </c>
      <c r="U1550" s="179">
        <f t="shared" si="168"/>
        <v>3</v>
      </c>
      <c r="V1550" s="1">
        <f t="shared" si="169"/>
        <v>25</v>
      </c>
      <c r="W1550" s="8">
        <f t="shared" si="164"/>
        <v>6.25</v>
      </c>
      <c r="X1550" s="15">
        <f t="shared" si="165"/>
        <v>8556.25</v>
      </c>
      <c r="Y1550"/>
      <c r="Z1550"/>
      <c r="AA1550"/>
      <c r="AB1550"/>
      <c r="AC1550"/>
      <c r="AD1550"/>
    </row>
    <row r="1551" spans="2:30">
      <c r="B1551" s="2" t="s">
        <v>270</v>
      </c>
      <c r="C1551" s="2" t="s">
        <v>145</v>
      </c>
      <c r="D1551" s="2" t="s">
        <v>190</v>
      </c>
      <c r="E1551" s="3">
        <v>45431.833333333336</v>
      </c>
      <c r="F1551" s="2" t="s">
        <v>612</v>
      </c>
      <c r="G1551" s="2" t="s">
        <v>191</v>
      </c>
      <c r="H1551" s="2">
        <v>63</v>
      </c>
      <c r="I1551" s="2">
        <v>0</v>
      </c>
      <c r="J1551" s="2">
        <v>20</v>
      </c>
      <c r="K1551" s="2">
        <v>39</v>
      </c>
      <c r="L1551" s="2">
        <v>2.52</v>
      </c>
      <c r="M1551" s="2"/>
      <c r="N1551" s="2" t="s">
        <v>95</v>
      </c>
      <c r="O1551" s="10">
        <v>0</v>
      </c>
      <c r="P1551" s="10">
        <v>0</v>
      </c>
      <c r="Q1551" s="184">
        <v>1</v>
      </c>
      <c r="R1551" s="185">
        <v>2</v>
      </c>
      <c r="S1551" s="178">
        <f t="shared" si="166"/>
        <v>0</v>
      </c>
      <c r="T1551" s="186">
        <f t="shared" si="167"/>
        <v>3</v>
      </c>
      <c r="U1551" s="179">
        <f t="shared" si="168"/>
        <v>3</v>
      </c>
      <c r="V1551" s="1">
        <f t="shared" si="169"/>
        <v>25</v>
      </c>
      <c r="W1551" s="8">
        <f t="shared" si="164"/>
        <v>6.25</v>
      </c>
      <c r="X1551" s="15">
        <f t="shared" si="165"/>
        <v>8562.5</v>
      </c>
      <c r="Y1551"/>
      <c r="Z1551"/>
      <c r="AA1551"/>
      <c r="AB1551"/>
      <c r="AC1551"/>
      <c r="AD1551"/>
    </row>
    <row r="1552" spans="2:30">
      <c r="B1552" s="2" t="s">
        <v>270</v>
      </c>
      <c r="C1552" s="2" t="s">
        <v>296</v>
      </c>
      <c r="D1552" s="2" t="s">
        <v>525</v>
      </c>
      <c r="E1552" s="3">
        <v>45432.552083333336</v>
      </c>
      <c r="F1552" s="2" t="s">
        <v>529</v>
      </c>
      <c r="G1552" s="2" t="s">
        <v>526</v>
      </c>
      <c r="H1552" s="2">
        <v>69</v>
      </c>
      <c r="I1552" s="2">
        <v>0</v>
      </c>
      <c r="J1552" s="2">
        <v>20</v>
      </c>
      <c r="K1552" s="2">
        <v>38</v>
      </c>
      <c r="L1552" s="2">
        <v>0</v>
      </c>
      <c r="M1552" s="2"/>
      <c r="N1552" s="2" t="s">
        <v>95</v>
      </c>
      <c r="O1552" s="10">
        <v>1</v>
      </c>
      <c r="P1552" s="10">
        <v>0</v>
      </c>
      <c r="Q1552" s="184">
        <v>3</v>
      </c>
      <c r="R1552" s="185">
        <v>0</v>
      </c>
      <c r="S1552" s="178">
        <f t="shared" si="166"/>
        <v>1</v>
      </c>
      <c r="T1552" s="186">
        <f t="shared" si="167"/>
        <v>3</v>
      </c>
      <c r="U1552" s="179">
        <f t="shared" si="168"/>
        <v>2</v>
      </c>
      <c r="V1552" s="1">
        <f t="shared" si="169"/>
        <v>25</v>
      </c>
      <c r="W1552" s="8">
        <f t="shared" si="164"/>
        <v>6.25</v>
      </c>
      <c r="X1552" s="15">
        <f t="shared" si="165"/>
        <v>8568.75</v>
      </c>
      <c r="Y1552"/>
      <c r="Z1552"/>
      <c r="AA1552"/>
      <c r="AB1552"/>
      <c r="AC1552"/>
      <c r="AD1552"/>
    </row>
    <row r="1553" spans="2:30">
      <c r="B1553" s="2" t="s">
        <v>270</v>
      </c>
      <c r="C1553" s="2" t="s">
        <v>296</v>
      </c>
      <c r="D1553" s="2" t="s">
        <v>525</v>
      </c>
      <c r="E1553" s="3">
        <v>45432.552083333336</v>
      </c>
      <c r="F1553" s="2" t="s">
        <v>596</v>
      </c>
      <c r="G1553" s="2" t="s">
        <v>685</v>
      </c>
      <c r="H1553" s="2">
        <v>73</v>
      </c>
      <c r="I1553" s="2">
        <v>0</v>
      </c>
      <c r="J1553" s="2">
        <v>20</v>
      </c>
      <c r="K1553" s="2">
        <v>33</v>
      </c>
      <c r="L1553" s="2">
        <v>0</v>
      </c>
      <c r="M1553" s="2"/>
      <c r="N1553" s="2" t="s">
        <v>95</v>
      </c>
      <c r="O1553" s="10">
        <v>0</v>
      </c>
      <c r="P1553" s="10">
        <v>1</v>
      </c>
      <c r="Q1553" s="184">
        <v>2</v>
      </c>
      <c r="R1553" s="185">
        <v>2</v>
      </c>
      <c r="S1553" s="178">
        <f t="shared" si="166"/>
        <v>1</v>
      </c>
      <c r="T1553" s="186">
        <f t="shared" si="167"/>
        <v>4</v>
      </c>
      <c r="U1553" s="179">
        <f t="shared" si="168"/>
        <v>3</v>
      </c>
      <c r="V1553" s="1">
        <f t="shared" si="169"/>
        <v>25</v>
      </c>
      <c r="W1553" s="8">
        <f t="shared" si="164"/>
        <v>6.25</v>
      </c>
      <c r="X1553" s="15">
        <f t="shared" si="165"/>
        <v>8575</v>
      </c>
      <c r="Y1553"/>
      <c r="Z1553"/>
      <c r="AA1553"/>
      <c r="AB1553"/>
      <c r="AC1553"/>
      <c r="AD1553"/>
    </row>
    <row r="1554" spans="2:30">
      <c r="B1554" s="2" t="s">
        <v>270</v>
      </c>
      <c r="C1554" s="2" t="s">
        <v>296</v>
      </c>
      <c r="D1554" s="2" t="s">
        <v>78</v>
      </c>
      <c r="E1554" s="3">
        <v>45432.708333333336</v>
      </c>
      <c r="F1554" s="2" t="s">
        <v>297</v>
      </c>
      <c r="G1554" s="2" t="s">
        <v>367</v>
      </c>
      <c r="H1554" s="2">
        <v>66</v>
      </c>
      <c r="I1554" s="2">
        <v>0</v>
      </c>
      <c r="J1554" s="2">
        <v>20</v>
      </c>
      <c r="K1554" s="2">
        <v>39</v>
      </c>
      <c r="L1554" s="2">
        <v>2.52</v>
      </c>
      <c r="M1554" s="2"/>
      <c r="N1554" s="2" t="s">
        <v>95</v>
      </c>
      <c r="O1554" s="10">
        <v>0</v>
      </c>
      <c r="P1554" s="10">
        <v>2</v>
      </c>
      <c r="Q1554" s="184">
        <v>1</v>
      </c>
      <c r="R1554" s="185">
        <v>3</v>
      </c>
      <c r="S1554" s="178">
        <f t="shared" si="166"/>
        <v>2</v>
      </c>
      <c r="T1554" s="186">
        <f t="shared" si="167"/>
        <v>4</v>
      </c>
      <c r="U1554" s="179">
        <f t="shared" si="168"/>
        <v>2</v>
      </c>
      <c r="V1554" s="1">
        <f t="shared" si="169"/>
        <v>25</v>
      </c>
      <c r="W1554" s="8">
        <f t="shared" si="164"/>
        <v>6.25</v>
      </c>
      <c r="X1554" s="15">
        <f t="shared" si="165"/>
        <v>8581.25</v>
      </c>
      <c r="Y1554"/>
      <c r="Z1554"/>
      <c r="AA1554"/>
      <c r="AB1554"/>
      <c r="AC1554"/>
      <c r="AD1554"/>
    </row>
    <row r="1555" spans="2:30">
      <c r="B1555" s="2" t="s">
        <v>270</v>
      </c>
      <c r="C1555" s="2" t="s">
        <v>434</v>
      </c>
      <c r="D1555" s="2" t="s">
        <v>435</v>
      </c>
      <c r="E1555" s="3">
        <v>45433.75</v>
      </c>
      <c r="F1555" s="2" t="s">
        <v>464</v>
      </c>
      <c r="G1555" s="2" t="s">
        <v>476</v>
      </c>
      <c r="H1555" s="2">
        <v>60</v>
      </c>
      <c r="I1555" s="2">
        <v>0</v>
      </c>
      <c r="J1555" s="2">
        <v>20</v>
      </c>
      <c r="K1555" s="2">
        <v>34</v>
      </c>
      <c r="L1555" s="2">
        <v>2.56</v>
      </c>
      <c r="M1555" s="2"/>
      <c r="N1555" s="2" t="s">
        <v>95</v>
      </c>
      <c r="O1555" s="10">
        <v>3</v>
      </c>
      <c r="P1555" s="10">
        <v>1</v>
      </c>
      <c r="Q1555" s="184">
        <v>3</v>
      </c>
      <c r="R1555" s="185">
        <v>2</v>
      </c>
      <c r="S1555" s="178">
        <f t="shared" si="166"/>
        <v>4</v>
      </c>
      <c r="T1555" s="186">
        <f t="shared" si="167"/>
        <v>5</v>
      </c>
      <c r="U1555" s="179">
        <f t="shared" si="168"/>
        <v>1</v>
      </c>
      <c r="V1555" s="1">
        <f t="shared" si="169"/>
        <v>25</v>
      </c>
      <c r="W1555" s="8">
        <f t="shared" si="164"/>
        <v>6.25</v>
      </c>
      <c r="X1555" s="15">
        <f t="shared" si="165"/>
        <v>8587.5</v>
      </c>
      <c r="Y1555"/>
      <c r="Z1555"/>
      <c r="AA1555"/>
      <c r="AB1555"/>
      <c r="AC1555"/>
      <c r="AD1555"/>
    </row>
    <row r="1556" spans="2:30">
      <c r="B1556" s="2" t="s">
        <v>432</v>
      </c>
      <c r="C1556" s="2" t="s">
        <v>44</v>
      </c>
      <c r="D1556" s="2" t="s">
        <v>45</v>
      </c>
      <c r="E1556" s="3">
        <v>45312.25</v>
      </c>
      <c r="F1556" s="2" t="s">
        <v>180</v>
      </c>
      <c r="G1556" s="2" t="s">
        <v>126</v>
      </c>
      <c r="H1556" s="2">
        <v>83</v>
      </c>
      <c r="I1556" s="2">
        <v>23</v>
      </c>
      <c r="J1556" s="2">
        <v>50</v>
      </c>
      <c r="K1556" s="2"/>
      <c r="L1556" s="2"/>
      <c r="M1556" s="2"/>
      <c r="N1556" s="2" t="s">
        <v>96</v>
      </c>
      <c r="O1556" s="10">
        <v>0</v>
      </c>
      <c r="P1556" s="9">
        <v>0</v>
      </c>
      <c r="Q1556" s="184">
        <v>2</v>
      </c>
      <c r="R1556" s="185">
        <v>1</v>
      </c>
      <c r="S1556" s="178">
        <f t="shared" si="166"/>
        <v>0</v>
      </c>
      <c r="T1556" s="186">
        <f t="shared" si="167"/>
        <v>3</v>
      </c>
      <c r="U1556" s="179">
        <f t="shared" si="168"/>
        <v>3</v>
      </c>
      <c r="V1556" s="1">
        <f t="shared" si="169"/>
        <v>25</v>
      </c>
      <c r="W1556" s="8">
        <f t="shared" si="164"/>
        <v>-25</v>
      </c>
      <c r="X1556" s="15">
        <f t="shared" si="165"/>
        <v>8562.5</v>
      </c>
      <c r="Y1556"/>
      <c r="Z1556"/>
      <c r="AA1556"/>
      <c r="AB1556"/>
      <c r="AC1556"/>
      <c r="AD1556"/>
    </row>
    <row r="1557" spans="2:30">
      <c r="B1557" s="2" t="s">
        <v>432</v>
      </c>
      <c r="C1557" s="2" t="s">
        <v>6</v>
      </c>
      <c r="D1557" s="2" t="s">
        <v>62</v>
      </c>
      <c r="E1557" s="3">
        <v>45312.6875</v>
      </c>
      <c r="F1557" s="2" t="s">
        <v>117</v>
      </c>
      <c r="G1557" s="2" t="s">
        <v>285</v>
      </c>
      <c r="H1557" s="2">
        <v>83</v>
      </c>
      <c r="I1557" s="2">
        <v>24</v>
      </c>
      <c r="J1557" s="2">
        <v>45</v>
      </c>
      <c r="K1557" s="2"/>
      <c r="L1557" s="2"/>
      <c r="M1557" s="2"/>
      <c r="N1557" s="2" t="s">
        <v>96</v>
      </c>
      <c r="O1557" s="10">
        <v>0</v>
      </c>
      <c r="P1557" s="9">
        <v>0</v>
      </c>
      <c r="Q1557" s="184">
        <v>0</v>
      </c>
      <c r="R1557" s="184">
        <v>4</v>
      </c>
      <c r="S1557" s="178">
        <f t="shared" si="166"/>
        <v>0</v>
      </c>
      <c r="T1557" s="186">
        <f t="shared" si="167"/>
        <v>4</v>
      </c>
      <c r="U1557" s="179">
        <f t="shared" si="168"/>
        <v>4</v>
      </c>
      <c r="V1557" s="1">
        <f t="shared" si="169"/>
        <v>25</v>
      </c>
      <c r="W1557" s="8">
        <f t="shared" si="164"/>
        <v>-25</v>
      </c>
      <c r="X1557" s="15">
        <f t="shared" si="165"/>
        <v>8537.5</v>
      </c>
      <c r="Y1557"/>
      <c r="Z1557"/>
      <c r="AA1557"/>
      <c r="AB1557"/>
      <c r="AC1557"/>
      <c r="AD1557"/>
    </row>
    <row r="1558" spans="2:30">
      <c r="B1558" s="2" t="s">
        <v>432</v>
      </c>
      <c r="C1558" s="2" t="s">
        <v>77</v>
      </c>
      <c r="D1558" s="2" t="s">
        <v>156</v>
      </c>
      <c r="E1558" s="3">
        <v>45317.8125</v>
      </c>
      <c r="F1558" s="2" t="s">
        <v>182</v>
      </c>
      <c r="G1558" s="2" t="s">
        <v>160</v>
      </c>
      <c r="H1558" s="2">
        <v>90</v>
      </c>
      <c r="I1558" s="2">
        <v>21</v>
      </c>
      <c r="J1558" s="2">
        <v>45</v>
      </c>
      <c r="K1558" s="2">
        <v>0.56999999999999995</v>
      </c>
      <c r="L1558" s="2"/>
      <c r="M1558" s="2"/>
      <c r="N1558" s="2" t="s">
        <v>96</v>
      </c>
      <c r="O1558" s="10">
        <v>0</v>
      </c>
      <c r="P1558" s="9">
        <v>0</v>
      </c>
      <c r="Q1558" s="184">
        <v>1</v>
      </c>
      <c r="R1558" s="185">
        <v>0</v>
      </c>
      <c r="S1558" s="178">
        <f t="shared" si="166"/>
        <v>0</v>
      </c>
      <c r="T1558" s="186">
        <f t="shared" si="167"/>
        <v>1</v>
      </c>
      <c r="U1558" s="179">
        <f t="shared" si="168"/>
        <v>1</v>
      </c>
      <c r="V1558" s="1">
        <f t="shared" si="169"/>
        <v>25</v>
      </c>
      <c r="W1558" s="8">
        <f t="shared" ref="W1558:W1621" si="170">IF(N1558="won",V1558*0.25,-V1558)</f>
        <v>-25</v>
      </c>
      <c r="X1558" s="15">
        <f t="shared" ref="X1558:X1621" si="171">SUM(X1557,W1558)</f>
        <v>8512.5</v>
      </c>
      <c r="Y1558"/>
      <c r="Z1558"/>
      <c r="AA1558"/>
      <c r="AB1558"/>
      <c r="AC1558"/>
      <c r="AD1558"/>
    </row>
    <row r="1559" spans="2:30">
      <c r="B1559" s="2" t="s">
        <v>432</v>
      </c>
      <c r="C1559" s="7" t="s">
        <v>77</v>
      </c>
      <c r="D1559" s="7" t="s">
        <v>156</v>
      </c>
      <c r="E1559" s="24">
        <v>45318.729166666664</v>
      </c>
      <c r="F1559" s="7" t="s">
        <v>325</v>
      </c>
      <c r="G1559" s="7" t="s">
        <v>167</v>
      </c>
      <c r="H1559" s="7">
        <v>90</v>
      </c>
      <c r="I1559" s="7">
        <v>22</v>
      </c>
      <c r="J1559" s="7">
        <v>48</v>
      </c>
      <c r="K1559" s="7">
        <v>0.66</v>
      </c>
      <c r="L1559" s="7"/>
      <c r="M1559" s="7"/>
      <c r="N1559" s="2" t="s">
        <v>96</v>
      </c>
      <c r="O1559" s="10">
        <v>0</v>
      </c>
      <c r="P1559" s="9">
        <v>0</v>
      </c>
      <c r="Q1559" s="184">
        <v>0</v>
      </c>
      <c r="R1559" s="185">
        <v>0</v>
      </c>
      <c r="S1559" s="178">
        <f t="shared" si="166"/>
        <v>0</v>
      </c>
      <c r="T1559" s="186">
        <f t="shared" si="167"/>
        <v>0</v>
      </c>
      <c r="U1559" s="179">
        <f t="shared" si="168"/>
        <v>0</v>
      </c>
      <c r="V1559" s="1">
        <f t="shared" si="169"/>
        <v>25</v>
      </c>
      <c r="W1559" s="8">
        <f t="shared" si="170"/>
        <v>-25</v>
      </c>
      <c r="X1559" s="15">
        <f t="shared" si="171"/>
        <v>8487.5</v>
      </c>
      <c r="Y1559"/>
      <c r="Z1559"/>
      <c r="AA1559"/>
      <c r="AB1559"/>
      <c r="AC1559"/>
      <c r="AD1559"/>
    </row>
    <row r="1560" spans="2:30">
      <c r="B1560" s="2" t="s">
        <v>432</v>
      </c>
      <c r="C1560" s="2" t="s">
        <v>6</v>
      </c>
      <c r="D1560" s="2" t="s">
        <v>7</v>
      </c>
      <c r="E1560" s="3">
        <v>45383.541666666664</v>
      </c>
      <c r="F1560" s="2" t="s">
        <v>113</v>
      </c>
      <c r="G1560" s="2" t="s">
        <v>619</v>
      </c>
      <c r="H1560" s="2">
        <v>5</v>
      </c>
      <c r="I1560" s="2">
        <v>20</v>
      </c>
      <c r="J1560" s="2">
        <v>16</v>
      </c>
      <c r="K1560" s="2">
        <v>18</v>
      </c>
      <c r="L1560" s="2">
        <v>22</v>
      </c>
      <c r="M1560" s="2">
        <v>2.0499999999999998</v>
      </c>
      <c r="N1560" s="2" t="s">
        <v>96</v>
      </c>
      <c r="O1560" s="10">
        <v>0</v>
      </c>
      <c r="P1560" s="10">
        <v>0</v>
      </c>
      <c r="Q1560" s="184">
        <v>1</v>
      </c>
      <c r="R1560" s="185">
        <v>1</v>
      </c>
      <c r="S1560" s="178">
        <f t="shared" si="166"/>
        <v>0</v>
      </c>
      <c r="T1560" s="186">
        <f t="shared" si="167"/>
        <v>2</v>
      </c>
      <c r="U1560" s="179">
        <f t="shared" si="168"/>
        <v>2</v>
      </c>
      <c r="V1560" s="1">
        <f t="shared" si="169"/>
        <v>25</v>
      </c>
      <c r="W1560" s="8">
        <f t="shared" si="170"/>
        <v>-25</v>
      </c>
      <c r="X1560" s="15">
        <f t="shared" si="171"/>
        <v>8462.5</v>
      </c>
      <c r="Y1560"/>
      <c r="Z1560"/>
      <c r="AA1560"/>
      <c r="AB1560"/>
      <c r="AC1560"/>
      <c r="AD1560"/>
    </row>
    <row r="1561" spans="2:30">
      <c r="B1561" s="2" t="s">
        <v>432</v>
      </c>
      <c r="C1561" s="2" t="s">
        <v>6</v>
      </c>
      <c r="D1561" s="2" t="s">
        <v>62</v>
      </c>
      <c r="E1561" s="3">
        <v>45426.833333333336</v>
      </c>
      <c r="F1561" s="2" t="s">
        <v>116</v>
      </c>
      <c r="G1561" s="2" t="s">
        <v>72</v>
      </c>
      <c r="H1561" s="2">
        <v>5</v>
      </c>
      <c r="I1561" s="2">
        <v>20</v>
      </c>
      <c r="J1561" s="2">
        <v>12</v>
      </c>
      <c r="K1561" s="2">
        <v>16</v>
      </c>
      <c r="L1561" s="2">
        <v>22</v>
      </c>
      <c r="M1561" s="2">
        <v>1.5</v>
      </c>
      <c r="N1561" s="2" t="s">
        <v>96</v>
      </c>
      <c r="O1561" s="10">
        <v>0</v>
      </c>
      <c r="P1561" s="10">
        <v>0</v>
      </c>
      <c r="Q1561" s="184">
        <v>0</v>
      </c>
      <c r="R1561" s="185">
        <v>2</v>
      </c>
      <c r="S1561" s="178">
        <f t="shared" si="166"/>
        <v>0</v>
      </c>
      <c r="T1561" s="186">
        <f t="shared" si="167"/>
        <v>2</v>
      </c>
      <c r="U1561" s="179">
        <f t="shared" si="168"/>
        <v>2</v>
      </c>
      <c r="V1561" s="1">
        <f t="shared" si="169"/>
        <v>25</v>
      </c>
      <c r="W1561" s="8">
        <f t="shared" si="170"/>
        <v>-25</v>
      </c>
      <c r="X1561" s="15">
        <f t="shared" si="171"/>
        <v>8437.5</v>
      </c>
      <c r="Y1561"/>
      <c r="Z1561"/>
      <c r="AA1561"/>
      <c r="AB1561"/>
      <c r="AC1561"/>
      <c r="AD1561"/>
    </row>
    <row r="1562" spans="2:30">
      <c r="B1562" s="2" t="s">
        <v>432</v>
      </c>
      <c r="C1562" s="2" t="s">
        <v>44</v>
      </c>
      <c r="D1562" s="2" t="s">
        <v>45</v>
      </c>
      <c r="E1562" s="3">
        <v>45289.364583333336</v>
      </c>
      <c r="F1562" s="2" t="s">
        <v>46</v>
      </c>
      <c r="G1562" s="2" t="s">
        <v>47</v>
      </c>
      <c r="H1562" s="2">
        <v>85</v>
      </c>
      <c r="I1562" s="2">
        <v>24</v>
      </c>
      <c r="J1562" s="2">
        <v>48</v>
      </c>
      <c r="K1562" s="2"/>
      <c r="L1562" s="2"/>
      <c r="M1562" s="2"/>
      <c r="N1562" s="2" t="s">
        <v>95</v>
      </c>
      <c r="O1562" s="10">
        <v>1</v>
      </c>
      <c r="P1562" s="9">
        <v>0</v>
      </c>
      <c r="Q1562" s="184">
        <v>3</v>
      </c>
      <c r="R1562" s="185">
        <v>1</v>
      </c>
      <c r="S1562" s="178">
        <f t="shared" si="166"/>
        <v>1</v>
      </c>
      <c r="T1562" s="186">
        <f t="shared" si="167"/>
        <v>4</v>
      </c>
      <c r="U1562" s="179">
        <f t="shared" si="168"/>
        <v>3</v>
      </c>
      <c r="V1562" s="1">
        <f t="shared" si="169"/>
        <v>25</v>
      </c>
      <c r="W1562" s="8">
        <f t="shared" si="170"/>
        <v>6.25</v>
      </c>
      <c r="X1562" s="15">
        <f t="shared" si="171"/>
        <v>8443.75</v>
      </c>
      <c r="Y1562"/>
      <c r="Z1562"/>
      <c r="AA1562"/>
      <c r="AB1562"/>
      <c r="AC1562"/>
      <c r="AD1562"/>
    </row>
    <row r="1563" spans="2:30">
      <c r="B1563" s="2" t="s">
        <v>432</v>
      </c>
      <c r="C1563" s="2" t="s">
        <v>48</v>
      </c>
      <c r="D1563" s="2" t="s">
        <v>49</v>
      </c>
      <c r="E1563" s="3">
        <v>45289.604166666664</v>
      </c>
      <c r="F1563" s="2" t="s">
        <v>50</v>
      </c>
      <c r="G1563" s="2" t="s">
        <v>51</v>
      </c>
      <c r="H1563" s="2">
        <v>85</v>
      </c>
      <c r="I1563" s="2">
        <v>25</v>
      </c>
      <c r="J1563" s="2">
        <v>53</v>
      </c>
      <c r="K1563" s="2"/>
      <c r="L1563" s="2"/>
      <c r="M1563" s="2"/>
      <c r="N1563" s="2" t="s">
        <v>95</v>
      </c>
      <c r="O1563" s="10">
        <v>1</v>
      </c>
      <c r="P1563" s="9">
        <v>1</v>
      </c>
      <c r="Q1563" s="184">
        <v>1</v>
      </c>
      <c r="R1563" s="185">
        <v>1</v>
      </c>
      <c r="S1563" s="178">
        <f t="shared" si="166"/>
        <v>2</v>
      </c>
      <c r="T1563" s="186">
        <f t="shared" si="167"/>
        <v>2</v>
      </c>
      <c r="U1563" s="179">
        <f t="shared" si="168"/>
        <v>0</v>
      </c>
      <c r="V1563" s="1">
        <f t="shared" si="169"/>
        <v>25</v>
      </c>
      <c r="W1563" s="8">
        <f t="shared" si="170"/>
        <v>6.25</v>
      </c>
      <c r="X1563" s="15">
        <f t="shared" si="171"/>
        <v>8450</v>
      </c>
      <c r="Y1563"/>
      <c r="Z1563"/>
      <c r="AA1563"/>
      <c r="AB1563"/>
      <c r="AC1563"/>
      <c r="AD1563"/>
    </row>
    <row r="1564" spans="2:30">
      <c r="B1564" s="2" t="s">
        <v>432</v>
      </c>
      <c r="C1564" s="2" t="s">
        <v>6</v>
      </c>
      <c r="D1564" s="2" t="s">
        <v>7</v>
      </c>
      <c r="E1564" s="3">
        <v>45289.822916666664</v>
      </c>
      <c r="F1564" s="2" t="s">
        <v>54</v>
      </c>
      <c r="G1564" s="2" t="s">
        <v>55</v>
      </c>
      <c r="H1564" s="2">
        <v>10</v>
      </c>
      <c r="I1564" s="2">
        <v>10</v>
      </c>
      <c r="J1564" s="2">
        <v>28</v>
      </c>
      <c r="K1564" s="2">
        <v>20</v>
      </c>
      <c r="L1564" s="2">
        <v>70</v>
      </c>
      <c r="M1564" s="2">
        <v>4.5999999999999996</v>
      </c>
      <c r="N1564" s="2" t="s">
        <v>95</v>
      </c>
      <c r="O1564" s="10">
        <v>1</v>
      </c>
      <c r="P1564" s="9">
        <v>0</v>
      </c>
      <c r="Q1564" s="184">
        <v>2</v>
      </c>
      <c r="R1564" s="185">
        <v>0</v>
      </c>
      <c r="S1564" s="178">
        <f t="shared" si="166"/>
        <v>1</v>
      </c>
      <c r="T1564" s="186">
        <f t="shared" si="167"/>
        <v>2</v>
      </c>
      <c r="U1564" s="179">
        <f t="shared" si="168"/>
        <v>1</v>
      </c>
      <c r="V1564" s="1">
        <f t="shared" si="169"/>
        <v>25</v>
      </c>
      <c r="W1564" s="8">
        <f t="shared" si="170"/>
        <v>6.25</v>
      </c>
      <c r="X1564" s="15">
        <f t="shared" si="171"/>
        <v>8456.25</v>
      </c>
      <c r="Y1564"/>
      <c r="Z1564"/>
      <c r="AA1564"/>
      <c r="AB1564"/>
      <c r="AC1564"/>
      <c r="AD1564"/>
    </row>
    <row r="1565" spans="2:30">
      <c r="B1565" s="2" t="s">
        <v>432</v>
      </c>
      <c r="C1565" s="2" t="s">
        <v>6</v>
      </c>
      <c r="D1565" s="2" t="s">
        <v>7</v>
      </c>
      <c r="E1565" s="3">
        <v>45289.822916666664</v>
      </c>
      <c r="F1565" s="2" t="s">
        <v>8</v>
      </c>
      <c r="G1565" s="2" t="s">
        <v>9</v>
      </c>
      <c r="H1565" s="2">
        <v>10</v>
      </c>
      <c r="I1565" s="2">
        <v>10</v>
      </c>
      <c r="J1565" s="2">
        <v>27</v>
      </c>
      <c r="K1565" s="2">
        <v>5</v>
      </c>
      <c r="L1565" s="2">
        <v>80</v>
      </c>
      <c r="M1565" s="2">
        <v>4.7</v>
      </c>
      <c r="N1565" s="2" t="s">
        <v>95</v>
      </c>
      <c r="O1565" s="10">
        <v>4</v>
      </c>
      <c r="P1565" s="9">
        <v>0</v>
      </c>
      <c r="Q1565" s="184">
        <v>5</v>
      </c>
      <c r="R1565" s="185">
        <v>0</v>
      </c>
      <c r="S1565" s="178">
        <f t="shared" si="166"/>
        <v>4</v>
      </c>
      <c r="T1565" s="186">
        <f t="shared" si="167"/>
        <v>5</v>
      </c>
      <c r="U1565" s="179">
        <f t="shared" si="168"/>
        <v>1</v>
      </c>
      <c r="V1565" s="1">
        <f t="shared" si="169"/>
        <v>25</v>
      </c>
      <c r="W1565" s="8">
        <f t="shared" si="170"/>
        <v>6.25</v>
      </c>
      <c r="X1565" s="15">
        <f t="shared" si="171"/>
        <v>8462.5</v>
      </c>
      <c r="Y1565"/>
      <c r="Z1565"/>
      <c r="AA1565"/>
      <c r="AB1565"/>
      <c r="AC1565"/>
      <c r="AD1565"/>
    </row>
    <row r="1566" spans="2:30">
      <c r="B1566" s="2" t="s">
        <v>432</v>
      </c>
      <c r="C1566" s="2" t="s">
        <v>13</v>
      </c>
      <c r="D1566" s="2" t="s">
        <v>37</v>
      </c>
      <c r="E1566" s="3">
        <v>45290.520833333336</v>
      </c>
      <c r="F1566" s="2" t="s">
        <v>99</v>
      </c>
      <c r="G1566" s="2" t="s">
        <v>79</v>
      </c>
      <c r="H1566" s="2">
        <v>83</v>
      </c>
      <c r="I1566" s="2">
        <v>25</v>
      </c>
      <c r="J1566" s="2">
        <v>50</v>
      </c>
      <c r="K1566" s="2"/>
      <c r="L1566" s="2"/>
      <c r="M1566" s="2"/>
      <c r="N1566" s="2" t="s">
        <v>95</v>
      </c>
      <c r="O1566" s="10">
        <v>1</v>
      </c>
      <c r="P1566" s="9">
        <v>0</v>
      </c>
      <c r="Q1566" s="184">
        <v>2</v>
      </c>
      <c r="R1566" s="185">
        <v>1</v>
      </c>
      <c r="S1566" s="178">
        <f t="shared" si="166"/>
        <v>1</v>
      </c>
      <c r="T1566" s="186">
        <f t="shared" si="167"/>
        <v>3</v>
      </c>
      <c r="U1566" s="179">
        <f t="shared" si="168"/>
        <v>2</v>
      </c>
      <c r="V1566" s="1">
        <f t="shared" si="169"/>
        <v>25</v>
      </c>
      <c r="W1566" s="8">
        <f t="shared" si="170"/>
        <v>6.25</v>
      </c>
      <c r="X1566" s="15">
        <f t="shared" si="171"/>
        <v>8468.75</v>
      </c>
      <c r="Y1566"/>
      <c r="Z1566"/>
      <c r="AA1566"/>
      <c r="AB1566"/>
      <c r="AC1566"/>
      <c r="AD1566"/>
    </row>
    <row r="1567" spans="2:30">
      <c r="B1567" s="2" t="s">
        <v>432</v>
      </c>
      <c r="C1567" s="2" t="s">
        <v>20</v>
      </c>
      <c r="D1567" s="2" t="s">
        <v>21</v>
      </c>
      <c r="E1567" s="3">
        <v>45290.583333333336</v>
      </c>
      <c r="F1567" s="2" t="s">
        <v>100</v>
      </c>
      <c r="G1567" s="2" t="s">
        <v>101</v>
      </c>
      <c r="H1567" s="2">
        <v>80</v>
      </c>
      <c r="I1567" s="2">
        <v>20</v>
      </c>
      <c r="J1567" s="2">
        <v>45</v>
      </c>
      <c r="K1567" s="2"/>
      <c r="L1567" s="2"/>
      <c r="M1567" s="2"/>
      <c r="N1567" s="2" t="s">
        <v>95</v>
      </c>
      <c r="O1567" s="10">
        <v>1</v>
      </c>
      <c r="P1567" s="9">
        <v>0</v>
      </c>
      <c r="Q1567" s="184">
        <v>3</v>
      </c>
      <c r="R1567" s="185">
        <v>0</v>
      </c>
      <c r="S1567" s="178">
        <f t="shared" si="166"/>
        <v>1</v>
      </c>
      <c r="T1567" s="186">
        <f t="shared" si="167"/>
        <v>3</v>
      </c>
      <c r="U1567" s="179">
        <f t="shared" si="168"/>
        <v>2</v>
      </c>
      <c r="V1567" s="1">
        <f t="shared" si="169"/>
        <v>25</v>
      </c>
      <c r="W1567" s="8">
        <f t="shared" si="170"/>
        <v>6.25</v>
      </c>
      <c r="X1567" s="15">
        <f t="shared" si="171"/>
        <v>8475</v>
      </c>
      <c r="Y1567"/>
      <c r="Z1567"/>
      <c r="AA1567"/>
      <c r="AB1567"/>
      <c r="AC1567"/>
      <c r="AD1567"/>
    </row>
    <row r="1568" spans="2:30">
      <c r="B1568" s="2" t="s">
        <v>432</v>
      </c>
      <c r="C1568" s="2" t="s">
        <v>6</v>
      </c>
      <c r="D1568" s="2" t="s">
        <v>62</v>
      </c>
      <c r="E1568" s="3">
        <v>45291.583333333336</v>
      </c>
      <c r="F1568" s="2" t="s">
        <v>116</v>
      </c>
      <c r="G1568" s="2" t="s">
        <v>117</v>
      </c>
      <c r="H1568" s="2">
        <v>9</v>
      </c>
      <c r="I1568" s="2">
        <v>9</v>
      </c>
      <c r="J1568" s="2">
        <v>22</v>
      </c>
      <c r="K1568" s="2">
        <v>17</v>
      </c>
      <c r="L1568" s="2">
        <v>89</v>
      </c>
      <c r="M1568" s="2">
        <v>4.7</v>
      </c>
      <c r="N1568" s="2" t="s">
        <v>95</v>
      </c>
      <c r="O1568" s="10">
        <v>1</v>
      </c>
      <c r="P1568" s="9">
        <v>0</v>
      </c>
      <c r="Q1568" s="184">
        <v>3</v>
      </c>
      <c r="R1568" s="185">
        <v>1</v>
      </c>
      <c r="S1568" s="178">
        <f t="shared" si="166"/>
        <v>1</v>
      </c>
      <c r="T1568" s="186">
        <f t="shared" si="167"/>
        <v>4</v>
      </c>
      <c r="U1568" s="179">
        <f t="shared" si="168"/>
        <v>3</v>
      </c>
      <c r="V1568" s="1">
        <f t="shared" si="169"/>
        <v>25</v>
      </c>
      <c r="W1568" s="8">
        <f t="shared" si="170"/>
        <v>6.25</v>
      </c>
      <c r="X1568" s="15">
        <f t="shared" si="171"/>
        <v>8481.25</v>
      </c>
      <c r="Y1568"/>
      <c r="Z1568"/>
      <c r="AA1568"/>
      <c r="AB1568"/>
      <c r="AC1568"/>
      <c r="AD1568"/>
    </row>
    <row r="1569" spans="2:30">
      <c r="B1569" s="2" t="s">
        <v>432</v>
      </c>
      <c r="C1569" s="2" t="s">
        <v>44</v>
      </c>
      <c r="D1569" s="2" t="s">
        <v>45</v>
      </c>
      <c r="E1569" s="3">
        <v>45295.364583333336</v>
      </c>
      <c r="F1569" s="2" t="s">
        <v>124</v>
      </c>
      <c r="G1569" s="2" t="s">
        <v>47</v>
      </c>
      <c r="H1569" s="2">
        <v>85</v>
      </c>
      <c r="I1569" s="2">
        <v>23</v>
      </c>
      <c r="J1569" s="2">
        <v>40</v>
      </c>
      <c r="K1569" s="2"/>
      <c r="L1569" s="2"/>
      <c r="M1569" s="2"/>
      <c r="N1569" s="2" t="s">
        <v>95</v>
      </c>
      <c r="O1569" s="10">
        <v>1</v>
      </c>
      <c r="P1569" s="9">
        <v>1</v>
      </c>
      <c r="Q1569" s="184">
        <v>2</v>
      </c>
      <c r="R1569" s="185">
        <v>2</v>
      </c>
      <c r="S1569" s="178">
        <f t="shared" si="166"/>
        <v>2</v>
      </c>
      <c r="T1569" s="186">
        <f t="shared" si="167"/>
        <v>4</v>
      </c>
      <c r="U1569" s="179">
        <f t="shared" si="168"/>
        <v>2</v>
      </c>
      <c r="V1569" s="1">
        <f t="shared" si="169"/>
        <v>25</v>
      </c>
      <c r="W1569" s="8">
        <f t="shared" si="170"/>
        <v>6.25</v>
      </c>
      <c r="X1569" s="15">
        <f t="shared" si="171"/>
        <v>8487.5</v>
      </c>
      <c r="Y1569"/>
      <c r="Z1569"/>
      <c r="AA1569"/>
      <c r="AB1569"/>
      <c r="AC1569"/>
      <c r="AD1569"/>
    </row>
    <row r="1570" spans="2:30">
      <c r="B1570" s="2" t="s">
        <v>432</v>
      </c>
      <c r="C1570" s="2" t="s">
        <v>145</v>
      </c>
      <c r="D1570" s="2" t="s">
        <v>146</v>
      </c>
      <c r="E1570" s="3">
        <v>45303.770833333336</v>
      </c>
      <c r="F1570" s="2" t="s">
        <v>147</v>
      </c>
      <c r="G1570" s="2" t="s">
        <v>148</v>
      </c>
      <c r="H1570" s="2">
        <v>100</v>
      </c>
      <c r="I1570" s="2">
        <v>16</v>
      </c>
      <c r="J1570" s="2">
        <v>56</v>
      </c>
      <c r="K1570" s="2"/>
      <c r="L1570" s="2"/>
      <c r="M1570" s="2"/>
      <c r="N1570" s="2" t="s">
        <v>95</v>
      </c>
      <c r="O1570" s="10">
        <v>1</v>
      </c>
      <c r="P1570" s="9">
        <v>0</v>
      </c>
      <c r="Q1570" s="184">
        <v>1</v>
      </c>
      <c r="R1570" s="185">
        <v>0</v>
      </c>
      <c r="S1570" s="178">
        <f t="shared" si="166"/>
        <v>1</v>
      </c>
      <c r="T1570" s="186">
        <f t="shared" si="167"/>
        <v>1</v>
      </c>
      <c r="U1570" s="179">
        <f t="shared" si="168"/>
        <v>0</v>
      </c>
      <c r="V1570" s="1">
        <f t="shared" si="169"/>
        <v>25</v>
      </c>
      <c r="W1570" s="8">
        <f t="shared" si="170"/>
        <v>6.25</v>
      </c>
      <c r="X1570" s="15">
        <f t="shared" si="171"/>
        <v>8493.75</v>
      </c>
    </row>
    <row r="1571" spans="2:30">
      <c r="B1571" s="2" t="s">
        <v>432</v>
      </c>
      <c r="C1571" s="2" t="s">
        <v>77</v>
      </c>
      <c r="D1571" s="2" t="s">
        <v>156</v>
      </c>
      <c r="E1571" s="3">
        <v>45303.8125</v>
      </c>
      <c r="F1571" s="2" t="s">
        <v>157</v>
      </c>
      <c r="G1571" s="2" t="s">
        <v>158</v>
      </c>
      <c r="H1571" s="2">
        <v>85</v>
      </c>
      <c r="I1571" s="2">
        <v>24</v>
      </c>
      <c r="J1571" s="2">
        <v>50</v>
      </c>
      <c r="K1571" s="2"/>
      <c r="L1571" s="2"/>
      <c r="M1571" s="2"/>
      <c r="N1571" s="2" t="s">
        <v>95</v>
      </c>
      <c r="O1571" s="10">
        <v>1</v>
      </c>
      <c r="P1571" s="9">
        <v>0</v>
      </c>
      <c r="Q1571" s="184">
        <v>3</v>
      </c>
      <c r="R1571" s="185">
        <v>0</v>
      </c>
      <c r="S1571" s="178">
        <f t="shared" si="166"/>
        <v>1</v>
      </c>
      <c r="T1571" s="186">
        <f t="shared" si="167"/>
        <v>3</v>
      </c>
      <c r="U1571" s="179">
        <f t="shared" si="168"/>
        <v>2</v>
      </c>
      <c r="V1571" s="1">
        <f t="shared" si="169"/>
        <v>25</v>
      </c>
      <c r="W1571" s="8">
        <f t="shared" si="170"/>
        <v>6.25</v>
      </c>
      <c r="X1571" s="15">
        <f t="shared" si="171"/>
        <v>8500</v>
      </c>
    </row>
    <row r="1572" spans="2:30">
      <c r="B1572" s="2" t="s">
        <v>432</v>
      </c>
      <c r="C1572" s="2" t="s">
        <v>145</v>
      </c>
      <c r="D1572" s="2" t="s">
        <v>190</v>
      </c>
      <c r="E1572" s="3">
        <v>45303.833333333336</v>
      </c>
      <c r="F1572" s="2" t="s">
        <v>191</v>
      </c>
      <c r="G1572" s="2" t="s">
        <v>192</v>
      </c>
      <c r="H1572" s="2">
        <v>85</v>
      </c>
      <c r="I1572" s="2">
        <v>24</v>
      </c>
      <c r="J1572" s="2">
        <v>50</v>
      </c>
      <c r="K1572" s="2"/>
      <c r="L1572" s="2"/>
      <c r="M1572" s="2"/>
      <c r="N1572" s="2" t="s">
        <v>95</v>
      </c>
      <c r="O1572" s="10">
        <v>1</v>
      </c>
      <c r="P1572" s="9">
        <v>0</v>
      </c>
      <c r="Q1572" s="184">
        <v>1</v>
      </c>
      <c r="R1572" s="185">
        <v>1</v>
      </c>
      <c r="S1572" s="178">
        <f t="shared" si="166"/>
        <v>1</v>
      </c>
      <c r="T1572" s="186">
        <f t="shared" si="167"/>
        <v>2</v>
      </c>
      <c r="U1572" s="179">
        <f t="shared" si="168"/>
        <v>1</v>
      </c>
      <c r="V1572" s="1">
        <f t="shared" si="169"/>
        <v>25</v>
      </c>
      <c r="W1572" s="8">
        <f t="shared" si="170"/>
        <v>6.25</v>
      </c>
      <c r="X1572" s="15">
        <f t="shared" si="171"/>
        <v>8506.25</v>
      </c>
    </row>
    <row r="1573" spans="2:30">
      <c r="B1573" s="2" t="s">
        <v>432</v>
      </c>
      <c r="C1573" s="2" t="s">
        <v>44</v>
      </c>
      <c r="D1573" s="2" t="s">
        <v>45</v>
      </c>
      <c r="E1573" s="3">
        <v>45304.375</v>
      </c>
      <c r="F1573" s="2" t="s">
        <v>124</v>
      </c>
      <c r="G1573" s="2" t="s">
        <v>46</v>
      </c>
      <c r="H1573" s="2">
        <v>90</v>
      </c>
      <c r="I1573" s="2">
        <v>24</v>
      </c>
      <c r="J1573" s="2">
        <v>53</v>
      </c>
      <c r="K1573" s="2"/>
      <c r="L1573" s="2"/>
      <c r="M1573" s="2"/>
      <c r="N1573" s="2" t="s">
        <v>95</v>
      </c>
      <c r="O1573" s="10">
        <v>3</v>
      </c>
      <c r="P1573" s="9">
        <v>1</v>
      </c>
      <c r="Q1573" s="184">
        <v>4</v>
      </c>
      <c r="R1573" s="185">
        <v>3</v>
      </c>
      <c r="S1573" s="178">
        <f t="shared" si="166"/>
        <v>4</v>
      </c>
      <c r="T1573" s="186">
        <f t="shared" si="167"/>
        <v>7</v>
      </c>
      <c r="U1573" s="179">
        <f t="shared" si="168"/>
        <v>3</v>
      </c>
      <c r="V1573" s="1">
        <f t="shared" si="169"/>
        <v>25</v>
      </c>
      <c r="W1573" s="8">
        <f t="shared" si="170"/>
        <v>6.25</v>
      </c>
      <c r="X1573" s="15">
        <f t="shared" si="171"/>
        <v>8512.5</v>
      </c>
    </row>
    <row r="1574" spans="2:30">
      <c r="B1574" s="2" t="s">
        <v>432</v>
      </c>
      <c r="C1574" s="2" t="s">
        <v>77</v>
      </c>
      <c r="D1574" s="2" t="s">
        <v>156</v>
      </c>
      <c r="E1574" s="3">
        <v>45304.604166666664</v>
      </c>
      <c r="F1574" s="2" t="s">
        <v>181</v>
      </c>
      <c r="G1574" s="2" t="s">
        <v>182</v>
      </c>
      <c r="H1574" s="2">
        <v>83</v>
      </c>
      <c r="I1574" s="2">
        <v>25</v>
      </c>
      <c r="J1574" s="2">
        <v>45</v>
      </c>
      <c r="K1574" s="2"/>
      <c r="L1574" s="2"/>
      <c r="M1574" s="2"/>
      <c r="N1574" s="2" t="s">
        <v>95</v>
      </c>
      <c r="O1574" s="10">
        <v>0</v>
      </c>
      <c r="P1574" s="9">
        <v>1</v>
      </c>
      <c r="Q1574" s="184">
        <v>0</v>
      </c>
      <c r="R1574" s="185">
        <v>1</v>
      </c>
      <c r="S1574" s="178">
        <f t="shared" si="166"/>
        <v>1</v>
      </c>
      <c r="T1574" s="186">
        <f t="shared" si="167"/>
        <v>1</v>
      </c>
      <c r="U1574" s="179">
        <f t="shared" si="168"/>
        <v>0</v>
      </c>
      <c r="V1574" s="1">
        <f t="shared" si="169"/>
        <v>25</v>
      </c>
      <c r="W1574" s="8">
        <f t="shared" si="170"/>
        <v>6.25</v>
      </c>
      <c r="X1574" s="15">
        <f t="shared" si="171"/>
        <v>8518.75</v>
      </c>
    </row>
    <row r="1575" spans="2:30">
      <c r="B1575" s="2" t="s">
        <v>432</v>
      </c>
      <c r="C1575" s="2" t="s">
        <v>6</v>
      </c>
      <c r="D1575" s="2" t="s">
        <v>183</v>
      </c>
      <c r="E1575" s="3">
        <v>45304.625</v>
      </c>
      <c r="F1575" s="2" t="s">
        <v>184</v>
      </c>
      <c r="G1575" s="2" t="s">
        <v>185</v>
      </c>
      <c r="H1575" s="2">
        <v>95</v>
      </c>
      <c r="I1575" s="2">
        <v>19</v>
      </c>
      <c r="J1575" s="2">
        <v>50</v>
      </c>
      <c r="K1575" s="2"/>
      <c r="L1575" s="2"/>
      <c r="M1575" s="2"/>
      <c r="N1575" s="2" t="s">
        <v>95</v>
      </c>
      <c r="O1575" s="10">
        <v>1</v>
      </c>
      <c r="P1575" s="9">
        <v>1</v>
      </c>
      <c r="Q1575" s="184">
        <v>1</v>
      </c>
      <c r="R1575" s="185">
        <v>3</v>
      </c>
      <c r="S1575" s="178">
        <f t="shared" si="166"/>
        <v>2</v>
      </c>
      <c r="T1575" s="186">
        <f t="shared" si="167"/>
        <v>4</v>
      </c>
      <c r="U1575" s="179">
        <f t="shared" si="168"/>
        <v>2</v>
      </c>
      <c r="V1575" s="1">
        <f t="shared" si="169"/>
        <v>25</v>
      </c>
      <c r="W1575" s="8">
        <f t="shared" si="170"/>
        <v>6.25</v>
      </c>
      <c r="X1575" s="15">
        <f t="shared" si="171"/>
        <v>8525</v>
      </c>
    </row>
    <row r="1576" spans="2:30">
      <c r="B1576" s="2" t="s">
        <v>432</v>
      </c>
      <c r="C1576" s="2" t="s">
        <v>31</v>
      </c>
      <c r="D1576" s="2" t="s">
        <v>32</v>
      </c>
      <c r="E1576" s="3">
        <v>45304.625</v>
      </c>
      <c r="F1576" s="2" t="s">
        <v>34</v>
      </c>
      <c r="G1576" s="2" t="s">
        <v>186</v>
      </c>
      <c r="H1576" s="2">
        <v>95</v>
      </c>
      <c r="I1576" s="2">
        <v>23</v>
      </c>
      <c r="J1576" s="2">
        <v>50</v>
      </c>
      <c r="K1576" s="2"/>
      <c r="L1576" s="2"/>
      <c r="M1576" s="2"/>
      <c r="N1576" s="2" t="s">
        <v>95</v>
      </c>
      <c r="O1576" s="10">
        <v>0</v>
      </c>
      <c r="P1576" s="9">
        <v>1</v>
      </c>
      <c r="Q1576" s="184">
        <v>0</v>
      </c>
      <c r="R1576" s="185">
        <v>2</v>
      </c>
      <c r="S1576" s="178">
        <f t="shared" si="166"/>
        <v>1</v>
      </c>
      <c r="T1576" s="186">
        <f t="shared" si="167"/>
        <v>2</v>
      </c>
      <c r="U1576" s="179">
        <f t="shared" si="168"/>
        <v>1</v>
      </c>
      <c r="V1576" s="1">
        <f t="shared" si="169"/>
        <v>25</v>
      </c>
      <c r="W1576" s="8">
        <f t="shared" si="170"/>
        <v>6.25</v>
      </c>
      <c r="X1576" s="15">
        <f t="shared" si="171"/>
        <v>8531.25</v>
      </c>
    </row>
    <row r="1577" spans="2:30">
      <c r="B1577" s="2" t="s">
        <v>432</v>
      </c>
      <c r="C1577" s="2" t="s">
        <v>6</v>
      </c>
      <c r="D1577" s="2" t="s">
        <v>7</v>
      </c>
      <c r="E1577" s="3">
        <v>45304.625</v>
      </c>
      <c r="F1577" s="2" t="s">
        <v>18</v>
      </c>
      <c r="G1577" s="2" t="s">
        <v>114</v>
      </c>
      <c r="H1577" s="2">
        <v>10</v>
      </c>
      <c r="I1577" s="2">
        <v>10</v>
      </c>
      <c r="J1577" s="2">
        <v>26</v>
      </c>
      <c r="K1577" s="2">
        <v>15</v>
      </c>
      <c r="L1577" s="2">
        <v>80</v>
      </c>
      <c r="M1577" s="2">
        <v>4.4000000000000004</v>
      </c>
      <c r="N1577" s="2" t="s">
        <v>95</v>
      </c>
      <c r="O1577" s="10">
        <v>1</v>
      </c>
      <c r="P1577" s="9">
        <v>1</v>
      </c>
      <c r="Q1577" s="184">
        <v>3</v>
      </c>
      <c r="R1577" s="185">
        <v>1</v>
      </c>
      <c r="S1577" s="178">
        <f t="shared" si="166"/>
        <v>2</v>
      </c>
      <c r="T1577" s="186">
        <f t="shared" si="167"/>
        <v>4</v>
      </c>
      <c r="U1577" s="179">
        <f t="shared" si="168"/>
        <v>2</v>
      </c>
      <c r="V1577" s="1">
        <f t="shared" si="169"/>
        <v>25</v>
      </c>
      <c r="W1577" s="8">
        <f t="shared" si="170"/>
        <v>6.25</v>
      </c>
      <c r="X1577" s="15">
        <f t="shared" si="171"/>
        <v>8537.5</v>
      </c>
    </row>
    <row r="1578" spans="2:30">
      <c r="B1578" s="2" t="s">
        <v>432</v>
      </c>
      <c r="C1578" s="2" t="s">
        <v>6</v>
      </c>
      <c r="D1578" s="2" t="s">
        <v>7</v>
      </c>
      <c r="E1578" s="3">
        <v>45311.625</v>
      </c>
      <c r="F1578" s="2" t="s">
        <v>54</v>
      </c>
      <c r="G1578" s="2" t="s">
        <v>9</v>
      </c>
      <c r="H1578" s="2">
        <v>10</v>
      </c>
      <c r="I1578" s="2">
        <v>10</v>
      </c>
      <c r="J1578" s="2">
        <v>26</v>
      </c>
      <c r="K1578" s="2">
        <v>10</v>
      </c>
      <c r="L1578" s="2">
        <v>70</v>
      </c>
      <c r="M1578" s="2">
        <v>5</v>
      </c>
      <c r="N1578" s="2" t="s">
        <v>95</v>
      </c>
      <c r="O1578" s="10">
        <v>1</v>
      </c>
      <c r="P1578" s="9">
        <v>0</v>
      </c>
      <c r="Q1578" s="184">
        <v>1</v>
      </c>
      <c r="R1578" s="185">
        <v>2</v>
      </c>
      <c r="S1578" s="178">
        <f t="shared" si="166"/>
        <v>1</v>
      </c>
      <c r="T1578" s="186">
        <f t="shared" si="167"/>
        <v>3</v>
      </c>
      <c r="U1578" s="179">
        <f t="shared" si="168"/>
        <v>2</v>
      </c>
      <c r="V1578" s="1">
        <f t="shared" si="169"/>
        <v>25</v>
      </c>
      <c r="W1578" s="8">
        <f t="shared" si="170"/>
        <v>6.25</v>
      </c>
      <c r="X1578" s="15">
        <f t="shared" si="171"/>
        <v>8543.75</v>
      </c>
    </row>
    <row r="1579" spans="2:30">
      <c r="B1579" s="2" t="s">
        <v>432</v>
      </c>
      <c r="C1579" s="2" t="s">
        <v>6</v>
      </c>
      <c r="D1579" s="2" t="s">
        <v>62</v>
      </c>
      <c r="E1579" s="3">
        <v>45311.729166666664</v>
      </c>
      <c r="F1579" s="2" t="s">
        <v>63</v>
      </c>
      <c r="G1579" s="2" t="s">
        <v>264</v>
      </c>
      <c r="H1579" s="2">
        <v>10</v>
      </c>
      <c r="I1579" s="2">
        <v>10</v>
      </c>
      <c r="J1579" s="2">
        <v>29</v>
      </c>
      <c r="K1579" s="2">
        <v>20</v>
      </c>
      <c r="L1579" s="2">
        <v>60</v>
      </c>
      <c r="M1579" s="2">
        <v>3.9</v>
      </c>
      <c r="N1579" s="2" t="s">
        <v>95</v>
      </c>
      <c r="O1579" s="10">
        <v>1</v>
      </c>
      <c r="P1579" s="9">
        <v>1</v>
      </c>
      <c r="Q1579" s="184">
        <v>3</v>
      </c>
      <c r="R1579" s="185">
        <v>2</v>
      </c>
      <c r="S1579" s="178">
        <f t="shared" si="166"/>
        <v>2</v>
      </c>
      <c r="T1579" s="186">
        <f t="shared" si="167"/>
        <v>5</v>
      </c>
      <c r="U1579" s="179">
        <f t="shared" si="168"/>
        <v>3</v>
      </c>
      <c r="V1579" s="1">
        <f t="shared" si="169"/>
        <v>25</v>
      </c>
      <c r="W1579" s="8">
        <f t="shared" si="170"/>
        <v>6.25</v>
      </c>
      <c r="X1579" s="15">
        <f t="shared" si="171"/>
        <v>8550</v>
      </c>
    </row>
    <row r="1580" spans="2:30">
      <c r="B1580" s="2" t="s">
        <v>432</v>
      </c>
      <c r="C1580" s="2" t="s">
        <v>20</v>
      </c>
      <c r="D1580" s="2" t="s">
        <v>21</v>
      </c>
      <c r="E1580" s="3">
        <v>45311.822916666664</v>
      </c>
      <c r="F1580" s="2" t="s">
        <v>100</v>
      </c>
      <c r="G1580" s="2" t="s">
        <v>109</v>
      </c>
      <c r="H1580" s="2">
        <v>80</v>
      </c>
      <c r="I1580" s="2">
        <v>24</v>
      </c>
      <c r="J1580" s="2">
        <v>53</v>
      </c>
      <c r="K1580" s="2"/>
      <c r="L1580" s="2"/>
      <c r="M1580" s="2"/>
      <c r="N1580" s="2" t="s">
        <v>95</v>
      </c>
      <c r="O1580" s="10">
        <v>1</v>
      </c>
      <c r="P1580" s="9">
        <v>1</v>
      </c>
      <c r="Q1580" s="184">
        <v>2</v>
      </c>
      <c r="R1580" s="185">
        <v>3</v>
      </c>
      <c r="S1580" s="178">
        <f t="shared" si="166"/>
        <v>2</v>
      </c>
      <c r="T1580" s="186">
        <f t="shared" si="167"/>
        <v>5</v>
      </c>
      <c r="U1580" s="179">
        <f t="shared" si="168"/>
        <v>3</v>
      </c>
      <c r="V1580" s="1">
        <f t="shared" si="169"/>
        <v>25</v>
      </c>
      <c r="W1580" s="8">
        <f t="shared" si="170"/>
        <v>6.25</v>
      </c>
      <c r="X1580" s="15">
        <f t="shared" si="171"/>
        <v>8556.25</v>
      </c>
    </row>
    <row r="1581" spans="2:30">
      <c r="B1581" s="2" t="s">
        <v>432</v>
      </c>
      <c r="C1581" s="2" t="s">
        <v>149</v>
      </c>
      <c r="D1581" s="2" t="s">
        <v>153</v>
      </c>
      <c r="E1581" s="3">
        <v>45312.5625</v>
      </c>
      <c r="F1581" s="2" t="s">
        <v>281</v>
      </c>
      <c r="G1581" s="2" t="s">
        <v>282</v>
      </c>
      <c r="H1581" s="2">
        <v>80</v>
      </c>
      <c r="I1581" s="2">
        <v>22</v>
      </c>
      <c r="J1581" s="2">
        <v>45</v>
      </c>
      <c r="K1581" s="2"/>
      <c r="L1581" s="2"/>
      <c r="M1581" s="2"/>
      <c r="N1581" s="2" t="s">
        <v>95</v>
      </c>
      <c r="O1581" s="10">
        <v>0</v>
      </c>
      <c r="P1581" s="9">
        <v>1</v>
      </c>
      <c r="Q1581" s="184">
        <v>1</v>
      </c>
      <c r="R1581" s="185">
        <v>2</v>
      </c>
      <c r="S1581" s="178">
        <f t="shared" si="166"/>
        <v>1</v>
      </c>
      <c r="T1581" s="186">
        <f t="shared" si="167"/>
        <v>3</v>
      </c>
      <c r="U1581" s="179">
        <f t="shared" si="168"/>
        <v>2</v>
      </c>
      <c r="V1581" s="1">
        <f t="shared" si="169"/>
        <v>25</v>
      </c>
      <c r="W1581" s="8">
        <f t="shared" si="170"/>
        <v>6.25</v>
      </c>
      <c r="X1581" s="15">
        <f t="shared" si="171"/>
        <v>8562.5</v>
      </c>
    </row>
    <row r="1582" spans="2:30">
      <c r="B1582" s="2" t="s">
        <v>432</v>
      </c>
      <c r="C1582" s="2" t="s">
        <v>77</v>
      </c>
      <c r="D1582" s="2" t="s">
        <v>156</v>
      </c>
      <c r="E1582" s="3">
        <v>45312.6875</v>
      </c>
      <c r="F1582" s="2" t="s">
        <v>167</v>
      </c>
      <c r="G1582" s="2" t="s">
        <v>284</v>
      </c>
      <c r="H1582" s="2">
        <v>83</v>
      </c>
      <c r="I1582" s="2">
        <v>21</v>
      </c>
      <c r="J1582" s="2">
        <v>65</v>
      </c>
      <c r="K1582" s="2"/>
      <c r="L1582" s="2"/>
      <c r="M1582" s="2"/>
      <c r="N1582" s="2" t="s">
        <v>95</v>
      </c>
      <c r="O1582" s="10">
        <v>1</v>
      </c>
      <c r="P1582" s="9">
        <v>0</v>
      </c>
      <c r="Q1582" s="184">
        <v>1</v>
      </c>
      <c r="R1582" s="185">
        <v>2</v>
      </c>
      <c r="S1582" s="178">
        <f t="shared" si="166"/>
        <v>1</v>
      </c>
      <c r="T1582" s="186">
        <f t="shared" si="167"/>
        <v>3</v>
      </c>
      <c r="U1582" s="179">
        <f t="shared" si="168"/>
        <v>2</v>
      </c>
      <c r="V1582" s="1">
        <f t="shared" si="169"/>
        <v>25</v>
      </c>
      <c r="W1582" s="8">
        <f t="shared" si="170"/>
        <v>6.25</v>
      </c>
      <c r="X1582" s="15">
        <f t="shared" si="171"/>
        <v>8568.75</v>
      </c>
    </row>
    <row r="1583" spans="2:30">
      <c r="B1583" s="2" t="s">
        <v>432</v>
      </c>
      <c r="C1583" s="2" t="s">
        <v>20</v>
      </c>
      <c r="D1583" s="2" t="s">
        <v>322</v>
      </c>
      <c r="E1583" s="3">
        <v>45317.8125</v>
      </c>
      <c r="F1583" s="2" t="s">
        <v>333</v>
      </c>
      <c r="G1583" s="2" t="s">
        <v>334</v>
      </c>
      <c r="H1583" s="2">
        <v>80</v>
      </c>
      <c r="I1583" s="2">
        <v>23</v>
      </c>
      <c r="J1583" s="2">
        <v>47</v>
      </c>
      <c r="K1583" s="2">
        <v>0.57999999999999996</v>
      </c>
      <c r="L1583" s="2"/>
      <c r="M1583" s="2"/>
      <c r="N1583" s="2" t="s">
        <v>95</v>
      </c>
      <c r="O1583" s="10">
        <v>1</v>
      </c>
      <c r="P1583" s="9">
        <v>0</v>
      </c>
      <c r="Q1583" s="184">
        <v>1</v>
      </c>
      <c r="R1583" s="185">
        <v>1</v>
      </c>
      <c r="S1583" s="178">
        <f t="shared" si="166"/>
        <v>1</v>
      </c>
      <c r="T1583" s="186">
        <f t="shared" si="167"/>
        <v>2</v>
      </c>
      <c r="U1583" s="179">
        <f t="shared" si="168"/>
        <v>1</v>
      </c>
      <c r="V1583" s="1">
        <f t="shared" si="169"/>
        <v>25</v>
      </c>
      <c r="W1583" s="8">
        <f t="shared" si="170"/>
        <v>6.25</v>
      </c>
      <c r="X1583" s="15">
        <f t="shared" si="171"/>
        <v>8575</v>
      </c>
    </row>
    <row r="1584" spans="2:30">
      <c r="B1584" s="2" t="s">
        <v>432</v>
      </c>
      <c r="C1584" s="7" t="s">
        <v>13</v>
      </c>
      <c r="D1584" s="7" t="s">
        <v>37</v>
      </c>
      <c r="E1584" s="24">
        <v>45318.520833333336</v>
      </c>
      <c r="F1584" s="7" t="s">
        <v>351</v>
      </c>
      <c r="G1584" s="7" t="s">
        <v>79</v>
      </c>
      <c r="H1584" s="7">
        <v>88</v>
      </c>
      <c r="I1584" s="7">
        <v>23</v>
      </c>
      <c r="J1584" s="7">
        <v>33</v>
      </c>
      <c r="K1584" s="7">
        <v>0.47</v>
      </c>
      <c r="L1584" s="7"/>
      <c r="M1584" s="7"/>
      <c r="N1584" s="2" t="s">
        <v>95</v>
      </c>
      <c r="O1584" s="10">
        <v>0</v>
      </c>
      <c r="P1584" s="9">
        <v>1</v>
      </c>
      <c r="Q1584" s="184">
        <v>0</v>
      </c>
      <c r="R1584" s="185">
        <v>1</v>
      </c>
      <c r="S1584" s="178">
        <f t="shared" si="166"/>
        <v>1</v>
      </c>
      <c r="T1584" s="186">
        <f t="shared" si="167"/>
        <v>1</v>
      </c>
      <c r="U1584" s="179">
        <f t="shared" si="168"/>
        <v>0</v>
      </c>
      <c r="V1584" s="1">
        <f t="shared" si="169"/>
        <v>25</v>
      </c>
      <c r="W1584" s="8">
        <f t="shared" si="170"/>
        <v>6.25</v>
      </c>
      <c r="X1584" s="15">
        <f t="shared" si="171"/>
        <v>8581.25</v>
      </c>
    </row>
    <row r="1585" spans="2:24">
      <c r="B1585" s="2" t="s">
        <v>432</v>
      </c>
      <c r="C1585" s="7" t="s">
        <v>77</v>
      </c>
      <c r="D1585" s="7" t="s">
        <v>156</v>
      </c>
      <c r="E1585" s="24">
        <v>45318.604166666664</v>
      </c>
      <c r="F1585" s="7" t="s">
        <v>158</v>
      </c>
      <c r="G1585" s="7" t="s">
        <v>260</v>
      </c>
      <c r="H1585" s="7">
        <v>95</v>
      </c>
      <c r="I1585" s="7">
        <v>21</v>
      </c>
      <c r="J1585" s="7">
        <v>70</v>
      </c>
      <c r="K1585" s="7">
        <v>1.36</v>
      </c>
      <c r="L1585" s="7"/>
      <c r="M1585" s="7"/>
      <c r="N1585" s="2" t="s">
        <v>95</v>
      </c>
      <c r="O1585" s="10">
        <v>1</v>
      </c>
      <c r="P1585" s="9">
        <v>1</v>
      </c>
      <c r="Q1585" s="184">
        <v>1</v>
      </c>
      <c r="R1585" s="185">
        <v>1</v>
      </c>
      <c r="S1585" s="178">
        <f t="shared" si="166"/>
        <v>2</v>
      </c>
      <c r="T1585" s="186">
        <f t="shared" si="167"/>
        <v>2</v>
      </c>
      <c r="U1585" s="179">
        <f t="shared" si="168"/>
        <v>0</v>
      </c>
      <c r="V1585" s="1">
        <f t="shared" si="169"/>
        <v>25</v>
      </c>
      <c r="W1585" s="8">
        <f t="shared" si="170"/>
        <v>6.25</v>
      </c>
      <c r="X1585" s="15">
        <f t="shared" si="171"/>
        <v>8587.5</v>
      </c>
    </row>
    <row r="1586" spans="2:24">
      <c r="B1586" s="2" t="s">
        <v>432</v>
      </c>
      <c r="C1586" s="7" t="s">
        <v>20</v>
      </c>
      <c r="D1586" s="7" t="s">
        <v>322</v>
      </c>
      <c r="E1586" s="24">
        <v>45318.635416666664</v>
      </c>
      <c r="F1586" s="7" t="s">
        <v>356</v>
      </c>
      <c r="G1586" s="7" t="s">
        <v>357</v>
      </c>
      <c r="H1586" s="7">
        <v>86</v>
      </c>
      <c r="I1586" s="7">
        <v>22</v>
      </c>
      <c r="J1586" s="7">
        <v>33</v>
      </c>
      <c r="K1586" s="7">
        <v>1.17</v>
      </c>
      <c r="L1586" s="7"/>
      <c r="M1586" s="7"/>
      <c r="N1586" s="2" t="s">
        <v>95</v>
      </c>
      <c r="O1586" s="10">
        <v>1</v>
      </c>
      <c r="P1586" s="9">
        <v>0</v>
      </c>
      <c r="Q1586" s="184">
        <v>5</v>
      </c>
      <c r="R1586" s="185">
        <v>1</v>
      </c>
      <c r="S1586" s="178">
        <f t="shared" si="166"/>
        <v>1</v>
      </c>
      <c r="T1586" s="186">
        <f t="shared" si="167"/>
        <v>6</v>
      </c>
      <c r="U1586" s="179">
        <f t="shared" si="168"/>
        <v>5</v>
      </c>
      <c r="V1586" s="1">
        <f t="shared" si="169"/>
        <v>25</v>
      </c>
      <c r="W1586" s="8">
        <f t="shared" si="170"/>
        <v>6.25</v>
      </c>
      <c r="X1586" s="15">
        <f t="shared" si="171"/>
        <v>8593.75</v>
      </c>
    </row>
    <row r="1587" spans="2:24">
      <c r="B1587" s="2" t="s">
        <v>432</v>
      </c>
      <c r="C1587" s="7" t="s">
        <v>145</v>
      </c>
      <c r="D1587" s="7" t="s">
        <v>190</v>
      </c>
      <c r="E1587" s="24">
        <v>45318.833333333336</v>
      </c>
      <c r="F1587" s="7" t="s">
        <v>191</v>
      </c>
      <c r="G1587" s="7" t="s">
        <v>364</v>
      </c>
      <c r="H1587" s="7">
        <v>80</v>
      </c>
      <c r="I1587" s="7">
        <v>23</v>
      </c>
      <c r="J1587" s="7">
        <v>53</v>
      </c>
      <c r="K1587" s="7">
        <v>0.44</v>
      </c>
      <c r="L1587" s="7"/>
      <c r="M1587" s="7"/>
      <c r="N1587" s="2" t="s">
        <v>95</v>
      </c>
      <c r="O1587" s="10">
        <v>1</v>
      </c>
      <c r="P1587" s="9">
        <v>2</v>
      </c>
      <c r="Q1587" s="184">
        <v>2</v>
      </c>
      <c r="R1587" s="185">
        <v>2</v>
      </c>
      <c r="S1587" s="178">
        <f t="shared" si="166"/>
        <v>3</v>
      </c>
      <c r="T1587" s="186">
        <f t="shared" si="167"/>
        <v>4</v>
      </c>
      <c r="U1587" s="179">
        <f t="shared" si="168"/>
        <v>1</v>
      </c>
      <c r="V1587" s="1">
        <f t="shared" si="169"/>
        <v>25</v>
      </c>
      <c r="W1587" s="8">
        <f t="shared" si="170"/>
        <v>6.25</v>
      </c>
      <c r="X1587" s="15">
        <f t="shared" si="171"/>
        <v>8600</v>
      </c>
    </row>
    <row r="1588" spans="2:24">
      <c r="B1588" s="2" t="s">
        <v>432</v>
      </c>
      <c r="C1588" s="2" t="s">
        <v>20</v>
      </c>
      <c r="D1588" s="2" t="s">
        <v>21</v>
      </c>
      <c r="E1588" s="3">
        <v>45319.583333333336</v>
      </c>
      <c r="F1588" s="2" t="s">
        <v>23</v>
      </c>
      <c r="G1588" s="2" t="s">
        <v>370</v>
      </c>
      <c r="H1588" s="2">
        <v>83</v>
      </c>
      <c r="I1588" s="2">
        <v>25</v>
      </c>
      <c r="J1588" s="2">
        <v>38</v>
      </c>
      <c r="K1588" s="2">
        <v>0.56999999999999995</v>
      </c>
      <c r="L1588" s="2"/>
      <c r="M1588" s="2"/>
      <c r="N1588" s="2" t="s">
        <v>95</v>
      </c>
      <c r="O1588" s="10">
        <v>1</v>
      </c>
      <c r="P1588" s="9">
        <v>0</v>
      </c>
      <c r="Q1588" s="184">
        <v>1</v>
      </c>
      <c r="R1588" s="185">
        <v>0</v>
      </c>
      <c r="S1588" s="178">
        <f t="shared" si="166"/>
        <v>1</v>
      </c>
      <c r="T1588" s="186">
        <f t="shared" si="167"/>
        <v>1</v>
      </c>
      <c r="U1588" s="179">
        <f t="shared" si="168"/>
        <v>0</v>
      </c>
      <c r="V1588" s="1">
        <f t="shared" si="169"/>
        <v>25</v>
      </c>
      <c r="W1588" s="8">
        <f t="shared" si="170"/>
        <v>6.25</v>
      </c>
      <c r="X1588" s="15">
        <f t="shared" si="171"/>
        <v>8606.25</v>
      </c>
    </row>
    <row r="1589" spans="2:24">
      <c r="B1589" s="2" t="s">
        <v>432</v>
      </c>
      <c r="C1589" s="2" t="s">
        <v>48</v>
      </c>
      <c r="D1589" s="2" t="s">
        <v>49</v>
      </c>
      <c r="E1589" s="3">
        <v>45323.583333333336</v>
      </c>
      <c r="F1589" s="2" t="s">
        <v>385</v>
      </c>
      <c r="G1589" s="2" t="s">
        <v>51</v>
      </c>
      <c r="H1589" s="2">
        <v>80</v>
      </c>
      <c r="I1589" s="2">
        <v>25</v>
      </c>
      <c r="J1589" s="2">
        <v>50</v>
      </c>
      <c r="K1589" s="2">
        <v>0.16</v>
      </c>
      <c r="L1589" s="2"/>
      <c r="M1589" s="2"/>
      <c r="N1589" s="2" t="s">
        <v>95</v>
      </c>
      <c r="O1589" s="10">
        <v>0</v>
      </c>
      <c r="P1589" s="9">
        <v>2</v>
      </c>
      <c r="Q1589" s="184">
        <v>0</v>
      </c>
      <c r="R1589" s="185">
        <v>2</v>
      </c>
      <c r="S1589" s="178">
        <f t="shared" si="166"/>
        <v>2</v>
      </c>
      <c r="T1589" s="186">
        <f t="shared" si="167"/>
        <v>2</v>
      </c>
      <c r="U1589" s="179">
        <f t="shared" si="168"/>
        <v>0</v>
      </c>
      <c r="V1589" s="1">
        <f t="shared" si="169"/>
        <v>25</v>
      </c>
      <c r="W1589" s="8">
        <f t="shared" si="170"/>
        <v>6.25</v>
      </c>
      <c r="X1589" s="15">
        <f t="shared" si="171"/>
        <v>8612.5</v>
      </c>
    </row>
    <row r="1590" spans="2:24">
      <c r="B1590" s="2" t="s">
        <v>432</v>
      </c>
      <c r="C1590" s="2" t="s">
        <v>44</v>
      </c>
      <c r="D1590" s="2" t="s">
        <v>45</v>
      </c>
      <c r="E1590" s="3">
        <v>45325.364583333336</v>
      </c>
      <c r="F1590" s="2" t="s">
        <v>124</v>
      </c>
      <c r="G1590" s="2" t="s">
        <v>180</v>
      </c>
      <c r="H1590" s="2">
        <v>88</v>
      </c>
      <c r="I1590" s="2">
        <v>24</v>
      </c>
      <c r="J1590" s="2">
        <v>48</v>
      </c>
      <c r="K1590" s="2">
        <v>0.4</v>
      </c>
      <c r="L1590" s="2"/>
      <c r="M1590" s="2"/>
      <c r="N1590" s="2" t="s">
        <v>95</v>
      </c>
      <c r="O1590" s="10">
        <v>0</v>
      </c>
      <c r="P1590" s="9">
        <v>3</v>
      </c>
      <c r="Q1590" s="184">
        <v>0</v>
      </c>
      <c r="R1590" s="185">
        <v>4</v>
      </c>
      <c r="S1590" s="178">
        <f t="shared" si="166"/>
        <v>3</v>
      </c>
      <c r="T1590" s="186">
        <f t="shared" si="167"/>
        <v>4</v>
      </c>
      <c r="U1590" s="179">
        <f t="shared" si="168"/>
        <v>1</v>
      </c>
      <c r="V1590" s="1">
        <f t="shared" si="169"/>
        <v>25</v>
      </c>
      <c r="W1590" s="8">
        <f t="shared" si="170"/>
        <v>6.25</v>
      </c>
      <c r="X1590" s="15">
        <f t="shared" si="171"/>
        <v>8618.75</v>
      </c>
    </row>
    <row r="1591" spans="2:24">
      <c r="B1591" s="2" t="s">
        <v>432</v>
      </c>
      <c r="C1591" s="2" t="s">
        <v>77</v>
      </c>
      <c r="D1591" s="2" t="s">
        <v>156</v>
      </c>
      <c r="E1591" s="3">
        <v>45325.604166666664</v>
      </c>
      <c r="F1591" s="2" t="s">
        <v>157</v>
      </c>
      <c r="G1591" s="2" t="s">
        <v>167</v>
      </c>
      <c r="H1591" s="2">
        <v>80</v>
      </c>
      <c r="I1591" s="2">
        <v>23</v>
      </c>
      <c r="J1591" s="2">
        <v>48</v>
      </c>
      <c r="K1591" s="2">
        <v>0.73</v>
      </c>
      <c r="L1591" s="2"/>
      <c r="M1591" s="2"/>
      <c r="N1591" s="2" t="s">
        <v>95</v>
      </c>
      <c r="O1591" s="10">
        <v>1</v>
      </c>
      <c r="P1591" s="9">
        <v>1</v>
      </c>
      <c r="Q1591" s="184">
        <v>3</v>
      </c>
      <c r="R1591" s="185">
        <v>1</v>
      </c>
      <c r="S1591" s="178">
        <f t="shared" si="166"/>
        <v>2</v>
      </c>
      <c r="T1591" s="186">
        <f t="shared" si="167"/>
        <v>4</v>
      </c>
      <c r="U1591" s="179">
        <f t="shared" si="168"/>
        <v>2</v>
      </c>
      <c r="V1591" s="1">
        <f t="shared" si="169"/>
        <v>25</v>
      </c>
      <c r="W1591" s="8">
        <f t="shared" si="170"/>
        <v>6.25</v>
      </c>
      <c r="X1591" s="15">
        <f t="shared" si="171"/>
        <v>8625</v>
      </c>
    </row>
    <row r="1592" spans="2:24">
      <c r="B1592" s="2" t="s">
        <v>432</v>
      </c>
      <c r="C1592" s="2" t="s">
        <v>77</v>
      </c>
      <c r="D1592" s="2" t="s">
        <v>156</v>
      </c>
      <c r="E1592" s="3">
        <v>45325.604166666664</v>
      </c>
      <c r="F1592" s="2" t="s">
        <v>239</v>
      </c>
      <c r="G1592" s="2" t="s">
        <v>284</v>
      </c>
      <c r="H1592" s="2">
        <v>88</v>
      </c>
      <c r="I1592" s="2">
        <v>23</v>
      </c>
      <c r="J1592" s="2">
        <v>58</v>
      </c>
      <c r="K1592" s="2">
        <v>0.64</v>
      </c>
      <c r="L1592" s="2"/>
      <c r="M1592" s="2"/>
      <c r="N1592" s="2" t="s">
        <v>95</v>
      </c>
      <c r="O1592" s="10">
        <v>1</v>
      </c>
      <c r="P1592" s="9">
        <v>0</v>
      </c>
      <c r="Q1592" s="184">
        <v>1</v>
      </c>
      <c r="R1592" s="185">
        <v>1</v>
      </c>
      <c r="S1592" s="178">
        <f t="shared" si="166"/>
        <v>1</v>
      </c>
      <c r="T1592" s="186">
        <f t="shared" si="167"/>
        <v>2</v>
      </c>
      <c r="U1592" s="179">
        <f t="shared" si="168"/>
        <v>1</v>
      </c>
      <c r="V1592" s="1">
        <f t="shared" si="169"/>
        <v>25</v>
      </c>
      <c r="W1592" s="8">
        <f t="shared" si="170"/>
        <v>6.25</v>
      </c>
      <c r="X1592" s="15">
        <f t="shared" si="171"/>
        <v>8631.25</v>
      </c>
    </row>
    <row r="1593" spans="2:24">
      <c r="B1593" s="2" t="s">
        <v>432</v>
      </c>
      <c r="C1593" s="2" t="s">
        <v>6</v>
      </c>
      <c r="D1593" s="2" t="s">
        <v>7</v>
      </c>
      <c r="E1593" s="3">
        <v>45325.625</v>
      </c>
      <c r="F1593" s="2" t="s">
        <v>55</v>
      </c>
      <c r="G1593" s="2" t="s">
        <v>9</v>
      </c>
      <c r="H1593" s="2">
        <v>95</v>
      </c>
      <c r="I1593" s="2">
        <v>17</v>
      </c>
      <c r="J1593" s="2">
        <v>55</v>
      </c>
      <c r="K1593" s="2">
        <v>1.2</v>
      </c>
      <c r="L1593" s="2"/>
      <c r="M1593" s="2"/>
      <c r="N1593" s="2" t="s">
        <v>95</v>
      </c>
      <c r="O1593" s="10">
        <v>1</v>
      </c>
      <c r="P1593" s="9">
        <v>1</v>
      </c>
      <c r="Q1593" s="184">
        <v>1</v>
      </c>
      <c r="R1593" s="185">
        <v>2</v>
      </c>
      <c r="S1593" s="178">
        <f t="shared" si="166"/>
        <v>2</v>
      </c>
      <c r="T1593" s="186">
        <f t="shared" si="167"/>
        <v>3</v>
      </c>
      <c r="U1593" s="179">
        <f t="shared" si="168"/>
        <v>1</v>
      </c>
      <c r="V1593" s="1">
        <f t="shared" si="169"/>
        <v>25</v>
      </c>
      <c r="W1593" s="8">
        <f t="shared" si="170"/>
        <v>6.25</v>
      </c>
      <c r="X1593" s="15">
        <f t="shared" si="171"/>
        <v>8637.5</v>
      </c>
    </row>
    <row r="1594" spans="2:24">
      <c r="B1594" s="2" t="s">
        <v>432</v>
      </c>
      <c r="C1594" s="2" t="s">
        <v>149</v>
      </c>
      <c r="D1594" s="2" t="s">
        <v>153</v>
      </c>
      <c r="E1594" s="3">
        <v>45326.5625</v>
      </c>
      <c r="F1594" s="2" t="s">
        <v>245</v>
      </c>
      <c r="G1594" s="2" t="s">
        <v>282</v>
      </c>
      <c r="H1594" s="2">
        <v>95</v>
      </c>
      <c r="I1594" s="2">
        <v>17</v>
      </c>
      <c r="J1594" s="2">
        <v>50</v>
      </c>
      <c r="K1594" s="2">
        <v>1.1599999999999999</v>
      </c>
      <c r="L1594" s="2"/>
      <c r="M1594" s="2"/>
      <c r="N1594" s="2" t="s">
        <v>95</v>
      </c>
      <c r="O1594" s="10">
        <v>0</v>
      </c>
      <c r="P1594" s="9">
        <v>1</v>
      </c>
      <c r="Q1594" s="184">
        <v>0</v>
      </c>
      <c r="R1594" s="185">
        <v>1</v>
      </c>
      <c r="S1594" s="178">
        <f t="shared" si="166"/>
        <v>1</v>
      </c>
      <c r="T1594" s="186">
        <f t="shared" si="167"/>
        <v>1</v>
      </c>
      <c r="U1594" s="179">
        <f t="shared" si="168"/>
        <v>0</v>
      </c>
      <c r="V1594" s="1">
        <f t="shared" si="169"/>
        <v>25</v>
      </c>
      <c r="W1594" s="8">
        <f t="shared" si="170"/>
        <v>6.25</v>
      </c>
      <c r="X1594" s="15">
        <f t="shared" si="171"/>
        <v>8643.75</v>
      </c>
    </row>
    <row r="1595" spans="2:24">
      <c r="B1595" s="2" t="s">
        <v>432</v>
      </c>
      <c r="C1595" s="2" t="s">
        <v>6</v>
      </c>
      <c r="D1595" s="2" t="s">
        <v>62</v>
      </c>
      <c r="E1595" s="3">
        <v>45326.583333333336</v>
      </c>
      <c r="F1595" s="2" t="s">
        <v>383</v>
      </c>
      <c r="G1595" s="2" t="s">
        <v>74</v>
      </c>
      <c r="H1595" s="2">
        <v>83</v>
      </c>
      <c r="I1595" s="2">
        <v>25</v>
      </c>
      <c r="J1595" s="2">
        <v>35</v>
      </c>
      <c r="K1595" s="2">
        <v>0.68</v>
      </c>
      <c r="L1595" s="2"/>
      <c r="M1595" s="2"/>
      <c r="N1595" s="2" t="s">
        <v>95</v>
      </c>
      <c r="O1595" s="10">
        <v>1</v>
      </c>
      <c r="P1595" s="9">
        <v>0</v>
      </c>
      <c r="Q1595" s="184">
        <v>3</v>
      </c>
      <c r="R1595" s="185">
        <v>0</v>
      </c>
      <c r="S1595" s="178">
        <f t="shared" si="166"/>
        <v>1</v>
      </c>
      <c r="T1595" s="186">
        <f t="shared" si="167"/>
        <v>3</v>
      </c>
      <c r="U1595" s="179">
        <f t="shared" si="168"/>
        <v>2</v>
      </c>
      <c r="V1595" s="1">
        <f t="shared" si="169"/>
        <v>25</v>
      </c>
      <c r="W1595" s="8">
        <f t="shared" si="170"/>
        <v>6.25</v>
      </c>
      <c r="X1595" s="15">
        <f t="shared" si="171"/>
        <v>8650</v>
      </c>
    </row>
    <row r="1596" spans="2:24">
      <c r="B1596" s="2" t="s">
        <v>432</v>
      </c>
      <c r="C1596" s="2" t="s">
        <v>77</v>
      </c>
      <c r="D1596" s="2" t="s">
        <v>156</v>
      </c>
      <c r="E1596" s="3">
        <v>45326.604166666664</v>
      </c>
      <c r="F1596" s="2" t="s">
        <v>161</v>
      </c>
      <c r="G1596" s="2" t="s">
        <v>158</v>
      </c>
      <c r="H1596" s="2">
        <v>83</v>
      </c>
      <c r="I1596" s="2">
        <v>25</v>
      </c>
      <c r="J1596" s="2">
        <v>43</v>
      </c>
      <c r="K1596" s="2">
        <v>0.68</v>
      </c>
      <c r="L1596" s="2"/>
      <c r="M1596" s="2"/>
      <c r="N1596" s="2" t="s">
        <v>95</v>
      </c>
      <c r="O1596" s="10">
        <v>0</v>
      </c>
      <c r="P1596" s="9">
        <v>1</v>
      </c>
      <c r="Q1596" s="184">
        <v>2</v>
      </c>
      <c r="R1596" s="185">
        <v>2</v>
      </c>
      <c r="S1596" s="178">
        <f t="shared" si="166"/>
        <v>1</v>
      </c>
      <c r="T1596" s="186">
        <f t="shared" si="167"/>
        <v>4</v>
      </c>
      <c r="U1596" s="179">
        <f t="shared" si="168"/>
        <v>3</v>
      </c>
      <c r="V1596" s="1">
        <f t="shared" si="169"/>
        <v>25</v>
      </c>
      <c r="W1596" s="8">
        <f t="shared" si="170"/>
        <v>6.25</v>
      </c>
      <c r="X1596" s="15">
        <f t="shared" si="171"/>
        <v>8656.25</v>
      </c>
    </row>
    <row r="1597" spans="2:24">
      <c r="B1597" s="2" t="s">
        <v>432</v>
      </c>
      <c r="C1597" s="2" t="s">
        <v>20</v>
      </c>
      <c r="D1597" s="2" t="s">
        <v>21</v>
      </c>
      <c r="E1597" s="3">
        <v>45326.822916666664</v>
      </c>
      <c r="F1597" s="2" t="s">
        <v>25</v>
      </c>
      <c r="G1597" s="2" t="s">
        <v>358</v>
      </c>
      <c r="H1597" s="2">
        <v>10</v>
      </c>
      <c r="I1597" s="2">
        <v>10</v>
      </c>
      <c r="J1597" s="2">
        <v>20</v>
      </c>
      <c r="K1597" s="2">
        <v>20</v>
      </c>
      <c r="L1597" s="2">
        <v>100</v>
      </c>
      <c r="M1597" s="2">
        <v>3.55</v>
      </c>
      <c r="N1597" s="2" t="s">
        <v>95</v>
      </c>
      <c r="O1597" s="10">
        <v>1</v>
      </c>
      <c r="P1597" s="9">
        <v>1</v>
      </c>
      <c r="Q1597" s="184">
        <v>1</v>
      </c>
      <c r="R1597" s="185">
        <v>4</v>
      </c>
      <c r="S1597" s="178">
        <f t="shared" si="166"/>
        <v>2</v>
      </c>
      <c r="T1597" s="186">
        <f t="shared" si="167"/>
        <v>5</v>
      </c>
      <c r="U1597" s="179">
        <f t="shared" si="168"/>
        <v>3</v>
      </c>
      <c r="V1597" s="1">
        <f t="shared" si="169"/>
        <v>25</v>
      </c>
      <c r="W1597" s="8">
        <f t="shared" si="170"/>
        <v>6.25</v>
      </c>
      <c r="X1597" s="15">
        <f t="shared" si="171"/>
        <v>8662.5</v>
      </c>
    </row>
    <row r="1598" spans="2:24">
      <c r="B1598" s="2" t="s">
        <v>432</v>
      </c>
      <c r="C1598" s="2" t="s">
        <v>6</v>
      </c>
      <c r="D1598" s="2" t="s">
        <v>11</v>
      </c>
      <c r="E1598" s="3">
        <v>45328.822916666664</v>
      </c>
      <c r="F1598" s="2" t="s">
        <v>303</v>
      </c>
      <c r="G1598" s="2" t="s">
        <v>405</v>
      </c>
      <c r="H1598" s="2">
        <v>85</v>
      </c>
      <c r="I1598" s="2">
        <v>23</v>
      </c>
      <c r="J1598" s="2">
        <v>45</v>
      </c>
      <c r="K1598" s="2">
        <v>3</v>
      </c>
      <c r="L1598" s="2">
        <v>1.4</v>
      </c>
      <c r="M1598" s="2">
        <v>40</v>
      </c>
      <c r="N1598" s="2" t="s">
        <v>95</v>
      </c>
      <c r="O1598" s="10">
        <v>0</v>
      </c>
      <c r="P1598" s="9">
        <v>1</v>
      </c>
      <c r="Q1598" s="184">
        <v>0</v>
      </c>
      <c r="R1598" s="185">
        <v>2</v>
      </c>
      <c r="S1598" s="178">
        <f t="shared" si="166"/>
        <v>1</v>
      </c>
      <c r="T1598" s="186">
        <f t="shared" si="167"/>
        <v>2</v>
      </c>
      <c r="U1598" s="179">
        <f t="shared" si="168"/>
        <v>1</v>
      </c>
      <c r="V1598" s="1">
        <f t="shared" si="169"/>
        <v>25</v>
      </c>
      <c r="W1598" s="8">
        <f t="shared" si="170"/>
        <v>6.25</v>
      </c>
      <c r="X1598" s="15">
        <f t="shared" si="171"/>
        <v>8668.75</v>
      </c>
    </row>
    <row r="1599" spans="2:24">
      <c r="B1599" s="2" t="s">
        <v>432</v>
      </c>
      <c r="C1599" s="2" t="s">
        <v>44</v>
      </c>
      <c r="D1599" s="2" t="s">
        <v>45</v>
      </c>
      <c r="E1599" s="3">
        <v>45331.364583333336</v>
      </c>
      <c r="F1599" s="2" t="s">
        <v>124</v>
      </c>
      <c r="G1599" s="2" t="s">
        <v>131</v>
      </c>
      <c r="H1599" s="2">
        <v>80</v>
      </c>
      <c r="I1599" s="2">
        <v>23</v>
      </c>
      <c r="J1599" s="2">
        <v>50</v>
      </c>
      <c r="K1599" s="2">
        <v>5</v>
      </c>
      <c r="L1599" s="2">
        <v>1.7</v>
      </c>
      <c r="M1599" s="2">
        <v>20</v>
      </c>
      <c r="N1599" s="2" t="s">
        <v>95</v>
      </c>
      <c r="O1599" s="10">
        <v>2</v>
      </c>
      <c r="P1599" s="9">
        <v>1</v>
      </c>
      <c r="Q1599" s="184">
        <v>2</v>
      </c>
      <c r="R1599" s="185">
        <v>2</v>
      </c>
      <c r="S1599" s="178">
        <f t="shared" si="166"/>
        <v>3</v>
      </c>
      <c r="T1599" s="186">
        <f t="shared" si="167"/>
        <v>4</v>
      </c>
      <c r="U1599" s="179">
        <f t="shared" si="168"/>
        <v>1</v>
      </c>
      <c r="V1599" s="1">
        <f t="shared" si="169"/>
        <v>25</v>
      </c>
      <c r="W1599" s="8">
        <f t="shared" si="170"/>
        <v>6.25</v>
      </c>
      <c r="X1599" s="15">
        <f t="shared" si="171"/>
        <v>8675</v>
      </c>
    </row>
    <row r="1600" spans="2:24">
      <c r="B1600" s="2" t="s">
        <v>432</v>
      </c>
      <c r="C1600" s="2" t="s">
        <v>48</v>
      </c>
      <c r="D1600" s="2" t="s">
        <v>49</v>
      </c>
      <c r="E1600" s="3">
        <v>45331.583333333336</v>
      </c>
      <c r="F1600" s="2" t="s">
        <v>409</v>
      </c>
      <c r="G1600" s="2" t="s">
        <v>51</v>
      </c>
      <c r="H1600" s="2">
        <v>90</v>
      </c>
      <c r="I1600" s="2">
        <v>23</v>
      </c>
      <c r="J1600" s="2">
        <v>65</v>
      </c>
      <c r="K1600" s="2">
        <v>5</v>
      </c>
      <c r="L1600" s="2">
        <v>1.9</v>
      </c>
      <c r="M1600" s="2">
        <v>20</v>
      </c>
      <c r="N1600" s="2" t="s">
        <v>95</v>
      </c>
      <c r="O1600" s="10">
        <v>1</v>
      </c>
      <c r="P1600" s="9">
        <v>1</v>
      </c>
      <c r="Q1600" s="184">
        <v>1</v>
      </c>
      <c r="R1600" s="185">
        <v>1</v>
      </c>
      <c r="S1600" s="178">
        <f t="shared" si="166"/>
        <v>2</v>
      </c>
      <c r="T1600" s="186">
        <f t="shared" si="167"/>
        <v>2</v>
      </c>
      <c r="U1600" s="179">
        <f t="shared" si="168"/>
        <v>0</v>
      </c>
      <c r="V1600" s="1">
        <f t="shared" si="169"/>
        <v>25</v>
      </c>
      <c r="W1600" s="8">
        <f t="shared" si="170"/>
        <v>6.25</v>
      </c>
      <c r="X1600" s="15">
        <f t="shared" si="171"/>
        <v>8681.25</v>
      </c>
    </row>
    <row r="1601" spans="2:24">
      <c r="B1601" s="2" t="s">
        <v>432</v>
      </c>
      <c r="C1601" s="2" t="s">
        <v>6</v>
      </c>
      <c r="D1601" s="2" t="s">
        <v>14</v>
      </c>
      <c r="E1601" s="3">
        <v>45332.520833333336</v>
      </c>
      <c r="F1601" s="2" t="s">
        <v>291</v>
      </c>
      <c r="G1601" s="2" t="s">
        <v>414</v>
      </c>
      <c r="H1601" s="2">
        <v>80</v>
      </c>
      <c r="I1601" s="2">
        <v>23</v>
      </c>
      <c r="J1601" s="2">
        <v>48</v>
      </c>
      <c r="K1601" s="2">
        <v>5</v>
      </c>
      <c r="L1601" s="2">
        <v>1.65</v>
      </c>
      <c r="M1601" s="2">
        <v>40</v>
      </c>
      <c r="N1601" s="2" t="s">
        <v>95</v>
      </c>
      <c r="O1601" s="10">
        <v>0</v>
      </c>
      <c r="P1601" s="9">
        <v>1</v>
      </c>
      <c r="Q1601" s="184">
        <v>2</v>
      </c>
      <c r="R1601" s="185">
        <v>2</v>
      </c>
      <c r="S1601" s="178">
        <f t="shared" ref="S1601:S1664" si="172">SUM(O1601:P1601)</f>
        <v>1</v>
      </c>
      <c r="T1601" s="186">
        <f t="shared" ref="T1601:T1664" si="173">SUM(Q1601:R1601)</f>
        <v>4</v>
      </c>
      <c r="U1601" s="179">
        <f t="shared" ref="U1601:U1664" si="174">SUM(T1601-S1601)</f>
        <v>3</v>
      </c>
      <c r="V1601" s="1">
        <f t="shared" si="169"/>
        <v>25</v>
      </c>
      <c r="W1601" s="8">
        <f t="shared" si="170"/>
        <v>6.25</v>
      </c>
      <c r="X1601" s="15">
        <f t="shared" si="171"/>
        <v>8687.5</v>
      </c>
    </row>
    <row r="1602" spans="2:24">
      <c r="B1602" s="2" t="s">
        <v>432</v>
      </c>
      <c r="C1602" s="2" t="s">
        <v>58</v>
      </c>
      <c r="D1602" s="2" t="s">
        <v>289</v>
      </c>
      <c r="E1602" s="3">
        <v>45332.583333333336</v>
      </c>
      <c r="F1602" s="2" t="s">
        <v>416</v>
      </c>
      <c r="G1602" s="2" t="s">
        <v>417</v>
      </c>
      <c r="H1602" s="2">
        <v>80</v>
      </c>
      <c r="I1602" s="2">
        <v>23</v>
      </c>
      <c r="J1602" s="2">
        <v>40</v>
      </c>
      <c r="K1602" s="2">
        <v>0</v>
      </c>
      <c r="L1602" s="2">
        <v>1.3</v>
      </c>
      <c r="M1602" s="2">
        <v>20</v>
      </c>
      <c r="N1602" s="2" t="s">
        <v>95</v>
      </c>
      <c r="O1602" s="10">
        <v>2</v>
      </c>
      <c r="P1602" s="9">
        <v>1</v>
      </c>
      <c r="Q1602" s="184">
        <v>3</v>
      </c>
      <c r="R1602" s="185">
        <v>2</v>
      </c>
      <c r="S1602" s="178">
        <f t="shared" si="172"/>
        <v>3</v>
      </c>
      <c r="T1602" s="186">
        <f t="shared" si="173"/>
        <v>5</v>
      </c>
      <c r="U1602" s="179">
        <f t="shared" si="174"/>
        <v>2</v>
      </c>
      <c r="V1602" s="1">
        <f t="shared" si="169"/>
        <v>25</v>
      </c>
      <c r="W1602" s="8">
        <f t="shared" si="170"/>
        <v>6.25</v>
      </c>
      <c r="X1602" s="15">
        <f t="shared" si="171"/>
        <v>8693.75</v>
      </c>
    </row>
    <row r="1603" spans="2:24">
      <c r="B1603" s="2" t="s">
        <v>432</v>
      </c>
      <c r="C1603" s="2" t="s">
        <v>77</v>
      </c>
      <c r="D1603" s="2" t="s">
        <v>156</v>
      </c>
      <c r="E1603" s="3">
        <v>45332.604166666664</v>
      </c>
      <c r="F1603" s="2" t="s">
        <v>254</v>
      </c>
      <c r="G1603" s="2" t="s">
        <v>260</v>
      </c>
      <c r="H1603" s="2">
        <v>95</v>
      </c>
      <c r="I1603" s="2">
        <v>21</v>
      </c>
      <c r="J1603" s="2">
        <v>50</v>
      </c>
      <c r="K1603" s="2">
        <v>0</v>
      </c>
      <c r="L1603" s="2">
        <v>1.55</v>
      </c>
      <c r="M1603" s="2">
        <v>20</v>
      </c>
      <c r="N1603" s="2" t="s">
        <v>95</v>
      </c>
      <c r="O1603" s="10">
        <v>1</v>
      </c>
      <c r="P1603" s="9">
        <v>2</v>
      </c>
      <c r="Q1603" s="184">
        <v>1</v>
      </c>
      <c r="R1603" s="185">
        <v>2</v>
      </c>
      <c r="S1603" s="178">
        <f t="shared" si="172"/>
        <v>3</v>
      </c>
      <c r="T1603" s="186">
        <f t="shared" si="173"/>
        <v>3</v>
      </c>
      <c r="U1603" s="179">
        <f t="shared" si="174"/>
        <v>0</v>
      </c>
      <c r="V1603" s="1">
        <f t="shared" si="169"/>
        <v>25</v>
      </c>
      <c r="W1603" s="8">
        <f t="shared" si="170"/>
        <v>6.25</v>
      </c>
      <c r="X1603" s="15">
        <f t="shared" si="171"/>
        <v>8700</v>
      </c>
    </row>
    <row r="1604" spans="2:24">
      <c r="B1604" s="2" t="s">
        <v>432</v>
      </c>
      <c r="C1604" s="2" t="s">
        <v>6</v>
      </c>
      <c r="D1604" s="2" t="s">
        <v>62</v>
      </c>
      <c r="E1604" s="3">
        <v>45332.625</v>
      </c>
      <c r="F1604" s="2" t="s">
        <v>116</v>
      </c>
      <c r="G1604" s="2" t="s">
        <v>267</v>
      </c>
      <c r="H1604" s="2">
        <v>85</v>
      </c>
      <c r="I1604" s="2">
        <v>22</v>
      </c>
      <c r="J1604" s="2">
        <v>50</v>
      </c>
      <c r="K1604" s="2">
        <v>5</v>
      </c>
      <c r="L1604" s="2">
        <v>1.55</v>
      </c>
      <c r="M1604" s="2">
        <v>20</v>
      </c>
      <c r="N1604" s="2" t="s">
        <v>95</v>
      </c>
      <c r="O1604" s="10">
        <v>0</v>
      </c>
      <c r="P1604" s="9">
        <v>1</v>
      </c>
      <c r="Q1604" s="184">
        <v>2</v>
      </c>
      <c r="R1604" s="185">
        <v>1</v>
      </c>
      <c r="S1604" s="178">
        <f t="shared" si="172"/>
        <v>1</v>
      </c>
      <c r="T1604" s="186">
        <f t="shared" si="173"/>
        <v>3</v>
      </c>
      <c r="U1604" s="179">
        <f t="shared" si="174"/>
        <v>2</v>
      </c>
      <c r="V1604" s="1">
        <f t="shared" si="169"/>
        <v>25</v>
      </c>
      <c r="W1604" s="8">
        <f t="shared" si="170"/>
        <v>6.25</v>
      </c>
      <c r="X1604" s="15">
        <f t="shared" si="171"/>
        <v>8706.25</v>
      </c>
    </row>
    <row r="1605" spans="2:24">
      <c r="B1605" s="2" t="s">
        <v>432</v>
      </c>
      <c r="C1605" s="2" t="s">
        <v>77</v>
      </c>
      <c r="D1605" s="2" t="s">
        <v>156</v>
      </c>
      <c r="E1605" s="3">
        <v>45332.729166666664</v>
      </c>
      <c r="F1605" s="2" t="s">
        <v>325</v>
      </c>
      <c r="G1605" s="2" t="s">
        <v>157</v>
      </c>
      <c r="H1605" s="2">
        <v>93</v>
      </c>
      <c r="I1605" s="2">
        <v>22</v>
      </c>
      <c r="J1605" s="2">
        <v>45</v>
      </c>
      <c r="K1605" s="2">
        <v>3</v>
      </c>
      <c r="L1605" s="2">
        <v>1.7</v>
      </c>
      <c r="M1605" s="2">
        <v>40</v>
      </c>
      <c r="N1605" s="2" t="s">
        <v>95</v>
      </c>
      <c r="O1605" s="10">
        <v>1</v>
      </c>
      <c r="P1605" s="9">
        <v>0</v>
      </c>
      <c r="Q1605" s="184">
        <v>3</v>
      </c>
      <c r="R1605" s="185">
        <v>0</v>
      </c>
      <c r="S1605" s="178">
        <f t="shared" si="172"/>
        <v>1</v>
      </c>
      <c r="T1605" s="186">
        <f t="shared" si="173"/>
        <v>3</v>
      </c>
      <c r="U1605" s="179">
        <f t="shared" si="174"/>
        <v>2</v>
      </c>
      <c r="V1605" s="1">
        <f t="shared" ref="V1605:V1668" si="175">SUM($X$1*0.05)</f>
        <v>25</v>
      </c>
      <c r="W1605" s="8">
        <f t="shared" si="170"/>
        <v>6.25</v>
      </c>
      <c r="X1605" s="15">
        <f t="shared" si="171"/>
        <v>8712.5</v>
      </c>
    </row>
    <row r="1606" spans="2:24">
      <c r="B1606" s="2" t="s">
        <v>432</v>
      </c>
      <c r="C1606" s="2" t="s">
        <v>133</v>
      </c>
      <c r="D1606" s="2" t="s">
        <v>78</v>
      </c>
      <c r="E1606" s="3">
        <v>45332.729166666664</v>
      </c>
      <c r="F1606" s="2" t="s">
        <v>423</v>
      </c>
      <c r="G1606" s="2" t="s">
        <v>135</v>
      </c>
      <c r="H1606" s="2">
        <v>95</v>
      </c>
      <c r="I1606" s="2">
        <v>22</v>
      </c>
      <c r="J1606" s="2">
        <v>40</v>
      </c>
      <c r="K1606" s="2">
        <v>5</v>
      </c>
      <c r="L1606" s="2">
        <v>1.55</v>
      </c>
      <c r="M1606" s="2">
        <v>20</v>
      </c>
      <c r="N1606" s="2" t="s">
        <v>95</v>
      </c>
      <c r="O1606" s="10">
        <v>1</v>
      </c>
      <c r="P1606" s="9">
        <v>0</v>
      </c>
      <c r="Q1606" s="184">
        <v>1</v>
      </c>
      <c r="R1606" s="185">
        <v>0</v>
      </c>
      <c r="S1606" s="178">
        <f t="shared" si="172"/>
        <v>1</v>
      </c>
      <c r="T1606" s="186">
        <f t="shared" si="173"/>
        <v>1</v>
      </c>
      <c r="U1606" s="179">
        <f t="shared" si="174"/>
        <v>0</v>
      </c>
      <c r="V1606" s="1">
        <f t="shared" si="175"/>
        <v>25</v>
      </c>
      <c r="W1606" s="8">
        <f t="shared" si="170"/>
        <v>6.25</v>
      </c>
      <c r="X1606" s="15">
        <f t="shared" si="171"/>
        <v>8718.75</v>
      </c>
    </row>
    <row r="1607" spans="2:24">
      <c r="B1607" s="2" t="s">
        <v>432</v>
      </c>
      <c r="C1607" s="2" t="s">
        <v>149</v>
      </c>
      <c r="D1607" s="2" t="s">
        <v>153</v>
      </c>
      <c r="E1607" s="3">
        <v>45332.833333333336</v>
      </c>
      <c r="F1607" s="2" t="s">
        <v>155</v>
      </c>
      <c r="G1607" s="2" t="s">
        <v>281</v>
      </c>
      <c r="H1607" s="2">
        <v>88</v>
      </c>
      <c r="I1607" s="2">
        <v>22</v>
      </c>
      <c r="J1607" s="2">
        <v>50</v>
      </c>
      <c r="K1607" s="2">
        <v>0</v>
      </c>
      <c r="L1607" s="2">
        <v>1.63</v>
      </c>
      <c r="M1607" s="2">
        <v>40</v>
      </c>
      <c r="N1607" s="2" t="s">
        <v>95</v>
      </c>
      <c r="O1607" s="10">
        <v>1</v>
      </c>
      <c r="P1607" s="9">
        <v>2</v>
      </c>
      <c r="Q1607" s="184">
        <v>3</v>
      </c>
      <c r="R1607" s="185">
        <v>2</v>
      </c>
      <c r="S1607" s="178">
        <f t="shared" si="172"/>
        <v>3</v>
      </c>
      <c r="T1607" s="186">
        <f t="shared" si="173"/>
        <v>5</v>
      </c>
      <c r="U1607" s="179">
        <f t="shared" si="174"/>
        <v>2</v>
      </c>
      <c r="V1607" s="1">
        <f t="shared" si="175"/>
        <v>25</v>
      </c>
      <c r="W1607" s="8">
        <f t="shared" si="170"/>
        <v>6.25</v>
      </c>
      <c r="X1607" s="15">
        <f t="shared" si="171"/>
        <v>8725</v>
      </c>
    </row>
    <row r="1608" spans="2:24">
      <c r="B1608" s="2" t="s">
        <v>432</v>
      </c>
      <c r="C1608" s="2" t="s">
        <v>77</v>
      </c>
      <c r="D1608" s="2" t="s">
        <v>156</v>
      </c>
      <c r="E1608" s="3">
        <v>45333.604166666664</v>
      </c>
      <c r="F1608" s="2" t="s">
        <v>168</v>
      </c>
      <c r="G1608" s="2" t="s">
        <v>160</v>
      </c>
      <c r="H1608" s="2">
        <v>85</v>
      </c>
      <c r="I1608" s="2">
        <v>23</v>
      </c>
      <c r="J1608" s="2">
        <v>55</v>
      </c>
      <c r="K1608" s="2">
        <v>10</v>
      </c>
      <c r="L1608" s="2">
        <v>1.6</v>
      </c>
      <c r="M1608" s="2">
        <v>20</v>
      </c>
      <c r="N1608" s="2" t="s">
        <v>95</v>
      </c>
      <c r="O1608" s="10">
        <v>2</v>
      </c>
      <c r="P1608" s="9">
        <v>0</v>
      </c>
      <c r="Q1608" s="184">
        <v>3</v>
      </c>
      <c r="R1608" s="185">
        <v>1</v>
      </c>
      <c r="S1608" s="178">
        <f t="shared" si="172"/>
        <v>2</v>
      </c>
      <c r="T1608" s="186">
        <f t="shared" si="173"/>
        <v>4</v>
      </c>
      <c r="U1608" s="179">
        <f t="shared" si="174"/>
        <v>2</v>
      </c>
      <c r="V1608" s="1">
        <f t="shared" si="175"/>
        <v>25</v>
      </c>
      <c r="W1608" s="8">
        <f t="shared" si="170"/>
        <v>6.25</v>
      </c>
      <c r="X1608" s="15">
        <f t="shared" si="171"/>
        <v>8731.25</v>
      </c>
    </row>
    <row r="1609" spans="2:24">
      <c r="B1609" s="2" t="s">
        <v>432</v>
      </c>
      <c r="C1609" s="2" t="s">
        <v>133</v>
      </c>
      <c r="D1609" s="2" t="s">
        <v>78</v>
      </c>
      <c r="E1609" s="3">
        <v>45333.729166666664</v>
      </c>
      <c r="F1609" s="2" t="s">
        <v>394</v>
      </c>
      <c r="G1609" s="2" t="s">
        <v>374</v>
      </c>
      <c r="H1609" s="2">
        <v>85</v>
      </c>
      <c r="I1609" s="2">
        <v>20</v>
      </c>
      <c r="J1609" s="2">
        <v>40</v>
      </c>
      <c r="K1609" s="2">
        <v>5</v>
      </c>
      <c r="L1609" s="2">
        <v>1.6</v>
      </c>
      <c r="M1609" s="2">
        <v>20</v>
      </c>
      <c r="N1609" s="2" t="s">
        <v>95</v>
      </c>
      <c r="O1609" s="10">
        <v>0</v>
      </c>
      <c r="P1609" s="9">
        <v>1</v>
      </c>
      <c r="Q1609" s="184">
        <v>2</v>
      </c>
      <c r="R1609" s="185">
        <v>1</v>
      </c>
      <c r="S1609" s="178">
        <f t="shared" si="172"/>
        <v>1</v>
      </c>
      <c r="T1609" s="186">
        <f t="shared" si="173"/>
        <v>3</v>
      </c>
      <c r="U1609" s="179">
        <f t="shared" si="174"/>
        <v>2</v>
      </c>
      <c r="V1609" s="1">
        <f t="shared" si="175"/>
        <v>25</v>
      </c>
      <c r="W1609" s="8">
        <f t="shared" si="170"/>
        <v>6.25</v>
      </c>
      <c r="X1609" s="15">
        <f t="shared" si="171"/>
        <v>8737.5</v>
      </c>
    </row>
    <row r="1610" spans="2:24">
      <c r="B1610" s="2" t="s">
        <v>432</v>
      </c>
      <c r="C1610" s="2" t="s">
        <v>6</v>
      </c>
      <c r="D1610" s="2" t="s">
        <v>7</v>
      </c>
      <c r="E1610" s="3">
        <v>45335.822916666664</v>
      </c>
      <c r="F1610" s="2" t="s">
        <v>55</v>
      </c>
      <c r="G1610" s="2" t="s">
        <v>114</v>
      </c>
      <c r="H1610" s="2">
        <v>83</v>
      </c>
      <c r="I1610" s="2">
        <v>19</v>
      </c>
      <c r="J1610" s="2">
        <v>53</v>
      </c>
      <c r="K1610" s="2">
        <v>10</v>
      </c>
      <c r="L1610" s="2">
        <v>1.58</v>
      </c>
      <c r="M1610" s="2">
        <v>40</v>
      </c>
      <c r="N1610" s="2" t="s">
        <v>95</v>
      </c>
      <c r="O1610" s="10">
        <v>0</v>
      </c>
      <c r="P1610" s="10">
        <v>1</v>
      </c>
      <c r="Q1610" s="184">
        <v>0</v>
      </c>
      <c r="R1610" s="185">
        <v>1</v>
      </c>
      <c r="S1610" s="178">
        <f t="shared" si="172"/>
        <v>1</v>
      </c>
      <c r="T1610" s="186">
        <f t="shared" si="173"/>
        <v>1</v>
      </c>
      <c r="U1610" s="179">
        <f t="shared" si="174"/>
        <v>0</v>
      </c>
      <c r="V1610" s="1">
        <f t="shared" si="175"/>
        <v>25</v>
      </c>
      <c r="W1610" s="8">
        <f t="shared" si="170"/>
        <v>6.25</v>
      </c>
      <c r="X1610" s="15">
        <f t="shared" si="171"/>
        <v>8743.75</v>
      </c>
    </row>
    <row r="1611" spans="2:24">
      <c r="B1611" s="2" t="s">
        <v>432</v>
      </c>
      <c r="C1611" s="2" t="s">
        <v>149</v>
      </c>
      <c r="D1611" s="2" t="s">
        <v>153</v>
      </c>
      <c r="E1611" s="3">
        <v>45338.791666666664</v>
      </c>
      <c r="F1611" s="2" t="s">
        <v>188</v>
      </c>
      <c r="G1611" s="2" t="s">
        <v>155</v>
      </c>
      <c r="H1611" s="2">
        <v>5</v>
      </c>
      <c r="I1611" s="2">
        <v>20</v>
      </c>
      <c r="J1611" s="2">
        <v>14</v>
      </c>
      <c r="K1611" s="2">
        <v>15</v>
      </c>
      <c r="L1611" s="2">
        <v>20</v>
      </c>
      <c r="M1611" s="2">
        <v>1.5</v>
      </c>
      <c r="N1611" s="2" t="s">
        <v>95</v>
      </c>
      <c r="O1611" s="10">
        <v>1</v>
      </c>
      <c r="P1611" s="10">
        <v>0</v>
      </c>
      <c r="Q1611" s="184">
        <v>2</v>
      </c>
      <c r="R1611" s="185">
        <v>0</v>
      </c>
      <c r="S1611" s="178">
        <f t="shared" si="172"/>
        <v>1</v>
      </c>
      <c r="T1611" s="186">
        <f t="shared" si="173"/>
        <v>2</v>
      </c>
      <c r="U1611" s="179">
        <f t="shared" si="174"/>
        <v>1</v>
      </c>
      <c r="V1611" s="1">
        <f t="shared" si="175"/>
        <v>25</v>
      </c>
      <c r="W1611" s="8">
        <f t="shared" si="170"/>
        <v>6.25</v>
      </c>
      <c r="X1611" s="15">
        <f t="shared" si="171"/>
        <v>8750</v>
      </c>
    </row>
    <row r="1612" spans="2:24">
      <c r="B1612" s="2" t="s">
        <v>432</v>
      </c>
      <c r="C1612" s="2" t="s">
        <v>6</v>
      </c>
      <c r="D1612" s="2" t="s">
        <v>7</v>
      </c>
      <c r="E1612" s="3">
        <v>45339.625</v>
      </c>
      <c r="F1612" s="2" t="s">
        <v>302</v>
      </c>
      <c r="G1612" s="2" t="s">
        <v>418</v>
      </c>
      <c r="H1612" s="2">
        <v>5</v>
      </c>
      <c r="I1612" s="2">
        <v>20</v>
      </c>
      <c r="J1612" s="2">
        <v>18</v>
      </c>
      <c r="K1612" s="2">
        <v>19</v>
      </c>
      <c r="L1612" s="2">
        <v>16</v>
      </c>
      <c r="M1612" s="2">
        <v>1.95</v>
      </c>
      <c r="N1612" s="2" t="s">
        <v>95</v>
      </c>
      <c r="O1612" s="10">
        <v>1</v>
      </c>
      <c r="P1612" s="10">
        <v>1</v>
      </c>
      <c r="Q1612" s="184">
        <v>5</v>
      </c>
      <c r="R1612" s="185">
        <v>3</v>
      </c>
      <c r="S1612" s="178">
        <f t="shared" si="172"/>
        <v>2</v>
      </c>
      <c r="T1612" s="186">
        <f t="shared" si="173"/>
        <v>8</v>
      </c>
      <c r="U1612" s="179">
        <f t="shared" si="174"/>
        <v>6</v>
      </c>
      <c r="V1612" s="1">
        <f t="shared" si="175"/>
        <v>25</v>
      </c>
      <c r="W1612" s="8">
        <f t="shared" si="170"/>
        <v>6.25</v>
      </c>
      <c r="X1612" s="15">
        <f t="shared" si="171"/>
        <v>8756.25</v>
      </c>
    </row>
    <row r="1613" spans="2:24">
      <c r="B1613" s="2" t="s">
        <v>432</v>
      </c>
      <c r="C1613" s="2" t="s">
        <v>149</v>
      </c>
      <c r="D1613" s="2" t="s">
        <v>153</v>
      </c>
      <c r="E1613" s="3">
        <v>45354.5625</v>
      </c>
      <c r="F1613" s="2" t="s">
        <v>188</v>
      </c>
      <c r="G1613" s="2" t="s">
        <v>282</v>
      </c>
      <c r="H1613" s="2">
        <v>5</v>
      </c>
      <c r="I1613" s="2">
        <v>20</v>
      </c>
      <c r="J1613" s="2">
        <v>14</v>
      </c>
      <c r="K1613" s="2">
        <v>16</v>
      </c>
      <c r="L1613" s="2">
        <v>20</v>
      </c>
      <c r="M1613" s="2">
        <v>1.55</v>
      </c>
      <c r="N1613" s="2" t="s">
        <v>95</v>
      </c>
      <c r="O1613" s="10">
        <v>1</v>
      </c>
      <c r="P1613" s="10">
        <v>1</v>
      </c>
      <c r="Q1613" s="184">
        <v>2</v>
      </c>
      <c r="R1613" s="185">
        <v>2</v>
      </c>
      <c r="S1613" s="178">
        <f t="shared" si="172"/>
        <v>2</v>
      </c>
      <c r="T1613" s="186">
        <f t="shared" si="173"/>
        <v>4</v>
      </c>
      <c r="U1613" s="179">
        <f t="shared" si="174"/>
        <v>2</v>
      </c>
      <c r="V1613" s="1">
        <f t="shared" si="175"/>
        <v>25</v>
      </c>
      <c r="W1613" s="8">
        <f t="shared" si="170"/>
        <v>6.25</v>
      </c>
      <c r="X1613" s="15">
        <f t="shared" si="171"/>
        <v>8762.5</v>
      </c>
    </row>
    <row r="1614" spans="2:24">
      <c r="B1614" s="2" t="s">
        <v>432</v>
      </c>
      <c r="C1614" s="2" t="s">
        <v>6</v>
      </c>
      <c r="D1614" s="2" t="s">
        <v>11</v>
      </c>
      <c r="E1614" s="3">
        <v>45356.822916666664</v>
      </c>
      <c r="F1614" s="2" t="s">
        <v>12</v>
      </c>
      <c r="G1614" s="2" t="s">
        <v>286</v>
      </c>
      <c r="H1614" s="2">
        <v>0</v>
      </c>
      <c r="I1614" s="2">
        <v>20</v>
      </c>
      <c r="J1614" s="2">
        <v>18</v>
      </c>
      <c r="K1614" s="2">
        <v>20</v>
      </c>
      <c r="L1614" s="2">
        <v>22</v>
      </c>
      <c r="M1614" s="2">
        <v>1.95</v>
      </c>
      <c r="N1614" s="2" t="s">
        <v>95</v>
      </c>
      <c r="O1614" s="10">
        <v>3</v>
      </c>
      <c r="P1614" s="10">
        <v>1</v>
      </c>
      <c r="Q1614" s="184">
        <v>5</v>
      </c>
      <c r="R1614" s="185">
        <v>1</v>
      </c>
      <c r="S1614" s="178">
        <f t="shared" si="172"/>
        <v>4</v>
      </c>
      <c r="T1614" s="186">
        <f t="shared" si="173"/>
        <v>6</v>
      </c>
      <c r="U1614" s="179">
        <f t="shared" si="174"/>
        <v>2</v>
      </c>
      <c r="V1614" s="1">
        <f t="shared" si="175"/>
        <v>25</v>
      </c>
      <c r="W1614" s="8">
        <f t="shared" si="170"/>
        <v>6.25</v>
      </c>
      <c r="X1614" s="15">
        <f t="shared" si="171"/>
        <v>8768.75</v>
      </c>
    </row>
    <row r="1615" spans="2:24">
      <c r="B1615" s="2" t="s">
        <v>432</v>
      </c>
      <c r="C1615" s="2" t="s">
        <v>77</v>
      </c>
      <c r="D1615" s="2" t="s">
        <v>156</v>
      </c>
      <c r="E1615" s="3">
        <v>45367.604166666664</v>
      </c>
      <c r="F1615" s="2" t="s">
        <v>161</v>
      </c>
      <c r="G1615" s="2" t="s">
        <v>284</v>
      </c>
      <c r="H1615" s="2">
        <v>5</v>
      </c>
      <c r="I1615" s="2">
        <v>20</v>
      </c>
      <c r="J1615" s="2">
        <v>13</v>
      </c>
      <c r="K1615" s="2">
        <v>20</v>
      </c>
      <c r="L1615" s="2">
        <v>24</v>
      </c>
      <c r="M1615" s="2">
        <v>1.7</v>
      </c>
      <c r="N1615" s="2" t="s">
        <v>95</v>
      </c>
      <c r="O1615" s="10">
        <v>1</v>
      </c>
      <c r="P1615" s="10">
        <v>1</v>
      </c>
      <c r="Q1615" s="184">
        <v>1</v>
      </c>
      <c r="R1615" s="185">
        <v>3</v>
      </c>
      <c r="S1615" s="178">
        <f t="shared" si="172"/>
        <v>2</v>
      </c>
      <c r="T1615" s="186">
        <f t="shared" si="173"/>
        <v>4</v>
      </c>
      <c r="U1615" s="179">
        <f t="shared" si="174"/>
        <v>2</v>
      </c>
      <c r="V1615" s="1">
        <f t="shared" si="175"/>
        <v>25</v>
      </c>
      <c r="W1615" s="8">
        <f t="shared" si="170"/>
        <v>6.25</v>
      </c>
      <c r="X1615" s="15">
        <f t="shared" si="171"/>
        <v>8775</v>
      </c>
    </row>
    <row r="1616" spans="2:24">
      <c r="B1616" s="2" t="s">
        <v>432</v>
      </c>
      <c r="C1616" s="2" t="s">
        <v>13</v>
      </c>
      <c r="D1616" s="2" t="s">
        <v>11</v>
      </c>
      <c r="E1616" s="3">
        <v>45374.625</v>
      </c>
      <c r="F1616" s="2" t="s">
        <v>615</v>
      </c>
      <c r="G1616" s="2" t="s">
        <v>139</v>
      </c>
      <c r="H1616" s="2">
        <v>5</v>
      </c>
      <c r="I1616" s="2">
        <v>20</v>
      </c>
      <c r="J1616" s="2">
        <v>17</v>
      </c>
      <c r="K1616" s="2">
        <v>14</v>
      </c>
      <c r="L1616" s="2">
        <v>23</v>
      </c>
      <c r="M1616" s="2">
        <v>1.7</v>
      </c>
      <c r="N1616" s="2" t="s">
        <v>95</v>
      </c>
      <c r="O1616" s="10">
        <v>3</v>
      </c>
      <c r="P1616" s="10">
        <v>1</v>
      </c>
      <c r="Q1616" s="184">
        <v>3</v>
      </c>
      <c r="R1616" s="185">
        <v>2</v>
      </c>
      <c r="S1616" s="178">
        <f t="shared" si="172"/>
        <v>4</v>
      </c>
      <c r="T1616" s="186">
        <f t="shared" si="173"/>
        <v>5</v>
      </c>
      <c r="U1616" s="179">
        <f t="shared" si="174"/>
        <v>1</v>
      </c>
      <c r="V1616" s="1">
        <f t="shared" si="175"/>
        <v>25</v>
      </c>
      <c r="W1616" s="8">
        <f t="shared" si="170"/>
        <v>6.25</v>
      </c>
      <c r="X1616" s="15">
        <f t="shared" si="171"/>
        <v>8781.25</v>
      </c>
    </row>
    <row r="1617" spans="2:24">
      <c r="B1617" s="2" t="s">
        <v>432</v>
      </c>
      <c r="C1617" s="2" t="s">
        <v>6</v>
      </c>
      <c r="D1617" s="2" t="s">
        <v>7</v>
      </c>
      <c r="E1617" s="3">
        <v>45374.625</v>
      </c>
      <c r="F1617" s="2" t="s">
        <v>113</v>
      </c>
      <c r="G1617" s="2" t="s">
        <v>614</v>
      </c>
      <c r="H1617" s="2">
        <v>5</v>
      </c>
      <c r="I1617" s="2">
        <v>20</v>
      </c>
      <c r="J1617" s="2">
        <v>17</v>
      </c>
      <c r="K1617" s="2">
        <v>16</v>
      </c>
      <c r="L1617" s="2">
        <v>22</v>
      </c>
      <c r="M1617" s="2">
        <v>1.9</v>
      </c>
      <c r="N1617" s="2" t="s">
        <v>95</v>
      </c>
      <c r="O1617" s="10">
        <v>0</v>
      </c>
      <c r="P1617" s="10">
        <v>3</v>
      </c>
      <c r="Q1617" s="184">
        <v>1</v>
      </c>
      <c r="R1617" s="185">
        <v>3</v>
      </c>
      <c r="S1617" s="178">
        <f t="shared" si="172"/>
        <v>3</v>
      </c>
      <c r="T1617" s="186">
        <f t="shared" si="173"/>
        <v>4</v>
      </c>
      <c r="U1617" s="179">
        <f t="shared" si="174"/>
        <v>1</v>
      </c>
      <c r="V1617" s="1">
        <f t="shared" si="175"/>
        <v>25</v>
      </c>
      <c r="W1617" s="8">
        <f t="shared" si="170"/>
        <v>6.25</v>
      </c>
      <c r="X1617" s="15">
        <f t="shared" si="171"/>
        <v>8787.5</v>
      </c>
    </row>
    <row r="1618" spans="2:24">
      <c r="B1618" s="2" t="s">
        <v>432</v>
      </c>
      <c r="C1618" s="2" t="s">
        <v>13</v>
      </c>
      <c r="D1618" s="2" t="s">
        <v>37</v>
      </c>
      <c r="E1618" s="3">
        <v>45381.625</v>
      </c>
      <c r="F1618" s="2" t="s">
        <v>79</v>
      </c>
      <c r="G1618" s="2" t="s">
        <v>316</v>
      </c>
      <c r="H1618" s="2">
        <v>5</v>
      </c>
      <c r="I1618" s="2">
        <v>20</v>
      </c>
      <c r="J1618" s="2">
        <v>20</v>
      </c>
      <c r="K1618" s="2">
        <v>13</v>
      </c>
      <c r="L1618" s="2">
        <v>22</v>
      </c>
      <c r="M1618" s="2">
        <v>1.65</v>
      </c>
      <c r="N1618" s="2" t="s">
        <v>95</v>
      </c>
      <c r="O1618" s="10">
        <v>2</v>
      </c>
      <c r="P1618" s="10">
        <v>1</v>
      </c>
      <c r="Q1618" s="184">
        <v>3</v>
      </c>
      <c r="R1618" s="185">
        <v>1</v>
      </c>
      <c r="S1618" s="178">
        <f t="shared" si="172"/>
        <v>3</v>
      </c>
      <c r="T1618" s="186">
        <f t="shared" si="173"/>
        <v>4</v>
      </c>
      <c r="U1618" s="179">
        <f t="shared" si="174"/>
        <v>1</v>
      </c>
      <c r="V1618" s="1">
        <f t="shared" si="175"/>
        <v>25</v>
      </c>
      <c r="W1618" s="8">
        <f t="shared" si="170"/>
        <v>6.25</v>
      </c>
      <c r="X1618" s="15">
        <f t="shared" si="171"/>
        <v>8793.75</v>
      </c>
    </row>
    <row r="1619" spans="2:24">
      <c r="B1619" s="2" t="s">
        <v>432</v>
      </c>
      <c r="C1619" s="2" t="s">
        <v>77</v>
      </c>
      <c r="D1619" s="2" t="s">
        <v>156</v>
      </c>
      <c r="E1619" s="3">
        <v>45382.6875</v>
      </c>
      <c r="F1619" s="2" t="s">
        <v>168</v>
      </c>
      <c r="G1619" s="2" t="s">
        <v>260</v>
      </c>
      <c r="H1619" s="2">
        <v>5</v>
      </c>
      <c r="I1619" s="2">
        <v>20</v>
      </c>
      <c r="J1619" s="2">
        <v>14</v>
      </c>
      <c r="K1619" s="2">
        <v>19</v>
      </c>
      <c r="L1619" s="2">
        <v>24</v>
      </c>
      <c r="M1619" s="2">
        <v>1.7</v>
      </c>
      <c r="N1619" s="2" t="s">
        <v>95</v>
      </c>
      <c r="O1619" s="10">
        <v>1</v>
      </c>
      <c r="P1619" s="10">
        <v>0</v>
      </c>
      <c r="Q1619" s="184">
        <v>3</v>
      </c>
      <c r="R1619" s="185">
        <v>3</v>
      </c>
      <c r="S1619" s="178">
        <f t="shared" si="172"/>
        <v>1</v>
      </c>
      <c r="T1619" s="186">
        <f t="shared" si="173"/>
        <v>6</v>
      </c>
      <c r="U1619" s="179">
        <f t="shared" si="174"/>
        <v>5</v>
      </c>
      <c r="V1619" s="1">
        <f t="shared" si="175"/>
        <v>25</v>
      </c>
      <c r="W1619" s="8">
        <f t="shared" si="170"/>
        <v>6.25</v>
      </c>
      <c r="X1619" s="15">
        <f t="shared" si="171"/>
        <v>8800</v>
      </c>
    </row>
    <row r="1620" spans="2:24">
      <c r="B1620" s="2" t="s">
        <v>432</v>
      </c>
      <c r="C1620" s="2" t="s">
        <v>58</v>
      </c>
      <c r="D1620" s="2" t="s">
        <v>289</v>
      </c>
      <c r="E1620" s="3">
        <v>45387.75</v>
      </c>
      <c r="F1620" s="2" t="s">
        <v>416</v>
      </c>
      <c r="G1620" s="2" t="s">
        <v>452</v>
      </c>
      <c r="H1620" s="2">
        <v>5</v>
      </c>
      <c r="I1620" s="2">
        <v>20</v>
      </c>
      <c r="J1620" s="2">
        <v>20</v>
      </c>
      <c r="K1620" s="2">
        <v>14</v>
      </c>
      <c r="L1620" s="2">
        <v>21</v>
      </c>
      <c r="M1620" s="2">
        <v>1.7</v>
      </c>
      <c r="N1620" s="2" t="s">
        <v>95</v>
      </c>
      <c r="O1620" s="10">
        <v>2</v>
      </c>
      <c r="P1620" s="10">
        <v>1</v>
      </c>
      <c r="Q1620" s="184">
        <v>2</v>
      </c>
      <c r="R1620" s="185">
        <v>1</v>
      </c>
      <c r="S1620" s="178">
        <f t="shared" si="172"/>
        <v>3</v>
      </c>
      <c r="T1620" s="186">
        <f t="shared" si="173"/>
        <v>3</v>
      </c>
      <c r="U1620" s="179">
        <f t="shared" si="174"/>
        <v>0</v>
      </c>
      <c r="V1620" s="1">
        <f t="shared" si="175"/>
        <v>25</v>
      </c>
      <c r="W1620" s="8">
        <f t="shared" si="170"/>
        <v>6.25</v>
      </c>
      <c r="X1620" s="15">
        <f t="shared" si="171"/>
        <v>8806.25</v>
      </c>
    </row>
    <row r="1621" spans="2:24">
      <c r="B1621" s="2" t="s">
        <v>432</v>
      </c>
      <c r="C1621" s="2" t="s">
        <v>6</v>
      </c>
      <c r="D1621" s="2" t="s">
        <v>62</v>
      </c>
      <c r="E1621" s="3">
        <v>45389.75</v>
      </c>
      <c r="F1621" s="2" t="s">
        <v>116</v>
      </c>
      <c r="G1621" s="2" t="s">
        <v>264</v>
      </c>
      <c r="H1621" s="2">
        <v>5</v>
      </c>
      <c r="I1621" s="2">
        <v>20</v>
      </c>
      <c r="J1621" s="2">
        <v>12</v>
      </c>
      <c r="K1621" s="2">
        <v>20</v>
      </c>
      <c r="L1621" s="2">
        <v>19</v>
      </c>
      <c r="M1621" s="2">
        <v>1.6</v>
      </c>
      <c r="N1621" s="2" t="s">
        <v>95</v>
      </c>
      <c r="O1621" s="10">
        <v>1</v>
      </c>
      <c r="P1621" s="10">
        <v>1</v>
      </c>
      <c r="Q1621" s="184">
        <v>3</v>
      </c>
      <c r="R1621" s="185">
        <v>1</v>
      </c>
      <c r="S1621" s="178">
        <f t="shared" si="172"/>
        <v>2</v>
      </c>
      <c r="T1621" s="186">
        <f t="shared" si="173"/>
        <v>4</v>
      </c>
      <c r="U1621" s="179">
        <f t="shared" si="174"/>
        <v>2</v>
      </c>
      <c r="V1621" s="1">
        <f t="shared" si="175"/>
        <v>25</v>
      </c>
      <c r="W1621" s="8">
        <f t="shared" si="170"/>
        <v>6.25</v>
      </c>
      <c r="X1621" s="15">
        <f t="shared" si="171"/>
        <v>8812.5</v>
      </c>
    </row>
    <row r="1622" spans="2:24">
      <c r="B1622" s="2" t="s">
        <v>432</v>
      </c>
      <c r="C1622" s="2" t="s">
        <v>20</v>
      </c>
      <c r="D1622" s="2" t="s">
        <v>21</v>
      </c>
      <c r="E1622" s="3">
        <v>45390.822916666664</v>
      </c>
      <c r="F1622" s="2" t="s">
        <v>100</v>
      </c>
      <c r="G1622" s="2" t="s">
        <v>25</v>
      </c>
      <c r="H1622" s="2">
        <v>5</v>
      </c>
      <c r="I1622" s="2">
        <v>20</v>
      </c>
      <c r="J1622" s="2">
        <v>14</v>
      </c>
      <c r="K1622" s="2">
        <v>15</v>
      </c>
      <c r="L1622" s="2">
        <v>25</v>
      </c>
      <c r="M1622" s="2">
        <v>1.45</v>
      </c>
      <c r="N1622" s="2" t="s">
        <v>95</v>
      </c>
      <c r="O1622" s="10">
        <v>1</v>
      </c>
      <c r="P1622" s="10">
        <v>0</v>
      </c>
      <c r="Q1622" s="184">
        <v>1</v>
      </c>
      <c r="R1622" s="185">
        <v>2</v>
      </c>
      <c r="S1622" s="178">
        <f t="shared" si="172"/>
        <v>1</v>
      </c>
      <c r="T1622" s="186">
        <f t="shared" si="173"/>
        <v>3</v>
      </c>
      <c r="U1622" s="179">
        <f t="shared" si="174"/>
        <v>2</v>
      </c>
      <c r="V1622" s="1">
        <f t="shared" si="175"/>
        <v>25</v>
      </c>
      <c r="W1622" s="8">
        <f t="shared" ref="W1622:W1685" si="176">IF(N1622="won",V1622*0.25,-V1622)</f>
        <v>6.25</v>
      </c>
      <c r="X1622" s="15">
        <f t="shared" ref="X1622:X1685" si="177">SUM(X1621,W1622)</f>
        <v>8818.75</v>
      </c>
    </row>
    <row r="1623" spans="2:24">
      <c r="B1623" s="2" t="s">
        <v>432</v>
      </c>
      <c r="C1623" s="2" t="s">
        <v>13</v>
      </c>
      <c r="D1623" s="2" t="s">
        <v>11</v>
      </c>
      <c r="E1623" s="3">
        <v>45395.625</v>
      </c>
      <c r="F1623" s="2" t="s">
        <v>615</v>
      </c>
      <c r="G1623" s="2" t="s">
        <v>138</v>
      </c>
      <c r="H1623" s="2">
        <v>5</v>
      </c>
      <c r="I1623" s="2">
        <v>20</v>
      </c>
      <c r="J1623" s="2">
        <v>19</v>
      </c>
      <c r="K1623" s="2">
        <v>14</v>
      </c>
      <c r="L1623" s="2">
        <v>22</v>
      </c>
      <c r="M1623" s="2">
        <v>1.8</v>
      </c>
      <c r="N1623" s="2" t="s">
        <v>95</v>
      </c>
      <c r="O1623" s="10">
        <v>2</v>
      </c>
      <c r="P1623" s="10">
        <v>2</v>
      </c>
      <c r="Q1623" s="184">
        <v>4</v>
      </c>
      <c r="R1623" s="185">
        <v>2</v>
      </c>
      <c r="S1623" s="178">
        <f t="shared" si="172"/>
        <v>4</v>
      </c>
      <c r="T1623" s="186">
        <f t="shared" si="173"/>
        <v>6</v>
      </c>
      <c r="U1623" s="179">
        <f t="shared" si="174"/>
        <v>2</v>
      </c>
      <c r="V1623" s="1">
        <f t="shared" si="175"/>
        <v>25</v>
      </c>
      <c r="W1623" s="8">
        <f t="shared" si="176"/>
        <v>6.25</v>
      </c>
      <c r="X1623" s="15">
        <f t="shared" si="177"/>
        <v>8825</v>
      </c>
    </row>
    <row r="1624" spans="2:24">
      <c r="B1624" s="2" t="s">
        <v>432</v>
      </c>
      <c r="C1624" s="2" t="s">
        <v>516</v>
      </c>
      <c r="D1624" s="2" t="s">
        <v>78</v>
      </c>
      <c r="E1624" s="3">
        <v>45396.354166666664</v>
      </c>
      <c r="F1624" s="2" t="s">
        <v>518</v>
      </c>
      <c r="G1624" s="2" t="s">
        <v>718</v>
      </c>
      <c r="H1624" s="2">
        <v>5</v>
      </c>
      <c r="I1624" s="2">
        <v>20</v>
      </c>
      <c r="J1624" s="2">
        <v>14</v>
      </c>
      <c r="K1624" s="2">
        <v>15</v>
      </c>
      <c r="L1624" s="2">
        <v>22</v>
      </c>
      <c r="M1624" s="2">
        <v>1.7</v>
      </c>
      <c r="N1624" s="2" t="s">
        <v>95</v>
      </c>
      <c r="O1624" s="10">
        <v>1</v>
      </c>
      <c r="P1624" s="10">
        <v>0</v>
      </c>
      <c r="Q1624" s="184">
        <v>1</v>
      </c>
      <c r="R1624" s="185">
        <v>2</v>
      </c>
      <c r="S1624" s="178">
        <f t="shared" si="172"/>
        <v>1</v>
      </c>
      <c r="T1624" s="186">
        <f t="shared" si="173"/>
        <v>3</v>
      </c>
      <c r="U1624" s="179">
        <f t="shared" si="174"/>
        <v>2</v>
      </c>
      <c r="V1624" s="1">
        <f t="shared" si="175"/>
        <v>25</v>
      </c>
      <c r="W1624" s="8">
        <f t="shared" si="176"/>
        <v>6.25</v>
      </c>
      <c r="X1624" s="15">
        <f t="shared" si="177"/>
        <v>8831.25</v>
      </c>
    </row>
    <row r="1625" spans="2:24">
      <c r="B1625" s="2" t="s">
        <v>432</v>
      </c>
      <c r="C1625" s="2" t="s">
        <v>6</v>
      </c>
      <c r="D1625" s="2" t="s">
        <v>11</v>
      </c>
      <c r="E1625" s="3">
        <v>45398.822916666664</v>
      </c>
      <c r="F1625" s="2" t="s">
        <v>634</v>
      </c>
      <c r="G1625" s="2" t="s">
        <v>742</v>
      </c>
      <c r="H1625" s="2">
        <v>0</v>
      </c>
      <c r="I1625" s="2">
        <v>20</v>
      </c>
      <c r="J1625" s="2">
        <v>18</v>
      </c>
      <c r="K1625" s="2">
        <v>18</v>
      </c>
      <c r="L1625" s="2">
        <v>21</v>
      </c>
      <c r="M1625" s="2">
        <v>1.95</v>
      </c>
      <c r="N1625" s="2" t="s">
        <v>95</v>
      </c>
      <c r="O1625" s="10">
        <v>1</v>
      </c>
      <c r="P1625" s="10">
        <v>1</v>
      </c>
      <c r="Q1625" s="184">
        <v>3</v>
      </c>
      <c r="R1625" s="185">
        <v>2</v>
      </c>
      <c r="S1625" s="178">
        <f t="shared" si="172"/>
        <v>2</v>
      </c>
      <c r="T1625" s="186">
        <f t="shared" si="173"/>
        <v>5</v>
      </c>
      <c r="U1625" s="179">
        <f t="shared" si="174"/>
        <v>3</v>
      </c>
      <c r="V1625" s="1">
        <f t="shared" si="175"/>
        <v>25</v>
      </c>
      <c r="W1625" s="8">
        <f t="shared" si="176"/>
        <v>6.25</v>
      </c>
      <c r="X1625" s="15">
        <f t="shared" si="177"/>
        <v>8837.5</v>
      </c>
    </row>
    <row r="1626" spans="2:24">
      <c r="B1626" s="2" t="s">
        <v>432</v>
      </c>
      <c r="C1626" s="2" t="s">
        <v>6</v>
      </c>
      <c r="D1626" s="2" t="s">
        <v>11</v>
      </c>
      <c r="E1626" s="3">
        <v>45402.625</v>
      </c>
      <c r="F1626" s="2" t="s">
        <v>634</v>
      </c>
      <c r="G1626" s="2" t="s">
        <v>737</v>
      </c>
      <c r="H1626" s="2">
        <v>5</v>
      </c>
      <c r="I1626" s="2">
        <v>20</v>
      </c>
      <c r="J1626" s="2">
        <v>19</v>
      </c>
      <c r="K1626" s="2">
        <v>14</v>
      </c>
      <c r="L1626" s="2">
        <v>23</v>
      </c>
      <c r="M1626" s="2">
        <v>1.8</v>
      </c>
      <c r="N1626" s="2" t="s">
        <v>95</v>
      </c>
      <c r="O1626" s="10">
        <v>0</v>
      </c>
      <c r="P1626" s="10">
        <v>1</v>
      </c>
      <c r="Q1626" s="184">
        <v>1</v>
      </c>
      <c r="R1626" s="185">
        <v>2</v>
      </c>
      <c r="S1626" s="178">
        <f t="shared" si="172"/>
        <v>1</v>
      </c>
      <c r="T1626" s="186">
        <f t="shared" si="173"/>
        <v>3</v>
      </c>
      <c r="U1626" s="179">
        <f t="shared" si="174"/>
        <v>2</v>
      </c>
      <c r="V1626" s="1">
        <f t="shared" si="175"/>
        <v>25</v>
      </c>
      <c r="W1626" s="8">
        <f t="shared" si="176"/>
        <v>6.25</v>
      </c>
      <c r="X1626" s="15">
        <f t="shared" si="177"/>
        <v>8843.75</v>
      </c>
    </row>
    <row r="1627" spans="2:24">
      <c r="B1627" s="2" t="s">
        <v>432</v>
      </c>
      <c r="C1627" s="2" t="s">
        <v>640</v>
      </c>
      <c r="D1627" s="2" t="s">
        <v>641</v>
      </c>
      <c r="E1627" s="3">
        <v>45403.666666666664</v>
      </c>
      <c r="F1627" s="2" t="s">
        <v>691</v>
      </c>
      <c r="G1627" s="2" t="s">
        <v>762</v>
      </c>
      <c r="H1627" s="2">
        <v>5</v>
      </c>
      <c r="I1627" s="2">
        <v>20</v>
      </c>
      <c r="J1627" s="2">
        <v>16</v>
      </c>
      <c r="K1627" s="2">
        <v>14</v>
      </c>
      <c r="L1627" s="2">
        <v>21</v>
      </c>
      <c r="M1627" s="2">
        <v>1.65</v>
      </c>
      <c r="N1627" s="2" t="s">
        <v>95</v>
      </c>
      <c r="O1627" s="10">
        <v>0</v>
      </c>
      <c r="P1627" s="10">
        <v>2</v>
      </c>
      <c r="Q1627" s="184">
        <v>0</v>
      </c>
      <c r="R1627" s="185">
        <v>2</v>
      </c>
      <c r="S1627" s="178">
        <f t="shared" si="172"/>
        <v>2</v>
      </c>
      <c r="T1627" s="186">
        <f t="shared" si="173"/>
        <v>2</v>
      </c>
      <c r="U1627" s="179">
        <f t="shared" si="174"/>
        <v>0</v>
      </c>
      <c r="V1627" s="1">
        <f t="shared" si="175"/>
        <v>25</v>
      </c>
      <c r="W1627" s="8">
        <f t="shared" si="176"/>
        <v>6.25</v>
      </c>
      <c r="X1627" s="15">
        <f t="shared" si="177"/>
        <v>8850</v>
      </c>
    </row>
    <row r="1628" spans="2:24">
      <c r="B1628" s="2" t="s">
        <v>432</v>
      </c>
      <c r="C1628" s="2" t="s">
        <v>58</v>
      </c>
      <c r="D1628" s="2" t="s">
        <v>289</v>
      </c>
      <c r="E1628" s="3">
        <v>45404.75</v>
      </c>
      <c r="F1628" s="2" t="s">
        <v>416</v>
      </c>
      <c r="G1628" s="2" t="s">
        <v>716</v>
      </c>
      <c r="H1628" s="2">
        <v>5</v>
      </c>
      <c r="I1628" s="2">
        <v>20</v>
      </c>
      <c r="J1628" s="2">
        <v>19</v>
      </c>
      <c r="K1628" s="2">
        <v>17</v>
      </c>
      <c r="L1628" s="2">
        <v>19</v>
      </c>
      <c r="M1628" s="2">
        <v>1.8</v>
      </c>
      <c r="N1628" s="2" t="s">
        <v>95</v>
      </c>
      <c r="O1628" s="10">
        <v>2</v>
      </c>
      <c r="P1628" s="10">
        <v>0</v>
      </c>
      <c r="Q1628" s="184">
        <v>3</v>
      </c>
      <c r="R1628" s="185">
        <v>1</v>
      </c>
      <c r="S1628" s="178">
        <f t="shared" si="172"/>
        <v>2</v>
      </c>
      <c r="T1628" s="186">
        <f t="shared" si="173"/>
        <v>4</v>
      </c>
      <c r="U1628" s="179">
        <f t="shared" si="174"/>
        <v>2</v>
      </c>
      <c r="V1628" s="1">
        <f t="shared" si="175"/>
        <v>25</v>
      </c>
      <c r="W1628" s="8">
        <f t="shared" si="176"/>
        <v>6.25</v>
      </c>
      <c r="X1628" s="15">
        <f t="shared" si="177"/>
        <v>8856.25</v>
      </c>
    </row>
    <row r="1629" spans="2:24">
      <c r="B1629" s="2" t="s">
        <v>432</v>
      </c>
      <c r="C1629" s="2" t="s">
        <v>149</v>
      </c>
      <c r="D1629" s="2" t="s">
        <v>153</v>
      </c>
      <c r="E1629" s="3">
        <v>45406.833333333336</v>
      </c>
      <c r="F1629" s="2" t="s">
        <v>363</v>
      </c>
      <c r="G1629" s="2" t="s">
        <v>647</v>
      </c>
      <c r="H1629" s="2">
        <v>5</v>
      </c>
      <c r="I1629" s="2">
        <v>20</v>
      </c>
      <c r="J1629" s="2">
        <v>15</v>
      </c>
      <c r="K1629" s="2">
        <v>21</v>
      </c>
      <c r="L1629" s="2">
        <v>20</v>
      </c>
      <c r="M1629" s="2">
        <v>1.8</v>
      </c>
      <c r="N1629" s="2" t="s">
        <v>95</v>
      </c>
      <c r="O1629" s="10">
        <v>1</v>
      </c>
      <c r="P1629" s="10">
        <v>1</v>
      </c>
      <c r="Q1629" s="184">
        <v>2</v>
      </c>
      <c r="R1629" s="185">
        <v>2</v>
      </c>
      <c r="S1629" s="178">
        <f t="shared" si="172"/>
        <v>2</v>
      </c>
      <c r="T1629" s="186">
        <f t="shared" si="173"/>
        <v>4</v>
      </c>
      <c r="U1629" s="179">
        <f t="shared" si="174"/>
        <v>2</v>
      </c>
      <c r="V1629" s="1">
        <f t="shared" si="175"/>
        <v>25</v>
      </c>
      <c r="W1629" s="8">
        <f t="shared" si="176"/>
        <v>6.25</v>
      </c>
      <c r="X1629" s="15">
        <f t="shared" si="177"/>
        <v>8862.5</v>
      </c>
    </row>
    <row r="1630" spans="2:24">
      <c r="B1630" s="2" t="s">
        <v>432</v>
      </c>
      <c r="C1630" s="2" t="s">
        <v>6</v>
      </c>
      <c r="D1630" s="2" t="s">
        <v>62</v>
      </c>
      <c r="E1630" s="3">
        <v>45416.625</v>
      </c>
      <c r="F1630" s="2" t="s">
        <v>85</v>
      </c>
      <c r="G1630" s="2" t="s">
        <v>264</v>
      </c>
      <c r="H1630" s="2">
        <v>5</v>
      </c>
      <c r="I1630" s="2">
        <v>20</v>
      </c>
      <c r="J1630" s="2">
        <v>11</v>
      </c>
      <c r="K1630" s="2">
        <v>19</v>
      </c>
      <c r="L1630" s="2">
        <v>23</v>
      </c>
      <c r="M1630" s="2">
        <v>1.95</v>
      </c>
      <c r="N1630" s="2" t="s">
        <v>95</v>
      </c>
      <c r="O1630" s="10">
        <v>1</v>
      </c>
      <c r="P1630" s="10">
        <v>1</v>
      </c>
      <c r="Q1630" s="184">
        <v>1</v>
      </c>
      <c r="R1630" s="185">
        <v>3</v>
      </c>
      <c r="S1630" s="178">
        <f t="shared" si="172"/>
        <v>2</v>
      </c>
      <c r="T1630" s="186">
        <f t="shared" si="173"/>
        <v>4</v>
      </c>
      <c r="U1630" s="179">
        <f t="shared" si="174"/>
        <v>2</v>
      </c>
      <c r="V1630" s="1">
        <f t="shared" si="175"/>
        <v>25</v>
      </c>
      <c r="W1630" s="8">
        <f t="shared" si="176"/>
        <v>6.25</v>
      </c>
      <c r="X1630" s="15">
        <f t="shared" si="177"/>
        <v>8868.75</v>
      </c>
    </row>
    <row r="1631" spans="2:24">
      <c r="B1631" s="2" t="s">
        <v>432</v>
      </c>
      <c r="C1631" s="2" t="s">
        <v>20</v>
      </c>
      <c r="D1631" s="2" t="s">
        <v>21</v>
      </c>
      <c r="E1631" s="3">
        <v>45416.822916666664</v>
      </c>
      <c r="F1631" s="2" t="s">
        <v>370</v>
      </c>
      <c r="G1631" s="2" t="s">
        <v>25</v>
      </c>
      <c r="H1631" s="2">
        <v>5</v>
      </c>
      <c r="I1631" s="2">
        <v>20</v>
      </c>
      <c r="J1631" s="2">
        <v>14</v>
      </c>
      <c r="K1631" s="2">
        <v>14</v>
      </c>
      <c r="L1631" s="2">
        <v>24</v>
      </c>
      <c r="M1631" s="2">
        <v>1.55</v>
      </c>
      <c r="N1631" s="2" t="s">
        <v>95</v>
      </c>
      <c r="O1631" s="10">
        <v>1</v>
      </c>
      <c r="P1631" s="10">
        <v>0</v>
      </c>
      <c r="Q1631" s="184">
        <v>1</v>
      </c>
      <c r="R1631" s="185">
        <v>0</v>
      </c>
      <c r="S1631" s="178">
        <f t="shared" si="172"/>
        <v>1</v>
      </c>
      <c r="T1631" s="186">
        <f t="shared" si="173"/>
        <v>1</v>
      </c>
      <c r="U1631" s="179">
        <f t="shared" si="174"/>
        <v>0</v>
      </c>
      <c r="V1631" s="1">
        <f t="shared" si="175"/>
        <v>25</v>
      </c>
      <c r="W1631" s="8">
        <f t="shared" si="176"/>
        <v>6.25</v>
      </c>
      <c r="X1631" s="15">
        <f t="shared" si="177"/>
        <v>8875</v>
      </c>
    </row>
    <row r="1632" spans="2:24">
      <c r="B1632" s="2" t="s">
        <v>432</v>
      </c>
      <c r="C1632" s="2" t="s">
        <v>640</v>
      </c>
      <c r="D1632" s="2" t="s">
        <v>641</v>
      </c>
      <c r="E1632" s="3">
        <v>45423.708333333336</v>
      </c>
      <c r="F1632" s="2" t="s">
        <v>745</v>
      </c>
      <c r="G1632" s="2" t="s">
        <v>761</v>
      </c>
      <c r="H1632" s="2">
        <v>5</v>
      </c>
      <c r="I1632" s="2">
        <v>20</v>
      </c>
      <c r="J1632" s="2">
        <v>18</v>
      </c>
      <c r="K1632" s="2">
        <v>15</v>
      </c>
      <c r="L1632" s="2">
        <v>23</v>
      </c>
      <c r="M1632" s="2">
        <v>1.7</v>
      </c>
      <c r="N1632" s="2" t="s">
        <v>95</v>
      </c>
      <c r="O1632" s="10">
        <v>1</v>
      </c>
      <c r="P1632" s="10">
        <v>0</v>
      </c>
      <c r="Q1632" s="184">
        <v>2</v>
      </c>
      <c r="R1632" s="185">
        <v>2</v>
      </c>
      <c r="S1632" s="178">
        <f t="shared" si="172"/>
        <v>1</v>
      </c>
      <c r="T1632" s="186">
        <f t="shared" si="173"/>
        <v>4</v>
      </c>
      <c r="U1632" s="179">
        <f t="shared" si="174"/>
        <v>3</v>
      </c>
      <c r="V1632" s="1">
        <f t="shared" si="175"/>
        <v>25</v>
      </c>
      <c r="W1632" s="8">
        <f t="shared" si="176"/>
        <v>6.25</v>
      </c>
      <c r="X1632" s="15">
        <f t="shared" si="177"/>
        <v>8881.25</v>
      </c>
    </row>
    <row r="1633" spans="2:24">
      <c r="B1633" s="2" t="s">
        <v>432</v>
      </c>
      <c r="C1633" s="2" t="s">
        <v>616</v>
      </c>
      <c r="D1633" s="2" t="s">
        <v>617</v>
      </c>
      <c r="E1633" s="3">
        <v>45428.145833333336</v>
      </c>
      <c r="F1633" s="2" t="s">
        <v>618</v>
      </c>
      <c r="G1633" s="2" t="s">
        <v>717</v>
      </c>
      <c r="H1633" s="2">
        <v>5</v>
      </c>
      <c r="I1633" s="2">
        <v>20</v>
      </c>
      <c r="J1633" s="2">
        <v>18</v>
      </c>
      <c r="K1633" s="2">
        <v>18</v>
      </c>
      <c r="L1633" s="2">
        <v>20</v>
      </c>
      <c r="M1633" s="2">
        <v>1.85</v>
      </c>
      <c r="N1633" s="2" t="s">
        <v>95</v>
      </c>
      <c r="O1633" s="10">
        <v>0</v>
      </c>
      <c r="P1633" s="10">
        <v>2</v>
      </c>
      <c r="Q1633" s="184">
        <v>4</v>
      </c>
      <c r="R1633" s="185">
        <v>2</v>
      </c>
      <c r="S1633" s="178">
        <f t="shared" si="172"/>
        <v>2</v>
      </c>
      <c r="T1633" s="186">
        <f t="shared" si="173"/>
        <v>6</v>
      </c>
      <c r="U1633" s="179">
        <f t="shared" si="174"/>
        <v>4</v>
      </c>
      <c r="V1633" s="1">
        <f t="shared" si="175"/>
        <v>25</v>
      </c>
      <c r="W1633" s="8">
        <f t="shared" si="176"/>
        <v>6.25</v>
      </c>
      <c r="X1633" s="15">
        <f t="shared" si="177"/>
        <v>8887.5</v>
      </c>
    </row>
    <row r="1634" spans="2:24">
      <c r="B1634" s="2" t="s">
        <v>432</v>
      </c>
      <c r="C1634" s="2" t="s">
        <v>6</v>
      </c>
      <c r="D1634" s="2" t="s">
        <v>62</v>
      </c>
      <c r="E1634" s="3">
        <v>45431.666666666664</v>
      </c>
      <c r="F1634" s="2" t="s">
        <v>103</v>
      </c>
      <c r="G1634" s="2" t="s">
        <v>264</v>
      </c>
      <c r="H1634" s="2">
        <v>5</v>
      </c>
      <c r="I1634" s="2">
        <v>20</v>
      </c>
      <c r="J1634" s="2">
        <v>10</v>
      </c>
      <c r="K1634" s="2">
        <v>19</v>
      </c>
      <c r="L1634" s="2">
        <v>20</v>
      </c>
      <c r="M1634" s="2">
        <v>1.7</v>
      </c>
      <c r="N1634" s="2" t="s">
        <v>95</v>
      </c>
      <c r="O1634" s="9">
        <v>0</v>
      </c>
      <c r="P1634" s="10">
        <v>2</v>
      </c>
      <c r="Q1634" s="184">
        <v>1</v>
      </c>
      <c r="R1634" s="185">
        <v>2</v>
      </c>
      <c r="S1634" s="178">
        <f t="shared" si="172"/>
        <v>2</v>
      </c>
      <c r="T1634" s="186">
        <f t="shared" si="173"/>
        <v>3</v>
      </c>
      <c r="U1634" s="179">
        <f t="shared" si="174"/>
        <v>1</v>
      </c>
      <c r="V1634" s="1">
        <f t="shared" si="175"/>
        <v>25</v>
      </c>
      <c r="W1634" s="8">
        <f t="shared" si="176"/>
        <v>6.25</v>
      </c>
      <c r="X1634" s="15">
        <f t="shared" si="177"/>
        <v>8893.75</v>
      </c>
    </row>
    <row r="1635" spans="2:24">
      <c r="B1635" s="2" t="s">
        <v>432</v>
      </c>
      <c r="C1635" s="2" t="s">
        <v>640</v>
      </c>
      <c r="D1635" s="2" t="s">
        <v>641</v>
      </c>
      <c r="E1635" s="3">
        <v>45432.666666666664</v>
      </c>
      <c r="F1635" s="2" t="s">
        <v>745</v>
      </c>
      <c r="G1635" s="2" t="s">
        <v>691</v>
      </c>
      <c r="H1635" s="2">
        <v>5</v>
      </c>
      <c r="I1635" s="2">
        <v>20</v>
      </c>
      <c r="J1635" s="2">
        <v>16</v>
      </c>
      <c r="K1635" s="2">
        <v>13</v>
      </c>
      <c r="L1635" s="2">
        <v>24</v>
      </c>
      <c r="M1635" s="2">
        <v>1.5</v>
      </c>
      <c r="N1635" s="2" t="s">
        <v>95</v>
      </c>
      <c r="O1635" s="10">
        <v>1</v>
      </c>
      <c r="P1635" s="10">
        <v>2</v>
      </c>
      <c r="Q1635" s="184">
        <v>2</v>
      </c>
      <c r="R1635" s="185">
        <v>4</v>
      </c>
      <c r="S1635" s="178">
        <f t="shared" si="172"/>
        <v>3</v>
      </c>
      <c r="T1635" s="186">
        <f t="shared" si="173"/>
        <v>6</v>
      </c>
      <c r="U1635" s="179">
        <f t="shared" si="174"/>
        <v>3</v>
      </c>
      <c r="V1635" s="1">
        <f t="shared" si="175"/>
        <v>25</v>
      </c>
      <c r="W1635" s="8">
        <f t="shared" si="176"/>
        <v>6.25</v>
      </c>
      <c r="X1635" s="15">
        <f t="shared" si="177"/>
        <v>8900</v>
      </c>
    </row>
    <row r="1636" spans="2:24">
      <c r="B1636" s="2" t="s">
        <v>448</v>
      </c>
      <c r="C1636" s="2" t="s">
        <v>6</v>
      </c>
      <c r="D1636" s="2" t="s">
        <v>7</v>
      </c>
      <c r="E1636" s="3">
        <v>45383.541666666664</v>
      </c>
      <c r="F1636" s="2" t="s">
        <v>113</v>
      </c>
      <c r="G1636" s="2" t="s">
        <v>619</v>
      </c>
      <c r="H1636" s="2">
        <v>20</v>
      </c>
      <c r="I1636" s="2">
        <v>5</v>
      </c>
      <c r="J1636" s="2">
        <v>41</v>
      </c>
      <c r="K1636" s="2">
        <v>9</v>
      </c>
      <c r="L1636" s="2">
        <v>7</v>
      </c>
      <c r="M1636" s="2">
        <v>6</v>
      </c>
      <c r="N1636" s="2" t="s">
        <v>96</v>
      </c>
      <c r="O1636" s="10">
        <v>0</v>
      </c>
      <c r="P1636" s="10">
        <v>0</v>
      </c>
      <c r="Q1636" s="184">
        <v>1</v>
      </c>
      <c r="R1636" s="185">
        <v>1</v>
      </c>
      <c r="S1636" s="178">
        <f t="shared" si="172"/>
        <v>0</v>
      </c>
      <c r="T1636" s="186">
        <f t="shared" si="173"/>
        <v>2</v>
      </c>
      <c r="U1636" s="179">
        <f t="shared" si="174"/>
        <v>2</v>
      </c>
      <c r="V1636" s="1">
        <f t="shared" si="175"/>
        <v>25</v>
      </c>
      <c r="W1636" s="8">
        <f t="shared" si="176"/>
        <v>-25</v>
      </c>
      <c r="X1636" s="15">
        <f t="shared" si="177"/>
        <v>8875</v>
      </c>
    </row>
    <row r="1637" spans="2:24">
      <c r="B1637" s="2" t="s">
        <v>448</v>
      </c>
      <c r="C1637" s="2" t="s">
        <v>77</v>
      </c>
      <c r="D1637" s="2" t="s">
        <v>449</v>
      </c>
      <c r="E1637" s="3">
        <v>45341.708333333336</v>
      </c>
      <c r="F1637" s="2" t="s">
        <v>450</v>
      </c>
      <c r="G1637" s="2" t="s">
        <v>451</v>
      </c>
      <c r="H1637" s="2">
        <v>20</v>
      </c>
      <c r="I1637" s="2">
        <v>10</v>
      </c>
      <c r="J1637" s="2">
        <v>43</v>
      </c>
      <c r="K1637" s="2">
        <v>6</v>
      </c>
      <c r="L1637" s="2">
        <v>12</v>
      </c>
      <c r="M1637" s="2">
        <v>8</v>
      </c>
      <c r="N1637" s="2" t="s">
        <v>95</v>
      </c>
      <c r="O1637" s="10">
        <v>0</v>
      </c>
      <c r="P1637" s="10">
        <v>1</v>
      </c>
      <c r="Q1637" s="184">
        <v>0</v>
      </c>
      <c r="R1637" s="185">
        <v>1</v>
      </c>
      <c r="S1637" s="178">
        <f t="shared" si="172"/>
        <v>1</v>
      </c>
      <c r="T1637" s="186">
        <f t="shared" si="173"/>
        <v>1</v>
      </c>
      <c r="U1637" s="179">
        <f t="shared" si="174"/>
        <v>0</v>
      </c>
      <c r="V1637" s="1">
        <f t="shared" si="175"/>
        <v>25</v>
      </c>
      <c r="W1637" s="8">
        <f t="shared" si="176"/>
        <v>6.25</v>
      </c>
      <c r="X1637" s="15">
        <f t="shared" si="177"/>
        <v>8881.25</v>
      </c>
    </row>
    <row r="1638" spans="2:24">
      <c r="B1638" s="2" t="s">
        <v>448</v>
      </c>
      <c r="C1638" s="2" t="s">
        <v>6</v>
      </c>
      <c r="D1638" s="2" t="s">
        <v>11</v>
      </c>
      <c r="E1638" s="3">
        <v>45342.822916666664</v>
      </c>
      <c r="F1638" s="2" t="s">
        <v>308</v>
      </c>
      <c r="G1638" s="2" t="s">
        <v>286</v>
      </c>
      <c r="H1638" s="2">
        <v>20</v>
      </c>
      <c r="I1638" s="2">
        <v>5</v>
      </c>
      <c r="J1638" s="2">
        <v>32</v>
      </c>
      <c r="K1638" s="2">
        <v>6</v>
      </c>
      <c r="L1638" s="2">
        <v>5</v>
      </c>
      <c r="M1638" s="2">
        <v>9</v>
      </c>
      <c r="N1638" s="2" t="s">
        <v>95</v>
      </c>
      <c r="O1638" s="10">
        <v>1</v>
      </c>
      <c r="P1638" s="10">
        <v>1</v>
      </c>
      <c r="Q1638" s="184">
        <v>2</v>
      </c>
      <c r="R1638" s="185">
        <v>2</v>
      </c>
      <c r="S1638" s="178">
        <f t="shared" si="172"/>
        <v>2</v>
      </c>
      <c r="T1638" s="186">
        <f t="shared" si="173"/>
        <v>4</v>
      </c>
      <c r="U1638" s="179">
        <f t="shared" si="174"/>
        <v>2</v>
      </c>
      <c r="V1638" s="1">
        <f t="shared" si="175"/>
        <v>25</v>
      </c>
      <c r="W1638" s="8">
        <f t="shared" si="176"/>
        <v>6.25</v>
      </c>
      <c r="X1638" s="15">
        <f t="shared" si="177"/>
        <v>8887.5</v>
      </c>
    </row>
    <row r="1639" spans="2:24">
      <c r="B1639" s="2" t="s">
        <v>448</v>
      </c>
      <c r="C1639" s="2" t="s">
        <v>20</v>
      </c>
      <c r="D1639" s="2" t="s">
        <v>322</v>
      </c>
      <c r="E1639" s="3">
        <v>45346.541666666664</v>
      </c>
      <c r="F1639" s="2" t="s">
        <v>415</v>
      </c>
      <c r="G1639" s="2" t="s">
        <v>333</v>
      </c>
      <c r="H1639" s="2">
        <v>20</v>
      </c>
      <c r="I1639" s="2">
        <v>10</v>
      </c>
      <c r="J1639" s="2">
        <v>32</v>
      </c>
      <c r="K1639" s="2">
        <v>6</v>
      </c>
      <c r="L1639" s="2">
        <v>5</v>
      </c>
      <c r="M1639" s="2">
        <v>8</v>
      </c>
      <c r="N1639" s="2" t="s">
        <v>95</v>
      </c>
      <c r="O1639" s="10">
        <v>1</v>
      </c>
      <c r="P1639" s="10">
        <v>1</v>
      </c>
      <c r="Q1639" s="184">
        <v>1</v>
      </c>
      <c r="R1639" s="185">
        <v>2</v>
      </c>
      <c r="S1639" s="178">
        <f t="shared" si="172"/>
        <v>2</v>
      </c>
      <c r="T1639" s="186">
        <f t="shared" si="173"/>
        <v>3</v>
      </c>
      <c r="U1639" s="179">
        <f t="shared" si="174"/>
        <v>1</v>
      </c>
      <c r="V1639" s="1">
        <f t="shared" si="175"/>
        <v>25</v>
      </c>
      <c r="W1639" s="8">
        <f t="shared" si="176"/>
        <v>6.25</v>
      </c>
      <c r="X1639" s="15">
        <f t="shared" si="177"/>
        <v>8893.75</v>
      </c>
    </row>
    <row r="1640" spans="2:24">
      <c r="B1640" s="2" t="s">
        <v>448</v>
      </c>
      <c r="C1640" s="2" t="s">
        <v>58</v>
      </c>
      <c r="D1640" s="2" t="s">
        <v>59</v>
      </c>
      <c r="E1640" s="3">
        <v>45348.84375</v>
      </c>
      <c r="F1640" s="2" t="s">
        <v>108</v>
      </c>
      <c r="G1640" s="2" t="s">
        <v>112</v>
      </c>
      <c r="H1640" s="2">
        <v>20</v>
      </c>
      <c r="I1640" s="2">
        <v>10</v>
      </c>
      <c r="J1640" s="2">
        <v>32</v>
      </c>
      <c r="K1640" s="2">
        <v>4</v>
      </c>
      <c r="L1640" s="2">
        <v>8</v>
      </c>
      <c r="M1640" s="2">
        <v>10</v>
      </c>
      <c r="N1640" s="2" t="s">
        <v>95</v>
      </c>
      <c r="O1640" s="10">
        <v>0</v>
      </c>
      <c r="P1640" s="10">
        <v>2</v>
      </c>
      <c r="Q1640" s="184">
        <v>0</v>
      </c>
      <c r="R1640" s="185">
        <v>4</v>
      </c>
      <c r="S1640" s="178">
        <f t="shared" si="172"/>
        <v>2</v>
      </c>
      <c r="T1640" s="186">
        <f t="shared" si="173"/>
        <v>4</v>
      </c>
      <c r="U1640" s="179">
        <f t="shared" si="174"/>
        <v>2</v>
      </c>
      <c r="V1640" s="1">
        <f t="shared" si="175"/>
        <v>25</v>
      </c>
      <c r="W1640" s="8">
        <f t="shared" si="176"/>
        <v>6.25</v>
      </c>
      <c r="X1640" s="15">
        <f t="shared" si="177"/>
        <v>8900</v>
      </c>
    </row>
    <row r="1641" spans="2:24">
      <c r="B1641" s="2" t="s">
        <v>448</v>
      </c>
      <c r="C1641" s="2" t="s">
        <v>77</v>
      </c>
      <c r="D1641" s="2" t="s">
        <v>156</v>
      </c>
      <c r="E1641" s="3">
        <v>45352.8125</v>
      </c>
      <c r="F1641" s="2" t="s">
        <v>477</v>
      </c>
      <c r="G1641" s="2" t="s">
        <v>157</v>
      </c>
      <c r="H1641" s="2">
        <v>20</v>
      </c>
      <c r="I1641" s="2">
        <v>10</v>
      </c>
      <c r="J1641" s="2">
        <v>43</v>
      </c>
      <c r="K1641" s="2">
        <v>6</v>
      </c>
      <c r="L1641" s="2">
        <v>10</v>
      </c>
      <c r="M1641" s="2">
        <v>8</v>
      </c>
      <c r="N1641" s="2" t="s">
        <v>95</v>
      </c>
      <c r="O1641" s="10">
        <v>1</v>
      </c>
      <c r="P1641" s="10">
        <v>1</v>
      </c>
      <c r="Q1641" s="184">
        <v>2</v>
      </c>
      <c r="R1641" s="185">
        <v>2</v>
      </c>
      <c r="S1641" s="178">
        <f t="shared" si="172"/>
        <v>2</v>
      </c>
      <c r="T1641" s="186">
        <f t="shared" si="173"/>
        <v>4</v>
      </c>
      <c r="U1641" s="179">
        <f t="shared" si="174"/>
        <v>2</v>
      </c>
      <c r="V1641" s="1">
        <f t="shared" si="175"/>
        <v>25</v>
      </c>
      <c r="W1641" s="8">
        <f t="shared" si="176"/>
        <v>6.25</v>
      </c>
      <c r="X1641" s="15">
        <f t="shared" si="177"/>
        <v>8906.25</v>
      </c>
    </row>
    <row r="1642" spans="2:24">
      <c r="B1642" s="2" t="s">
        <v>448</v>
      </c>
      <c r="C1642" s="2" t="s">
        <v>44</v>
      </c>
      <c r="D1642" s="2" t="s">
        <v>45</v>
      </c>
      <c r="E1642" s="3">
        <v>45353.364583333336</v>
      </c>
      <c r="F1642" s="2" t="s">
        <v>321</v>
      </c>
      <c r="G1642" s="2" t="s">
        <v>46</v>
      </c>
      <c r="H1642" s="2">
        <v>20</v>
      </c>
      <c r="I1642" s="2">
        <v>10</v>
      </c>
      <c r="J1642" s="2">
        <v>42</v>
      </c>
      <c r="K1642" s="2">
        <v>11</v>
      </c>
      <c r="L1642" s="2">
        <v>7</v>
      </c>
      <c r="M1642" s="2">
        <v>6</v>
      </c>
      <c r="N1642" s="2" t="s">
        <v>95</v>
      </c>
      <c r="O1642" s="10">
        <v>0</v>
      </c>
      <c r="P1642" s="10">
        <v>2</v>
      </c>
      <c r="Q1642" s="184">
        <v>1</v>
      </c>
      <c r="R1642" s="185">
        <v>4</v>
      </c>
      <c r="S1642" s="178">
        <f t="shared" si="172"/>
        <v>2</v>
      </c>
      <c r="T1642" s="186">
        <f t="shared" si="173"/>
        <v>5</v>
      </c>
      <c r="U1642" s="179">
        <f t="shared" si="174"/>
        <v>3</v>
      </c>
      <c r="V1642" s="1">
        <f t="shared" si="175"/>
        <v>25</v>
      </c>
      <c r="W1642" s="8">
        <f t="shared" si="176"/>
        <v>6.25</v>
      </c>
      <c r="X1642" s="15">
        <f t="shared" si="177"/>
        <v>8912.5</v>
      </c>
    </row>
    <row r="1643" spans="2:24">
      <c r="B1643" s="2" t="s">
        <v>448</v>
      </c>
      <c r="C1643" s="2" t="s">
        <v>6</v>
      </c>
      <c r="D1643" s="2" t="s">
        <v>11</v>
      </c>
      <c r="E1643" s="3">
        <v>45353.625</v>
      </c>
      <c r="F1643" s="2" t="s">
        <v>12</v>
      </c>
      <c r="G1643" s="2" t="s">
        <v>199</v>
      </c>
      <c r="H1643" s="2">
        <v>20</v>
      </c>
      <c r="I1643" s="2">
        <v>10</v>
      </c>
      <c r="J1643" s="2">
        <v>32</v>
      </c>
      <c r="K1643" s="2">
        <v>5</v>
      </c>
      <c r="L1643" s="2">
        <v>5</v>
      </c>
      <c r="M1643" s="2">
        <v>1</v>
      </c>
      <c r="N1643" s="2" t="s">
        <v>95</v>
      </c>
      <c r="O1643" s="10">
        <v>1</v>
      </c>
      <c r="P1643" s="10">
        <v>1</v>
      </c>
      <c r="Q1643" s="184">
        <v>2</v>
      </c>
      <c r="R1643" s="185">
        <v>1</v>
      </c>
      <c r="S1643" s="178">
        <f t="shared" si="172"/>
        <v>2</v>
      </c>
      <c r="T1643" s="186">
        <f t="shared" si="173"/>
        <v>3</v>
      </c>
      <c r="U1643" s="179">
        <f t="shared" si="174"/>
        <v>1</v>
      </c>
      <c r="V1643" s="1">
        <f t="shared" si="175"/>
        <v>25</v>
      </c>
      <c r="W1643" s="8">
        <f t="shared" si="176"/>
        <v>6.25</v>
      </c>
      <c r="X1643" s="15">
        <f t="shared" si="177"/>
        <v>8918.75</v>
      </c>
    </row>
    <row r="1644" spans="2:24">
      <c r="B1644" s="2" t="s">
        <v>448</v>
      </c>
      <c r="C1644" s="2" t="s">
        <v>145</v>
      </c>
      <c r="D1644" s="2" t="s">
        <v>268</v>
      </c>
      <c r="E1644" s="3">
        <v>45353.75</v>
      </c>
      <c r="F1644" s="2" t="s">
        <v>484</v>
      </c>
      <c r="G1644" s="2" t="s">
        <v>485</v>
      </c>
      <c r="H1644" s="2">
        <v>20</v>
      </c>
      <c r="I1644" s="2">
        <v>10</v>
      </c>
      <c r="J1644" s="2">
        <v>31</v>
      </c>
      <c r="K1644" s="2">
        <v>8</v>
      </c>
      <c r="L1644" s="2">
        <v>5</v>
      </c>
      <c r="M1644" s="2">
        <v>6</v>
      </c>
      <c r="N1644" s="2" t="s">
        <v>95</v>
      </c>
      <c r="O1644" s="10">
        <v>0</v>
      </c>
      <c r="P1644" s="10">
        <v>1</v>
      </c>
      <c r="Q1644" s="184">
        <v>2</v>
      </c>
      <c r="R1644" s="185">
        <v>3</v>
      </c>
      <c r="S1644" s="178">
        <f t="shared" si="172"/>
        <v>1</v>
      </c>
      <c r="T1644" s="186">
        <f t="shared" si="173"/>
        <v>5</v>
      </c>
      <c r="U1644" s="179">
        <f t="shared" si="174"/>
        <v>4</v>
      </c>
      <c r="V1644" s="1">
        <f t="shared" si="175"/>
        <v>25</v>
      </c>
      <c r="W1644" s="8">
        <f t="shared" si="176"/>
        <v>6.25</v>
      </c>
      <c r="X1644" s="15">
        <f t="shared" si="177"/>
        <v>8925</v>
      </c>
    </row>
    <row r="1645" spans="2:24">
      <c r="B1645" s="2" t="s">
        <v>448</v>
      </c>
      <c r="C1645" s="2" t="s">
        <v>489</v>
      </c>
      <c r="D1645" s="2" t="s">
        <v>490</v>
      </c>
      <c r="E1645" s="3">
        <v>45355.708333333336</v>
      </c>
      <c r="F1645" s="2" t="s">
        <v>501</v>
      </c>
      <c r="G1645" s="2" t="s">
        <v>502</v>
      </c>
      <c r="H1645" s="2">
        <v>20</v>
      </c>
      <c r="I1645" s="2">
        <v>10</v>
      </c>
      <c r="J1645" s="2">
        <v>33</v>
      </c>
      <c r="K1645" s="2">
        <v>6</v>
      </c>
      <c r="L1645" s="2">
        <v>7</v>
      </c>
      <c r="M1645" s="2">
        <v>10</v>
      </c>
      <c r="N1645" s="2" t="s">
        <v>95</v>
      </c>
      <c r="O1645" s="10">
        <v>2</v>
      </c>
      <c r="P1645" s="10">
        <v>0</v>
      </c>
      <c r="Q1645" s="184">
        <v>3</v>
      </c>
      <c r="R1645" s="185">
        <v>1</v>
      </c>
      <c r="S1645" s="178">
        <f t="shared" si="172"/>
        <v>2</v>
      </c>
      <c r="T1645" s="186">
        <f t="shared" si="173"/>
        <v>4</v>
      </c>
      <c r="U1645" s="179">
        <f t="shared" si="174"/>
        <v>2</v>
      </c>
      <c r="V1645" s="1">
        <f t="shared" si="175"/>
        <v>25</v>
      </c>
      <c r="W1645" s="8">
        <f t="shared" si="176"/>
        <v>6.25</v>
      </c>
      <c r="X1645" s="15">
        <f t="shared" si="177"/>
        <v>8931.25</v>
      </c>
    </row>
    <row r="1646" spans="2:24">
      <c r="B1646" s="2" t="s">
        <v>448</v>
      </c>
      <c r="C1646" s="2" t="s">
        <v>6</v>
      </c>
      <c r="D1646" s="2" t="s">
        <v>11</v>
      </c>
      <c r="E1646" s="3">
        <v>45356.822916666664</v>
      </c>
      <c r="F1646" s="2" t="s">
        <v>12</v>
      </c>
      <c r="G1646" s="2" t="s">
        <v>286</v>
      </c>
      <c r="H1646" s="2">
        <v>20</v>
      </c>
      <c r="I1646" s="2">
        <v>0</v>
      </c>
      <c r="J1646" s="2">
        <v>39</v>
      </c>
      <c r="K1646" s="2">
        <v>7</v>
      </c>
      <c r="L1646" s="2">
        <v>4</v>
      </c>
      <c r="M1646" s="2">
        <v>6</v>
      </c>
      <c r="N1646" s="2" t="s">
        <v>95</v>
      </c>
      <c r="O1646" s="10">
        <v>3</v>
      </c>
      <c r="P1646" s="10">
        <v>1</v>
      </c>
      <c r="Q1646" s="184">
        <v>5</v>
      </c>
      <c r="R1646" s="185">
        <v>1</v>
      </c>
      <c r="S1646" s="178">
        <f t="shared" si="172"/>
        <v>4</v>
      </c>
      <c r="T1646" s="186">
        <f t="shared" si="173"/>
        <v>6</v>
      </c>
      <c r="U1646" s="179">
        <f t="shared" si="174"/>
        <v>2</v>
      </c>
      <c r="V1646" s="1">
        <f t="shared" si="175"/>
        <v>25</v>
      </c>
      <c r="W1646" s="8">
        <f t="shared" si="176"/>
        <v>6.25</v>
      </c>
      <c r="X1646" s="15">
        <f t="shared" si="177"/>
        <v>8937.5</v>
      </c>
    </row>
    <row r="1647" spans="2:24">
      <c r="B1647" s="2" t="s">
        <v>448</v>
      </c>
      <c r="C1647" s="2" t="s">
        <v>44</v>
      </c>
      <c r="D1647" s="2" t="s">
        <v>45</v>
      </c>
      <c r="E1647" s="3">
        <v>45360.447916666664</v>
      </c>
      <c r="F1647" s="2" t="s">
        <v>131</v>
      </c>
      <c r="G1647" s="2" t="s">
        <v>52</v>
      </c>
      <c r="H1647" s="2">
        <v>20</v>
      </c>
      <c r="I1647" s="2">
        <v>10</v>
      </c>
      <c r="J1647" s="2">
        <v>35</v>
      </c>
      <c r="K1647" s="2">
        <v>7</v>
      </c>
      <c r="L1647" s="2">
        <v>5</v>
      </c>
      <c r="M1647" s="2">
        <v>7</v>
      </c>
      <c r="N1647" s="2" t="s">
        <v>95</v>
      </c>
      <c r="O1647" s="10">
        <v>0</v>
      </c>
      <c r="P1647" s="10">
        <v>1</v>
      </c>
      <c r="Q1647" s="184">
        <v>2</v>
      </c>
      <c r="R1647" s="185">
        <v>2</v>
      </c>
      <c r="S1647" s="178">
        <f t="shared" si="172"/>
        <v>1</v>
      </c>
      <c r="T1647" s="186">
        <f t="shared" si="173"/>
        <v>4</v>
      </c>
      <c r="U1647" s="179">
        <f t="shared" si="174"/>
        <v>3</v>
      </c>
      <c r="V1647" s="1">
        <f t="shared" si="175"/>
        <v>25</v>
      </c>
      <c r="W1647" s="8">
        <f t="shared" si="176"/>
        <v>6.25</v>
      </c>
      <c r="X1647" s="15">
        <f t="shared" si="177"/>
        <v>8943.75</v>
      </c>
    </row>
    <row r="1648" spans="2:24">
      <c r="B1648" s="2" t="s">
        <v>448</v>
      </c>
      <c r="C1648" s="2" t="s">
        <v>77</v>
      </c>
      <c r="D1648" s="2" t="s">
        <v>156</v>
      </c>
      <c r="E1648" s="3">
        <v>45360.604166666664</v>
      </c>
      <c r="F1648" s="2" t="s">
        <v>284</v>
      </c>
      <c r="G1648" s="2" t="s">
        <v>260</v>
      </c>
      <c r="H1648" s="2">
        <v>20</v>
      </c>
      <c r="I1648" s="2">
        <v>10</v>
      </c>
      <c r="J1648" s="2">
        <v>34</v>
      </c>
      <c r="K1648" s="2">
        <v>4</v>
      </c>
      <c r="L1648" s="2">
        <v>8</v>
      </c>
      <c r="M1648" s="2"/>
      <c r="N1648" s="2" t="s">
        <v>95</v>
      </c>
      <c r="O1648" s="10">
        <v>1</v>
      </c>
      <c r="P1648" s="10">
        <v>0</v>
      </c>
      <c r="Q1648" s="184">
        <v>1</v>
      </c>
      <c r="R1648" s="185">
        <v>0</v>
      </c>
      <c r="S1648" s="178">
        <f t="shared" si="172"/>
        <v>1</v>
      </c>
      <c r="T1648" s="186">
        <f t="shared" si="173"/>
        <v>1</v>
      </c>
      <c r="U1648" s="179">
        <f t="shared" si="174"/>
        <v>0</v>
      </c>
      <c r="V1648" s="1">
        <f t="shared" si="175"/>
        <v>25</v>
      </c>
      <c r="W1648" s="8">
        <f t="shared" si="176"/>
        <v>6.25</v>
      </c>
      <c r="X1648" s="15">
        <f t="shared" si="177"/>
        <v>8950</v>
      </c>
    </row>
    <row r="1649" spans="2:24">
      <c r="B1649" s="2" t="s">
        <v>448</v>
      </c>
      <c r="C1649" s="2" t="s">
        <v>6</v>
      </c>
      <c r="D1649" s="2" t="s">
        <v>7</v>
      </c>
      <c r="E1649" s="3">
        <v>45360.625</v>
      </c>
      <c r="F1649" s="2" t="s">
        <v>307</v>
      </c>
      <c r="G1649" s="2" t="s">
        <v>163</v>
      </c>
      <c r="H1649" s="2">
        <v>20</v>
      </c>
      <c r="I1649" s="2">
        <v>10</v>
      </c>
      <c r="J1649" s="2">
        <v>31</v>
      </c>
      <c r="K1649" s="2">
        <v>6</v>
      </c>
      <c r="L1649" s="2">
        <v>9</v>
      </c>
      <c r="M1649" s="2"/>
      <c r="N1649" s="2" t="s">
        <v>95</v>
      </c>
      <c r="O1649" s="10">
        <v>1</v>
      </c>
      <c r="P1649" s="10">
        <v>0</v>
      </c>
      <c r="Q1649" s="184">
        <v>3</v>
      </c>
      <c r="R1649" s="185">
        <v>2</v>
      </c>
      <c r="S1649" s="178">
        <f t="shared" si="172"/>
        <v>1</v>
      </c>
      <c r="T1649" s="186">
        <f t="shared" si="173"/>
        <v>5</v>
      </c>
      <c r="U1649" s="179">
        <f t="shared" si="174"/>
        <v>4</v>
      </c>
      <c r="V1649" s="1">
        <f t="shared" si="175"/>
        <v>25</v>
      </c>
      <c r="W1649" s="8">
        <f t="shared" si="176"/>
        <v>6.25</v>
      </c>
      <c r="X1649" s="15">
        <f t="shared" si="177"/>
        <v>8956.25</v>
      </c>
    </row>
    <row r="1650" spans="2:24">
      <c r="B1650" s="2" t="s">
        <v>448</v>
      </c>
      <c r="C1650" s="2" t="s">
        <v>77</v>
      </c>
      <c r="D1650" s="2" t="s">
        <v>156</v>
      </c>
      <c r="E1650" s="3">
        <v>45360.729166666664</v>
      </c>
      <c r="F1650" s="2" t="s">
        <v>254</v>
      </c>
      <c r="G1650" s="2" t="s">
        <v>552</v>
      </c>
      <c r="H1650" s="2">
        <v>20</v>
      </c>
      <c r="I1650" s="2">
        <v>10</v>
      </c>
      <c r="J1650" s="2">
        <v>32</v>
      </c>
      <c r="K1650" s="2">
        <v>7</v>
      </c>
      <c r="L1650" s="2">
        <v>6</v>
      </c>
      <c r="M1650" s="2"/>
      <c r="N1650" s="2" t="s">
        <v>95</v>
      </c>
      <c r="O1650" s="10">
        <v>0</v>
      </c>
      <c r="P1650" s="10">
        <v>2</v>
      </c>
      <c r="Q1650" s="184">
        <v>1</v>
      </c>
      <c r="R1650" s="185">
        <v>2</v>
      </c>
      <c r="S1650" s="178">
        <f t="shared" si="172"/>
        <v>2</v>
      </c>
      <c r="T1650" s="186">
        <f t="shared" si="173"/>
        <v>3</v>
      </c>
      <c r="U1650" s="179">
        <f t="shared" si="174"/>
        <v>1</v>
      </c>
      <c r="V1650" s="1">
        <f t="shared" si="175"/>
        <v>25</v>
      </c>
      <c r="W1650" s="8">
        <f t="shared" si="176"/>
        <v>6.25</v>
      </c>
      <c r="X1650" s="15">
        <f t="shared" si="177"/>
        <v>8962.5</v>
      </c>
    </row>
    <row r="1651" spans="2:24">
      <c r="B1651" s="2" t="s">
        <v>448</v>
      </c>
      <c r="C1651" s="2" t="s">
        <v>410</v>
      </c>
      <c r="D1651" s="2" t="s">
        <v>411</v>
      </c>
      <c r="E1651" s="3">
        <v>45361.583333333336</v>
      </c>
      <c r="F1651" s="2" t="s">
        <v>459</v>
      </c>
      <c r="G1651" s="2" t="s">
        <v>558</v>
      </c>
      <c r="H1651" s="2">
        <v>20</v>
      </c>
      <c r="I1651" s="2">
        <v>5</v>
      </c>
      <c r="J1651" s="2">
        <v>35</v>
      </c>
      <c r="K1651" s="2">
        <v>8</v>
      </c>
      <c r="L1651" s="2">
        <v>4</v>
      </c>
      <c r="M1651" s="2">
        <v>9</v>
      </c>
      <c r="N1651" s="2" t="s">
        <v>95</v>
      </c>
      <c r="O1651" s="10">
        <v>0</v>
      </c>
      <c r="P1651" s="10">
        <v>1</v>
      </c>
      <c r="Q1651" s="184">
        <v>0</v>
      </c>
      <c r="R1651" s="185">
        <v>2</v>
      </c>
      <c r="S1651" s="178">
        <f t="shared" si="172"/>
        <v>1</v>
      </c>
      <c r="T1651" s="186">
        <f t="shared" si="173"/>
        <v>2</v>
      </c>
      <c r="U1651" s="179">
        <f t="shared" si="174"/>
        <v>1</v>
      </c>
      <c r="V1651" s="1">
        <f t="shared" si="175"/>
        <v>25</v>
      </c>
      <c r="W1651" s="8">
        <f t="shared" si="176"/>
        <v>6.25</v>
      </c>
      <c r="X1651" s="15">
        <f t="shared" si="177"/>
        <v>8968.75</v>
      </c>
    </row>
    <row r="1652" spans="2:24">
      <c r="B1652" s="2" t="s">
        <v>448</v>
      </c>
      <c r="C1652" s="2" t="s">
        <v>77</v>
      </c>
      <c r="D1652" s="2" t="s">
        <v>156</v>
      </c>
      <c r="E1652" s="3">
        <v>45367.604166666664</v>
      </c>
      <c r="F1652" s="2" t="s">
        <v>161</v>
      </c>
      <c r="G1652" s="2" t="s">
        <v>284</v>
      </c>
      <c r="H1652" s="2">
        <v>20</v>
      </c>
      <c r="I1652" s="2">
        <v>5</v>
      </c>
      <c r="J1652" s="2">
        <v>34</v>
      </c>
      <c r="K1652" s="2">
        <v>6</v>
      </c>
      <c r="L1652" s="2">
        <v>8</v>
      </c>
      <c r="M1652" s="2">
        <v>5</v>
      </c>
      <c r="N1652" s="2" t="s">
        <v>95</v>
      </c>
      <c r="O1652" s="10">
        <v>1</v>
      </c>
      <c r="P1652" s="10">
        <v>1</v>
      </c>
      <c r="Q1652" s="184">
        <v>1</v>
      </c>
      <c r="R1652" s="185">
        <v>3</v>
      </c>
      <c r="S1652" s="178">
        <f t="shared" si="172"/>
        <v>2</v>
      </c>
      <c r="T1652" s="186">
        <f t="shared" si="173"/>
        <v>4</v>
      </c>
      <c r="U1652" s="179">
        <f t="shared" si="174"/>
        <v>2</v>
      </c>
      <c r="V1652" s="1">
        <f t="shared" si="175"/>
        <v>25</v>
      </c>
      <c r="W1652" s="8">
        <f t="shared" si="176"/>
        <v>6.25</v>
      </c>
      <c r="X1652" s="15">
        <f t="shared" si="177"/>
        <v>8975</v>
      </c>
    </row>
    <row r="1653" spans="2:24">
      <c r="B1653" s="2" t="s">
        <v>448</v>
      </c>
      <c r="C1653" s="2" t="s">
        <v>6</v>
      </c>
      <c r="D1653" s="2" t="s">
        <v>7</v>
      </c>
      <c r="E1653" s="3">
        <v>45368.583333333336</v>
      </c>
      <c r="F1653" s="2" t="s">
        <v>302</v>
      </c>
      <c r="G1653" s="2" t="s">
        <v>9</v>
      </c>
      <c r="H1653" s="2">
        <v>20</v>
      </c>
      <c r="I1653" s="2">
        <v>10</v>
      </c>
      <c r="J1653" s="2">
        <v>36</v>
      </c>
      <c r="K1653" s="2">
        <v>9</v>
      </c>
      <c r="L1653" s="2">
        <v>12</v>
      </c>
      <c r="M1653" s="2">
        <v>3</v>
      </c>
      <c r="N1653" s="2" t="s">
        <v>95</v>
      </c>
      <c r="O1653" s="10">
        <v>1</v>
      </c>
      <c r="P1653" s="10">
        <v>0</v>
      </c>
      <c r="Q1653" s="184">
        <v>3</v>
      </c>
      <c r="R1653" s="185">
        <v>1</v>
      </c>
      <c r="S1653" s="178">
        <f t="shared" si="172"/>
        <v>1</v>
      </c>
      <c r="T1653" s="186">
        <f t="shared" si="173"/>
        <v>4</v>
      </c>
      <c r="U1653" s="179">
        <f t="shared" si="174"/>
        <v>3</v>
      </c>
      <c r="V1653" s="1">
        <f t="shared" si="175"/>
        <v>25</v>
      </c>
      <c r="W1653" s="8">
        <f t="shared" si="176"/>
        <v>6.25</v>
      </c>
      <c r="X1653" s="15">
        <f t="shared" si="177"/>
        <v>8981.25</v>
      </c>
    </row>
    <row r="1654" spans="2:24">
      <c r="B1654" s="2" t="s">
        <v>448</v>
      </c>
      <c r="C1654" s="2" t="s">
        <v>6</v>
      </c>
      <c r="D1654" s="2" t="s">
        <v>7</v>
      </c>
      <c r="E1654" s="3">
        <v>45374.520833333336</v>
      </c>
      <c r="F1654" s="2" t="s">
        <v>307</v>
      </c>
      <c r="G1654" s="2" t="s">
        <v>27</v>
      </c>
      <c r="H1654" s="2">
        <v>20</v>
      </c>
      <c r="I1654" s="2">
        <v>10</v>
      </c>
      <c r="J1654" s="2">
        <v>35</v>
      </c>
      <c r="K1654" s="2">
        <v>8</v>
      </c>
      <c r="L1654" s="2">
        <v>9</v>
      </c>
      <c r="M1654" s="2">
        <v>4</v>
      </c>
      <c r="N1654" s="2" t="s">
        <v>95</v>
      </c>
      <c r="O1654" s="10">
        <v>0</v>
      </c>
      <c r="P1654" s="10">
        <v>1</v>
      </c>
      <c r="Q1654" s="184">
        <v>1</v>
      </c>
      <c r="R1654" s="185">
        <v>1</v>
      </c>
      <c r="S1654" s="178">
        <f t="shared" si="172"/>
        <v>1</v>
      </c>
      <c r="T1654" s="186">
        <f t="shared" si="173"/>
        <v>2</v>
      </c>
      <c r="U1654" s="179">
        <f t="shared" si="174"/>
        <v>1</v>
      </c>
      <c r="V1654" s="1">
        <f t="shared" si="175"/>
        <v>25</v>
      </c>
      <c r="W1654" s="8">
        <f t="shared" si="176"/>
        <v>6.25</v>
      </c>
      <c r="X1654" s="15">
        <f t="shared" si="177"/>
        <v>8987.5</v>
      </c>
    </row>
    <row r="1655" spans="2:24">
      <c r="B1655" s="2" t="s">
        <v>448</v>
      </c>
      <c r="C1655" s="2" t="s">
        <v>6</v>
      </c>
      <c r="D1655" s="2" t="s">
        <v>7</v>
      </c>
      <c r="E1655" s="3">
        <v>45374.625</v>
      </c>
      <c r="F1655" s="2" t="s">
        <v>113</v>
      </c>
      <c r="G1655" s="2" t="s">
        <v>614</v>
      </c>
      <c r="H1655" s="2">
        <v>20</v>
      </c>
      <c r="I1655" s="2">
        <v>5</v>
      </c>
      <c r="J1655" s="2">
        <v>38</v>
      </c>
      <c r="K1655" s="2">
        <v>8</v>
      </c>
      <c r="L1655" s="2">
        <v>8</v>
      </c>
      <c r="M1655" s="2">
        <v>5</v>
      </c>
      <c r="N1655" s="2" t="s">
        <v>95</v>
      </c>
      <c r="O1655" s="10">
        <v>0</v>
      </c>
      <c r="P1655" s="10">
        <v>3</v>
      </c>
      <c r="Q1655" s="184">
        <v>1</v>
      </c>
      <c r="R1655" s="185">
        <v>3</v>
      </c>
      <c r="S1655" s="178">
        <f t="shared" si="172"/>
        <v>3</v>
      </c>
      <c r="T1655" s="186">
        <f t="shared" si="173"/>
        <v>4</v>
      </c>
      <c r="U1655" s="179">
        <f t="shared" si="174"/>
        <v>1</v>
      </c>
      <c r="V1655" s="1">
        <f t="shared" si="175"/>
        <v>25</v>
      </c>
      <c r="W1655" s="8">
        <f t="shared" si="176"/>
        <v>6.25</v>
      </c>
      <c r="X1655" s="15">
        <f t="shared" si="177"/>
        <v>8993.75</v>
      </c>
    </row>
    <row r="1656" spans="2:24">
      <c r="B1656" s="2" t="s">
        <v>448</v>
      </c>
      <c r="C1656" s="2" t="s">
        <v>6</v>
      </c>
      <c r="D1656" s="2" t="s">
        <v>11</v>
      </c>
      <c r="E1656" s="3">
        <v>45380.625</v>
      </c>
      <c r="F1656" s="2" t="s">
        <v>12</v>
      </c>
      <c r="G1656" s="2" t="s">
        <v>585</v>
      </c>
      <c r="H1656" s="2">
        <v>20</v>
      </c>
      <c r="I1656" s="2">
        <v>10</v>
      </c>
      <c r="J1656" s="2">
        <v>31</v>
      </c>
      <c r="K1656" s="2">
        <v>4</v>
      </c>
      <c r="L1656" s="2">
        <v>4</v>
      </c>
      <c r="M1656" s="2">
        <v>7</v>
      </c>
      <c r="N1656" s="2" t="s">
        <v>95</v>
      </c>
      <c r="O1656" s="10">
        <v>0</v>
      </c>
      <c r="P1656" s="10">
        <v>1</v>
      </c>
      <c r="Q1656" s="184">
        <v>1</v>
      </c>
      <c r="R1656" s="185">
        <v>3</v>
      </c>
      <c r="S1656" s="178">
        <f t="shared" si="172"/>
        <v>1</v>
      </c>
      <c r="T1656" s="186">
        <f t="shared" si="173"/>
        <v>4</v>
      </c>
      <c r="U1656" s="179">
        <f t="shared" si="174"/>
        <v>3</v>
      </c>
      <c r="V1656" s="1">
        <f t="shared" si="175"/>
        <v>25</v>
      </c>
      <c r="W1656" s="8">
        <f t="shared" si="176"/>
        <v>6.25</v>
      </c>
      <c r="X1656" s="15">
        <f t="shared" si="177"/>
        <v>9000</v>
      </c>
    </row>
    <row r="1657" spans="2:24">
      <c r="B1657" s="2" t="s">
        <v>448</v>
      </c>
      <c r="C1657" s="2" t="s">
        <v>410</v>
      </c>
      <c r="D1657" s="2" t="s">
        <v>411</v>
      </c>
      <c r="E1657" s="3">
        <v>45381.583333333336</v>
      </c>
      <c r="F1657" s="2" t="s">
        <v>580</v>
      </c>
      <c r="G1657" s="2" t="s">
        <v>460</v>
      </c>
      <c r="H1657" s="2">
        <v>20</v>
      </c>
      <c r="I1657" s="2">
        <v>10</v>
      </c>
      <c r="J1657" s="2">
        <v>35</v>
      </c>
      <c r="K1657" s="2">
        <v>4</v>
      </c>
      <c r="L1657" s="2">
        <v>11</v>
      </c>
      <c r="M1657" s="2">
        <v>8</v>
      </c>
      <c r="N1657" s="2" t="s">
        <v>95</v>
      </c>
      <c r="O1657" s="10">
        <v>2</v>
      </c>
      <c r="P1657" s="10">
        <v>0</v>
      </c>
      <c r="Q1657" s="184">
        <v>6</v>
      </c>
      <c r="R1657" s="185">
        <v>0</v>
      </c>
      <c r="S1657" s="178">
        <f t="shared" si="172"/>
        <v>2</v>
      </c>
      <c r="T1657" s="186">
        <f t="shared" si="173"/>
        <v>6</v>
      </c>
      <c r="U1657" s="179">
        <f t="shared" si="174"/>
        <v>4</v>
      </c>
      <c r="V1657" s="1">
        <f t="shared" si="175"/>
        <v>25</v>
      </c>
      <c r="W1657" s="8">
        <f t="shared" si="176"/>
        <v>6.25</v>
      </c>
      <c r="X1657" s="15">
        <f t="shared" si="177"/>
        <v>9006.25</v>
      </c>
    </row>
    <row r="1658" spans="2:24">
      <c r="B1658" s="2" t="s">
        <v>448</v>
      </c>
      <c r="C1658" s="2" t="s">
        <v>77</v>
      </c>
      <c r="D1658" s="2" t="s">
        <v>156</v>
      </c>
      <c r="E1658" s="3">
        <v>45381.604166666664</v>
      </c>
      <c r="F1658" s="2" t="s">
        <v>254</v>
      </c>
      <c r="G1658" s="2" t="s">
        <v>161</v>
      </c>
      <c r="H1658" s="2">
        <v>20</v>
      </c>
      <c r="I1658" s="2">
        <v>10</v>
      </c>
      <c r="J1658" s="2">
        <v>34</v>
      </c>
      <c r="K1658" s="2">
        <v>6</v>
      </c>
      <c r="L1658" s="2">
        <v>9</v>
      </c>
      <c r="M1658" s="2">
        <v>3</v>
      </c>
      <c r="N1658" s="2" t="s">
        <v>95</v>
      </c>
      <c r="O1658" s="10">
        <v>0</v>
      </c>
      <c r="P1658" s="10">
        <v>1</v>
      </c>
      <c r="Q1658" s="184">
        <v>0</v>
      </c>
      <c r="R1658" s="185">
        <v>2</v>
      </c>
      <c r="S1658" s="178">
        <f t="shared" si="172"/>
        <v>1</v>
      </c>
      <c r="T1658" s="186">
        <f t="shared" si="173"/>
        <v>2</v>
      </c>
      <c r="U1658" s="179">
        <f t="shared" si="174"/>
        <v>1</v>
      </c>
      <c r="V1658" s="1">
        <f t="shared" si="175"/>
        <v>25</v>
      </c>
      <c r="W1658" s="8">
        <f t="shared" si="176"/>
        <v>6.25</v>
      </c>
      <c r="X1658" s="15">
        <f t="shared" si="177"/>
        <v>9012.5</v>
      </c>
    </row>
    <row r="1659" spans="2:24">
      <c r="B1659" s="2" t="s">
        <v>448</v>
      </c>
      <c r="C1659" s="2" t="s">
        <v>145</v>
      </c>
      <c r="D1659" s="2" t="s">
        <v>268</v>
      </c>
      <c r="E1659" s="3">
        <v>45381.75</v>
      </c>
      <c r="F1659" s="2" t="s">
        <v>638</v>
      </c>
      <c r="G1659" s="2" t="s">
        <v>639</v>
      </c>
      <c r="H1659" s="2">
        <v>20</v>
      </c>
      <c r="I1659" s="2">
        <v>10</v>
      </c>
      <c r="J1659" s="2">
        <v>37</v>
      </c>
      <c r="K1659" s="2">
        <v>8</v>
      </c>
      <c r="L1659" s="2">
        <v>4</v>
      </c>
      <c r="M1659" s="2">
        <v>5</v>
      </c>
      <c r="N1659" s="2" t="s">
        <v>95</v>
      </c>
      <c r="O1659" s="10">
        <v>0</v>
      </c>
      <c r="P1659" s="10">
        <v>1</v>
      </c>
      <c r="Q1659" s="184">
        <v>2</v>
      </c>
      <c r="R1659" s="185">
        <v>3</v>
      </c>
      <c r="S1659" s="178">
        <f t="shared" si="172"/>
        <v>1</v>
      </c>
      <c r="T1659" s="186">
        <f t="shared" si="173"/>
        <v>5</v>
      </c>
      <c r="U1659" s="179">
        <f t="shared" si="174"/>
        <v>4</v>
      </c>
      <c r="V1659" s="1">
        <f t="shared" si="175"/>
        <v>25</v>
      </c>
      <c r="W1659" s="8">
        <f t="shared" si="176"/>
        <v>6.25</v>
      </c>
      <c r="X1659" s="15">
        <f t="shared" si="177"/>
        <v>9018.75</v>
      </c>
    </row>
    <row r="1660" spans="2:24">
      <c r="B1660" s="2" t="s">
        <v>448</v>
      </c>
      <c r="C1660" s="2" t="s">
        <v>44</v>
      </c>
      <c r="D1660" s="2" t="s">
        <v>45</v>
      </c>
      <c r="E1660" s="3">
        <v>45385.489583333336</v>
      </c>
      <c r="F1660" s="2" t="s">
        <v>131</v>
      </c>
      <c r="G1660" s="2" t="s">
        <v>46</v>
      </c>
      <c r="H1660" s="2">
        <v>20</v>
      </c>
      <c r="I1660" s="2">
        <v>10</v>
      </c>
      <c r="J1660" s="2">
        <v>42</v>
      </c>
      <c r="K1660" s="2">
        <v>10</v>
      </c>
      <c r="L1660" s="2">
        <v>6</v>
      </c>
      <c r="M1660" s="2">
        <v>7</v>
      </c>
      <c r="N1660" s="2" t="s">
        <v>95</v>
      </c>
      <c r="O1660" s="10">
        <v>1</v>
      </c>
      <c r="P1660" s="10">
        <v>1</v>
      </c>
      <c r="Q1660" s="184">
        <v>1</v>
      </c>
      <c r="R1660" s="185">
        <v>1</v>
      </c>
      <c r="S1660" s="178">
        <f t="shared" si="172"/>
        <v>2</v>
      </c>
      <c r="T1660" s="186">
        <f t="shared" si="173"/>
        <v>2</v>
      </c>
      <c r="U1660" s="179">
        <f t="shared" si="174"/>
        <v>0</v>
      </c>
      <c r="V1660" s="1">
        <f t="shared" si="175"/>
        <v>25</v>
      </c>
      <c r="W1660" s="8">
        <f t="shared" si="176"/>
        <v>6.25</v>
      </c>
      <c r="X1660" s="15">
        <f t="shared" si="177"/>
        <v>9025</v>
      </c>
    </row>
    <row r="1661" spans="2:24">
      <c r="B1661" s="2" t="s">
        <v>448</v>
      </c>
      <c r="C1661" s="2" t="s">
        <v>58</v>
      </c>
      <c r="D1661" s="2" t="s">
        <v>289</v>
      </c>
      <c r="E1661" s="3">
        <v>45387.75</v>
      </c>
      <c r="F1661" s="2" t="s">
        <v>416</v>
      </c>
      <c r="G1661" s="2" t="s">
        <v>452</v>
      </c>
      <c r="H1661" s="2">
        <v>20</v>
      </c>
      <c r="I1661" s="2">
        <v>5</v>
      </c>
      <c r="J1661" s="2">
        <v>34</v>
      </c>
      <c r="K1661" s="2">
        <v>6</v>
      </c>
      <c r="L1661" s="2">
        <v>6</v>
      </c>
      <c r="M1661" s="2">
        <v>11</v>
      </c>
      <c r="N1661" s="2" t="s">
        <v>95</v>
      </c>
      <c r="O1661" s="10">
        <v>2</v>
      </c>
      <c r="P1661" s="10">
        <v>1</v>
      </c>
      <c r="Q1661" s="184">
        <v>2</v>
      </c>
      <c r="R1661" s="185">
        <v>1</v>
      </c>
      <c r="S1661" s="178">
        <f t="shared" si="172"/>
        <v>3</v>
      </c>
      <c r="T1661" s="186">
        <f t="shared" si="173"/>
        <v>3</v>
      </c>
      <c r="U1661" s="179">
        <f t="shared" si="174"/>
        <v>0</v>
      </c>
      <c r="V1661" s="1">
        <f t="shared" si="175"/>
        <v>25</v>
      </c>
      <c r="W1661" s="8">
        <f t="shared" si="176"/>
        <v>6.25</v>
      </c>
      <c r="X1661" s="15">
        <f t="shared" si="177"/>
        <v>9031.25</v>
      </c>
    </row>
    <row r="1662" spans="2:24">
      <c r="B1662" s="2" t="s">
        <v>448</v>
      </c>
      <c r="C1662" s="2" t="s">
        <v>77</v>
      </c>
      <c r="D1662" s="2" t="s">
        <v>156</v>
      </c>
      <c r="E1662" s="3">
        <v>45389.604166666664</v>
      </c>
      <c r="F1662" s="2" t="s">
        <v>158</v>
      </c>
      <c r="G1662" s="2" t="s">
        <v>284</v>
      </c>
      <c r="H1662" s="2">
        <v>20</v>
      </c>
      <c r="I1662" s="2">
        <v>10</v>
      </c>
      <c r="J1662" s="2">
        <v>39</v>
      </c>
      <c r="K1662" s="2">
        <v>5</v>
      </c>
      <c r="L1662" s="2">
        <v>9</v>
      </c>
      <c r="M1662" s="2">
        <v>9</v>
      </c>
      <c r="N1662" s="2" t="s">
        <v>95</v>
      </c>
      <c r="O1662" s="10">
        <v>2</v>
      </c>
      <c r="P1662" s="10">
        <v>0</v>
      </c>
      <c r="Q1662" s="184">
        <v>3</v>
      </c>
      <c r="R1662" s="185">
        <v>1</v>
      </c>
      <c r="S1662" s="178">
        <f t="shared" si="172"/>
        <v>2</v>
      </c>
      <c r="T1662" s="186">
        <f t="shared" si="173"/>
        <v>4</v>
      </c>
      <c r="U1662" s="179">
        <f t="shared" si="174"/>
        <v>2</v>
      </c>
      <c r="V1662" s="1">
        <f t="shared" si="175"/>
        <v>25</v>
      </c>
      <c r="W1662" s="8">
        <f t="shared" si="176"/>
        <v>6.25</v>
      </c>
      <c r="X1662" s="15">
        <f t="shared" si="177"/>
        <v>9037.5</v>
      </c>
    </row>
    <row r="1663" spans="2:24">
      <c r="B1663" s="2" t="s">
        <v>448</v>
      </c>
      <c r="C1663" s="2" t="s">
        <v>77</v>
      </c>
      <c r="D1663" s="2" t="s">
        <v>156</v>
      </c>
      <c r="E1663" s="3">
        <v>45389.6875</v>
      </c>
      <c r="F1663" s="2" t="s">
        <v>161</v>
      </c>
      <c r="G1663" s="2" t="s">
        <v>167</v>
      </c>
      <c r="H1663" s="2">
        <v>20</v>
      </c>
      <c r="I1663" s="2">
        <v>10</v>
      </c>
      <c r="J1663" s="2">
        <v>32</v>
      </c>
      <c r="K1663" s="2">
        <v>8</v>
      </c>
      <c r="L1663" s="2">
        <v>5</v>
      </c>
      <c r="M1663" s="2">
        <v>6</v>
      </c>
      <c r="N1663" s="2" t="s">
        <v>95</v>
      </c>
      <c r="O1663" s="10">
        <v>1</v>
      </c>
      <c r="P1663" s="10">
        <v>0</v>
      </c>
      <c r="Q1663" s="184">
        <v>1</v>
      </c>
      <c r="R1663" s="185">
        <v>3</v>
      </c>
      <c r="S1663" s="178">
        <f t="shared" si="172"/>
        <v>1</v>
      </c>
      <c r="T1663" s="186">
        <f t="shared" si="173"/>
        <v>4</v>
      </c>
      <c r="U1663" s="179">
        <f t="shared" si="174"/>
        <v>3</v>
      </c>
      <c r="V1663" s="1">
        <f t="shared" si="175"/>
        <v>25</v>
      </c>
      <c r="W1663" s="8">
        <f t="shared" si="176"/>
        <v>6.25</v>
      </c>
      <c r="X1663" s="15">
        <f t="shared" si="177"/>
        <v>9043.75</v>
      </c>
    </row>
    <row r="1664" spans="2:24">
      <c r="B1664" s="2" t="s">
        <v>448</v>
      </c>
      <c r="C1664" s="2" t="s">
        <v>6</v>
      </c>
      <c r="D1664" s="2" t="s">
        <v>62</v>
      </c>
      <c r="E1664" s="3">
        <v>45389.75</v>
      </c>
      <c r="F1664" s="2" t="s">
        <v>116</v>
      </c>
      <c r="G1664" s="2" t="s">
        <v>264</v>
      </c>
      <c r="H1664" s="2">
        <v>20</v>
      </c>
      <c r="I1664" s="2">
        <v>5</v>
      </c>
      <c r="J1664" s="2">
        <v>32</v>
      </c>
      <c r="K1664" s="2">
        <v>7</v>
      </c>
      <c r="L1664" s="2">
        <v>6</v>
      </c>
      <c r="M1664" s="2">
        <v>6</v>
      </c>
      <c r="N1664" s="2" t="s">
        <v>95</v>
      </c>
      <c r="O1664" s="10">
        <v>1</v>
      </c>
      <c r="P1664" s="10">
        <v>1</v>
      </c>
      <c r="Q1664" s="184">
        <v>3</v>
      </c>
      <c r="R1664" s="185">
        <v>1</v>
      </c>
      <c r="S1664" s="178">
        <f t="shared" si="172"/>
        <v>2</v>
      </c>
      <c r="T1664" s="186">
        <f t="shared" si="173"/>
        <v>4</v>
      </c>
      <c r="U1664" s="179">
        <f t="shared" si="174"/>
        <v>2</v>
      </c>
      <c r="V1664" s="1">
        <f t="shared" si="175"/>
        <v>25</v>
      </c>
      <c r="W1664" s="8">
        <f t="shared" si="176"/>
        <v>6.25</v>
      </c>
      <c r="X1664" s="15">
        <f t="shared" si="177"/>
        <v>9050</v>
      </c>
    </row>
    <row r="1665" spans="2:24">
      <c r="B1665" s="2" t="s">
        <v>448</v>
      </c>
      <c r="C1665" s="2" t="s">
        <v>77</v>
      </c>
      <c r="D1665" s="2" t="s">
        <v>156</v>
      </c>
      <c r="E1665" s="3">
        <v>45395.604166666664</v>
      </c>
      <c r="F1665" s="2" t="s">
        <v>181</v>
      </c>
      <c r="G1665" s="2" t="s">
        <v>161</v>
      </c>
      <c r="H1665" s="2">
        <v>20</v>
      </c>
      <c r="I1665" s="2">
        <v>10</v>
      </c>
      <c r="J1665" s="2">
        <v>33</v>
      </c>
      <c r="K1665" s="2">
        <v>6</v>
      </c>
      <c r="L1665" s="2">
        <v>8</v>
      </c>
      <c r="M1665" s="2">
        <v>1</v>
      </c>
      <c r="N1665" s="2" t="s">
        <v>95</v>
      </c>
      <c r="O1665" s="10">
        <v>1</v>
      </c>
      <c r="P1665" s="10">
        <v>0</v>
      </c>
      <c r="Q1665" s="184">
        <v>3</v>
      </c>
      <c r="R1665" s="185">
        <v>0</v>
      </c>
      <c r="S1665" s="178">
        <f t="shared" ref="S1665:S1723" si="178">SUM(O1665:P1665)</f>
        <v>1</v>
      </c>
      <c r="T1665" s="186">
        <f t="shared" ref="T1665:T1723" si="179">SUM(Q1665:R1665)</f>
        <v>3</v>
      </c>
      <c r="U1665" s="179">
        <f t="shared" ref="U1665:U1723" si="180">SUM(T1665-S1665)</f>
        <v>2</v>
      </c>
      <c r="V1665" s="1">
        <f t="shared" si="175"/>
        <v>25</v>
      </c>
      <c r="W1665" s="8">
        <f t="shared" si="176"/>
        <v>6.25</v>
      </c>
      <c r="X1665" s="15">
        <f t="shared" si="177"/>
        <v>9056.25</v>
      </c>
    </row>
    <row r="1666" spans="2:24">
      <c r="B1666" s="2" t="s">
        <v>448</v>
      </c>
      <c r="C1666" s="2" t="s">
        <v>6</v>
      </c>
      <c r="D1666" s="2" t="s">
        <v>7</v>
      </c>
      <c r="E1666" s="3">
        <v>45395.625</v>
      </c>
      <c r="F1666" s="2" t="s">
        <v>114</v>
      </c>
      <c r="G1666" s="2" t="s">
        <v>8</v>
      </c>
      <c r="H1666" s="2">
        <v>20</v>
      </c>
      <c r="I1666" s="2">
        <v>10</v>
      </c>
      <c r="J1666" s="2">
        <v>32</v>
      </c>
      <c r="K1666" s="2">
        <v>7</v>
      </c>
      <c r="L1666" s="2">
        <v>11</v>
      </c>
      <c r="M1666" s="2">
        <v>6</v>
      </c>
      <c r="N1666" s="2" t="s">
        <v>95</v>
      </c>
      <c r="O1666" s="10">
        <v>0</v>
      </c>
      <c r="P1666" s="10">
        <v>2</v>
      </c>
      <c r="Q1666" s="184">
        <v>1</v>
      </c>
      <c r="R1666" s="185">
        <v>3</v>
      </c>
      <c r="S1666" s="178">
        <f t="shared" si="178"/>
        <v>2</v>
      </c>
      <c r="T1666" s="186">
        <f t="shared" si="179"/>
        <v>4</v>
      </c>
      <c r="U1666" s="179">
        <f t="shared" si="180"/>
        <v>2</v>
      </c>
      <c r="V1666" s="1">
        <f t="shared" si="175"/>
        <v>25</v>
      </c>
      <c r="W1666" s="8">
        <f t="shared" si="176"/>
        <v>6.25</v>
      </c>
      <c r="X1666" s="15">
        <f t="shared" si="177"/>
        <v>9062.5</v>
      </c>
    </row>
    <row r="1667" spans="2:24">
      <c r="B1667" s="2" t="s">
        <v>448</v>
      </c>
      <c r="C1667" s="2" t="s">
        <v>6</v>
      </c>
      <c r="D1667" s="2" t="s">
        <v>11</v>
      </c>
      <c r="E1667" s="3">
        <v>45398.822916666664</v>
      </c>
      <c r="F1667" s="2" t="s">
        <v>634</v>
      </c>
      <c r="G1667" s="2" t="s">
        <v>742</v>
      </c>
      <c r="H1667" s="2">
        <v>20</v>
      </c>
      <c r="I1667" s="2">
        <v>0</v>
      </c>
      <c r="J1667" s="2">
        <v>39</v>
      </c>
      <c r="K1667" s="2">
        <v>8</v>
      </c>
      <c r="L1667" s="2">
        <v>4</v>
      </c>
      <c r="M1667" s="2">
        <v>9</v>
      </c>
      <c r="N1667" s="2" t="s">
        <v>95</v>
      </c>
      <c r="O1667" s="10">
        <v>1</v>
      </c>
      <c r="P1667" s="10">
        <v>1</v>
      </c>
      <c r="Q1667" s="184">
        <v>3</v>
      </c>
      <c r="R1667" s="185">
        <v>2</v>
      </c>
      <c r="S1667" s="178">
        <f t="shared" si="178"/>
        <v>2</v>
      </c>
      <c r="T1667" s="186">
        <f t="shared" si="179"/>
        <v>5</v>
      </c>
      <c r="U1667" s="179">
        <f t="shared" si="180"/>
        <v>3</v>
      </c>
      <c r="V1667" s="1">
        <f t="shared" si="175"/>
        <v>25</v>
      </c>
      <c r="W1667" s="8">
        <f t="shared" si="176"/>
        <v>6.25</v>
      </c>
      <c r="X1667" s="15">
        <f t="shared" si="177"/>
        <v>9068.75</v>
      </c>
    </row>
    <row r="1668" spans="2:24">
      <c r="B1668" s="2" t="s">
        <v>448</v>
      </c>
      <c r="C1668" s="2" t="s">
        <v>44</v>
      </c>
      <c r="D1668" s="2" t="s">
        <v>45</v>
      </c>
      <c r="E1668" s="3">
        <v>45402.447916666664</v>
      </c>
      <c r="F1668" s="2" t="s">
        <v>143</v>
      </c>
      <c r="G1668" s="2" t="s">
        <v>46</v>
      </c>
      <c r="H1668" s="2">
        <v>20</v>
      </c>
      <c r="I1668" s="2">
        <v>10</v>
      </c>
      <c r="J1668" s="2">
        <v>42</v>
      </c>
      <c r="K1668" s="2">
        <v>13</v>
      </c>
      <c r="L1668" s="2">
        <v>8</v>
      </c>
      <c r="M1668" s="2">
        <v>6</v>
      </c>
      <c r="N1668" s="2" t="s">
        <v>95</v>
      </c>
      <c r="O1668" s="10">
        <v>1</v>
      </c>
      <c r="P1668" s="10">
        <v>0</v>
      </c>
      <c r="Q1668" s="184">
        <v>1</v>
      </c>
      <c r="R1668" s="185">
        <v>0</v>
      </c>
      <c r="S1668" s="178">
        <f t="shared" si="178"/>
        <v>1</v>
      </c>
      <c r="T1668" s="186">
        <f t="shared" si="179"/>
        <v>1</v>
      </c>
      <c r="U1668" s="179">
        <f t="shared" si="180"/>
        <v>0</v>
      </c>
      <c r="V1668" s="1">
        <f t="shared" si="175"/>
        <v>25</v>
      </c>
      <c r="W1668" s="8">
        <f t="shared" si="176"/>
        <v>6.25</v>
      </c>
      <c r="X1668" s="15">
        <f t="shared" si="177"/>
        <v>9075</v>
      </c>
    </row>
    <row r="1669" spans="2:24">
      <c r="B1669" s="2" t="s">
        <v>448</v>
      </c>
      <c r="C1669" s="2" t="s">
        <v>6</v>
      </c>
      <c r="D1669" s="2" t="s">
        <v>7</v>
      </c>
      <c r="E1669" s="3">
        <v>45402.625</v>
      </c>
      <c r="F1669" s="2" t="s">
        <v>705</v>
      </c>
      <c r="G1669" s="2" t="s">
        <v>418</v>
      </c>
      <c r="H1669" s="2">
        <v>20</v>
      </c>
      <c r="I1669" s="2">
        <v>10</v>
      </c>
      <c r="J1669" s="2">
        <v>31</v>
      </c>
      <c r="K1669" s="2">
        <v>6</v>
      </c>
      <c r="L1669" s="2">
        <v>6</v>
      </c>
      <c r="M1669" s="2">
        <v>5</v>
      </c>
      <c r="N1669" s="2" t="s">
        <v>95</v>
      </c>
      <c r="O1669" s="10">
        <v>0</v>
      </c>
      <c r="P1669" s="10">
        <v>2</v>
      </c>
      <c r="Q1669" s="184">
        <v>4</v>
      </c>
      <c r="R1669" s="185">
        <v>2</v>
      </c>
      <c r="S1669" s="178">
        <f t="shared" si="178"/>
        <v>2</v>
      </c>
      <c r="T1669" s="186">
        <f t="shared" si="179"/>
        <v>6</v>
      </c>
      <c r="U1669" s="179">
        <f t="shared" si="180"/>
        <v>4</v>
      </c>
      <c r="V1669" s="1">
        <f t="shared" ref="V1669:V1732" si="181">SUM($X$1*0.05)</f>
        <v>25</v>
      </c>
      <c r="W1669" s="8">
        <f t="shared" si="176"/>
        <v>6.25</v>
      </c>
      <c r="X1669" s="15">
        <f t="shared" si="177"/>
        <v>9081.25</v>
      </c>
    </row>
    <row r="1670" spans="2:24">
      <c r="B1670" s="2" t="s">
        <v>448</v>
      </c>
      <c r="C1670" s="2" t="s">
        <v>6</v>
      </c>
      <c r="D1670" s="2" t="s">
        <v>62</v>
      </c>
      <c r="E1670" s="3">
        <v>45402.625</v>
      </c>
      <c r="F1670" s="2" t="s">
        <v>86</v>
      </c>
      <c r="G1670" s="2" t="s">
        <v>63</v>
      </c>
      <c r="H1670" s="2">
        <v>20</v>
      </c>
      <c r="I1670" s="2">
        <v>10</v>
      </c>
      <c r="J1670" s="2">
        <v>33</v>
      </c>
      <c r="K1670" s="2">
        <v>8</v>
      </c>
      <c r="L1670" s="2">
        <v>7</v>
      </c>
      <c r="M1670" s="2">
        <v>5</v>
      </c>
      <c r="N1670" s="2" t="s">
        <v>95</v>
      </c>
      <c r="O1670" s="10">
        <v>0</v>
      </c>
      <c r="P1670" s="10">
        <v>2</v>
      </c>
      <c r="Q1670" s="184">
        <v>1</v>
      </c>
      <c r="R1670" s="185">
        <v>5</v>
      </c>
      <c r="S1670" s="178">
        <f t="shared" si="178"/>
        <v>2</v>
      </c>
      <c r="T1670" s="186">
        <f t="shared" si="179"/>
        <v>6</v>
      </c>
      <c r="U1670" s="179">
        <f t="shared" si="180"/>
        <v>4</v>
      </c>
      <c r="V1670" s="1">
        <f t="shared" si="181"/>
        <v>25</v>
      </c>
      <c r="W1670" s="8">
        <f t="shared" si="176"/>
        <v>6.25</v>
      </c>
      <c r="X1670" s="15">
        <f t="shared" si="177"/>
        <v>9087.5</v>
      </c>
    </row>
    <row r="1671" spans="2:24">
      <c r="B1671" s="2" t="s">
        <v>448</v>
      </c>
      <c r="C1671" s="2" t="s">
        <v>6</v>
      </c>
      <c r="D1671" s="2" t="s">
        <v>7</v>
      </c>
      <c r="E1671" s="3">
        <v>45402.625</v>
      </c>
      <c r="F1671" s="2" t="s">
        <v>8</v>
      </c>
      <c r="G1671" s="2" t="s">
        <v>27</v>
      </c>
      <c r="H1671" s="2">
        <v>20</v>
      </c>
      <c r="I1671" s="2">
        <v>10</v>
      </c>
      <c r="J1671" s="2">
        <v>40</v>
      </c>
      <c r="K1671" s="2">
        <v>8</v>
      </c>
      <c r="L1671" s="2">
        <v>10</v>
      </c>
      <c r="M1671" s="2">
        <v>6</v>
      </c>
      <c r="N1671" s="2" t="s">
        <v>95</v>
      </c>
      <c r="O1671" s="10">
        <v>0</v>
      </c>
      <c r="P1671" s="10">
        <v>0</v>
      </c>
      <c r="Q1671" s="184">
        <v>1</v>
      </c>
      <c r="R1671" s="185">
        <v>0</v>
      </c>
      <c r="S1671" s="178">
        <f t="shared" si="178"/>
        <v>0</v>
      </c>
      <c r="T1671" s="186">
        <f t="shared" si="179"/>
        <v>1</v>
      </c>
      <c r="U1671" s="179">
        <f t="shared" si="180"/>
        <v>1</v>
      </c>
      <c r="V1671" s="1">
        <f t="shared" si="181"/>
        <v>25</v>
      </c>
      <c r="W1671" s="8">
        <f t="shared" si="176"/>
        <v>6.25</v>
      </c>
      <c r="X1671" s="15">
        <f t="shared" si="177"/>
        <v>9093.75</v>
      </c>
    </row>
    <row r="1672" spans="2:24">
      <c r="B1672" s="2" t="s">
        <v>448</v>
      </c>
      <c r="C1672" s="2" t="s">
        <v>6</v>
      </c>
      <c r="D1672" s="2" t="s">
        <v>11</v>
      </c>
      <c r="E1672" s="3">
        <v>45402.625</v>
      </c>
      <c r="F1672" s="2" t="s">
        <v>634</v>
      </c>
      <c r="G1672" s="2" t="s">
        <v>737</v>
      </c>
      <c r="H1672" s="2">
        <v>20</v>
      </c>
      <c r="I1672" s="2">
        <v>5</v>
      </c>
      <c r="J1672" s="2">
        <v>36</v>
      </c>
      <c r="K1672" s="2">
        <v>6</v>
      </c>
      <c r="L1672" s="2">
        <v>10</v>
      </c>
      <c r="M1672" s="2">
        <v>6</v>
      </c>
      <c r="N1672" s="2" t="s">
        <v>95</v>
      </c>
      <c r="O1672" s="10">
        <v>0</v>
      </c>
      <c r="P1672" s="10">
        <v>1</v>
      </c>
      <c r="Q1672" s="184">
        <v>1</v>
      </c>
      <c r="R1672" s="185">
        <v>2</v>
      </c>
      <c r="S1672" s="178">
        <f t="shared" si="178"/>
        <v>1</v>
      </c>
      <c r="T1672" s="186">
        <f t="shared" si="179"/>
        <v>3</v>
      </c>
      <c r="U1672" s="179">
        <f t="shared" si="180"/>
        <v>2</v>
      </c>
      <c r="V1672" s="1">
        <f t="shared" si="181"/>
        <v>25</v>
      </c>
      <c r="W1672" s="8">
        <f t="shared" si="176"/>
        <v>6.25</v>
      </c>
      <c r="X1672" s="15">
        <f t="shared" si="177"/>
        <v>9100</v>
      </c>
    </row>
    <row r="1673" spans="2:24">
      <c r="B1673" s="2" t="s">
        <v>448</v>
      </c>
      <c r="C1673" s="2" t="s">
        <v>58</v>
      </c>
      <c r="D1673" s="2" t="s">
        <v>289</v>
      </c>
      <c r="E1673" s="3">
        <v>45404.75</v>
      </c>
      <c r="F1673" s="2" t="s">
        <v>416</v>
      </c>
      <c r="G1673" s="2" t="s">
        <v>716</v>
      </c>
      <c r="H1673" s="2">
        <v>20</v>
      </c>
      <c r="I1673" s="2">
        <v>5</v>
      </c>
      <c r="J1673" s="2">
        <v>36</v>
      </c>
      <c r="K1673" s="2">
        <v>4</v>
      </c>
      <c r="L1673" s="2">
        <v>10</v>
      </c>
      <c r="M1673" s="2">
        <v>9</v>
      </c>
      <c r="N1673" s="2" t="s">
        <v>95</v>
      </c>
      <c r="O1673" s="10">
        <v>2</v>
      </c>
      <c r="P1673" s="10">
        <v>0</v>
      </c>
      <c r="Q1673" s="184">
        <v>3</v>
      </c>
      <c r="R1673" s="185">
        <v>1</v>
      </c>
      <c r="S1673" s="178">
        <f t="shared" si="178"/>
        <v>2</v>
      </c>
      <c r="T1673" s="186">
        <f t="shared" si="179"/>
        <v>4</v>
      </c>
      <c r="U1673" s="179">
        <f t="shared" si="180"/>
        <v>2</v>
      </c>
      <c r="V1673" s="1">
        <f t="shared" si="181"/>
        <v>25</v>
      </c>
      <c r="W1673" s="8">
        <f t="shared" si="176"/>
        <v>6.25</v>
      </c>
      <c r="X1673" s="15">
        <f t="shared" si="177"/>
        <v>9106.25</v>
      </c>
    </row>
    <row r="1674" spans="2:24">
      <c r="B1674" s="2" t="s">
        <v>448</v>
      </c>
      <c r="C1674" s="2" t="s">
        <v>412</v>
      </c>
      <c r="D1674" s="2" t="s">
        <v>156</v>
      </c>
      <c r="E1674" s="3">
        <v>45410.666666666664</v>
      </c>
      <c r="F1674" s="2" t="s">
        <v>500</v>
      </c>
      <c r="G1674" s="2" t="s">
        <v>782</v>
      </c>
      <c r="H1674" s="2">
        <v>20</v>
      </c>
      <c r="I1674" s="2">
        <v>10</v>
      </c>
      <c r="J1674" s="2">
        <v>36</v>
      </c>
      <c r="K1674" s="2">
        <v>7</v>
      </c>
      <c r="L1674" s="2">
        <v>10</v>
      </c>
      <c r="M1674" s="2">
        <v>4</v>
      </c>
      <c r="N1674" s="2" t="s">
        <v>95</v>
      </c>
      <c r="O1674" s="10">
        <v>0</v>
      </c>
      <c r="P1674" s="10">
        <v>2</v>
      </c>
      <c r="Q1674" s="184">
        <v>2</v>
      </c>
      <c r="R1674" s="185">
        <v>2</v>
      </c>
      <c r="S1674" s="178">
        <f t="shared" si="178"/>
        <v>2</v>
      </c>
      <c r="T1674" s="186">
        <f t="shared" si="179"/>
        <v>4</v>
      </c>
      <c r="U1674" s="179">
        <f t="shared" si="180"/>
        <v>2</v>
      </c>
      <c r="V1674" s="1">
        <f t="shared" si="181"/>
        <v>25</v>
      </c>
      <c r="W1674" s="8">
        <f t="shared" si="176"/>
        <v>6.25</v>
      </c>
      <c r="X1674" s="15">
        <f t="shared" si="177"/>
        <v>9112.5</v>
      </c>
    </row>
    <row r="1675" spans="2:24">
      <c r="B1675" s="2" t="s">
        <v>448</v>
      </c>
      <c r="C1675" s="2" t="s">
        <v>133</v>
      </c>
      <c r="D1675" s="2" t="s">
        <v>78</v>
      </c>
      <c r="E1675" s="3">
        <v>45410.729166666664</v>
      </c>
      <c r="F1675" s="2" t="s">
        <v>137</v>
      </c>
      <c r="G1675" s="2" t="s">
        <v>447</v>
      </c>
      <c r="H1675" s="2">
        <v>20</v>
      </c>
      <c r="I1675" s="2">
        <v>10</v>
      </c>
      <c r="J1675" s="2">
        <v>37</v>
      </c>
      <c r="K1675" s="2">
        <v>4</v>
      </c>
      <c r="L1675" s="2">
        <v>6</v>
      </c>
      <c r="M1675" s="2">
        <v>6</v>
      </c>
      <c r="N1675" s="2" t="s">
        <v>95</v>
      </c>
      <c r="O1675" s="10">
        <v>1</v>
      </c>
      <c r="P1675" s="10">
        <v>1</v>
      </c>
      <c r="Q1675" s="184">
        <v>3</v>
      </c>
      <c r="R1675" s="185">
        <v>2</v>
      </c>
      <c r="S1675" s="178">
        <f t="shared" si="178"/>
        <v>2</v>
      </c>
      <c r="T1675" s="186">
        <f t="shared" si="179"/>
        <v>5</v>
      </c>
      <c r="U1675" s="179">
        <f t="shared" si="180"/>
        <v>3</v>
      </c>
      <c r="V1675" s="1">
        <f t="shared" si="181"/>
        <v>25</v>
      </c>
      <c r="W1675" s="8">
        <f t="shared" si="176"/>
        <v>6.25</v>
      </c>
      <c r="X1675" s="15">
        <f t="shared" si="177"/>
        <v>9118.75</v>
      </c>
    </row>
    <row r="1676" spans="2:24">
      <c r="B1676" s="2" t="s">
        <v>448</v>
      </c>
      <c r="C1676" s="2" t="s">
        <v>58</v>
      </c>
      <c r="D1676" s="2" t="s">
        <v>289</v>
      </c>
      <c r="E1676" s="3">
        <v>45412.822916666664</v>
      </c>
      <c r="F1676" s="2" t="s">
        <v>624</v>
      </c>
      <c r="G1676" s="2" t="s">
        <v>452</v>
      </c>
      <c r="H1676" s="2">
        <v>20</v>
      </c>
      <c r="I1676" s="2">
        <v>10</v>
      </c>
      <c r="J1676" s="2">
        <v>31</v>
      </c>
      <c r="K1676" s="2">
        <v>4</v>
      </c>
      <c r="L1676" s="2">
        <v>8</v>
      </c>
      <c r="M1676" s="2">
        <v>7</v>
      </c>
      <c r="N1676" s="2" t="s">
        <v>95</v>
      </c>
      <c r="O1676" s="10">
        <v>0</v>
      </c>
      <c r="P1676" s="10">
        <v>1</v>
      </c>
      <c r="Q1676" s="184">
        <v>0</v>
      </c>
      <c r="R1676" s="185">
        <v>4</v>
      </c>
      <c r="S1676" s="178">
        <f t="shared" si="178"/>
        <v>1</v>
      </c>
      <c r="T1676" s="186">
        <f t="shared" si="179"/>
        <v>4</v>
      </c>
      <c r="U1676" s="179">
        <f t="shared" si="180"/>
        <v>3</v>
      </c>
      <c r="V1676" s="1">
        <f t="shared" si="181"/>
        <v>25</v>
      </c>
      <c r="W1676" s="8">
        <f t="shared" si="176"/>
        <v>6.25</v>
      </c>
      <c r="X1676" s="15">
        <f t="shared" si="177"/>
        <v>9125</v>
      </c>
    </row>
    <row r="1677" spans="2:24">
      <c r="B1677" s="2" t="s">
        <v>448</v>
      </c>
      <c r="C1677" s="2" t="s">
        <v>6</v>
      </c>
      <c r="D1677" s="2" t="s">
        <v>62</v>
      </c>
      <c r="E1677" s="3">
        <v>45414.8125</v>
      </c>
      <c r="F1677" s="2" t="s">
        <v>65</v>
      </c>
      <c r="G1677" s="2" t="s">
        <v>116</v>
      </c>
      <c r="H1677" s="2">
        <v>20</v>
      </c>
      <c r="I1677" s="2">
        <v>10</v>
      </c>
      <c r="J1677" s="2">
        <v>42</v>
      </c>
      <c r="K1677" s="2">
        <v>8</v>
      </c>
      <c r="L1677" s="2">
        <v>9</v>
      </c>
      <c r="M1677" s="2">
        <v>8</v>
      </c>
      <c r="N1677" s="2" t="s">
        <v>95</v>
      </c>
      <c r="O1677" s="10">
        <v>1</v>
      </c>
      <c r="P1677" s="10">
        <v>0</v>
      </c>
      <c r="Q1677" s="184">
        <v>2</v>
      </c>
      <c r="R1677" s="185">
        <v>0</v>
      </c>
      <c r="S1677" s="178">
        <f t="shared" si="178"/>
        <v>1</v>
      </c>
      <c r="T1677" s="186">
        <f t="shared" si="179"/>
        <v>2</v>
      </c>
      <c r="U1677" s="179">
        <f t="shared" si="180"/>
        <v>1</v>
      </c>
      <c r="V1677" s="1">
        <f t="shared" si="181"/>
        <v>25</v>
      </c>
      <c r="W1677" s="8">
        <f t="shared" si="176"/>
        <v>6.25</v>
      </c>
      <c r="X1677" s="15">
        <f t="shared" si="177"/>
        <v>9131.25</v>
      </c>
    </row>
    <row r="1678" spans="2:24">
      <c r="B1678" s="2" t="s">
        <v>448</v>
      </c>
      <c r="C1678" s="2" t="s">
        <v>77</v>
      </c>
      <c r="D1678" s="2" t="s">
        <v>156</v>
      </c>
      <c r="E1678" s="3">
        <v>45416.604166666664</v>
      </c>
      <c r="F1678" s="2" t="s">
        <v>552</v>
      </c>
      <c r="G1678" s="2" t="s">
        <v>284</v>
      </c>
      <c r="H1678" s="2">
        <v>20</v>
      </c>
      <c r="I1678" s="2">
        <v>10</v>
      </c>
      <c r="J1678" s="2">
        <v>37</v>
      </c>
      <c r="K1678" s="2">
        <v>6</v>
      </c>
      <c r="L1678" s="2">
        <v>9</v>
      </c>
      <c r="M1678" s="2">
        <v>8</v>
      </c>
      <c r="N1678" s="2" t="s">
        <v>95</v>
      </c>
      <c r="O1678" s="10">
        <v>4</v>
      </c>
      <c r="P1678" s="10">
        <v>1</v>
      </c>
      <c r="Q1678" s="184">
        <v>5</v>
      </c>
      <c r="R1678" s="185">
        <v>1</v>
      </c>
      <c r="S1678" s="178">
        <f t="shared" si="178"/>
        <v>5</v>
      </c>
      <c r="T1678" s="186">
        <f t="shared" si="179"/>
        <v>6</v>
      </c>
      <c r="U1678" s="179">
        <f t="shared" si="180"/>
        <v>1</v>
      </c>
      <c r="V1678" s="1">
        <f t="shared" si="181"/>
        <v>25</v>
      </c>
      <c r="W1678" s="8">
        <f t="shared" si="176"/>
        <v>6.25</v>
      </c>
      <c r="X1678" s="15">
        <f t="shared" si="177"/>
        <v>9137.5</v>
      </c>
    </row>
    <row r="1679" spans="2:24">
      <c r="B1679" s="2" t="s">
        <v>448</v>
      </c>
      <c r="C1679" s="2" t="s">
        <v>6</v>
      </c>
      <c r="D1679" s="2" t="s">
        <v>62</v>
      </c>
      <c r="E1679" s="3">
        <v>45416.625</v>
      </c>
      <c r="F1679" s="2" t="s">
        <v>85</v>
      </c>
      <c r="G1679" s="2" t="s">
        <v>264</v>
      </c>
      <c r="H1679" s="2">
        <v>20</v>
      </c>
      <c r="I1679" s="2">
        <v>5</v>
      </c>
      <c r="J1679" s="2">
        <v>39</v>
      </c>
      <c r="K1679" s="2">
        <v>4</v>
      </c>
      <c r="L1679" s="2">
        <v>11</v>
      </c>
      <c r="M1679" s="2">
        <v>10</v>
      </c>
      <c r="N1679" s="2" t="s">
        <v>95</v>
      </c>
      <c r="O1679" s="10">
        <v>1</v>
      </c>
      <c r="P1679" s="10">
        <v>1</v>
      </c>
      <c r="Q1679" s="184">
        <v>1</v>
      </c>
      <c r="R1679" s="185">
        <v>3</v>
      </c>
      <c r="S1679" s="178">
        <f t="shared" si="178"/>
        <v>2</v>
      </c>
      <c r="T1679" s="186">
        <f t="shared" si="179"/>
        <v>4</v>
      </c>
      <c r="U1679" s="179">
        <f t="shared" si="180"/>
        <v>2</v>
      </c>
      <c r="V1679" s="1">
        <f t="shared" si="181"/>
        <v>25</v>
      </c>
      <c r="W1679" s="8">
        <f t="shared" si="176"/>
        <v>6.25</v>
      </c>
      <c r="X1679" s="15">
        <f t="shared" si="177"/>
        <v>9143.75</v>
      </c>
    </row>
    <row r="1680" spans="2:24">
      <c r="B1680" s="2" t="s">
        <v>448</v>
      </c>
      <c r="C1680" s="2" t="s">
        <v>6</v>
      </c>
      <c r="D1680" s="2" t="s">
        <v>62</v>
      </c>
      <c r="E1680" s="3">
        <v>45417.583333333336</v>
      </c>
      <c r="F1680" s="2" t="s">
        <v>65</v>
      </c>
      <c r="G1680" s="2" t="s">
        <v>74</v>
      </c>
      <c r="H1680" s="2">
        <v>20</v>
      </c>
      <c r="I1680" s="2">
        <v>10</v>
      </c>
      <c r="J1680" s="2">
        <v>39</v>
      </c>
      <c r="K1680" s="2">
        <v>4</v>
      </c>
      <c r="L1680" s="2">
        <v>10</v>
      </c>
      <c r="M1680" s="2">
        <v>8</v>
      </c>
      <c r="N1680" s="2" t="s">
        <v>95</v>
      </c>
      <c r="O1680" s="10">
        <v>3</v>
      </c>
      <c r="P1680" s="10">
        <v>0</v>
      </c>
      <c r="Q1680" s="184">
        <v>5</v>
      </c>
      <c r="R1680" s="185">
        <v>0</v>
      </c>
      <c r="S1680" s="178">
        <f t="shared" si="178"/>
        <v>3</v>
      </c>
      <c r="T1680" s="186">
        <f t="shared" si="179"/>
        <v>5</v>
      </c>
      <c r="U1680" s="179">
        <f t="shared" si="180"/>
        <v>2</v>
      </c>
      <c r="V1680" s="1">
        <f t="shared" si="181"/>
        <v>25</v>
      </c>
      <c r="W1680" s="8">
        <f t="shared" si="176"/>
        <v>6.25</v>
      </c>
      <c r="X1680" s="15">
        <f t="shared" si="177"/>
        <v>9150</v>
      </c>
    </row>
    <row r="1681" spans="2:24">
      <c r="B1681" s="2" t="s">
        <v>448</v>
      </c>
      <c r="C1681" s="2" t="s">
        <v>6</v>
      </c>
      <c r="D1681" s="2" t="s">
        <v>62</v>
      </c>
      <c r="E1681" s="3">
        <v>45423.625</v>
      </c>
      <c r="F1681" s="2" t="s">
        <v>74</v>
      </c>
      <c r="G1681" s="2" t="s">
        <v>86</v>
      </c>
      <c r="H1681" s="2">
        <v>20</v>
      </c>
      <c r="I1681" s="2">
        <v>10</v>
      </c>
      <c r="J1681" s="2">
        <v>31</v>
      </c>
      <c r="K1681" s="2">
        <v>9</v>
      </c>
      <c r="L1681" s="2">
        <v>6</v>
      </c>
      <c r="M1681" s="2">
        <v>4</v>
      </c>
      <c r="N1681" s="2" t="s">
        <v>95</v>
      </c>
      <c r="O1681" s="10">
        <v>0</v>
      </c>
      <c r="P1681" s="10">
        <v>1</v>
      </c>
      <c r="Q1681" s="184">
        <v>3</v>
      </c>
      <c r="R1681" s="185">
        <v>1</v>
      </c>
      <c r="S1681" s="178">
        <f t="shared" si="178"/>
        <v>1</v>
      </c>
      <c r="T1681" s="186">
        <f t="shared" si="179"/>
        <v>4</v>
      </c>
      <c r="U1681" s="179">
        <f t="shared" si="180"/>
        <v>3</v>
      </c>
      <c r="V1681" s="1">
        <f t="shared" si="181"/>
        <v>25</v>
      </c>
      <c r="W1681" s="8">
        <f t="shared" si="176"/>
        <v>6.25</v>
      </c>
      <c r="X1681" s="15">
        <f t="shared" si="177"/>
        <v>9156.25</v>
      </c>
    </row>
    <row r="1682" spans="2:24">
      <c r="B1682" s="2" t="s">
        <v>448</v>
      </c>
      <c r="C1682" s="2" t="s">
        <v>412</v>
      </c>
      <c r="D1682" s="2" t="s">
        <v>156</v>
      </c>
      <c r="E1682" s="3">
        <v>45424.666666666664</v>
      </c>
      <c r="F1682" s="2" t="s">
        <v>832</v>
      </c>
      <c r="G1682" s="2" t="s">
        <v>782</v>
      </c>
      <c r="H1682" s="2">
        <v>20</v>
      </c>
      <c r="I1682" s="2">
        <v>10</v>
      </c>
      <c r="J1682" s="2">
        <v>34</v>
      </c>
      <c r="K1682" s="2">
        <v>7</v>
      </c>
      <c r="L1682" s="2">
        <v>9</v>
      </c>
      <c r="M1682" s="2">
        <v>5</v>
      </c>
      <c r="N1682" s="2" t="s">
        <v>95</v>
      </c>
      <c r="O1682" s="10">
        <v>1</v>
      </c>
      <c r="P1682" s="10">
        <v>1</v>
      </c>
      <c r="Q1682" s="184">
        <v>2</v>
      </c>
      <c r="R1682" s="185">
        <v>2</v>
      </c>
      <c r="S1682" s="178">
        <f t="shared" si="178"/>
        <v>2</v>
      </c>
      <c r="T1682" s="186">
        <f t="shared" si="179"/>
        <v>4</v>
      </c>
      <c r="U1682" s="179">
        <f t="shared" si="180"/>
        <v>2</v>
      </c>
      <c r="V1682" s="1">
        <f t="shared" si="181"/>
        <v>25</v>
      </c>
      <c r="W1682" s="8">
        <f t="shared" si="176"/>
        <v>6.25</v>
      </c>
      <c r="X1682" s="15">
        <f t="shared" si="177"/>
        <v>9162.5</v>
      </c>
    </row>
    <row r="1683" spans="2:24">
      <c r="B1683" s="2" t="s">
        <v>448</v>
      </c>
      <c r="C1683" s="2" t="s">
        <v>133</v>
      </c>
      <c r="D1683" s="2" t="s">
        <v>78</v>
      </c>
      <c r="E1683" s="3">
        <v>45427.75</v>
      </c>
      <c r="F1683" s="2" t="s">
        <v>488</v>
      </c>
      <c r="G1683" s="2" t="s">
        <v>447</v>
      </c>
      <c r="H1683" s="2">
        <v>20</v>
      </c>
      <c r="I1683" s="2">
        <v>10</v>
      </c>
      <c r="J1683" s="2">
        <v>39</v>
      </c>
      <c r="K1683" s="2">
        <v>7</v>
      </c>
      <c r="L1683" s="2">
        <v>6</v>
      </c>
      <c r="M1683" s="2">
        <v>5</v>
      </c>
      <c r="N1683" s="2" t="s">
        <v>95</v>
      </c>
      <c r="O1683" s="10">
        <v>0</v>
      </c>
      <c r="P1683" s="10">
        <v>0</v>
      </c>
      <c r="Q1683" s="184">
        <v>2</v>
      </c>
      <c r="R1683" s="185">
        <v>0</v>
      </c>
      <c r="S1683" s="178">
        <f t="shared" si="178"/>
        <v>0</v>
      </c>
      <c r="T1683" s="186">
        <f t="shared" si="179"/>
        <v>2</v>
      </c>
      <c r="U1683" s="179">
        <f t="shared" si="180"/>
        <v>2</v>
      </c>
      <c r="V1683" s="1">
        <f t="shared" si="181"/>
        <v>25</v>
      </c>
      <c r="W1683" s="8">
        <f t="shared" si="176"/>
        <v>6.25</v>
      </c>
      <c r="X1683" s="15">
        <f t="shared" si="177"/>
        <v>9168.75</v>
      </c>
    </row>
    <row r="1684" spans="2:24">
      <c r="B1684" s="2" t="s">
        <v>448</v>
      </c>
      <c r="C1684" s="2" t="s">
        <v>296</v>
      </c>
      <c r="D1684" s="2" t="s">
        <v>525</v>
      </c>
      <c r="E1684" s="3">
        <v>45429.802083333336</v>
      </c>
      <c r="F1684" s="2" t="s">
        <v>526</v>
      </c>
      <c r="G1684" s="2" t="s">
        <v>589</v>
      </c>
      <c r="H1684" s="2">
        <v>20</v>
      </c>
      <c r="I1684" s="2">
        <v>10</v>
      </c>
      <c r="J1684" s="2">
        <v>35</v>
      </c>
      <c r="K1684" s="2">
        <v>4</v>
      </c>
      <c r="L1684" s="2">
        <v>22</v>
      </c>
      <c r="M1684" s="2">
        <v>57</v>
      </c>
      <c r="N1684" s="2" t="s">
        <v>95</v>
      </c>
      <c r="O1684" s="10">
        <v>2</v>
      </c>
      <c r="P1684" s="10">
        <v>1</v>
      </c>
      <c r="Q1684" s="184">
        <v>2</v>
      </c>
      <c r="R1684" s="185">
        <v>2</v>
      </c>
      <c r="S1684" s="178">
        <f t="shared" si="178"/>
        <v>3</v>
      </c>
      <c r="T1684" s="186">
        <f t="shared" si="179"/>
        <v>4</v>
      </c>
      <c r="U1684" s="179">
        <f t="shared" si="180"/>
        <v>1</v>
      </c>
      <c r="V1684" s="1">
        <f t="shared" si="181"/>
        <v>25</v>
      </c>
      <c r="W1684" s="8">
        <f t="shared" si="176"/>
        <v>6.25</v>
      </c>
      <c r="X1684" s="15">
        <f t="shared" si="177"/>
        <v>9175</v>
      </c>
    </row>
    <row r="1685" spans="2:24">
      <c r="B1685" s="2" t="s">
        <v>448</v>
      </c>
      <c r="C1685" s="2" t="s">
        <v>77</v>
      </c>
      <c r="D1685" s="2" t="s">
        <v>156</v>
      </c>
      <c r="E1685" s="3">
        <v>45430.604166666664</v>
      </c>
      <c r="F1685" s="2" t="s">
        <v>325</v>
      </c>
      <c r="G1685" s="2" t="s">
        <v>284</v>
      </c>
      <c r="H1685" s="2">
        <v>20</v>
      </c>
      <c r="I1685" s="2">
        <v>10</v>
      </c>
      <c r="J1685" s="2">
        <v>32</v>
      </c>
      <c r="K1685" s="2">
        <v>6</v>
      </c>
      <c r="L1685" s="2">
        <v>22</v>
      </c>
      <c r="M1685" s="2">
        <v>50</v>
      </c>
      <c r="N1685" s="2" t="s">
        <v>95</v>
      </c>
      <c r="O1685" s="10">
        <v>2</v>
      </c>
      <c r="P1685" s="10">
        <v>0</v>
      </c>
      <c r="Q1685" s="184">
        <v>2</v>
      </c>
      <c r="R1685" s="185">
        <v>1</v>
      </c>
      <c r="S1685" s="178">
        <f t="shared" si="178"/>
        <v>2</v>
      </c>
      <c r="T1685" s="186">
        <f t="shared" si="179"/>
        <v>3</v>
      </c>
      <c r="U1685" s="179">
        <f t="shared" si="180"/>
        <v>1</v>
      </c>
      <c r="V1685" s="1">
        <f t="shared" si="181"/>
        <v>25</v>
      </c>
      <c r="W1685" s="8">
        <f t="shared" si="176"/>
        <v>6.25</v>
      </c>
      <c r="X1685" s="15">
        <f t="shared" si="177"/>
        <v>9181.25</v>
      </c>
    </row>
    <row r="1686" spans="2:24">
      <c r="B1686" s="2" t="s">
        <v>448</v>
      </c>
      <c r="C1686" s="2" t="s">
        <v>6</v>
      </c>
      <c r="D1686" s="2" t="s">
        <v>62</v>
      </c>
      <c r="E1686" s="3">
        <v>45431.666666666664</v>
      </c>
      <c r="F1686" s="2" t="s">
        <v>103</v>
      </c>
      <c r="G1686" s="2" t="s">
        <v>264</v>
      </c>
      <c r="H1686" s="2">
        <v>20</v>
      </c>
      <c r="I1686" s="2">
        <v>5</v>
      </c>
      <c r="J1686" s="2">
        <v>34</v>
      </c>
      <c r="K1686" s="2">
        <v>6</v>
      </c>
      <c r="L1686" s="2">
        <v>20</v>
      </c>
      <c r="M1686" s="2">
        <v>56</v>
      </c>
      <c r="N1686" s="2" t="s">
        <v>95</v>
      </c>
      <c r="O1686" s="10">
        <v>0</v>
      </c>
      <c r="P1686" s="10">
        <v>2</v>
      </c>
      <c r="Q1686" s="184">
        <v>1</v>
      </c>
      <c r="R1686" s="185">
        <v>2</v>
      </c>
      <c r="S1686" s="178">
        <f t="shared" si="178"/>
        <v>2</v>
      </c>
      <c r="T1686" s="186">
        <f t="shared" si="179"/>
        <v>3</v>
      </c>
      <c r="U1686" s="179">
        <f t="shared" si="180"/>
        <v>1</v>
      </c>
      <c r="V1686" s="1">
        <f t="shared" si="181"/>
        <v>25</v>
      </c>
      <c r="W1686" s="8">
        <f t="shared" ref="W1686:W1738" si="182">IF(N1686="won",V1686*0.25,-V1686)</f>
        <v>6.25</v>
      </c>
      <c r="X1686" s="15">
        <f t="shared" ref="X1686:X1738" si="183">SUM(X1685,W1686)</f>
        <v>9187.5</v>
      </c>
    </row>
    <row r="1687" spans="2:24">
      <c r="B1687" s="2" t="s">
        <v>448</v>
      </c>
      <c r="C1687" s="2" t="s">
        <v>6</v>
      </c>
      <c r="D1687" s="2" t="s">
        <v>62</v>
      </c>
      <c r="E1687" s="3">
        <v>45431.666666666664</v>
      </c>
      <c r="F1687" s="2" t="s">
        <v>85</v>
      </c>
      <c r="G1687" s="2" t="s">
        <v>116</v>
      </c>
      <c r="H1687" s="2">
        <v>20</v>
      </c>
      <c r="I1687" s="2">
        <v>10</v>
      </c>
      <c r="J1687" s="2">
        <v>38</v>
      </c>
      <c r="K1687" s="2">
        <v>4</v>
      </c>
      <c r="L1687" s="2">
        <v>24</v>
      </c>
      <c r="M1687" s="2">
        <v>46</v>
      </c>
      <c r="N1687" s="2" t="s">
        <v>95</v>
      </c>
      <c r="O1687" s="10">
        <v>0</v>
      </c>
      <c r="P1687" s="10">
        <v>1</v>
      </c>
      <c r="Q1687" s="184">
        <v>0</v>
      </c>
      <c r="R1687" s="185">
        <v>3</v>
      </c>
      <c r="S1687" s="178">
        <f t="shared" si="178"/>
        <v>1</v>
      </c>
      <c r="T1687" s="186">
        <f t="shared" si="179"/>
        <v>3</v>
      </c>
      <c r="U1687" s="179">
        <f t="shared" si="180"/>
        <v>2</v>
      </c>
      <c r="V1687" s="1">
        <f t="shared" si="181"/>
        <v>25</v>
      </c>
      <c r="W1687" s="8">
        <f t="shared" si="182"/>
        <v>6.25</v>
      </c>
      <c r="X1687" s="15">
        <f t="shared" si="183"/>
        <v>9193.75</v>
      </c>
    </row>
    <row r="1688" spans="2:24">
      <c r="B1688" s="160" t="s">
        <v>458</v>
      </c>
      <c r="C1688" s="2" t="s">
        <v>119</v>
      </c>
      <c r="D1688" s="2" t="s">
        <v>166</v>
      </c>
      <c r="E1688" s="3">
        <v>45402.833333333336</v>
      </c>
      <c r="F1688" s="2" t="s">
        <v>606</v>
      </c>
      <c r="G1688" s="2" t="s">
        <v>637</v>
      </c>
      <c r="H1688" s="2">
        <v>20</v>
      </c>
      <c r="I1688" s="2">
        <v>80</v>
      </c>
      <c r="J1688" s="2">
        <v>95</v>
      </c>
      <c r="K1688" s="2">
        <v>37</v>
      </c>
      <c r="L1688" s="2">
        <v>1.55</v>
      </c>
      <c r="M1688" s="2"/>
      <c r="N1688" s="2" t="s">
        <v>96</v>
      </c>
      <c r="O1688" s="10">
        <v>1</v>
      </c>
      <c r="P1688" s="10">
        <v>2</v>
      </c>
      <c r="Q1688" s="184">
        <v>1</v>
      </c>
      <c r="R1688" s="185">
        <v>2</v>
      </c>
      <c r="S1688" s="178">
        <f t="shared" si="178"/>
        <v>3</v>
      </c>
      <c r="T1688" s="186">
        <f t="shared" si="179"/>
        <v>3</v>
      </c>
      <c r="U1688" s="179">
        <f t="shared" si="180"/>
        <v>0</v>
      </c>
      <c r="V1688" s="1">
        <f t="shared" si="181"/>
        <v>25</v>
      </c>
      <c r="W1688" s="8">
        <f t="shared" si="182"/>
        <v>-25</v>
      </c>
      <c r="X1688" s="15">
        <f t="shared" si="183"/>
        <v>9168.75</v>
      </c>
    </row>
    <row r="1689" spans="2:24">
      <c r="B1689" s="162" t="s">
        <v>458</v>
      </c>
      <c r="C1689" s="2" t="s">
        <v>6</v>
      </c>
      <c r="D1689" s="2" t="s">
        <v>455</v>
      </c>
      <c r="E1689" s="3">
        <v>45342.822916666664</v>
      </c>
      <c r="F1689" s="2" t="s">
        <v>456</v>
      </c>
      <c r="G1689" s="2" t="s">
        <v>457</v>
      </c>
      <c r="H1689" s="2">
        <v>20</v>
      </c>
      <c r="I1689" s="2">
        <v>20</v>
      </c>
      <c r="J1689" s="2">
        <v>27</v>
      </c>
      <c r="K1689" s="2">
        <v>3.3</v>
      </c>
      <c r="L1689" s="2"/>
      <c r="M1689" s="2"/>
      <c r="N1689" s="257" t="s">
        <v>95</v>
      </c>
      <c r="O1689" s="10">
        <v>1</v>
      </c>
      <c r="P1689" s="10">
        <v>1</v>
      </c>
      <c r="Q1689" s="184">
        <v>2</v>
      </c>
      <c r="R1689" s="185">
        <v>1</v>
      </c>
      <c r="S1689" s="178">
        <f t="shared" si="178"/>
        <v>2</v>
      </c>
      <c r="T1689" s="186">
        <f t="shared" si="179"/>
        <v>3</v>
      </c>
      <c r="U1689" s="179">
        <f t="shared" si="180"/>
        <v>1</v>
      </c>
      <c r="V1689" s="1">
        <f t="shared" si="181"/>
        <v>25</v>
      </c>
      <c r="W1689" s="8">
        <f t="shared" si="182"/>
        <v>6.25</v>
      </c>
      <c r="X1689" s="15">
        <f t="shared" si="183"/>
        <v>9175</v>
      </c>
    </row>
    <row r="1690" spans="2:24">
      <c r="B1690" s="162" t="s">
        <v>458</v>
      </c>
      <c r="C1690" s="36" t="s">
        <v>541</v>
      </c>
      <c r="D1690" s="36" t="s">
        <v>62</v>
      </c>
      <c r="E1690" s="37">
        <v>45360.645833333336</v>
      </c>
      <c r="F1690" s="36" t="s">
        <v>547</v>
      </c>
      <c r="G1690" s="36" t="s">
        <v>548</v>
      </c>
      <c r="H1690" s="36">
        <v>20</v>
      </c>
      <c r="I1690" s="36">
        <v>80</v>
      </c>
      <c r="J1690" s="36">
        <v>95</v>
      </c>
      <c r="K1690" s="36">
        <v>45</v>
      </c>
      <c r="L1690" s="36">
        <v>1.65</v>
      </c>
      <c r="M1690" s="36"/>
      <c r="N1690" s="36" t="s">
        <v>95</v>
      </c>
      <c r="O1690" s="157">
        <v>1</v>
      </c>
      <c r="P1690" s="157">
        <v>1</v>
      </c>
      <c r="Q1690" s="184">
        <v>1</v>
      </c>
      <c r="R1690" s="185">
        <v>4</v>
      </c>
      <c r="S1690" s="178">
        <f t="shared" si="178"/>
        <v>2</v>
      </c>
      <c r="T1690" s="186">
        <f t="shared" si="179"/>
        <v>5</v>
      </c>
      <c r="U1690" s="179">
        <f t="shared" si="180"/>
        <v>3</v>
      </c>
      <c r="V1690" s="1">
        <f t="shared" si="181"/>
        <v>25</v>
      </c>
      <c r="W1690" s="8">
        <f t="shared" si="182"/>
        <v>6.25</v>
      </c>
      <c r="X1690" s="15">
        <f t="shared" si="183"/>
        <v>9181.25</v>
      </c>
    </row>
    <row r="1691" spans="2:24">
      <c r="B1691" s="162" t="s">
        <v>458</v>
      </c>
      <c r="C1691" s="2" t="s">
        <v>119</v>
      </c>
      <c r="D1691" s="2" t="s">
        <v>166</v>
      </c>
      <c r="E1691" s="3">
        <v>45362.8125</v>
      </c>
      <c r="F1691" s="2" t="s">
        <v>561</v>
      </c>
      <c r="G1691" s="2" t="s">
        <v>326</v>
      </c>
      <c r="H1691" s="2">
        <v>20</v>
      </c>
      <c r="I1691" s="2">
        <v>80</v>
      </c>
      <c r="J1691" s="2">
        <v>100</v>
      </c>
      <c r="K1691" s="2">
        <v>35</v>
      </c>
      <c r="L1691" s="2">
        <v>1.7</v>
      </c>
      <c r="M1691" s="2"/>
      <c r="N1691" s="2" t="s">
        <v>95</v>
      </c>
      <c r="O1691" s="10">
        <v>0</v>
      </c>
      <c r="P1691" s="10">
        <v>0</v>
      </c>
      <c r="Q1691" s="184">
        <v>0</v>
      </c>
      <c r="R1691" s="185">
        <v>1</v>
      </c>
      <c r="S1691" s="178">
        <f t="shared" si="178"/>
        <v>0</v>
      </c>
      <c r="T1691" s="186">
        <f t="shared" si="179"/>
        <v>1</v>
      </c>
      <c r="U1691" s="179">
        <f t="shared" si="180"/>
        <v>1</v>
      </c>
      <c r="V1691" s="1">
        <f t="shared" si="181"/>
        <v>25</v>
      </c>
      <c r="W1691" s="8">
        <f t="shared" si="182"/>
        <v>6.25</v>
      </c>
      <c r="X1691" s="15">
        <f t="shared" si="183"/>
        <v>9187.5</v>
      </c>
    </row>
    <row r="1692" spans="2:24">
      <c r="B1692" s="162" t="s">
        <v>458</v>
      </c>
      <c r="C1692" s="2" t="s">
        <v>564</v>
      </c>
      <c r="D1692" s="2" t="s">
        <v>565</v>
      </c>
      <c r="E1692" s="3">
        <v>45366.822916666664</v>
      </c>
      <c r="F1692" s="2" t="s">
        <v>566</v>
      </c>
      <c r="G1692" s="2" t="s">
        <v>567</v>
      </c>
      <c r="H1692" s="2">
        <v>20</v>
      </c>
      <c r="I1692" s="2">
        <v>80</v>
      </c>
      <c r="J1692" s="2">
        <v>100</v>
      </c>
      <c r="K1692" s="2">
        <v>40</v>
      </c>
      <c r="L1692" s="2">
        <v>2.0499999999999998</v>
      </c>
      <c r="M1692" s="2"/>
      <c r="N1692" s="2" t="s">
        <v>95</v>
      </c>
      <c r="O1692" s="10">
        <v>2</v>
      </c>
      <c r="P1692" s="10">
        <v>0</v>
      </c>
      <c r="Q1692" s="184">
        <v>3</v>
      </c>
      <c r="R1692" s="185">
        <v>1</v>
      </c>
      <c r="S1692" s="178">
        <f t="shared" si="178"/>
        <v>2</v>
      </c>
      <c r="T1692" s="186">
        <f t="shared" si="179"/>
        <v>4</v>
      </c>
      <c r="U1692" s="179">
        <f t="shared" si="180"/>
        <v>2</v>
      </c>
      <c r="V1692" s="1">
        <f t="shared" si="181"/>
        <v>25</v>
      </c>
      <c r="W1692" s="8">
        <f t="shared" si="182"/>
        <v>6.25</v>
      </c>
      <c r="X1692" s="15">
        <f t="shared" si="183"/>
        <v>9193.75</v>
      </c>
    </row>
    <row r="1693" spans="2:24">
      <c r="B1693" s="162" t="s">
        <v>458</v>
      </c>
      <c r="C1693" s="2" t="s">
        <v>119</v>
      </c>
      <c r="D1693" s="2" t="s">
        <v>120</v>
      </c>
      <c r="E1693" s="3">
        <v>45366.833333333336</v>
      </c>
      <c r="F1693" s="2" t="s">
        <v>568</v>
      </c>
      <c r="G1693" s="2" t="s">
        <v>569</v>
      </c>
      <c r="H1693" s="2">
        <v>20</v>
      </c>
      <c r="I1693" s="2">
        <v>80</v>
      </c>
      <c r="J1693" s="2">
        <v>95</v>
      </c>
      <c r="K1693" s="2">
        <v>39</v>
      </c>
      <c r="L1693" s="2">
        <v>1.9</v>
      </c>
      <c r="M1693" s="2"/>
      <c r="N1693" s="2" t="s">
        <v>95</v>
      </c>
      <c r="O1693" s="10">
        <v>1</v>
      </c>
      <c r="P1693" s="10">
        <v>0</v>
      </c>
      <c r="Q1693" s="184">
        <v>2</v>
      </c>
      <c r="R1693" s="185">
        <v>0</v>
      </c>
      <c r="S1693" s="178">
        <f t="shared" si="178"/>
        <v>1</v>
      </c>
      <c r="T1693" s="186">
        <f t="shared" si="179"/>
        <v>2</v>
      </c>
      <c r="U1693" s="179">
        <f t="shared" si="180"/>
        <v>1</v>
      </c>
      <c r="V1693" s="1">
        <f t="shared" si="181"/>
        <v>25</v>
      </c>
      <c r="W1693" s="8">
        <f t="shared" si="182"/>
        <v>6.25</v>
      </c>
      <c r="X1693" s="15">
        <f t="shared" si="183"/>
        <v>9200</v>
      </c>
    </row>
    <row r="1694" spans="2:24">
      <c r="B1694" s="162" t="s">
        <v>458</v>
      </c>
      <c r="C1694" s="2" t="s">
        <v>20</v>
      </c>
      <c r="D1694" s="2" t="s">
        <v>322</v>
      </c>
      <c r="E1694" s="3">
        <v>45367.541666666664</v>
      </c>
      <c r="F1694" s="2" t="s">
        <v>341</v>
      </c>
      <c r="G1694" s="2" t="s">
        <v>579</v>
      </c>
      <c r="H1694" s="2">
        <v>20</v>
      </c>
      <c r="I1694" s="2">
        <v>80</v>
      </c>
      <c r="J1694" s="2">
        <v>100</v>
      </c>
      <c r="K1694" s="2">
        <v>39</v>
      </c>
      <c r="L1694" s="2">
        <v>1.8</v>
      </c>
      <c r="M1694" s="2"/>
      <c r="N1694" s="2" t="s">
        <v>95</v>
      </c>
      <c r="O1694" s="10">
        <v>0</v>
      </c>
      <c r="P1694" s="10">
        <v>0</v>
      </c>
      <c r="Q1694" s="184">
        <v>1</v>
      </c>
      <c r="R1694" s="185">
        <v>0</v>
      </c>
      <c r="S1694" s="178">
        <f t="shared" si="178"/>
        <v>0</v>
      </c>
      <c r="T1694" s="186">
        <f t="shared" si="179"/>
        <v>1</v>
      </c>
      <c r="U1694" s="179">
        <f t="shared" si="180"/>
        <v>1</v>
      </c>
      <c r="V1694" s="1">
        <f t="shared" si="181"/>
        <v>25</v>
      </c>
      <c r="W1694" s="8">
        <f t="shared" si="182"/>
        <v>6.25</v>
      </c>
      <c r="X1694" s="15">
        <f t="shared" si="183"/>
        <v>9206.25</v>
      </c>
    </row>
    <row r="1695" spans="2:24">
      <c r="B1695" s="162" t="s">
        <v>458</v>
      </c>
      <c r="C1695" s="2" t="s">
        <v>6</v>
      </c>
      <c r="D1695" s="2" t="s">
        <v>7</v>
      </c>
      <c r="E1695" s="3">
        <v>45367.625</v>
      </c>
      <c r="F1695" s="2" t="s">
        <v>429</v>
      </c>
      <c r="G1695" s="2" t="s">
        <v>113</v>
      </c>
      <c r="H1695" s="2">
        <v>20</v>
      </c>
      <c r="I1695" s="2">
        <v>85</v>
      </c>
      <c r="J1695" s="2">
        <v>100</v>
      </c>
      <c r="K1695" s="2">
        <v>43</v>
      </c>
      <c r="L1695" s="2">
        <v>1.75</v>
      </c>
      <c r="M1695" s="2"/>
      <c r="N1695" s="2" t="s">
        <v>95</v>
      </c>
      <c r="O1695" s="10">
        <v>1</v>
      </c>
      <c r="P1695" s="10">
        <v>1</v>
      </c>
      <c r="Q1695" s="184">
        <v>1</v>
      </c>
      <c r="R1695" s="185">
        <v>1</v>
      </c>
      <c r="S1695" s="178">
        <f t="shared" si="178"/>
        <v>2</v>
      </c>
      <c r="T1695" s="186">
        <f t="shared" si="179"/>
        <v>2</v>
      </c>
      <c r="U1695" s="179">
        <f t="shared" si="180"/>
        <v>0</v>
      </c>
      <c r="V1695" s="1">
        <f t="shared" si="181"/>
        <v>25</v>
      </c>
      <c r="W1695" s="8">
        <f t="shared" si="182"/>
        <v>6.25</v>
      </c>
      <c r="X1695" s="15">
        <f t="shared" si="183"/>
        <v>9212.5</v>
      </c>
    </row>
    <row r="1696" spans="2:24">
      <c r="B1696" s="162" t="s">
        <v>458</v>
      </c>
      <c r="C1696" s="2" t="s">
        <v>586</v>
      </c>
      <c r="D1696" s="2" t="s">
        <v>62</v>
      </c>
      <c r="E1696" s="3">
        <v>45367.635416666664</v>
      </c>
      <c r="F1696" s="2" t="s">
        <v>587</v>
      </c>
      <c r="G1696" s="2" t="s">
        <v>588</v>
      </c>
      <c r="H1696" s="2">
        <v>20</v>
      </c>
      <c r="I1696" s="2">
        <v>80</v>
      </c>
      <c r="J1696" s="2">
        <v>95</v>
      </c>
      <c r="K1696" s="2">
        <v>38</v>
      </c>
      <c r="L1696" s="2">
        <v>1.7</v>
      </c>
      <c r="M1696" s="2"/>
      <c r="N1696" s="2" t="s">
        <v>95</v>
      </c>
      <c r="O1696" s="10">
        <v>1</v>
      </c>
      <c r="P1696" s="10">
        <v>0</v>
      </c>
      <c r="Q1696" s="184">
        <v>2</v>
      </c>
      <c r="R1696" s="185">
        <v>0</v>
      </c>
      <c r="S1696" s="178">
        <f t="shared" si="178"/>
        <v>1</v>
      </c>
      <c r="T1696" s="186">
        <f t="shared" si="179"/>
        <v>2</v>
      </c>
      <c r="U1696" s="179">
        <f t="shared" si="180"/>
        <v>1</v>
      </c>
      <c r="V1696" s="1">
        <f t="shared" si="181"/>
        <v>25</v>
      </c>
      <c r="W1696" s="8">
        <f t="shared" si="182"/>
        <v>6.25</v>
      </c>
      <c r="X1696" s="15">
        <f t="shared" si="183"/>
        <v>9218.75</v>
      </c>
    </row>
    <row r="1697" spans="2:24">
      <c r="B1697" s="162" t="s">
        <v>458</v>
      </c>
      <c r="C1697" s="2" t="s">
        <v>58</v>
      </c>
      <c r="D1697" s="2" t="s">
        <v>59</v>
      </c>
      <c r="E1697" s="3">
        <v>45380.645833333336</v>
      </c>
      <c r="F1697" s="2" t="s">
        <v>107</v>
      </c>
      <c r="G1697" s="2" t="s">
        <v>61</v>
      </c>
      <c r="H1697" s="2">
        <v>20</v>
      </c>
      <c r="I1697" s="2">
        <v>80</v>
      </c>
      <c r="J1697" s="2">
        <v>95</v>
      </c>
      <c r="K1697" s="2">
        <v>40</v>
      </c>
      <c r="L1697" s="2">
        <v>2</v>
      </c>
      <c r="M1697" s="2"/>
      <c r="N1697" s="2" t="s">
        <v>95</v>
      </c>
      <c r="O1697" s="10">
        <v>0</v>
      </c>
      <c r="P1697" s="10">
        <v>1</v>
      </c>
      <c r="Q1697" s="184">
        <v>1</v>
      </c>
      <c r="R1697" s="185">
        <v>2</v>
      </c>
      <c r="S1697" s="178">
        <f t="shared" si="178"/>
        <v>1</v>
      </c>
      <c r="T1697" s="186">
        <f t="shared" si="179"/>
        <v>3</v>
      </c>
      <c r="U1697" s="179">
        <f t="shared" si="180"/>
        <v>2</v>
      </c>
      <c r="V1697" s="1">
        <f t="shared" si="181"/>
        <v>25</v>
      </c>
      <c r="W1697" s="8">
        <f t="shared" si="182"/>
        <v>6.25</v>
      </c>
      <c r="X1697" s="15">
        <f t="shared" si="183"/>
        <v>9225</v>
      </c>
    </row>
    <row r="1698" spans="2:24">
      <c r="B1698" s="162" t="s">
        <v>458</v>
      </c>
      <c r="C1698" s="2" t="s">
        <v>541</v>
      </c>
      <c r="D1698" s="2" t="s">
        <v>62</v>
      </c>
      <c r="E1698" s="3">
        <v>45381.5625</v>
      </c>
      <c r="F1698" s="2" t="s">
        <v>644</v>
      </c>
      <c r="G1698" s="2" t="s">
        <v>645</v>
      </c>
      <c r="H1698" s="2">
        <v>20</v>
      </c>
      <c r="I1698" s="2">
        <v>80</v>
      </c>
      <c r="J1698" s="2">
        <v>100</v>
      </c>
      <c r="K1698" s="2">
        <v>44</v>
      </c>
      <c r="L1698" s="2">
        <v>1.6</v>
      </c>
      <c r="M1698" s="2"/>
      <c r="N1698" s="2" t="s">
        <v>95</v>
      </c>
      <c r="O1698" s="10">
        <v>1</v>
      </c>
      <c r="P1698" s="10">
        <v>0</v>
      </c>
      <c r="Q1698" s="184">
        <v>1</v>
      </c>
      <c r="R1698" s="185">
        <v>0</v>
      </c>
      <c r="S1698" s="178">
        <f t="shared" si="178"/>
        <v>1</v>
      </c>
      <c r="T1698" s="186">
        <f t="shared" si="179"/>
        <v>1</v>
      </c>
      <c r="U1698" s="179">
        <f t="shared" si="180"/>
        <v>0</v>
      </c>
      <c r="V1698" s="1">
        <f t="shared" si="181"/>
        <v>25</v>
      </c>
      <c r="W1698" s="8">
        <f t="shared" si="182"/>
        <v>6.25</v>
      </c>
      <c r="X1698" s="15">
        <f t="shared" si="183"/>
        <v>9231.25</v>
      </c>
    </row>
    <row r="1699" spans="2:24">
      <c r="B1699" s="162" t="s">
        <v>458</v>
      </c>
      <c r="C1699" s="2" t="s">
        <v>119</v>
      </c>
      <c r="D1699" s="2" t="s">
        <v>166</v>
      </c>
      <c r="E1699" s="3">
        <v>45381.729166666664</v>
      </c>
      <c r="F1699" s="2" t="s">
        <v>238</v>
      </c>
      <c r="G1699" s="2" t="s">
        <v>606</v>
      </c>
      <c r="H1699" s="2">
        <v>20</v>
      </c>
      <c r="I1699" s="2">
        <v>80</v>
      </c>
      <c r="J1699" s="2">
        <v>100</v>
      </c>
      <c r="K1699" s="2">
        <v>49</v>
      </c>
      <c r="L1699" s="2">
        <v>1.65</v>
      </c>
      <c r="M1699" s="2"/>
      <c r="N1699" s="2" t="s">
        <v>95</v>
      </c>
      <c r="O1699" s="10">
        <v>0</v>
      </c>
      <c r="P1699" s="10">
        <v>0</v>
      </c>
      <c r="Q1699" s="184">
        <v>1</v>
      </c>
      <c r="R1699" s="185">
        <v>1</v>
      </c>
      <c r="S1699" s="178">
        <f t="shared" si="178"/>
        <v>0</v>
      </c>
      <c r="T1699" s="186">
        <f t="shared" si="179"/>
        <v>2</v>
      </c>
      <c r="U1699" s="179">
        <f t="shared" si="180"/>
        <v>2</v>
      </c>
      <c r="V1699" s="1">
        <f t="shared" si="181"/>
        <v>25</v>
      </c>
      <c r="W1699" s="8">
        <f t="shared" si="182"/>
        <v>6.25</v>
      </c>
      <c r="X1699" s="15">
        <f t="shared" si="183"/>
        <v>9237.5</v>
      </c>
    </row>
    <row r="1700" spans="2:24">
      <c r="B1700" s="162" t="s">
        <v>458</v>
      </c>
      <c r="C1700" s="2" t="s">
        <v>119</v>
      </c>
      <c r="D1700" s="2" t="s">
        <v>166</v>
      </c>
      <c r="E1700" s="3">
        <v>45382.541666666664</v>
      </c>
      <c r="F1700" s="2" t="s">
        <v>651</v>
      </c>
      <c r="G1700" s="2" t="s">
        <v>561</v>
      </c>
      <c r="H1700" s="2">
        <v>20</v>
      </c>
      <c r="I1700" s="2">
        <v>85</v>
      </c>
      <c r="J1700" s="2">
        <v>100</v>
      </c>
      <c r="K1700" s="2">
        <v>46</v>
      </c>
      <c r="L1700" s="2">
        <v>1.65</v>
      </c>
      <c r="M1700" s="2"/>
      <c r="N1700" s="2" t="s">
        <v>95</v>
      </c>
      <c r="O1700" s="10">
        <v>1</v>
      </c>
      <c r="P1700" s="10">
        <v>1</v>
      </c>
      <c r="Q1700" s="184">
        <v>1</v>
      </c>
      <c r="R1700" s="185">
        <v>1</v>
      </c>
      <c r="S1700" s="178">
        <f t="shared" si="178"/>
        <v>2</v>
      </c>
      <c r="T1700" s="186">
        <f t="shared" si="179"/>
        <v>2</v>
      </c>
      <c r="U1700" s="179">
        <f t="shared" si="180"/>
        <v>0</v>
      </c>
      <c r="V1700" s="1">
        <f t="shared" si="181"/>
        <v>25</v>
      </c>
      <c r="W1700" s="8">
        <f t="shared" si="182"/>
        <v>6.25</v>
      </c>
      <c r="X1700" s="15">
        <f t="shared" si="183"/>
        <v>9243.75</v>
      </c>
    </row>
    <row r="1701" spans="2:24">
      <c r="B1701" s="162" t="s">
        <v>458</v>
      </c>
      <c r="C1701" s="2" t="s">
        <v>572</v>
      </c>
      <c r="D1701" s="2" t="s">
        <v>670</v>
      </c>
      <c r="E1701" s="3">
        <v>45385.458333333336</v>
      </c>
      <c r="F1701" s="2" t="s">
        <v>671</v>
      </c>
      <c r="G1701" s="2" t="s">
        <v>672</v>
      </c>
      <c r="H1701" s="2">
        <v>20</v>
      </c>
      <c r="I1701" s="2">
        <v>85</v>
      </c>
      <c r="J1701" s="2">
        <v>95</v>
      </c>
      <c r="K1701" s="2">
        <v>36</v>
      </c>
      <c r="L1701" s="2">
        <v>1.75</v>
      </c>
      <c r="M1701" s="2"/>
      <c r="N1701" s="2" t="s">
        <v>95</v>
      </c>
      <c r="O1701" s="10">
        <v>1</v>
      </c>
      <c r="P1701" s="10">
        <v>1</v>
      </c>
      <c r="Q1701" s="184">
        <v>1</v>
      </c>
      <c r="R1701" s="185">
        <v>1</v>
      </c>
      <c r="S1701" s="178">
        <f t="shared" si="178"/>
        <v>2</v>
      </c>
      <c r="T1701" s="186">
        <f t="shared" si="179"/>
        <v>2</v>
      </c>
      <c r="U1701" s="179">
        <f t="shared" si="180"/>
        <v>0</v>
      </c>
      <c r="V1701" s="1">
        <f t="shared" si="181"/>
        <v>25</v>
      </c>
      <c r="W1701" s="8">
        <f t="shared" si="182"/>
        <v>6.25</v>
      </c>
      <c r="X1701" s="15">
        <f t="shared" si="183"/>
        <v>9250</v>
      </c>
    </row>
    <row r="1702" spans="2:24">
      <c r="B1702" s="162" t="s">
        <v>458</v>
      </c>
      <c r="C1702" s="2" t="s">
        <v>58</v>
      </c>
      <c r="D1702" s="2" t="s">
        <v>289</v>
      </c>
      <c r="E1702" s="3">
        <v>45388.583333333336</v>
      </c>
      <c r="F1702" s="2" t="s">
        <v>688</v>
      </c>
      <c r="G1702" s="2" t="s">
        <v>689</v>
      </c>
      <c r="H1702" s="2">
        <v>20</v>
      </c>
      <c r="I1702" s="2">
        <v>80</v>
      </c>
      <c r="J1702" s="2">
        <v>100</v>
      </c>
      <c r="K1702" s="2">
        <v>42</v>
      </c>
      <c r="L1702" s="2">
        <v>1.85</v>
      </c>
      <c r="M1702" s="2"/>
      <c r="N1702" s="2" t="s">
        <v>95</v>
      </c>
      <c r="O1702" s="10">
        <v>0</v>
      </c>
      <c r="P1702" s="10">
        <v>0</v>
      </c>
      <c r="Q1702" s="184">
        <v>0</v>
      </c>
      <c r="R1702" s="185">
        <v>0</v>
      </c>
      <c r="S1702" s="178">
        <f t="shared" si="178"/>
        <v>0</v>
      </c>
      <c r="T1702" s="186">
        <f t="shared" si="179"/>
        <v>0</v>
      </c>
      <c r="U1702" s="179">
        <f t="shared" si="180"/>
        <v>0</v>
      </c>
      <c r="V1702" s="1">
        <f t="shared" si="181"/>
        <v>25</v>
      </c>
      <c r="W1702" s="8">
        <f t="shared" si="182"/>
        <v>6.25</v>
      </c>
      <c r="X1702" s="15">
        <f t="shared" si="183"/>
        <v>9256.25</v>
      </c>
    </row>
    <row r="1703" spans="2:24">
      <c r="B1703" s="162" t="s">
        <v>458</v>
      </c>
      <c r="C1703" s="2" t="s">
        <v>572</v>
      </c>
      <c r="D1703" s="2" t="s">
        <v>670</v>
      </c>
      <c r="E1703" s="3">
        <v>45389.25</v>
      </c>
      <c r="F1703" s="2" t="s">
        <v>695</v>
      </c>
      <c r="G1703" s="2" t="s">
        <v>672</v>
      </c>
      <c r="H1703" s="2">
        <v>20</v>
      </c>
      <c r="I1703" s="2">
        <v>90</v>
      </c>
      <c r="J1703" s="2">
        <v>100</v>
      </c>
      <c r="K1703" s="2">
        <v>37</v>
      </c>
      <c r="L1703" s="2">
        <v>1.65</v>
      </c>
      <c r="M1703" s="2"/>
      <c r="N1703" s="2" t="s">
        <v>95</v>
      </c>
      <c r="O1703" s="10">
        <v>0</v>
      </c>
      <c r="P1703" s="10">
        <v>0</v>
      </c>
      <c r="Q1703" s="184">
        <v>0</v>
      </c>
      <c r="R1703" s="185">
        <v>1</v>
      </c>
      <c r="S1703" s="178">
        <f t="shared" si="178"/>
        <v>0</v>
      </c>
      <c r="T1703" s="186">
        <f t="shared" si="179"/>
        <v>1</v>
      </c>
      <c r="U1703" s="179">
        <f t="shared" si="180"/>
        <v>1</v>
      </c>
      <c r="V1703" s="1">
        <f t="shared" si="181"/>
        <v>25</v>
      </c>
      <c r="W1703" s="8">
        <f t="shared" si="182"/>
        <v>6.25</v>
      </c>
      <c r="X1703" s="15">
        <f t="shared" si="183"/>
        <v>9262.5</v>
      </c>
    </row>
    <row r="1704" spans="2:24">
      <c r="B1704" s="162" t="s">
        <v>458</v>
      </c>
      <c r="C1704" s="2" t="s">
        <v>586</v>
      </c>
      <c r="D1704" s="2" t="s">
        <v>62</v>
      </c>
      <c r="E1704" s="3">
        <v>45389.635416666664</v>
      </c>
      <c r="F1704" s="2" t="s">
        <v>698</v>
      </c>
      <c r="G1704" s="2" t="s">
        <v>699</v>
      </c>
      <c r="H1704" s="2">
        <v>20</v>
      </c>
      <c r="I1704" s="2">
        <v>80</v>
      </c>
      <c r="J1704" s="2">
        <v>95</v>
      </c>
      <c r="K1704" s="2">
        <v>48</v>
      </c>
      <c r="L1704" s="2">
        <v>1.6</v>
      </c>
      <c r="M1704" s="2"/>
      <c r="N1704" s="2" t="s">
        <v>95</v>
      </c>
      <c r="O1704" s="10">
        <v>0</v>
      </c>
      <c r="P1704" s="10">
        <v>0</v>
      </c>
      <c r="Q1704" s="184">
        <v>0</v>
      </c>
      <c r="R1704" s="185">
        <v>0</v>
      </c>
      <c r="S1704" s="178">
        <f t="shared" si="178"/>
        <v>0</v>
      </c>
      <c r="T1704" s="186">
        <f t="shared" si="179"/>
        <v>0</v>
      </c>
      <c r="U1704" s="179">
        <f t="shared" si="180"/>
        <v>0</v>
      </c>
      <c r="V1704" s="1">
        <f t="shared" si="181"/>
        <v>25</v>
      </c>
      <c r="W1704" s="8">
        <f t="shared" si="182"/>
        <v>6.25</v>
      </c>
      <c r="X1704" s="15">
        <f t="shared" si="183"/>
        <v>9268.75</v>
      </c>
    </row>
    <row r="1705" spans="2:24">
      <c r="B1705" s="162" t="s">
        <v>458</v>
      </c>
      <c r="C1705" s="2" t="s">
        <v>572</v>
      </c>
      <c r="D1705" s="2" t="s">
        <v>670</v>
      </c>
      <c r="E1705" s="3">
        <v>45395.25</v>
      </c>
      <c r="F1705" s="2" t="s">
        <v>727</v>
      </c>
      <c r="G1705" s="2" t="s">
        <v>728</v>
      </c>
      <c r="H1705" s="2">
        <v>20</v>
      </c>
      <c r="I1705" s="2">
        <v>80</v>
      </c>
      <c r="J1705" s="2">
        <v>100</v>
      </c>
      <c r="K1705" s="2">
        <v>43</v>
      </c>
      <c r="L1705" s="2">
        <v>1.45</v>
      </c>
      <c r="M1705" s="2"/>
      <c r="N1705" s="2" t="s">
        <v>95</v>
      </c>
      <c r="O1705" s="10">
        <v>1</v>
      </c>
      <c r="P1705" s="10">
        <v>1</v>
      </c>
      <c r="Q1705" s="184">
        <v>1</v>
      </c>
      <c r="R1705" s="185">
        <v>1</v>
      </c>
      <c r="S1705" s="178">
        <f t="shared" si="178"/>
        <v>2</v>
      </c>
      <c r="T1705" s="186">
        <f t="shared" si="179"/>
        <v>2</v>
      </c>
      <c r="U1705" s="179">
        <f t="shared" si="180"/>
        <v>0</v>
      </c>
      <c r="V1705" s="1">
        <f t="shared" si="181"/>
        <v>25</v>
      </c>
      <c r="W1705" s="8">
        <f t="shared" si="182"/>
        <v>6.25</v>
      </c>
      <c r="X1705" s="15">
        <f t="shared" si="183"/>
        <v>9275</v>
      </c>
    </row>
    <row r="1706" spans="2:24">
      <c r="B1706" s="160" t="s">
        <v>458</v>
      </c>
      <c r="C1706" s="2" t="s">
        <v>20</v>
      </c>
      <c r="D1706" s="2" t="s">
        <v>322</v>
      </c>
      <c r="E1706" s="3">
        <v>45401.8125</v>
      </c>
      <c r="F1706" s="2" t="s">
        <v>749</v>
      </c>
      <c r="G1706" s="2" t="s">
        <v>579</v>
      </c>
      <c r="H1706" s="2">
        <v>20</v>
      </c>
      <c r="I1706" s="2">
        <v>80</v>
      </c>
      <c r="J1706" s="2">
        <v>95</v>
      </c>
      <c r="K1706" s="2">
        <v>39</v>
      </c>
      <c r="L1706" s="2">
        <v>1.95</v>
      </c>
      <c r="M1706" s="2"/>
      <c r="N1706" s="2" t="s">
        <v>95</v>
      </c>
      <c r="O1706" s="10">
        <v>0</v>
      </c>
      <c r="P1706" s="10">
        <v>2</v>
      </c>
      <c r="Q1706" s="184">
        <v>0</v>
      </c>
      <c r="R1706" s="185">
        <v>4</v>
      </c>
      <c r="S1706" s="178">
        <f t="shared" si="178"/>
        <v>2</v>
      </c>
      <c r="T1706" s="186">
        <f t="shared" si="179"/>
        <v>4</v>
      </c>
      <c r="U1706" s="179">
        <f t="shared" si="180"/>
        <v>2</v>
      </c>
      <c r="V1706" s="1">
        <f t="shared" si="181"/>
        <v>25</v>
      </c>
      <c r="W1706" s="8">
        <f t="shared" si="182"/>
        <v>6.25</v>
      </c>
      <c r="X1706" s="15">
        <f t="shared" si="183"/>
        <v>9281.25</v>
      </c>
    </row>
    <row r="1707" spans="2:24">
      <c r="B1707" s="160" t="s">
        <v>458</v>
      </c>
      <c r="C1707" s="2" t="s">
        <v>572</v>
      </c>
      <c r="D1707" s="2" t="s">
        <v>670</v>
      </c>
      <c r="E1707" s="3">
        <v>45403.291666666664</v>
      </c>
      <c r="F1707" s="2" t="s">
        <v>768</v>
      </c>
      <c r="G1707" s="2" t="s">
        <v>672</v>
      </c>
      <c r="H1707" s="2">
        <v>20</v>
      </c>
      <c r="I1707" s="2">
        <v>90</v>
      </c>
      <c r="J1707" s="2">
        <v>100</v>
      </c>
      <c r="K1707" s="2">
        <v>44</v>
      </c>
      <c r="L1707" s="2">
        <v>1.5</v>
      </c>
      <c r="M1707" s="2"/>
      <c r="N1707" s="2" t="s">
        <v>95</v>
      </c>
      <c r="O1707" s="10">
        <v>0</v>
      </c>
      <c r="P1707" s="10">
        <v>0</v>
      </c>
      <c r="Q1707" s="184">
        <v>2</v>
      </c>
      <c r="R1707" s="185">
        <v>1</v>
      </c>
      <c r="S1707" s="178">
        <f t="shared" si="178"/>
        <v>0</v>
      </c>
      <c r="T1707" s="186">
        <f t="shared" si="179"/>
        <v>3</v>
      </c>
      <c r="U1707" s="179">
        <f t="shared" si="180"/>
        <v>3</v>
      </c>
      <c r="V1707" s="1">
        <f t="shared" si="181"/>
        <v>25</v>
      </c>
      <c r="W1707" s="8">
        <f t="shared" si="182"/>
        <v>6.25</v>
      </c>
      <c r="X1707" s="15">
        <f t="shared" si="183"/>
        <v>9287.5</v>
      </c>
    </row>
    <row r="1708" spans="2:24">
      <c r="B1708" s="160" t="s">
        <v>458</v>
      </c>
      <c r="C1708" s="2" t="s">
        <v>89</v>
      </c>
      <c r="D1708" s="2" t="s">
        <v>90</v>
      </c>
      <c r="E1708" s="3">
        <v>45403.59375</v>
      </c>
      <c r="F1708" s="2" t="s">
        <v>769</v>
      </c>
      <c r="G1708" s="2" t="s">
        <v>712</v>
      </c>
      <c r="H1708" s="2">
        <v>20</v>
      </c>
      <c r="I1708" s="2">
        <v>80</v>
      </c>
      <c r="J1708" s="2">
        <v>95</v>
      </c>
      <c r="K1708" s="2">
        <v>39</v>
      </c>
      <c r="L1708" s="2">
        <v>2.0499999999999998</v>
      </c>
      <c r="M1708" s="2"/>
      <c r="N1708" s="2" t="s">
        <v>95</v>
      </c>
      <c r="O1708" s="10">
        <v>1</v>
      </c>
      <c r="P1708" s="10">
        <v>0</v>
      </c>
      <c r="Q1708" s="184">
        <v>1</v>
      </c>
      <c r="R1708" s="185">
        <v>0</v>
      </c>
      <c r="S1708" s="178">
        <f t="shared" si="178"/>
        <v>1</v>
      </c>
      <c r="T1708" s="186">
        <f t="shared" si="179"/>
        <v>1</v>
      </c>
      <c r="U1708" s="179">
        <f t="shared" si="180"/>
        <v>0</v>
      </c>
      <c r="V1708" s="1">
        <f t="shared" si="181"/>
        <v>25</v>
      </c>
      <c r="W1708" s="8">
        <f t="shared" si="182"/>
        <v>6.25</v>
      </c>
      <c r="X1708" s="15">
        <f t="shared" si="183"/>
        <v>9293.75</v>
      </c>
    </row>
    <row r="1709" spans="2:24">
      <c r="B1709" s="160" t="s">
        <v>458</v>
      </c>
      <c r="C1709" s="2" t="s">
        <v>541</v>
      </c>
      <c r="D1709" s="2" t="s">
        <v>62</v>
      </c>
      <c r="E1709" s="3">
        <v>45409.583333333336</v>
      </c>
      <c r="F1709" s="2" t="s">
        <v>786</v>
      </c>
      <c r="G1709" s="2" t="s">
        <v>645</v>
      </c>
      <c r="H1709" s="2">
        <v>20</v>
      </c>
      <c r="I1709" s="2">
        <v>80</v>
      </c>
      <c r="J1709" s="2">
        <v>95</v>
      </c>
      <c r="K1709" s="2">
        <v>35</v>
      </c>
      <c r="L1709" s="2">
        <v>1.7</v>
      </c>
      <c r="M1709" s="2"/>
      <c r="N1709" s="2" t="s">
        <v>95</v>
      </c>
      <c r="O1709" s="10">
        <v>0</v>
      </c>
      <c r="P1709" s="10">
        <v>1</v>
      </c>
      <c r="Q1709" s="184">
        <v>2</v>
      </c>
      <c r="R1709" s="185">
        <v>1</v>
      </c>
      <c r="S1709" s="178">
        <f t="shared" si="178"/>
        <v>1</v>
      </c>
      <c r="T1709" s="186">
        <f t="shared" si="179"/>
        <v>3</v>
      </c>
      <c r="U1709" s="179">
        <f t="shared" si="180"/>
        <v>2</v>
      </c>
      <c r="V1709" s="1">
        <f t="shared" si="181"/>
        <v>25</v>
      </c>
      <c r="W1709" s="8">
        <f t="shared" si="182"/>
        <v>6.25</v>
      </c>
      <c r="X1709" s="15">
        <f t="shared" si="183"/>
        <v>9300</v>
      </c>
    </row>
    <row r="1710" spans="2:24">
      <c r="B1710" s="160" t="s">
        <v>458</v>
      </c>
      <c r="C1710" s="2" t="s">
        <v>145</v>
      </c>
      <c r="D1710" s="2" t="s">
        <v>268</v>
      </c>
      <c r="E1710" s="3">
        <v>45409.75</v>
      </c>
      <c r="F1710" s="2" t="s">
        <v>787</v>
      </c>
      <c r="G1710" s="2" t="s">
        <v>638</v>
      </c>
      <c r="H1710" s="2">
        <v>20</v>
      </c>
      <c r="I1710" s="2">
        <v>80</v>
      </c>
      <c r="J1710" s="2">
        <v>100</v>
      </c>
      <c r="K1710" s="2">
        <v>39</v>
      </c>
      <c r="L1710" s="2">
        <v>1.8</v>
      </c>
      <c r="M1710" s="2"/>
      <c r="N1710" s="2" t="s">
        <v>95</v>
      </c>
      <c r="O1710" s="10">
        <v>0</v>
      </c>
      <c r="P1710" s="10">
        <v>0</v>
      </c>
      <c r="Q1710" s="184">
        <v>0</v>
      </c>
      <c r="R1710" s="185">
        <v>0</v>
      </c>
      <c r="S1710" s="178">
        <f t="shared" si="178"/>
        <v>0</v>
      </c>
      <c r="T1710" s="186">
        <f t="shared" si="179"/>
        <v>0</v>
      </c>
      <c r="U1710" s="179">
        <f t="shared" si="180"/>
        <v>0</v>
      </c>
      <c r="V1710" s="1">
        <f t="shared" si="181"/>
        <v>25</v>
      </c>
      <c r="W1710" s="8">
        <f t="shared" si="182"/>
        <v>6.25</v>
      </c>
      <c r="X1710" s="15">
        <f t="shared" si="183"/>
        <v>9306.25</v>
      </c>
    </row>
    <row r="1711" spans="2:24">
      <c r="B1711" s="160" t="s">
        <v>458</v>
      </c>
      <c r="C1711" s="2" t="s">
        <v>119</v>
      </c>
      <c r="D1711" s="2" t="s">
        <v>166</v>
      </c>
      <c r="E1711" s="3">
        <v>45410.635416666664</v>
      </c>
      <c r="F1711" s="2" t="s">
        <v>651</v>
      </c>
      <c r="G1711" s="2" t="s">
        <v>790</v>
      </c>
      <c r="H1711" s="2">
        <v>20</v>
      </c>
      <c r="I1711" s="2">
        <v>85</v>
      </c>
      <c r="J1711" s="2">
        <v>100</v>
      </c>
      <c r="K1711" s="2">
        <v>34</v>
      </c>
      <c r="L1711" s="2">
        <v>1.85</v>
      </c>
      <c r="M1711" s="2"/>
      <c r="N1711" s="2" t="s">
        <v>95</v>
      </c>
      <c r="O1711" s="10">
        <v>0</v>
      </c>
      <c r="P1711" s="10">
        <v>0</v>
      </c>
      <c r="Q1711" s="184">
        <v>0</v>
      </c>
      <c r="R1711" s="185">
        <v>0</v>
      </c>
      <c r="S1711" s="178">
        <f t="shared" si="178"/>
        <v>0</v>
      </c>
      <c r="T1711" s="186">
        <f t="shared" si="179"/>
        <v>0</v>
      </c>
      <c r="U1711" s="179">
        <f t="shared" si="180"/>
        <v>0</v>
      </c>
      <c r="V1711" s="1">
        <f t="shared" si="181"/>
        <v>25</v>
      </c>
      <c r="W1711" s="8">
        <f t="shared" si="182"/>
        <v>6.25</v>
      </c>
      <c r="X1711" s="15">
        <f t="shared" si="183"/>
        <v>9312.5</v>
      </c>
    </row>
    <row r="1712" spans="2:24">
      <c r="B1712" s="160" t="s">
        <v>458</v>
      </c>
      <c r="C1712" s="2" t="s">
        <v>77</v>
      </c>
      <c r="D1712" s="2" t="s">
        <v>156</v>
      </c>
      <c r="E1712" s="3">
        <v>45410.6875</v>
      </c>
      <c r="F1712" s="2" t="s">
        <v>160</v>
      </c>
      <c r="G1712" s="2" t="s">
        <v>438</v>
      </c>
      <c r="H1712" s="2">
        <v>20</v>
      </c>
      <c r="I1712" s="2">
        <v>85</v>
      </c>
      <c r="J1712" s="2">
        <v>100</v>
      </c>
      <c r="K1712" s="2">
        <v>36</v>
      </c>
      <c r="L1712" s="2">
        <v>2.2000000000000002</v>
      </c>
      <c r="M1712" s="2"/>
      <c r="N1712" s="2" t="s">
        <v>95</v>
      </c>
      <c r="O1712" s="10">
        <v>1</v>
      </c>
      <c r="P1712" s="10">
        <v>0</v>
      </c>
      <c r="Q1712" s="184">
        <v>1</v>
      </c>
      <c r="R1712" s="185">
        <v>1</v>
      </c>
      <c r="S1712" s="178">
        <f t="shared" si="178"/>
        <v>1</v>
      </c>
      <c r="T1712" s="186">
        <f t="shared" si="179"/>
        <v>2</v>
      </c>
      <c r="U1712" s="179">
        <f t="shared" si="180"/>
        <v>1</v>
      </c>
      <c r="V1712" s="1">
        <f t="shared" si="181"/>
        <v>25</v>
      </c>
      <c r="W1712" s="8">
        <f t="shared" si="182"/>
        <v>6.25</v>
      </c>
      <c r="X1712" s="15">
        <f t="shared" si="183"/>
        <v>9318.75</v>
      </c>
    </row>
    <row r="1713" spans="2:24">
      <c r="B1713" s="160" t="s">
        <v>458</v>
      </c>
      <c r="C1713" s="2" t="s">
        <v>572</v>
      </c>
      <c r="D1713" s="2" t="s">
        <v>670</v>
      </c>
      <c r="E1713" s="3">
        <v>45415.25</v>
      </c>
      <c r="F1713" s="2" t="s">
        <v>695</v>
      </c>
      <c r="G1713" s="2" t="s">
        <v>728</v>
      </c>
      <c r="H1713" s="2">
        <v>20</v>
      </c>
      <c r="I1713" s="2">
        <v>80</v>
      </c>
      <c r="J1713" s="2">
        <v>100</v>
      </c>
      <c r="K1713" s="2">
        <v>40</v>
      </c>
      <c r="L1713" s="2">
        <v>1.75</v>
      </c>
      <c r="M1713" s="2"/>
      <c r="N1713" s="2" t="s">
        <v>95</v>
      </c>
      <c r="O1713" s="10">
        <v>0</v>
      </c>
      <c r="P1713" s="10">
        <v>0</v>
      </c>
      <c r="Q1713" s="184">
        <v>1</v>
      </c>
      <c r="R1713" s="185">
        <v>1</v>
      </c>
      <c r="S1713" s="178">
        <f t="shared" si="178"/>
        <v>0</v>
      </c>
      <c r="T1713" s="186">
        <f t="shared" si="179"/>
        <v>2</v>
      </c>
      <c r="U1713" s="179">
        <f t="shared" si="180"/>
        <v>2</v>
      </c>
      <c r="V1713" s="1">
        <f t="shared" si="181"/>
        <v>25</v>
      </c>
      <c r="W1713" s="8">
        <f t="shared" si="182"/>
        <v>6.25</v>
      </c>
      <c r="X1713" s="15">
        <f t="shared" si="183"/>
        <v>9325</v>
      </c>
    </row>
    <row r="1714" spans="2:24">
      <c r="B1714" s="160" t="s">
        <v>458</v>
      </c>
      <c r="C1714" s="2" t="s">
        <v>58</v>
      </c>
      <c r="D1714" s="2" t="s">
        <v>289</v>
      </c>
      <c r="E1714" s="3">
        <v>45416.583333333336</v>
      </c>
      <c r="F1714" s="2" t="s">
        <v>801</v>
      </c>
      <c r="G1714" s="2" t="s">
        <v>688</v>
      </c>
      <c r="H1714" s="2">
        <v>20</v>
      </c>
      <c r="I1714" s="2">
        <v>80</v>
      </c>
      <c r="J1714" s="2">
        <v>100</v>
      </c>
      <c r="K1714" s="2">
        <v>36</v>
      </c>
      <c r="L1714" s="2">
        <v>1.75</v>
      </c>
      <c r="M1714" s="2"/>
      <c r="N1714" s="2" t="s">
        <v>95</v>
      </c>
      <c r="O1714" s="10">
        <v>0</v>
      </c>
      <c r="P1714" s="10">
        <v>1</v>
      </c>
      <c r="Q1714" s="184">
        <v>1</v>
      </c>
      <c r="R1714" s="185">
        <v>1</v>
      </c>
      <c r="S1714" s="178">
        <f t="shared" si="178"/>
        <v>1</v>
      </c>
      <c r="T1714" s="186">
        <f t="shared" si="179"/>
        <v>2</v>
      </c>
      <c r="U1714" s="179">
        <f t="shared" si="180"/>
        <v>1</v>
      </c>
      <c r="V1714" s="1">
        <f t="shared" si="181"/>
        <v>25</v>
      </c>
      <c r="W1714" s="8">
        <f t="shared" si="182"/>
        <v>6.25</v>
      </c>
      <c r="X1714" s="15">
        <f t="shared" si="183"/>
        <v>9331.25</v>
      </c>
    </row>
    <row r="1715" spans="2:24">
      <c r="B1715" s="160" t="s">
        <v>458</v>
      </c>
      <c r="C1715" s="2" t="s">
        <v>58</v>
      </c>
      <c r="D1715" s="2" t="s">
        <v>289</v>
      </c>
      <c r="E1715" s="3">
        <v>45417.75</v>
      </c>
      <c r="F1715" s="2" t="s">
        <v>716</v>
      </c>
      <c r="G1715" s="2" t="s">
        <v>624</v>
      </c>
      <c r="H1715" s="2">
        <v>20</v>
      </c>
      <c r="I1715" s="2">
        <v>85</v>
      </c>
      <c r="J1715" s="2">
        <v>100</v>
      </c>
      <c r="K1715" s="2">
        <v>44</v>
      </c>
      <c r="L1715" s="2">
        <v>1.85</v>
      </c>
      <c r="M1715" s="2"/>
      <c r="N1715" s="1" t="s">
        <v>95</v>
      </c>
      <c r="O1715" s="10">
        <v>2</v>
      </c>
      <c r="P1715" s="10">
        <v>0</v>
      </c>
      <c r="Q1715" s="184">
        <v>2</v>
      </c>
      <c r="R1715" s="185">
        <v>2</v>
      </c>
      <c r="S1715" s="178">
        <f t="shared" si="178"/>
        <v>2</v>
      </c>
      <c r="T1715" s="186">
        <f t="shared" si="179"/>
        <v>4</v>
      </c>
      <c r="U1715" s="179">
        <f t="shared" si="180"/>
        <v>2</v>
      </c>
      <c r="V1715" s="1">
        <f t="shared" si="181"/>
        <v>25</v>
      </c>
      <c r="W1715" s="8">
        <f t="shared" si="182"/>
        <v>6.25</v>
      </c>
      <c r="X1715" s="15">
        <f t="shared" si="183"/>
        <v>9337.5</v>
      </c>
    </row>
    <row r="1716" spans="2:24">
      <c r="B1716" s="160" t="s">
        <v>458</v>
      </c>
      <c r="C1716" s="2" t="s">
        <v>541</v>
      </c>
      <c r="D1716" s="2" t="s">
        <v>62</v>
      </c>
      <c r="E1716" s="3">
        <v>45423.583333333336</v>
      </c>
      <c r="F1716" s="2" t="s">
        <v>644</v>
      </c>
      <c r="G1716" s="2" t="s">
        <v>548</v>
      </c>
      <c r="H1716" s="2">
        <v>20</v>
      </c>
      <c r="I1716" s="2">
        <v>80</v>
      </c>
      <c r="J1716" s="2">
        <v>95</v>
      </c>
      <c r="K1716" s="2">
        <v>44</v>
      </c>
      <c r="L1716" s="2">
        <v>1.5</v>
      </c>
      <c r="M1716" s="2"/>
      <c r="N1716" s="1" t="s">
        <v>95</v>
      </c>
      <c r="O1716" s="10">
        <v>0</v>
      </c>
      <c r="P1716" s="10">
        <v>0</v>
      </c>
      <c r="Q1716" s="184">
        <v>0</v>
      </c>
      <c r="R1716" s="185">
        <v>0</v>
      </c>
      <c r="S1716" s="178">
        <f t="shared" si="178"/>
        <v>0</v>
      </c>
      <c r="T1716" s="186">
        <f t="shared" si="179"/>
        <v>0</v>
      </c>
      <c r="U1716" s="179">
        <f t="shared" si="180"/>
        <v>0</v>
      </c>
      <c r="V1716" s="1">
        <f t="shared" si="181"/>
        <v>25</v>
      </c>
      <c r="W1716" s="8">
        <f t="shared" si="182"/>
        <v>6.25</v>
      </c>
      <c r="X1716" s="15">
        <f t="shared" si="183"/>
        <v>9343.75</v>
      </c>
    </row>
    <row r="1717" spans="2:24">
      <c r="B1717" s="160" t="s">
        <v>458</v>
      </c>
      <c r="C1717" s="2" t="s">
        <v>77</v>
      </c>
      <c r="D1717" s="2" t="s">
        <v>156</v>
      </c>
      <c r="E1717" s="3">
        <v>45423.604166666664</v>
      </c>
      <c r="F1717" s="2" t="s">
        <v>438</v>
      </c>
      <c r="G1717" s="2" t="s">
        <v>315</v>
      </c>
      <c r="H1717" s="2">
        <v>20</v>
      </c>
      <c r="I1717" s="2">
        <v>80</v>
      </c>
      <c r="J1717" s="2">
        <v>100</v>
      </c>
      <c r="K1717" s="2">
        <v>40</v>
      </c>
      <c r="L1717" s="2">
        <v>1.75</v>
      </c>
      <c r="M1717" s="2"/>
      <c r="N1717" s="1" t="s">
        <v>95</v>
      </c>
      <c r="O1717" s="10">
        <v>1</v>
      </c>
      <c r="P1717" s="10">
        <v>2</v>
      </c>
      <c r="Q1717" s="184">
        <v>3</v>
      </c>
      <c r="R1717" s="185">
        <v>2</v>
      </c>
      <c r="S1717" s="178">
        <f t="shared" si="178"/>
        <v>3</v>
      </c>
      <c r="T1717" s="186">
        <f t="shared" si="179"/>
        <v>5</v>
      </c>
      <c r="U1717" s="179">
        <f t="shared" si="180"/>
        <v>2</v>
      </c>
      <c r="V1717" s="1">
        <f t="shared" si="181"/>
        <v>25</v>
      </c>
      <c r="W1717" s="8">
        <f t="shared" si="182"/>
        <v>6.25</v>
      </c>
      <c r="X1717" s="15">
        <f t="shared" si="183"/>
        <v>9350</v>
      </c>
    </row>
    <row r="1718" spans="2:24">
      <c r="B1718" s="160" t="s">
        <v>458</v>
      </c>
      <c r="C1718" s="2" t="s">
        <v>534</v>
      </c>
      <c r="D1718" s="2" t="s">
        <v>535</v>
      </c>
      <c r="E1718" s="3">
        <v>45424.354166666664</v>
      </c>
      <c r="F1718" s="2" t="s">
        <v>828</v>
      </c>
      <c r="G1718" s="2" t="s">
        <v>829</v>
      </c>
      <c r="H1718" s="2">
        <v>20</v>
      </c>
      <c r="I1718" s="2">
        <v>80</v>
      </c>
      <c r="J1718" s="2">
        <v>100</v>
      </c>
      <c r="K1718" s="2">
        <v>45</v>
      </c>
      <c r="L1718" s="2">
        <v>1.7</v>
      </c>
      <c r="M1718" s="2"/>
      <c r="N1718" s="1" t="s">
        <v>95</v>
      </c>
      <c r="O1718" s="10">
        <v>1</v>
      </c>
      <c r="P1718" s="10">
        <v>0</v>
      </c>
      <c r="Q1718" s="184">
        <v>1</v>
      </c>
      <c r="R1718" s="185">
        <v>1</v>
      </c>
      <c r="S1718" s="178">
        <f t="shared" si="178"/>
        <v>1</v>
      </c>
      <c r="T1718" s="186">
        <f t="shared" si="179"/>
        <v>2</v>
      </c>
      <c r="U1718" s="179">
        <f t="shared" si="180"/>
        <v>1</v>
      </c>
      <c r="V1718" s="1">
        <f t="shared" si="181"/>
        <v>25</v>
      </c>
      <c r="W1718" s="8">
        <f t="shared" si="182"/>
        <v>6.25</v>
      </c>
      <c r="X1718" s="15">
        <f t="shared" si="183"/>
        <v>9356.25</v>
      </c>
    </row>
    <row r="1719" spans="2:24">
      <c r="B1719" s="160" t="s">
        <v>458</v>
      </c>
      <c r="C1719" s="2" t="s">
        <v>541</v>
      </c>
      <c r="D1719" s="2" t="s">
        <v>62</v>
      </c>
      <c r="E1719" s="3">
        <v>45424.583333333336</v>
      </c>
      <c r="F1719" s="2" t="s">
        <v>830</v>
      </c>
      <c r="G1719" s="2" t="s">
        <v>831</v>
      </c>
      <c r="H1719" s="2">
        <v>20</v>
      </c>
      <c r="I1719" s="2">
        <v>80</v>
      </c>
      <c r="J1719" s="2">
        <v>100</v>
      </c>
      <c r="K1719" s="2">
        <v>41</v>
      </c>
      <c r="L1719" s="2">
        <v>1.6</v>
      </c>
      <c r="M1719" s="2"/>
      <c r="N1719" s="1" t="s">
        <v>95</v>
      </c>
      <c r="O1719" s="10">
        <v>1</v>
      </c>
      <c r="P1719" s="10">
        <v>0</v>
      </c>
      <c r="Q1719" s="184">
        <v>1</v>
      </c>
      <c r="R1719" s="185">
        <v>1</v>
      </c>
      <c r="S1719" s="178">
        <f t="shared" si="178"/>
        <v>1</v>
      </c>
      <c r="T1719" s="186">
        <f t="shared" si="179"/>
        <v>2</v>
      </c>
      <c r="U1719" s="179">
        <f t="shared" si="180"/>
        <v>1</v>
      </c>
      <c r="V1719" s="1">
        <f t="shared" si="181"/>
        <v>25</v>
      </c>
      <c r="W1719" s="8">
        <f t="shared" si="182"/>
        <v>6.25</v>
      </c>
      <c r="X1719" s="15">
        <f t="shared" si="183"/>
        <v>9362.5</v>
      </c>
    </row>
    <row r="1720" spans="2:24">
      <c r="B1720" s="160" t="s">
        <v>458</v>
      </c>
      <c r="C1720" s="2" t="s">
        <v>119</v>
      </c>
      <c r="D1720" s="2" t="s">
        <v>166</v>
      </c>
      <c r="E1720" s="3">
        <v>45431.635416666664</v>
      </c>
      <c r="F1720" s="2" t="s">
        <v>651</v>
      </c>
      <c r="G1720" s="2" t="s">
        <v>850</v>
      </c>
      <c r="H1720" s="2">
        <v>20</v>
      </c>
      <c r="I1720" s="2">
        <v>90</v>
      </c>
      <c r="J1720" s="2">
        <v>100</v>
      </c>
      <c r="K1720" s="2">
        <v>31</v>
      </c>
      <c r="L1720" s="2">
        <v>1.25</v>
      </c>
      <c r="M1720" s="2"/>
      <c r="N1720" s="1" t="s">
        <v>95</v>
      </c>
      <c r="O1720" s="10">
        <v>1</v>
      </c>
      <c r="P1720" s="10">
        <v>0</v>
      </c>
      <c r="Q1720" s="184">
        <v>1</v>
      </c>
      <c r="R1720" s="185">
        <v>1</v>
      </c>
      <c r="S1720" s="178">
        <f t="shared" si="178"/>
        <v>1</v>
      </c>
      <c r="T1720" s="186">
        <f t="shared" si="179"/>
        <v>2</v>
      </c>
      <c r="U1720" s="179">
        <f t="shared" si="180"/>
        <v>1</v>
      </c>
      <c r="V1720" s="1">
        <f t="shared" si="181"/>
        <v>25</v>
      </c>
      <c r="W1720" s="8">
        <f t="shared" si="182"/>
        <v>6.25</v>
      </c>
      <c r="X1720" s="15">
        <f t="shared" si="183"/>
        <v>9368.75</v>
      </c>
    </row>
    <row r="1721" spans="2:24">
      <c r="B1721" s="160" t="s">
        <v>458</v>
      </c>
      <c r="C1721" s="2" t="s">
        <v>403</v>
      </c>
      <c r="D1721" s="2" t="s">
        <v>854</v>
      </c>
      <c r="E1721" s="3">
        <v>45432.958333333336</v>
      </c>
      <c r="F1721" s="2" t="s">
        <v>855</v>
      </c>
      <c r="G1721" s="2" t="s">
        <v>856</v>
      </c>
      <c r="H1721" s="2">
        <v>20</v>
      </c>
      <c r="I1721" s="2">
        <v>90</v>
      </c>
      <c r="J1721" s="2">
        <v>95</v>
      </c>
      <c r="K1721" s="2">
        <v>48</v>
      </c>
      <c r="L1721" s="2">
        <v>1.7</v>
      </c>
      <c r="M1721" s="2"/>
      <c r="N1721" s="1" t="s">
        <v>95</v>
      </c>
      <c r="O1721" s="10">
        <v>0</v>
      </c>
      <c r="P1721" s="10">
        <v>1</v>
      </c>
      <c r="Q1721" s="184">
        <v>1</v>
      </c>
      <c r="R1721" s="185">
        <v>1</v>
      </c>
      <c r="S1721" s="178">
        <f t="shared" si="178"/>
        <v>1</v>
      </c>
      <c r="T1721" s="186">
        <f t="shared" si="179"/>
        <v>2</v>
      </c>
      <c r="U1721" s="179">
        <f t="shared" si="180"/>
        <v>1</v>
      </c>
      <c r="V1721" s="1">
        <f t="shared" si="181"/>
        <v>25</v>
      </c>
      <c r="W1721" s="8">
        <f t="shared" si="182"/>
        <v>6.25</v>
      </c>
      <c r="X1721" s="15">
        <f t="shared" si="183"/>
        <v>9375</v>
      </c>
    </row>
    <row r="1722" spans="2:24">
      <c r="B1722" s="160" t="s">
        <v>458</v>
      </c>
      <c r="C1722" s="2" t="s">
        <v>403</v>
      </c>
      <c r="D1722" s="2" t="s">
        <v>854</v>
      </c>
      <c r="E1722" s="3">
        <v>45434</v>
      </c>
      <c r="F1722" s="2" t="s">
        <v>863</v>
      </c>
      <c r="G1722" s="2" t="s">
        <v>864</v>
      </c>
      <c r="H1722" s="2">
        <v>20</v>
      </c>
      <c r="I1722" s="2">
        <v>80</v>
      </c>
      <c r="J1722" s="2">
        <v>100</v>
      </c>
      <c r="K1722" s="2">
        <v>55</v>
      </c>
      <c r="L1722" s="2">
        <v>1.75</v>
      </c>
      <c r="M1722" s="2"/>
      <c r="N1722" s="1" t="s">
        <v>95</v>
      </c>
      <c r="O1722" s="10">
        <v>1</v>
      </c>
      <c r="P1722" s="10">
        <v>0</v>
      </c>
      <c r="Q1722" s="184">
        <v>1</v>
      </c>
      <c r="R1722" s="185">
        <v>0</v>
      </c>
      <c r="S1722" s="178">
        <f t="shared" si="178"/>
        <v>1</v>
      </c>
      <c r="T1722" s="186">
        <f t="shared" si="179"/>
        <v>1</v>
      </c>
      <c r="U1722" s="179">
        <f t="shared" si="180"/>
        <v>0</v>
      </c>
      <c r="V1722" s="1">
        <f t="shared" si="181"/>
        <v>25</v>
      </c>
      <c r="W1722" s="8">
        <f t="shared" si="182"/>
        <v>6.25</v>
      </c>
      <c r="X1722" s="15">
        <f t="shared" si="183"/>
        <v>9381.25</v>
      </c>
    </row>
    <row r="1723" spans="2:24">
      <c r="B1723" s="160" t="s">
        <v>458</v>
      </c>
      <c r="C1723" s="2" t="s">
        <v>541</v>
      </c>
      <c r="D1723" s="2" t="s">
        <v>62</v>
      </c>
      <c r="E1723" s="3">
        <v>45437.583333333336</v>
      </c>
      <c r="F1723" s="2" t="s">
        <v>644</v>
      </c>
      <c r="G1723" s="2" t="s">
        <v>831</v>
      </c>
      <c r="H1723" s="2">
        <v>20</v>
      </c>
      <c r="I1723" s="2">
        <v>85</v>
      </c>
      <c r="J1723" s="2">
        <v>95</v>
      </c>
      <c r="K1723" s="2">
        <v>42</v>
      </c>
      <c r="L1723" s="2">
        <v>1.35</v>
      </c>
      <c r="M1723" s="2"/>
      <c r="N1723" s="1" t="s">
        <v>95</v>
      </c>
      <c r="O1723" s="10">
        <v>1</v>
      </c>
      <c r="P1723" s="10">
        <v>0</v>
      </c>
      <c r="Q1723" s="184">
        <v>1</v>
      </c>
      <c r="R1723" s="185">
        <v>0</v>
      </c>
      <c r="S1723" s="178">
        <f t="shared" si="178"/>
        <v>1</v>
      </c>
      <c r="T1723" s="186">
        <f t="shared" si="179"/>
        <v>1</v>
      </c>
      <c r="U1723" s="179">
        <f t="shared" si="180"/>
        <v>0</v>
      </c>
      <c r="V1723" s="1">
        <f t="shared" si="181"/>
        <v>25</v>
      </c>
      <c r="W1723" s="8">
        <f t="shared" si="182"/>
        <v>6.25</v>
      </c>
      <c r="X1723" s="15">
        <f t="shared" si="183"/>
        <v>9387.5</v>
      </c>
    </row>
    <row r="1724" spans="2:24">
      <c r="B1724" s="2" t="s">
        <v>877</v>
      </c>
      <c r="C1724" s="2" t="s">
        <v>891</v>
      </c>
      <c r="D1724" s="2" t="s">
        <v>892</v>
      </c>
      <c r="E1724" s="3">
        <v>45439.854166666664</v>
      </c>
      <c r="F1724" s="2" t="s">
        <v>893</v>
      </c>
      <c r="G1724" s="2" t="s">
        <v>894</v>
      </c>
      <c r="H1724" s="2">
        <v>1.7</v>
      </c>
      <c r="I1724" s="2">
        <v>85</v>
      </c>
      <c r="J1724" s="2">
        <v>65</v>
      </c>
      <c r="K1724" s="2">
        <v>66</v>
      </c>
      <c r="L1724" s="2">
        <v>20</v>
      </c>
      <c r="M1724" s="2"/>
      <c r="N1724" s="1" t="s">
        <v>95</v>
      </c>
      <c r="O1724" s="10">
        <v>1</v>
      </c>
      <c r="P1724" s="10">
        <v>0</v>
      </c>
      <c r="Q1724" s="184">
        <v>1</v>
      </c>
      <c r="R1724" s="185">
        <v>1</v>
      </c>
      <c r="S1724" s="178">
        <f t="shared" ref="S1724" si="184">SUM(O1724:P1724)</f>
        <v>1</v>
      </c>
      <c r="T1724" s="186">
        <f t="shared" ref="T1724" si="185">SUM(Q1724:R1724)</f>
        <v>2</v>
      </c>
      <c r="U1724" s="179">
        <f t="shared" ref="U1724" si="186">SUM(T1724-S1724)</f>
        <v>1</v>
      </c>
      <c r="V1724" s="1">
        <f t="shared" si="181"/>
        <v>25</v>
      </c>
      <c r="W1724" s="8">
        <f t="shared" si="182"/>
        <v>6.25</v>
      </c>
      <c r="X1724" s="15">
        <f t="shared" si="183"/>
        <v>9393.75</v>
      </c>
    </row>
    <row r="1725" spans="2:24">
      <c r="B1725" s="162" t="s">
        <v>515</v>
      </c>
      <c r="C1725" s="2" t="s">
        <v>534</v>
      </c>
      <c r="D1725" s="2" t="s">
        <v>535</v>
      </c>
      <c r="E1725" s="267">
        <v>45440.479166666664</v>
      </c>
      <c r="F1725" s="162" t="s">
        <v>896</v>
      </c>
      <c r="G1725" s="162" t="s">
        <v>828</v>
      </c>
      <c r="H1725" s="162">
        <v>20</v>
      </c>
      <c r="I1725" s="162">
        <v>74</v>
      </c>
      <c r="J1725" s="162">
        <v>2.1</v>
      </c>
      <c r="K1725" s="162"/>
      <c r="L1725" s="162"/>
      <c r="M1725" s="2"/>
      <c r="O1725" s="10"/>
      <c r="P1725" s="10"/>
      <c r="S1725" s="178"/>
      <c r="T1725" s="186"/>
      <c r="U1725" s="179"/>
      <c r="V1725" s="1">
        <f t="shared" si="181"/>
        <v>25</v>
      </c>
      <c r="W1725" s="8">
        <f t="shared" si="182"/>
        <v>-25</v>
      </c>
      <c r="X1725" s="15">
        <f t="shared" si="183"/>
        <v>9368.75</v>
      </c>
    </row>
    <row r="1726" spans="2:24">
      <c r="B1726" s="162" t="s">
        <v>876</v>
      </c>
      <c r="C1726" s="2" t="s">
        <v>534</v>
      </c>
      <c r="D1726" s="2" t="s">
        <v>535</v>
      </c>
      <c r="E1726" s="267">
        <v>45440.479166666664</v>
      </c>
      <c r="F1726" s="162" t="s">
        <v>896</v>
      </c>
      <c r="G1726" s="162" t="s">
        <v>828</v>
      </c>
      <c r="H1726" s="162">
        <v>20</v>
      </c>
      <c r="I1726" s="162">
        <v>74</v>
      </c>
      <c r="J1726" s="162">
        <v>2.1</v>
      </c>
      <c r="K1726" s="162"/>
      <c r="L1726" s="162"/>
      <c r="M1726" s="2"/>
      <c r="O1726" s="10"/>
      <c r="P1726" s="10"/>
      <c r="S1726" s="178"/>
      <c r="T1726" s="186"/>
      <c r="U1726" s="179"/>
      <c r="V1726" s="1">
        <f t="shared" si="181"/>
        <v>25</v>
      </c>
      <c r="W1726" s="8">
        <f t="shared" si="182"/>
        <v>-25</v>
      </c>
      <c r="X1726" s="15">
        <f t="shared" si="183"/>
        <v>9343.75</v>
      </c>
    </row>
    <row r="1727" spans="2:24">
      <c r="B1727" s="162" t="s">
        <v>473</v>
      </c>
      <c r="C1727" s="2" t="s">
        <v>802</v>
      </c>
      <c r="D1727" s="2" t="s">
        <v>803</v>
      </c>
      <c r="E1727" s="267">
        <v>45440.75</v>
      </c>
      <c r="F1727" s="162" t="s">
        <v>872</v>
      </c>
      <c r="G1727" s="162" t="s">
        <v>873</v>
      </c>
      <c r="H1727" s="162">
        <v>66</v>
      </c>
      <c r="I1727" s="162">
        <v>90</v>
      </c>
      <c r="J1727" s="162">
        <v>20</v>
      </c>
      <c r="K1727" s="162">
        <v>3.4</v>
      </c>
      <c r="L1727" s="162"/>
      <c r="M1727" s="2"/>
      <c r="O1727" s="10"/>
      <c r="P1727" s="10"/>
      <c r="S1727" s="178"/>
      <c r="T1727" s="186"/>
      <c r="U1727" s="179"/>
      <c r="V1727" s="1">
        <f t="shared" si="181"/>
        <v>25</v>
      </c>
      <c r="W1727" s="8">
        <f t="shared" si="182"/>
        <v>-25</v>
      </c>
      <c r="X1727" s="15">
        <f t="shared" si="183"/>
        <v>9318.75</v>
      </c>
    </row>
    <row r="1728" spans="2:24">
      <c r="B1728" s="162" t="s">
        <v>458</v>
      </c>
      <c r="C1728" s="2" t="s">
        <v>572</v>
      </c>
      <c r="D1728" s="2" t="s">
        <v>670</v>
      </c>
      <c r="E1728" s="267">
        <v>45441.458333333336</v>
      </c>
      <c r="F1728" s="162" t="s">
        <v>908</v>
      </c>
      <c r="G1728" s="162" t="s">
        <v>671</v>
      </c>
      <c r="H1728" s="162">
        <v>20</v>
      </c>
      <c r="I1728" s="162">
        <v>85</v>
      </c>
      <c r="J1728" s="162">
        <v>95</v>
      </c>
      <c r="K1728" s="162">
        <v>41</v>
      </c>
      <c r="L1728" s="162">
        <v>2.1</v>
      </c>
      <c r="M1728" s="2"/>
      <c r="O1728" s="10"/>
      <c r="P1728" s="10"/>
      <c r="S1728" s="178"/>
      <c r="T1728" s="186"/>
      <c r="U1728" s="179"/>
      <c r="V1728" s="1">
        <f t="shared" si="181"/>
        <v>25</v>
      </c>
      <c r="W1728" s="8">
        <f t="shared" si="182"/>
        <v>-25</v>
      </c>
      <c r="X1728" s="15">
        <f t="shared" si="183"/>
        <v>9293.75</v>
      </c>
    </row>
    <row r="1729" spans="2:24">
      <c r="B1729" s="162" t="s">
        <v>515</v>
      </c>
      <c r="C1729" s="2" t="s">
        <v>534</v>
      </c>
      <c r="D1729" s="2" t="s">
        <v>535</v>
      </c>
      <c r="E1729" s="267">
        <v>45441.479166666664</v>
      </c>
      <c r="F1729" s="162" t="s">
        <v>813</v>
      </c>
      <c r="G1729" s="162" t="s">
        <v>897</v>
      </c>
      <c r="H1729" s="162">
        <v>20</v>
      </c>
      <c r="I1729" s="162">
        <v>74</v>
      </c>
      <c r="J1729" s="162">
        <v>1.7</v>
      </c>
      <c r="K1729" s="162"/>
      <c r="L1729" s="162"/>
      <c r="M1729" s="2"/>
      <c r="O1729" s="10"/>
      <c r="P1729" s="10"/>
      <c r="S1729" s="178"/>
      <c r="T1729" s="186"/>
      <c r="U1729" s="179"/>
      <c r="V1729" s="1">
        <f t="shared" si="181"/>
        <v>25</v>
      </c>
      <c r="W1729" s="8">
        <f t="shared" si="182"/>
        <v>-25</v>
      </c>
      <c r="X1729" s="15">
        <f t="shared" si="183"/>
        <v>9268.75</v>
      </c>
    </row>
    <row r="1730" spans="2:24">
      <c r="B1730" s="162" t="s">
        <v>876</v>
      </c>
      <c r="C1730" s="2" t="s">
        <v>534</v>
      </c>
      <c r="D1730" s="2" t="s">
        <v>535</v>
      </c>
      <c r="E1730" s="267">
        <v>45441.479166666664</v>
      </c>
      <c r="F1730" s="162" t="s">
        <v>813</v>
      </c>
      <c r="G1730" s="162" t="s">
        <v>897</v>
      </c>
      <c r="H1730" s="162">
        <v>20</v>
      </c>
      <c r="I1730" s="162">
        <v>74</v>
      </c>
      <c r="J1730" s="162">
        <v>1.7</v>
      </c>
      <c r="K1730" s="162"/>
      <c r="L1730" s="162"/>
      <c r="M1730" s="2"/>
      <c r="O1730" s="10"/>
      <c r="P1730" s="10"/>
      <c r="S1730" s="178"/>
      <c r="T1730" s="186"/>
      <c r="U1730" s="179"/>
      <c r="V1730" s="1">
        <f t="shared" si="181"/>
        <v>25</v>
      </c>
      <c r="W1730" s="8">
        <f t="shared" si="182"/>
        <v>-25</v>
      </c>
      <c r="X1730" s="15">
        <f t="shared" si="183"/>
        <v>9243.75</v>
      </c>
    </row>
    <row r="1731" spans="2:24">
      <c r="B1731" s="162" t="s">
        <v>909</v>
      </c>
      <c r="C1731" s="2" t="s">
        <v>910</v>
      </c>
      <c r="D1731" s="2" t="s">
        <v>911</v>
      </c>
      <c r="E1731" s="267">
        <v>45441.75</v>
      </c>
      <c r="F1731" s="162" t="s">
        <v>912</v>
      </c>
      <c r="G1731" s="162" t="s">
        <v>913</v>
      </c>
      <c r="H1731" s="162">
        <v>20</v>
      </c>
      <c r="I1731" s="162">
        <v>5</v>
      </c>
      <c r="J1731" s="162">
        <v>43</v>
      </c>
      <c r="K1731" s="162">
        <v>8</v>
      </c>
      <c r="L1731" s="162">
        <v>17</v>
      </c>
      <c r="M1731" s="2"/>
      <c r="O1731" s="10"/>
      <c r="P1731" s="10"/>
      <c r="S1731" s="178"/>
      <c r="T1731" s="186"/>
      <c r="U1731" s="179"/>
      <c r="V1731" s="1">
        <f t="shared" si="181"/>
        <v>25</v>
      </c>
      <c r="W1731" s="8">
        <f t="shared" si="182"/>
        <v>-25</v>
      </c>
      <c r="X1731" s="15">
        <f t="shared" si="183"/>
        <v>9218.75</v>
      </c>
    </row>
    <row r="1732" spans="2:24">
      <c r="B1732" s="162" t="s">
        <v>877</v>
      </c>
      <c r="C1732" s="2" t="s">
        <v>616</v>
      </c>
      <c r="D1732" s="2" t="s">
        <v>617</v>
      </c>
      <c r="E1732" s="267">
        <v>45442.0625</v>
      </c>
      <c r="F1732" s="162" t="s">
        <v>905</v>
      </c>
      <c r="G1732" s="162" t="s">
        <v>618</v>
      </c>
      <c r="H1732" s="162">
        <v>2.35</v>
      </c>
      <c r="I1732" s="162">
        <v>90</v>
      </c>
      <c r="J1732" s="162">
        <v>75</v>
      </c>
      <c r="K1732" s="162">
        <v>58</v>
      </c>
      <c r="L1732" s="162">
        <v>20</v>
      </c>
      <c r="O1732" s="10"/>
      <c r="P1732" s="10"/>
      <c r="S1732" s="178"/>
      <c r="T1732" s="186"/>
      <c r="U1732" s="179"/>
      <c r="V1732" s="1">
        <f t="shared" si="181"/>
        <v>25</v>
      </c>
      <c r="W1732" s="8">
        <f t="shared" si="182"/>
        <v>-25</v>
      </c>
      <c r="X1732" s="15">
        <f t="shared" si="183"/>
        <v>9193.75</v>
      </c>
    </row>
    <row r="1733" spans="2:24">
      <c r="B1733" s="162" t="s">
        <v>877</v>
      </c>
      <c r="C1733" s="2" t="s">
        <v>616</v>
      </c>
      <c r="D1733" s="2" t="s">
        <v>617</v>
      </c>
      <c r="E1733" s="267">
        <v>45442.15625</v>
      </c>
      <c r="F1733" s="162" t="s">
        <v>906</v>
      </c>
      <c r="G1733" s="162" t="s">
        <v>882</v>
      </c>
      <c r="H1733" s="162">
        <v>1.85</v>
      </c>
      <c r="I1733" s="162">
        <v>85</v>
      </c>
      <c r="J1733" s="162">
        <v>70</v>
      </c>
      <c r="K1733" s="162">
        <v>58</v>
      </c>
      <c r="L1733" s="162">
        <v>20</v>
      </c>
      <c r="O1733" s="10"/>
      <c r="P1733" s="10"/>
      <c r="S1733" s="178"/>
      <c r="T1733" s="186"/>
      <c r="U1733" s="179"/>
      <c r="V1733" s="1">
        <f t="shared" ref="V1733:V1738" si="187">SUM($X$1*0.05)</f>
        <v>25</v>
      </c>
      <c r="W1733" s="8">
        <f t="shared" si="182"/>
        <v>-25</v>
      </c>
      <c r="X1733" s="15">
        <f t="shared" si="183"/>
        <v>9168.75</v>
      </c>
    </row>
    <row r="1734" spans="2:24">
      <c r="B1734" s="162" t="s">
        <v>877</v>
      </c>
      <c r="C1734" s="2" t="s">
        <v>572</v>
      </c>
      <c r="D1734" s="2" t="s">
        <v>670</v>
      </c>
      <c r="E1734" s="267">
        <v>45443.25</v>
      </c>
      <c r="F1734" s="162" t="s">
        <v>728</v>
      </c>
      <c r="G1734" s="162" t="s">
        <v>914</v>
      </c>
      <c r="H1734" s="162">
        <v>1.95</v>
      </c>
      <c r="I1734" s="162">
        <v>85</v>
      </c>
      <c r="J1734" s="162">
        <v>65</v>
      </c>
      <c r="K1734" s="162">
        <v>56</v>
      </c>
      <c r="L1734" s="162">
        <v>20</v>
      </c>
      <c r="O1734" s="10"/>
      <c r="P1734" s="10"/>
      <c r="S1734" s="178"/>
      <c r="T1734" s="186"/>
      <c r="U1734" s="179"/>
      <c r="V1734" s="1">
        <f t="shared" si="187"/>
        <v>25</v>
      </c>
      <c r="W1734" s="8">
        <f t="shared" si="182"/>
        <v>-25</v>
      </c>
      <c r="X1734" s="15">
        <f t="shared" si="183"/>
        <v>9143.75</v>
      </c>
    </row>
    <row r="1735" spans="2:24">
      <c r="B1735" s="162" t="s">
        <v>519</v>
      </c>
      <c r="C1735" s="2" t="s">
        <v>572</v>
      </c>
      <c r="D1735" s="2" t="s">
        <v>670</v>
      </c>
      <c r="E1735" s="267">
        <v>45443.333333333336</v>
      </c>
      <c r="F1735" s="162" t="s">
        <v>869</v>
      </c>
      <c r="G1735" s="162" t="s">
        <v>843</v>
      </c>
      <c r="H1735" s="162">
        <v>20</v>
      </c>
      <c r="I1735" s="162">
        <v>90</v>
      </c>
      <c r="J1735" s="162">
        <v>95</v>
      </c>
      <c r="K1735" s="162"/>
      <c r="L1735" s="162"/>
      <c r="O1735" s="10"/>
      <c r="P1735" s="10"/>
      <c r="S1735" s="178"/>
      <c r="T1735" s="186"/>
      <c r="U1735" s="179"/>
      <c r="V1735" s="1">
        <f t="shared" si="187"/>
        <v>25</v>
      </c>
      <c r="W1735" s="8">
        <f t="shared" si="182"/>
        <v>-25</v>
      </c>
      <c r="X1735" s="15">
        <f t="shared" si="183"/>
        <v>9118.75</v>
      </c>
    </row>
    <row r="1736" spans="2:24">
      <c r="B1736" s="162" t="s">
        <v>515</v>
      </c>
      <c r="C1736" s="2" t="s">
        <v>572</v>
      </c>
      <c r="D1736" s="2" t="s">
        <v>670</v>
      </c>
      <c r="E1736" s="267">
        <v>45443.333333333336</v>
      </c>
      <c r="F1736" s="162" t="s">
        <v>869</v>
      </c>
      <c r="G1736" s="162" t="s">
        <v>843</v>
      </c>
      <c r="H1736" s="162">
        <v>20</v>
      </c>
      <c r="I1736" s="162">
        <v>74</v>
      </c>
      <c r="J1736" s="162">
        <v>1.85</v>
      </c>
      <c r="K1736" s="162"/>
      <c r="L1736" s="162"/>
      <c r="O1736" s="10"/>
      <c r="P1736" s="10"/>
      <c r="S1736" s="178"/>
      <c r="T1736" s="186"/>
      <c r="U1736" s="179"/>
      <c r="V1736" s="1">
        <f t="shared" si="187"/>
        <v>25</v>
      </c>
      <c r="W1736" s="8">
        <f t="shared" si="182"/>
        <v>-25</v>
      </c>
      <c r="X1736" s="15">
        <f t="shared" si="183"/>
        <v>9093.75</v>
      </c>
    </row>
    <row r="1737" spans="2:24">
      <c r="B1737" s="162" t="s">
        <v>876</v>
      </c>
      <c r="C1737" s="2" t="s">
        <v>572</v>
      </c>
      <c r="D1737" s="2" t="s">
        <v>670</v>
      </c>
      <c r="E1737" s="267">
        <v>45443.333333333336</v>
      </c>
      <c r="F1737" s="162" t="s">
        <v>869</v>
      </c>
      <c r="G1737" s="162" t="s">
        <v>843</v>
      </c>
      <c r="H1737" s="162">
        <v>20</v>
      </c>
      <c r="I1737" s="162">
        <v>74</v>
      </c>
      <c r="J1737" s="162">
        <v>1.85</v>
      </c>
      <c r="K1737" s="162"/>
      <c r="L1737" s="162"/>
      <c r="O1737" s="10"/>
      <c r="P1737" s="10"/>
      <c r="S1737" s="178"/>
      <c r="T1737" s="186"/>
      <c r="U1737" s="179"/>
      <c r="V1737" s="1">
        <f t="shared" si="187"/>
        <v>25</v>
      </c>
      <c r="W1737" s="8">
        <f t="shared" si="182"/>
        <v>-25</v>
      </c>
      <c r="X1737" s="15">
        <f t="shared" si="183"/>
        <v>9068.75</v>
      </c>
    </row>
    <row r="1738" spans="2:24">
      <c r="B1738" s="162" t="s">
        <v>877</v>
      </c>
      <c r="C1738" s="2" t="s">
        <v>915</v>
      </c>
      <c r="D1738" s="2" t="s">
        <v>174</v>
      </c>
      <c r="E1738" s="267">
        <v>45443.9375</v>
      </c>
      <c r="F1738" s="162" t="s">
        <v>916</v>
      </c>
      <c r="G1738" s="162" t="s">
        <v>917</v>
      </c>
      <c r="H1738" s="162">
        <v>2.35</v>
      </c>
      <c r="I1738" s="162">
        <v>95</v>
      </c>
      <c r="J1738" s="162">
        <v>65</v>
      </c>
      <c r="K1738" s="162">
        <v>63</v>
      </c>
      <c r="L1738" s="162">
        <v>20</v>
      </c>
      <c r="O1738" s="10"/>
      <c r="P1738" s="10"/>
      <c r="S1738" s="178"/>
      <c r="T1738" s="186"/>
      <c r="U1738" s="179"/>
      <c r="V1738" s="1">
        <f t="shared" si="187"/>
        <v>25</v>
      </c>
      <c r="W1738" s="8">
        <f t="shared" si="182"/>
        <v>-25</v>
      </c>
      <c r="X1738" s="15">
        <f t="shared" si="183"/>
        <v>9043.75</v>
      </c>
    </row>
  </sheetData>
  <sortState ref="A531:U1094">
    <sortCondition ref="N531:N1094"/>
  </sortState>
  <conditionalFormatting sqref="M317:M344 L533:L534">
    <cfRule type="containsText" dxfId="17" priority="3" operator="containsText" text="WON">
      <formula>NOT(ISERROR(SEARCH("WON",L317)))</formula>
    </cfRule>
    <cfRule type="containsText" dxfId="16" priority="4" operator="containsText" text="LOST">
      <formula>NOT(ISERROR(SEARCH("LOST",L317)))</formula>
    </cfRule>
  </conditionalFormatting>
  <conditionalFormatting sqref="N1:N766 M317:M344 L533:L534">
    <cfRule type="containsText" dxfId="15" priority="1" operator="containsText" text="lost">
      <formula>NOT(ISERROR(SEARCH("lost",L1)))</formula>
    </cfRule>
    <cfRule type="containsText" dxfId="14" priority="2" operator="containsText" text="WON">
      <formula>NOT(ISERROR(SEARCH("WON",L1)))</formula>
    </cfRule>
  </conditionalFormatting>
  <conditionalFormatting sqref="N1:N1048576">
    <cfRule type="containsText" dxfId="13" priority="7" operator="containsText" text="WON">
      <formula>NOT(ISERROR(SEARCH("WON",N1)))</formula>
    </cfRule>
    <cfRule type="containsText" dxfId="12" priority="8" operator="containsText" text="LOST">
      <formula>NOT(ISERROR(SEARCH("LOST",N1)))</formula>
    </cfRule>
  </conditionalFormatting>
  <conditionalFormatting sqref="Z2:AA25">
    <cfRule type="cellIs" dxfId="11" priority="54" operator="greaterThan">
      <formula>1.49</formula>
    </cfRule>
  </conditionalFormatting>
  <conditionalFormatting sqref="AB3:AB22">
    <cfRule type="cellIs" dxfId="10" priority="53" operator="greaterThan">
      <formula>3</formula>
    </cfRule>
  </conditionalFormatting>
  <conditionalFormatting sqref="AN3:AN22">
    <cfRule type="cellIs" dxfId="9" priority="51" operator="greaterThan">
      <formula>$AM$24</formula>
    </cfRule>
  </conditionalFormatting>
  <conditionalFormatting sqref="AO3:AO22">
    <cfRule type="cellIs" dxfId="8" priority="50" operator="lessThan">
      <formula>$AO$25</formula>
    </cfRule>
  </conditionalFormatting>
  <conditionalFormatting sqref="AP3:AP22">
    <cfRule type="cellIs" dxfId="7" priority="49" operator="lessThan">
      <formula>$AP$25</formula>
    </cfRule>
  </conditionalFormatting>
  <conditionalFormatting sqref="AS3:AS22">
    <cfRule type="cellIs" dxfId="6" priority="52" operator="greaterThan">
      <formula>$AS$25</formula>
    </cfRule>
  </conditionalFormatting>
  <pageMargins left="0.7" right="0.7" top="0.75" bottom="0.75" header="0.3" footer="0.3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P1755"/>
  <sheetViews>
    <sheetView tabSelected="1" topLeftCell="C1" zoomScale="60" zoomScaleNormal="60" workbookViewId="0">
      <pane ySplit="1" topLeftCell="A1726" activePane="bottomLeft" state="frozen"/>
      <selection activeCell="G1" sqref="G1"/>
      <selection pane="bottomLeft" activeCell="T1754" sqref="T1754"/>
    </sheetView>
  </sheetViews>
  <sheetFormatPr defaultRowHeight="15"/>
  <cols>
    <col min="1" max="2" width="0" style="156" hidden="1" customWidth="1"/>
    <col min="3" max="3" width="46.875" style="161" customWidth="1"/>
    <col min="4" max="4" width="7.875" style="271" bestFit="1" customWidth="1"/>
    <col min="5" max="5" width="21.375" style="1" customWidth="1"/>
    <col min="6" max="6" width="18" style="1" customWidth="1"/>
    <col min="7" max="7" width="23.125" style="1" customWidth="1"/>
    <col min="8" max="8" width="15.75" style="1" bestFit="1" customWidth="1"/>
    <col min="9" max="9" width="22" style="1" bestFit="1" customWidth="1"/>
    <col min="10" max="10" width="18.125" style="1" bestFit="1" customWidth="1"/>
    <col min="11" max="14" width="5.125" style="1" hidden="1" customWidth="1"/>
    <col min="15" max="15" width="4" style="1" hidden="1" customWidth="1"/>
    <col min="16" max="16" width="5" style="1" bestFit="1" customWidth="1"/>
    <col min="17" max="17" width="7.75" style="1" customWidth="1"/>
    <col min="18" max="18" width="10.375" style="9" bestFit="1" customWidth="1"/>
    <col min="19" max="19" width="7" style="9" bestFit="1" customWidth="1"/>
    <col min="20" max="20" width="8" style="1" customWidth="1"/>
    <col min="21" max="21" width="10.125" style="8" customWidth="1"/>
    <col min="22" max="25" width="7.125" style="15" customWidth="1"/>
    <col min="26" max="26" width="10.25" customWidth="1"/>
    <col min="27" max="27" width="4.625" bestFit="1" customWidth="1"/>
    <col min="28" max="28" width="22.125" style="16" customWidth="1"/>
    <col min="29" max="29" width="7.625" style="43" customWidth="1"/>
    <col min="30" max="30" width="9.875" style="16" customWidth="1"/>
    <col min="31" max="31" width="7.25" style="16" hidden="1" customWidth="1"/>
    <col min="32" max="32" width="18.125" style="16" customWidth="1"/>
    <col min="33" max="33" width="8.375" style="43" customWidth="1"/>
    <col min="34" max="34" width="10.125" style="16" customWidth="1"/>
    <col min="35" max="35" width="14.75" customWidth="1"/>
    <col min="36" max="36" width="17.625" customWidth="1"/>
    <col min="37" max="37" width="7.25" style="1" customWidth="1"/>
  </cols>
  <sheetData>
    <row r="1" spans="1:42" ht="15.75" thickBot="1">
      <c r="A1" s="170" t="s">
        <v>808</v>
      </c>
      <c r="B1" s="170"/>
      <c r="C1" s="171" t="s">
        <v>809</v>
      </c>
      <c r="D1" s="269"/>
      <c r="E1" s="172" t="s">
        <v>0</v>
      </c>
      <c r="F1" s="173" t="s">
        <v>1</v>
      </c>
      <c r="G1" s="173" t="s">
        <v>2</v>
      </c>
      <c r="H1" s="173" t="s">
        <v>3</v>
      </c>
      <c r="I1" s="173" t="s">
        <v>4</v>
      </c>
      <c r="J1" s="173" t="s">
        <v>5</v>
      </c>
      <c r="K1" s="177" t="s">
        <v>810</v>
      </c>
      <c r="L1" s="152"/>
      <c r="M1" s="152" t="s">
        <v>810</v>
      </c>
      <c r="N1" s="152"/>
      <c r="O1" s="152" t="s">
        <v>810</v>
      </c>
      <c r="P1" s="152"/>
      <c r="Q1" s="174"/>
      <c r="R1" s="175" t="s">
        <v>806</v>
      </c>
      <c r="S1" s="175" t="s">
        <v>807</v>
      </c>
      <c r="T1" s="236" t="s">
        <v>865</v>
      </c>
      <c r="U1" s="176"/>
      <c r="V1" s="237">
        <v>500</v>
      </c>
      <c r="W1" s="236" t="s">
        <v>866</v>
      </c>
      <c r="X1" s="236"/>
      <c r="Y1" s="233">
        <v>500</v>
      </c>
      <c r="Z1" s="6" t="s">
        <v>867</v>
      </c>
      <c r="AA1" s="255"/>
    </row>
    <row r="2" spans="1:42" ht="15.75" thickBot="1">
      <c r="A2" s="156" t="e" cm="1">
        <f t="array" aca="1" ref="A2" ca="1">_xlfn.IFS(E2=$AB$42,$AC$42,E2=$AB$43,$AC$43,E2=$AB$44,$AC$44,E2=$AB$45,$AC$45,E2=$AB$46,$AC$46,E2=$AB$47,$AC$47,E2=$AB$48,$AC$48,E2=$AB$49,$AC$49,E2=$AB$50,$AC$50,E2=$AB$51,$AC$51,E2=$AB$52,$AC$52,E2=$AB$53,$AC$53,E2=$AB$54,$AC$54,E2=$AB$55,$AC$55,E2=$AB$56,$AC$56,E2=$AB$57,$AC$57,E2=$AB$58,$AC$58,E2=$AB$59,$AC$59,E2=$AB$60,$AC$60,E2=$AB$61,$AC$61,E2=$AB$62,$AC$62,E2=$AB$63,$AC$63,E2=$AB$64,$AC$64,E2=$AB$65,$AC$65,E2=$AB$66,$AC$66,TRUE,"0")</f>
        <v>#NAME?</v>
      </c>
      <c r="C2" s="161" t="str" cm="1">
        <f t="array" ref="C2">_xlfn.IFS(E2=$AB$42,$AF$42,E2=$AB$43,$AF$43,E2=$AB$44,$AF$44,E2=$AB$45,$AF$45,E2=$AB$46,$AF$46,E2=$AB$47,$AF$47,E2=$AB$48,$AF$48,E2=$AB$49,$AF$49,E2=$AB$50,$AF$50,E2=$AB$51,$AF$51,E2=$AB$52,$AF$52,E2=$AB$53,$AF$53,E2=$AB$54,$AF$54,E2=$AB$55,$AF$55,E2=$AB$56,$AF$56,E2=$AB$57,$AF$57,E2=$AB$58,$AF$58,E2=$AB$59,$AF$59,E2=$AB$60,$AF$60,E2=$AB$61,$AF$61,E2=$AB$62,$AF$62,E2=$AB$63,$AF$63,E2=$AB$64,$AF$64,E2=$AB$65,$AF$65,E2=$AB$66,$AF$66,TRUE,"0")</f>
        <v>if 0-0, BACK+ 0.5 GOALS  @ 1.15+odds.  or @ 40 mins</v>
      </c>
      <c r="D2" s="270" t="str" cm="1">
        <f t="array" ref="D2">_xlfn.IFS(E2=$AB$42,$AD$42,E2=$AB$43,$AD$43,E2=$AB$44,$AD$44,E2=$AB$45,$AD$45,E2=$AB$46,$AD$46,E2=$AB$47,$AD$47,E2=$AB$48,$AD$48,E2=$AB$49,$AD$49,E2=$AB$50,$AD$50,E2=$AB$51,$AD$51,E2=$AB$52,$AD$52,E2=$AB$53,$AD$53,E2=$AB$54,$AD$54,E2=$AB$55,$AD$55,E2=$AB$56,$AD$56,E2=$AB$57,$AD$57,E2=$AB$58,$AD$58,E2=$AB$59,$AD$59,E2=$AB$60,$AD$60,E2=$AB$61,$AD$61,E2=$AB$62,$AD$62,E2=$AB$63,$AD$63,E2=$AB$64,$AD$64,E2=$AB$65,$AD$65,E2=$AB$66,$AD$66,TRUE,"0")</f>
        <v>IP</v>
      </c>
      <c r="E2" s="163" t="s">
        <v>270</v>
      </c>
      <c r="F2" s="2" t="s">
        <v>80</v>
      </c>
      <c r="G2" s="2" t="s">
        <v>81</v>
      </c>
      <c r="H2" s="3">
        <v>45284.4375</v>
      </c>
      <c r="I2" s="2" t="s">
        <v>82</v>
      </c>
      <c r="J2" s="2" t="s">
        <v>83</v>
      </c>
      <c r="K2" s="2">
        <v>67</v>
      </c>
      <c r="L2" s="2">
        <v>0</v>
      </c>
      <c r="M2" s="2">
        <v>20</v>
      </c>
      <c r="N2" s="2"/>
      <c r="O2" s="2"/>
      <c r="P2" s="11"/>
      <c r="Q2" s="2" t="s">
        <v>95</v>
      </c>
      <c r="R2" s="13" t="s">
        <v>221</v>
      </c>
      <c r="S2" s="13" t="s">
        <v>220</v>
      </c>
      <c r="T2" s="188">
        <f>SUM(V1*0.05)</f>
        <v>25</v>
      </c>
      <c r="U2" s="8">
        <f>IF(Q2="won",T2*0.18,-T2)</f>
        <v>4.5</v>
      </c>
      <c r="V2" s="234">
        <f t="shared" ref="V2:V15" si="0">SUM(V1,U2)</f>
        <v>504.5</v>
      </c>
      <c r="W2" s="15">
        <v>25</v>
      </c>
      <c r="X2" s="8">
        <f>IF(Q2="won",W2*0.18,-W2)</f>
        <v>4.5</v>
      </c>
      <c r="Y2" s="233">
        <f>SUM(Y1,X2)</f>
        <v>504.5</v>
      </c>
      <c r="Z2" s="4">
        <f>COUNTIF(Q:Q,"WON")</f>
        <v>1692</v>
      </c>
      <c r="AA2" s="189">
        <f>SUM(Z2/Z4)</f>
        <v>0.96575342465753422</v>
      </c>
      <c r="AB2" s="214" t="s">
        <v>274</v>
      </c>
      <c r="AC2" s="215">
        <f>COUNTIFS(E:E,"*FT 0-0 LAY@46  A",Q:Q,"WON")</f>
        <v>7</v>
      </c>
      <c r="AD2" s="193">
        <f>AC2/AC4</f>
        <v>1</v>
      </c>
      <c r="AF2" s="228" t="s">
        <v>276</v>
      </c>
      <c r="AG2" s="246">
        <f>COUNTIFS(E:E,"* OVER2.5 GOALS",Q:Q,"WON")</f>
        <v>13</v>
      </c>
      <c r="AH2" s="229">
        <f>AG2/AG4</f>
        <v>0.9285714285714286</v>
      </c>
      <c r="AJ2" s="199" t="s">
        <v>509</v>
      </c>
      <c r="AK2" s="249">
        <f>COUNTIFS(E:E,"SPLIT10",Q:Q,"WON")</f>
        <v>60</v>
      </c>
      <c r="AL2" s="200">
        <f>AK2/AK4</f>
        <v>0.967741935483871</v>
      </c>
    </row>
    <row r="3" spans="1:42" ht="15.75" thickBot="1">
      <c r="A3" s="156" t="e" cm="1">
        <f t="array" aca="1" ref="A3" ca="1">_xlfn.IFS(E3=$AB$42,$AC$42,E3=$AB$43,$AC$43,E3=$AB$44,$AC$44,E3=$AB$45,$AC$45,E3=$AB$46,$AC$46,E3=$AB$47,$AC$47,E3=$AB$48,$AC$48,E3=$AB$49,$AC$49,E3=$AB$50,$AC$50,E3=$AB$51,$AC$51,E3=$AB$52,$AC$52,E3=$AB$53,$AC$53,E3=$AB$54,$AC$54,E3=$AB$55,$AC$55,E3=$AB$56,$AC$56,E3=$AB$57,$AC$57,E3=$AB$58,$AC$58,E3=$AB$59,$AC$59,E3=$AB$60,$AC$60,E3=$AB$61,$AC$61,E3=$AB$62,$AC$62,E3=$AB$63,$AC$63,E3=$AB$64,$AC$64,E3=$AB$65,$AC$65,E3=$AB$66,$AC$66,TRUE,"0")</f>
        <v>#NAME?</v>
      </c>
      <c r="C3" s="161" t="str" cm="1">
        <f t="array" ref="C3">_xlfn.IFS(E3=$AB$42,$AF$42,E3=$AB$43,$AF$43,E3=$AB$44,$AF$44,E3=$AB$45,$AF$45,E3=$AB$46,$AF$46,E3=$AB$47,$AF$47,E3=$AB$48,$AF$48,E3=$AB$49,$AF$49,E3=$AB$50,$AF$50,E3=$AB$51,$AF$51,E3=$AB$52,$AF$52,E3=$AB$53,$AF$53,E3=$AB$54,$AF$54,E3=$AB$55,$AF$55,E3=$AB$56,$AF$56,E3=$AB$57,$AF$57,E3=$AB$58,$AF$58,E3=$AB$59,$AF$59,E3=$AB$60,$AF$60,E3=$AB$61,$AF$61,E3=$AB$62,$AF$62,E3=$AB$63,$AF$63,E3=$AB$64,$AF$64,E3=$AB$65,$AF$65,E3=$AB$66,$AF$66,TRUE,"0")</f>
        <v>if 0-0, BACK+ 0.5 GOALS  @ 1.15+odds.  or @ 40 mins</v>
      </c>
      <c r="D3" s="270" t="str" cm="1">
        <f t="array" ref="D3">_xlfn.IFS(E3=$AB$42,$AD$42,E3=$AB$43,$AD$43,E3=$AB$44,$AD$44,E3=$AB$45,$AD$45,E3=$AB$46,$AD$46,E3=$AB$47,$AD$47,E3=$AB$48,$AD$48,E3=$AB$49,$AD$49,E3=$AB$50,$AD$50,E3=$AB$51,$AD$51,E3=$AB$52,$AD$52,E3=$AB$53,$AD$53,E3=$AB$54,$AD$54,E3=$AB$55,$AD$55,E3=$AB$56,$AD$56,E3=$AB$57,$AD$57,E3=$AB$58,$AD$58,E3=$AB$59,$AD$59,E3=$AB$60,$AD$60,E3=$AB$61,$AD$61,E3=$AB$62,$AD$62,E3=$AB$63,$AD$63,E3=$AB$64,$AD$64,E3=$AB$65,$AD$65,E3=$AB$66,$AD$66,TRUE,"0")</f>
        <v>IP</v>
      </c>
      <c r="E3" s="163" t="s">
        <v>270</v>
      </c>
      <c r="F3" s="2" t="s">
        <v>13</v>
      </c>
      <c r="G3" s="2" t="s">
        <v>37</v>
      </c>
      <c r="H3" s="3">
        <v>45284.5</v>
      </c>
      <c r="I3" s="2" t="s">
        <v>38</v>
      </c>
      <c r="J3" s="2" t="s">
        <v>79</v>
      </c>
      <c r="K3" s="2">
        <v>70</v>
      </c>
      <c r="L3" s="2">
        <v>0</v>
      </c>
      <c r="M3" s="2">
        <v>20</v>
      </c>
      <c r="N3" s="2"/>
      <c r="O3" s="2"/>
      <c r="P3" s="11"/>
      <c r="Q3" s="2" t="s">
        <v>95</v>
      </c>
      <c r="R3" s="13" t="s">
        <v>217</v>
      </c>
      <c r="S3" s="13" t="s">
        <v>217</v>
      </c>
      <c r="T3" s="188">
        <f t="shared" ref="T3:T66" si="1">SUM(V2*0.05)</f>
        <v>25.225000000000001</v>
      </c>
      <c r="U3" s="8">
        <f t="shared" ref="U3:U45" si="2">IF(Q3="won",T3*0.18,-T3)</f>
        <v>4.5404999999999998</v>
      </c>
      <c r="V3" s="234">
        <f t="shared" si="0"/>
        <v>509.04050000000001</v>
      </c>
      <c r="W3" s="15">
        <v>25</v>
      </c>
      <c r="X3" s="8">
        <f t="shared" ref="X3:X66" si="3">IF(Q3="won",W3*0.18,-W3)</f>
        <v>4.5</v>
      </c>
      <c r="Y3" s="233">
        <f t="shared" ref="Y3:Y66" si="4">SUM(Y2,X3)</f>
        <v>509</v>
      </c>
      <c r="Z3" s="5">
        <f>COUNTIF(Q:Q,"LOST")</f>
        <v>60</v>
      </c>
      <c r="AA3" s="190">
        <f>SUM(Z3/Z4)</f>
        <v>3.4246575342465752E-2</v>
      </c>
      <c r="AB3" s="216" t="s">
        <v>274</v>
      </c>
      <c r="AC3" s="217">
        <f>COUNTIFS(E:E,"*FT 0-0 LAY@46  A",Q:Q,"LOST")</f>
        <v>0</v>
      </c>
      <c r="AD3" s="194">
        <f>AC3/AC4</f>
        <v>0</v>
      </c>
      <c r="AF3" s="230" t="s">
        <v>276</v>
      </c>
      <c r="AG3" s="247">
        <f>COUNTIFS(E:E,"* OVER2.5 GOALS",Q:Q,"LOST")</f>
        <v>1</v>
      </c>
      <c r="AH3" s="231">
        <f>AG3/AG4</f>
        <v>7.1428571428571425E-2</v>
      </c>
      <c r="AJ3" s="201" t="s">
        <v>509</v>
      </c>
      <c r="AK3" s="250">
        <f>COUNTIFS(E:E,"SPLIT10",Q:Q,"LOST")</f>
        <v>2</v>
      </c>
      <c r="AL3" s="202">
        <f>AK3/AK4</f>
        <v>3.2258064516129031E-2</v>
      </c>
    </row>
    <row r="4" spans="1:42" ht="15.75" thickBot="1">
      <c r="A4" s="156" t="e" cm="1">
        <f t="array" aca="1" ref="A4" ca="1">_xlfn.IFS(E4=$AB$42,$AC$42,E4=$AB$43,$AC$43,E4=$AB$44,$AC$44,E4=$AB$45,$AC$45,E4=$AB$46,$AC$46,E4=$AB$47,$AC$47,E4=$AB$48,$AC$48,E4=$AB$49,$AC$49,E4=$AB$50,$AC$50,E4=$AB$51,$AC$51,E4=$AB$52,$AC$52,E4=$AB$53,$AC$53,E4=$AB$54,$AC$54,E4=$AB$55,$AC$55,E4=$AB$56,$AC$56,E4=$AB$57,$AC$57,E4=$AB$58,$AC$58,E4=$AB$59,$AC$59,E4=$AB$60,$AC$60,E4=$AB$61,$AC$61,E4=$AB$62,$AC$62,E4=$AB$63,$AC$63,E4=$AB$64,$AC$64,E4=$AB$65,$AC$65,E4=$AB$66,$AC$66,TRUE,"0")</f>
        <v>#NAME?</v>
      </c>
      <c r="C4" s="161" t="str" cm="1">
        <f t="array" ref="C4">_xlfn.IFS(E4=$AB$42,$AF$42,E4=$AB$43,$AF$43,E4=$AB$44,$AF$44,E4=$AB$45,$AF$45,E4=$AB$46,$AF$46,E4=$AB$47,$AF$47,E4=$AB$48,$AF$48,E4=$AB$49,$AF$49,E4=$AB$50,$AF$50,E4=$AB$51,$AF$51,E4=$AB$52,$AF$52,E4=$AB$53,$AF$53,E4=$AB$54,$AF$54,E4=$AB$55,$AF$55,E4=$AB$56,$AF$56,E4=$AB$57,$AF$57,E4=$AB$58,$AF$58,E4=$AB$59,$AF$59,E4=$AB$60,$AF$60,E4=$AB$61,$AF$61,E4=$AB$62,$AF$62,E4=$AB$63,$AF$63,E4=$AB$64,$AF$64,E4=$AB$65,$AF$65,E4=$AB$66,$AF$66,TRUE,"0")</f>
        <v>40 mins Back ANother Goal</v>
      </c>
      <c r="D4" s="270" t="str" cm="1">
        <f t="array" ref="D4">_xlfn.IFS(E4=$AB$42,$AD$42,E4=$AB$43,$AD$43,E4=$AB$44,$AD$44,E4=$AB$45,$AD$45,E4=$AB$46,$AD$46,E4=$AB$47,$AD$47,E4=$AB$48,$AD$48,E4=$AB$49,$AD$49,E4=$AB$50,$AD$50,E4=$AB$51,$AD$51,E4=$AB$52,$AD$52,E4=$AB$53,$AD$53,E4=$AB$54,$AD$54,E4=$AB$55,$AD$55,E4=$AB$56,$AD$56,E4=$AB$57,$AD$57,E4=$AB$58,$AD$58,E4=$AB$59,$AD$59,E4=$AB$60,$AD$60,E4=$AB$61,$AD$61,E4=$AB$62,$AD$62,E4=$AB$63,$AD$63,E4=$AB$64,$AD$64,E4=$AB$65,$AD$65,E4=$AB$66,$AD$66,TRUE,"0")</f>
        <v xml:space="preserve">  BANG</v>
      </c>
      <c r="E4" s="163" t="s">
        <v>28</v>
      </c>
      <c r="F4" s="2" t="s">
        <v>89</v>
      </c>
      <c r="G4" s="2" t="s">
        <v>90</v>
      </c>
      <c r="H4" s="3">
        <v>45286.604166666664</v>
      </c>
      <c r="I4" s="2" t="s">
        <v>91</v>
      </c>
      <c r="J4" s="2" t="s">
        <v>92</v>
      </c>
      <c r="K4" s="2">
        <v>2.5</v>
      </c>
      <c r="L4" s="2">
        <v>5.08</v>
      </c>
      <c r="M4" s="2">
        <v>65</v>
      </c>
      <c r="N4" s="2">
        <v>0</v>
      </c>
      <c r="O4" s="2">
        <v>20</v>
      </c>
      <c r="P4" s="11"/>
      <c r="Q4" s="2" t="s">
        <v>95</v>
      </c>
      <c r="R4" s="14" t="s">
        <v>193</v>
      </c>
      <c r="S4" s="13" t="s">
        <v>222</v>
      </c>
      <c r="T4" s="188">
        <f t="shared" si="1"/>
        <v>25.452025000000003</v>
      </c>
      <c r="U4" s="8">
        <f t="shared" si="2"/>
        <v>4.5813645000000003</v>
      </c>
      <c r="V4" s="234">
        <f t="shared" si="0"/>
        <v>513.62186450000002</v>
      </c>
      <c r="W4" s="15">
        <v>25</v>
      </c>
      <c r="X4" s="8">
        <f t="shared" si="3"/>
        <v>4.5</v>
      </c>
      <c r="Y4" s="233">
        <f t="shared" si="4"/>
        <v>513.5</v>
      </c>
      <c r="Z4" s="6">
        <f>SUM(Z2:Z3)</f>
        <v>1752</v>
      </c>
      <c r="AA4" s="191"/>
      <c r="AB4" s="28">
        <f>SUMIF(E:E,"*FT 0-0 LAY@46  A",U:U)</f>
        <v>289.16283520339454</v>
      </c>
      <c r="AC4" s="19">
        <f>SUM(AC2:AC3)</f>
        <v>7</v>
      </c>
      <c r="AD4" s="232">
        <f>SUM(AB4/AC4)</f>
        <v>41.308976457627793</v>
      </c>
      <c r="AE4" s="21"/>
      <c r="AF4" s="203">
        <f>SUMIF(E:E,"* OVER2.5 GOALS",U:U)</f>
        <v>206.70568079227314</v>
      </c>
      <c r="AG4" s="240">
        <f>SUM(AG2:AG3)</f>
        <v>14</v>
      </c>
      <c r="AH4" s="232">
        <f>SUM(AF4/AG4)</f>
        <v>14.764691485162368</v>
      </c>
      <c r="AJ4" s="203">
        <f>SUMIF(E:E,"SPLIT10",U:U)</f>
        <v>8745.802232101576</v>
      </c>
      <c r="AK4" s="240">
        <f>SUM(AK2:AK3)</f>
        <v>62</v>
      </c>
      <c r="AL4" s="232">
        <f>SUM(AJ4/AK4)</f>
        <v>141.06132632421898</v>
      </c>
    </row>
    <row r="5" spans="1:42" ht="15.75" thickBot="1">
      <c r="A5" s="156" t="e" cm="1">
        <f t="array" aca="1" ref="A5" ca="1">_xlfn.IFS(E5=$AB$42,$AC$42,E5=$AB$43,$AC$43,E5=$AB$44,$AC$44,E5=$AB$45,$AC$45,E5=$AB$46,$AC$46,E5=$AB$47,$AC$47,E5=$AB$48,$AC$48,E5=$AB$49,$AC$49,E5=$AB$50,$AC$50,E5=$AB$51,$AC$51,E5=$AB$52,$AC$52,E5=$AB$53,$AC$53,E5=$AB$54,$AC$54,E5=$AB$55,$AC$55,E5=$AB$56,$AC$56,E5=$AB$57,$AC$57,E5=$AB$58,$AC$58,E5=$AB$59,$AC$59,E5=$AB$60,$AC$60,E5=$AB$61,$AC$61,E5=$AB$62,$AC$62,E5=$AB$63,$AC$63,E5=$AB$64,$AC$64,E5=$AB$65,$AC$65,E5=$AB$66,$AC$66,TRUE,"0")</f>
        <v>#NAME?</v>
      </c>
      <c r="C5" s="161" t="str" cm="1">
        <f t="array" ref="C5">_xlfn.IFS(E5=$AB$42,$AF$42,E5=$AB$43,$AF$43,E5=$AB$44,$AF$44,E5=$AB$45,$AF$45,E5=$AB$46,$AF$46,E5=$AB$47,$AF$47,E5=$AB$48,$AF$48,E5=$AB$49,$AF$49,E5=$AB$50,$AF$50,E5=$AB$51,$AF$51,E5=$AB$52,$AF$52,E5=$AB$53,$AF$53,E5=$AB$54,$AF$54,E5=$AB$55,$AF$55,E5=$AB$56,$AF$56,E5=$AB$57,$AF$57,E5=$AB$58,$AF$58,E5=$AB$59,$AF$59,E5=$AB$60,$AF$60,E5=$AB$61,$AF$61,E5=$AB$62,$AF$62,E5=$AB$63,$AF$63,E5=$AB$64,$AF$64,E5=$AB$65,$AF$65,E5=$AB$66,$AF$66,TRUE,"0")</f>
        <v>40 mins Back ANother Goal</v>
      </c>
      <c r="D5" s="270" t="str" cm="1">
        <f t="array" ref="D5">_xlfn.IFS(E5=$AB$42,$AD$42,E5=$AB$43,$AD$43,E5=$AB$44,$AD$44,E5=$AB$45,$AD$45,E5=$AB$46,$AD$46,E5=$AB$47,$AD$47,E5=$AB$48,$AD$48,E5=$AB$49,$AD$49,E5=$AB$50,$AD$50,E5=$AB$51,$AD$51,E5=$AB$52,$AD$52,E5=$AB$53,$AD$53,E5=$AB$54,$AD$54,E5=$AB$55,$AD$55,E5=$AB$56,$AD$56,E5=$AB$57,$AD$57,E5=$AB$58,$AD$58,E5=$AB$59,$AD$59,E5=$AB$60,$AD$60,E5=$AB$61,$AD$61,E5=$AB$62,$AD$62,E5=$AB$63,$AD$63,E5=$AB$64,$AD$64,E5=$AB$65,$AD$65,E5=$AB$66,$AD$66,TRUE,"0")</f>
        <v xml:space="preserve">  BANG</v>
      </c>
      <c r="E5" s="163" t="s">
        <v>28</v>
      </c>
      <c r="F5" s="2" t="s">
        <v>6</v>
      </c>
      <c r="G5" s="2" t="s">
        <v>7</v>
      </c>
      <c r="H5" s="3">
        <v>45286.625</v>
      </c>
      <c r="I5" s="2" t="s">
        <v>26</v>
      </c>
      <c r="J5" s="2" t="s">
        <v>84</v>
      </c>
      <c r="K5" s="2">
        <v>2.4</v>
      </c>
      <c r="L5" s="2">
        <v>5.29</v>
      </c>
      <c r="M5" s="2">
        <v>61</v>
      </c>
      <c r="N5" s="2">
        <v>0</v>
      </c>
      <c r="O5" s="2">
        <v>20</v>
      </c>
      <c r="P5" s="11"/>
      <c r="Q5" s="2" t="s">
        <v>95</v>
      </c>
      <c r="R5" s="14" t="s">
        <v>221</v>
      </c>
      <c r="S5" s="13" t="s">
        <v>193</v>
      </c>
      <c r="T5" s="188">
        <f t="shared" si="1"/>
        <v>25.681093225000001</v>
      </c>
      <c r="U5" s="8">
        <f t="shared" si="2"/>
        <v>4.6225967805000003</v>
      </c>
      <c r="V5" s="234">
        <f t="shared" si="0"/>
        <v>518.24446128049999</v>
      </c>
      <c r="W5" s="15">
        <v>25</v>
      </c>
      <c r="X5" s="8">
        <f t="shared" si="3"/>
        <v>4.5</v>
      </c>
      <c r="Y5" s="233">
        <f t="shared" si="4"/>
        <v>518</v>
      </c>
      <c r="AB5" s="196">
        <f>SUMIF(E:E,"*FT 0-0 LAY@46  A",X:X)</f>
        <v>31.5</v>
      </c>
      <c r="AC5" s="238"/>
      <c r="AD5" s="195"/>
      <c r="AF5" s="208">
        <f>SUMIF(E:E,"* OVER2.5 GOALS",X:X)</f>
        <v>33.5</v>
      </c>
      <c r="AG5" s="238"/>
      <c r="AH5" s="195"/>
      <c r="AJ5" s="204">
        <f>SUMIF(E:E,"SPLIT10",X:X)</f>
        <v>220</v>
      </c>
      <c r="AK5" s="43"/>
      <c r="AL5" s="205"/>
    </row>
    <row r="6" spans="1:42" ht="15.75" thickBot="1">
      <c r="A6" s="156" t="e" cm="1">
        <f t="array" aca="1" ref="A6" ca="1">_xlfn.IFS(E6=$AB$42,$AC$42,E6=$AB$43,$AC$43,E6=$AB$44,$AC$44,E6=$AB$45,$AC$45,E6=$AB$46,$AC$46,E6=$AB$47,$AC$47,E6=$AB$48,$AC$48,E6=$AB$49,$AC$49,E6=$AB$50,$AC$50,E6=$AB$51,$AC$51,E6=$AB$52,$AC$52,E6=$AB$53,$AC$53,E6=$AB$54,$AC$54,E6=$AB$55,$AC$55,E6=$AB$56,$AC$56,E6=$AB$57,$AC$57,E6=$AB$58,$AC$58,E6=$AB$59,$AC$59,E6=$AB$60,$AC$60,E6=$AB$61,$AC$61,E6=$AB$62,$AC$62,E6=$AB$63,$AC$63,E6=$AB$64,$AC$64,E6=$AB$65,$AC$65,E6=$AB$66,$AC$66,TRUE,"0")</f>
        <v>#NAME?</v>
      </c>
      <c r="C6" s="161" t="str" cm="1">
        <f t="array" ref="C6">_xlfn.IFS(E6=$AB$42,$AF$42,E6=$AB$43,$AF$43,E6=$AB$44,$AF$44,E6=$AB$45,$AF$45,E6=$AB$46,$AF$46,E6=$AB$47,$AF$47,E6=$AB$48,$AF$48,E6=$AB$49,$AF$49,E6=$AB$50,$AF$50,E6=$AB$51,$AF$51,E6=$AB$52,$AF$52,E6=$AB$53,$AF$53,E6=$AB$54,$AF$54,E6=$AB$55,$AF$55,E6=$AB$56,$AF$56,E6=$AB$57,$AF$57,E6=$AB$58,$AF$58,E6=$AB$59,$AF$59,E6=$AB$60,$AF$60,E6=$AB$61,$AF$61,E6=$AB$62,$AF$62,E6=$AB$63,$AF$63,E6=$AB$64,$AF$64,E6=$AB$65,$AF$65,E6=$AB$66,$AF$66,TRUE,"0")</f>
        <v>if 0-0, BACK+ 0.5 GOALS  @ 1.15+odds.  or @ 40 mins</v>
      </c>
      <c r="D6" s="270" t="str" cm="1">
        <f t="array" ref="D6">_xlfn.IFS(E6=$AB$42,$AD$42,E6=$AB$43,$AD$43,E6=$AB$44,$AD$44,E6=$AB$45,$AD$45,E6=$AB$46,$AD$46,E6=$AB$47,$AD$47,E6=$AB$48,$AD$48,E6=$AB$49,$AD$49,E6=$AB$50,$AD$50,E6=$AB$51,$AD$51,E6=$AB$52,$AD$52,E6=$AB$53,$AD$53,E6=$AB$54,$AD$54,E6=$AB$55,$AD$55,E6=$AB$56,$AD$56,E6=$AB$57,$AD$57,E6=$AB$58,$AD$58,E6=$AB$59,$AD$59,E6=$AB$60,$AD$60,E6=$AB$61,$AD$61,E6=$AB$62,$AD$62,E6=$AB$63,$AD$63,E6=$AB$64,$AD$64,E6=$AB$65,$AD$65,E6=$AB$66,$AD$66,TRUE,"0")</f>
        <v>IP</v>
      </c>
      <c r="E6" s="163" t="s">
        <v>270</v>
      </c>
      <c r="F6" s="2" t="s">
        <v>6</v>
      </c>
      <c r="G6" s="2" t="s">
        <v>7</v>
      </c>
      <c r="H6" s="3">
        <v>45286.625</v>
      </c>
      <c r="I6" s="2" t="s">
        <v>26</v>
      </c>
      <c r="J6" s="2" t="s">
        <v>84</v>
      </c>
      <c r="K6" s="2">
        <v>62</v>
      </c>
      <c r="L6" s="2">
        <v>0</v>
      </c>
      <c r="M6" s="2">
        <v>20</v>
      </c>
      <c r="N6" s="2"/>
      <c r="O6" s="2"/>
      <c r="P6" s="11"/>
      <c r="Q6" s="2" t="s">
        <v>95</v>
      </c>
      <c r="R6" s="14" t="s">
        <v>221</v>
      </c>
      <c r="S6" s="13" t="s">
        <v>193</v>
      </c>
      <c r="T6" s="188">
        <f t="shared" si="1"/>
        <v>25.912223064025</v>
      </c>
      <c r="U6" s="8">
        <f t="shared" si="2"/>
        <v>4.6642001515244997</v>
      </c>
      <c r="V6" s="234">
        <f t="shared" si="0"/>
        <v>522.90866143202447</v>
      </c>
      <c r="W6" s="15">
        <v>25</v>
      </c>
      <c r="X6" s="8">
        <f t="shared" si="3"/>
        <v>4.5</v>
      </c>
      <c r="Y6" s="233">
        <f t="shared" si="4"/>
        <v>522.5</v>
      </c>
      <c r="Z6" s="26">
        <f>SUM(AC2,AC6,AC10,AC14,AG31,AG2,AG6,AG10,AG23,AG14,AC18,AK6,AK10,AK2,AK18,AK22,AK26,AC22,AC26,AC30,AC34,AC38,AG38,AK38)</f>
        <v>1706</v>
      </c>
      <c r="AB6" s="218" t="s">
        <v>271</v>
      </c>
      <c r="AC6" s="239">
        <f>COUNTIFS(E:E,"*H2 GOALS &amp; OVER 0.5",Q:Q, "WON")</f>
        <v>37</v>
      </c>
      <c r="AD6" s="192">
        <f>AC6/AC8</f>
        <v>1</v>
      </c>
      <c r="AF6" s="228" t="s">
        <v>433</v>
      </c>
      <c r="AG6" s="246">
        <f>COUNTIFS(E:E,"LAY 0-0 1ST HALF",Q:Q,"WON")</f>
        <v>74</v>
      </c>
      <c r="AH6" s="229">
        <f>AG6/AG8</f>
        <v>0.92500000000000004</v>
      </c>
      <c r="AJ6" s="201" t="s">
        <v>473</v>
      </c>
      <c r="AK6" s="250">
        <f>COUNTIFS(E:E,"SPLIT20",Q:Q,"WON")</f>
        <v>41</v>
      </c>
      <c r="AL6" s="206">
        <f>AK6/AK8</f>
        <v>0.97619047619047616</v>
      </c>
    </row>
    <row r="7" spans="1:42" ht="15.75" thickBot="1">
      <c r="A7" s="156" t="e" cm="1">
        <f t="array" aca="1" ref="A7" ca="1">_xlfn.IFS(E7=$AB$42,$AC$42,E7=$AB$43,$AC$43,E7=$AB$44,$AC$44,E7=$AB$45,$AC$45,E7=$AB$46,$AC$46,E7=$AB$47,$AC$47,E7=$AB$48,$AC$48,E7=$AB$49,$AC$49,E7=$AB$50,$AC$50,E7=$AB$51,$AC$51,E7=$AB$52,$AC$52,E7=$AB$53,$AC$53,E7=$AB$54,$AC$54,E7=$AB$55,$AC$55,E7=$AB$56,$AC$56,E7=$AB$57,$AC$57,E7=$AB$58,$AC$58,E7=$AB$59,$AC$59,E7=$AB$60,$AC$60,E7=$AB$61,$AC$61,E7=$AB$62,$AC$62,E7=$AB$63,$AC$63,E7=$AB$64,$AC$64,E7=$AB$65,$AC$65,E7=$AB$66,$AC$66,TRUE,"0")</f>
        <v>#NAME?</v>
      </c>
      <c r="C7" s="161" t="str" cm="1">
        <f t="array" ref="C7">_xlfn.IFS(E7=$AB$42,$AF$42,E7=$AB$43,$AF$43,E7=$AB$44,$AF$44,E7=$AB$45,$AF$45,E7=$AB$46,$AF$46,E7=$AB$47,$AF$47,E7=$AB$48,$AF$48,E7=$AB$49,$AF$49,E7=$AB$50,$AF$50,E7=$AB$51,$AF$51,E7=$AB$52,$AF$52,E7=$AB$53,$AF$53,E7=$AB$54,$AF$54,E7=$AB$55,$AF$55,E7=$AB$56,$AF$56,E7=$AB$57,$AF$57,E7=$AB$58,$AF$58,E7=$AB$59,$AF$59,E7=$AB$60,$AF$60,E7=$AB$61,$AF$61,E7=$AB$62,$AF$62,E7=$AB$63,$AF$63,E7=$AB$64,$AF$64,E7=$AB$65,$AF$65,E7=$AB$66,$AF$66,TRUE,"0")</f>
        <v>40 mins Back ANother Goal</v>
      </c>
      <c r="D7" s="270" t="str" cm="1">
        <f t="array" ref="D7">_xlfn.IFS(E7=$AB$42,$AD$42,E7=$AB$43,$AD$43,E7=$AB$44,$AD$44,E7=$AB$45,$AD$45,E7=$AB$46,$AD$46,E7=$AB$47,$AD$47,E7=$AB$48,$AD$48,E7=$AB$49,$AD$49,E7=$AB$50,$AD$50,E7=$AB$51,$AD$51,E7=$AB$52,$AD$52,E7=$AB$53,$AD$53,E7=$AB$54,$AD$54,E7=$AB$55,$AD$55,E7=$AB$56,$AD$56,E7=$AB$57,$AD$57,E7=$AB$58,$AD$58,E7=$AB$59,$AD$59,E7=$AB$60,$AD$60,E7=$AB$61,$AD$61,E7=$AB$62,$AD$62,E7=$AB$63,$AD$63,E7=$AB$64,$AD$64,E7=$AB$65,$AD$65,E7=$AB$66,$AD$66,TRUE,"0")</f>
        <v xml:space="preserve">  BANG</v>
      </c>
      <c r="E7" s="163" t="s">
        <v>35</v>
      </c>
      <c r="F7" s="2" t="s">
        <v>6</v>
      </c>
      <c r="G7" s="2" t="s">
        <v>40</v>
      </c>
      <c r="H7" s="3">
        <v>45286.625</v>
      </c>
      <c r="I7" s="2" t="s">
        <v>93</v>
      </c>
      <c r="J7" s="2" t="s">
        <v>94</v>
      </c>
      <c r="K7" s="7">
        <v>68</v>
      </c>
      <c r="L7" s="2">
        <v>90</v>
      </c>
      <c r="M7" s="2">
        <v>70</v>
      </c>
      <c r="N7" s="2">
        <v>45</v>
      </c>
      <c r="O7" s="2">
        <v>20</v>
      </c>
      <c r="P7" s="11"/>
      <c r="Q7" s="2" t="s">
        <v>95</v>
      </c>
      <c r="R7" s="14" t="s">
        <v>193</v>
      </c>
      <c r="S7" s="13" t="s">
        <v>216</v>
      </c>
      <c r="T7" s="188">
        <f t="shared" si="1"/>
        <v>26.145433071601225</v>
      </c>
      <c r="U7" s="8">
        <f t="shared" si="2"/>
        <v>4.7061779528882202</v>
      </c>
      <c r="V7" s="234">
        <f t="shared" si="0"/>
        <v>527.61483938491267</v>
      </c>
      <c r="W7" s="15">
        <v>25</v>
      </c>
      <c r="X7" s="8">
        <f t="shared" si="3"/>
        <v>4.5</v>
      </c>
      <c r="Y7" s="233">
        <f t="shared" si="4"/>
        <v>527</v>
      </c>
      <c r="Z7" s="26">
        <f>SUM(AC3,AC7,AC11,AC15,AG32,AG3,AG7,AG11,AG24,AG15,AC19,AK7,AK11,AK3,AK19,AK23,AK27,AC23,AC27,AC31,AC35,AC39,AG39,AK39)</f>
        <v>60</v>
      </c>
      <c r="AB7" s="219" t="s">
        <v>271</v>
      </c>
      <c r="AC7" s="217">
        <f>COUNTIFS(E:E,"*H2 GOALS &amp; OVER 0.5",Q:Q, "LOST")</f>
        <v>0</v>
      </c>
      <c r="AD7" s="18">
        <f>AC7/AC8</f>
        <v>0</v>
      </c>
      <c r="AF7" s="230" t="s">
        <v>433</v>
      </c>
      <c r="AG7" s="247">
        <f>COUNTIFS(E:E,"LAY 0-0 1ST HALF",Q:Q,"LOST")</f>
        <v>6</v>
      </c>
      <c r="AH7" s="231">
        <f>AG7/AG8</f>
        <v>7.4999999999999997E-2</v>
      </c>
      <c r="AJ7" s="201" t="s">
        <v>473</v>
      </c>
      <c r="AK7" s="250">
        <f>COUNTIFS(E:E,"SPLIT20",Q:Q,"LOST")</f>
        <v>1</v>
      </c>
      <c r="AL7" s="202">
        <f>AK7/AK8</f>
        <v>2.3809523809523808E-2</v>
      </c>
    </row>
    <row r="8" spans="1:42" ht="15.75" thickBot="1">
      <c r="A8" s="156" t="e" cm="1">
        <f t="array" aca="1" ref="A8" ca="1">_xlfn.IFS(E8=$AB$42,$AC$42,E8=$AB$43,$AC$43,E8=$AB$44,$AC$44,E8=$AB$45,$AC$45,E8=$AB$46,$AC$46,E8=$AB$47,$AC$47,E8=$AB$48,$AC$48,E8=$AB$49,$AC$49,E8=$AB$50,$AC$50,E8=$AB$51,$AC$51,E8=$AB$52,$AC$52,E8=$AB$53,$AC$53,E8=$AB$54,$AC$54,E8=$AB$55,$AC$55,E8=$AB$56,$AC$56,E8=$AB$57,$AC$57,E8=$AB$58,$AC$58,E8=$AB$59,$AC$59,E8=$AB$60,$AC$60,E8=$AB$61,$AC$61,E8=$AB$62,$AC$62,E8=$AB$63,$AC$63,E8=$AB$64,$AC$64,E8=$AB$65,$AC$65,E8=$AB$66,$AC$66,TRUE,"0")</f>
        <v>#NAME?</v>
      </c>
      <c r="C8" s="161" t="str" cm="1">
        <f t="array" ref="C8">_xlfn.IFS(E8=$AB$42,$AF$42,E8=$AB$43,$AF$43,E8=$AB$44,$AF$44,E8=$AB$45,$AF$45,E8=$AB$46,$AF$46,E8=$AB$47,$AF$47,E8=$AB$48,$AF$48,E8=$AB$49,$AF$49,E8=$AB$50,$AF$50,E8=$AB$51,$AF$51,E8=$AB$52,$AF$52,E8=$AB$53,$AF$53,E8=$AB$54,$AF$54,E8=$AB$55,$AF$55,E8=$AB$56,$AF$56,E8=$AB$57,$AF$57,E8=$AB$58,$AF$58,E8=$AB$59,$AF$59,E8=$AB$60,$AF$60,E8=$AB$61,$AF$61,E8=$AB$62,$AF$62,E8=$AB$63,$AF$63,E8=$AB$64,$AF$64,E8=$AB$65,$AF$65,E8=$AB$66,$AF$66,TRUE,"0")</f>
        <v>if 0-0, BACK+ 0.5 GOALS  @ 1.15+odds.  or @ 40 mins</v>
      </c>
      <c r="D8" s="270" t="str" cm="1">
        <f t="array" ref="D8">_xlfn.IFS(E8=$AB$42,$AD$42,E8=$AB$43,$AD$43,E8=$AB$44,$AD$44,E8=$AB$45,$AD$45,E8=$AB$46,$AD$46,E8=$AB$47,$AD$47,E8=$AB$48,$AD$48,E8=$AB$49,$AD$49,E8=$AB$50,$AD$50,E8=$AB$51,$AD$51,E8=$AB$52,$AD$52,E8=$AB$53,$AD$53,E8=$AB$54,$AD$54,E8=$AB$55,$AD$55,E8=$AB$56,$AD$56,E8=$AB$57,$AD$57,E8=$AB$58,$AD$58,E8=$AB$59,$AD$59,E8=$AB$60,$AD$60,E8=$AB$61,$AD$61,E8=$AB$62,$AD$62,E8=$AB$63,$AD$63,E8=$AB$64,$AD$64,E8=$AB$65,$AD$65,E8=$AB$66,$AD$66,TRUE,"0")</f>
        <v>IP</v>
      </c>
      <c r="E8" s="163" t="s">
        <v>270</v>
      </c>
      <c r="F8" s="2" t="s">
        <v>67</v>
      </c>
      <c r="G8" s="2" t="s">
        <v>68</v>
      </c>
      <c r="H8" s="3">
        <v>45286.625</v>
      </c>
      <c r="I8" s="2" t="s">
        <v>87</v>
      </c>
      <c r="J8" s="2" t="s">
        <v>88</v>
      </c>
      <c r="K8" s="2">
        <v>60</v>
      </c>
      <c r="L8" s="2">
        <v>0</v>
      </c>
      <c r="M8" s="2">
        <v>20</v>
      </c>
      <c r="N8" s="2"/>
      <c r="O8" s="2"/>
      <c r="P8" s="11"/>
      <c r="Q8" s="2" t="s">
        <v>95</v>
      </c>
      <c r="R8" s="14" t="s">
        <v>220</v>
      </c>
      <c r="S8" s="13" t="s">
        <v>207</v>
      </c>
      <c r="T8" s="188">
        <f t="shared" si="1"/>
        <v>26.380741969245634</v>
      </c>
      <c r="U8" s="8">
        <f t="shared" si="2"/>
        <v>4.7485335544642142</v>
      </c>
      <c r="V8" s="234">
        <f t="shared" si="0"/>
        <v>532.36337293937686</v>
      </c>
      <c r="W8" s="15">
        <v>25</v>
      </c>
      <c r="X8" s="8">
        <f t="shared" si="3"/>
        <v>4.5</v>
      </c>
      <c r="Y8" s="233">
        <f t="shared" si="4"/>
        <v>531.5</v>
      </c>
      <c r="Z8" s="27">
        <f>SUM(Z6:Z7)</f>
        <v>1766</v>
      </c>
      <c r="AB8" s="28">
        <f>SUMIF(E:E,"*H2 GOALS &amp; OVER 0.5",U:U)</f>
        <v>2863.7303036466428</v>
      </c>
      <c r="AC8" s="240">
        <f>SUM(AC6:AC7)</f>
        <v>37</v>
      </c>
      <c r="AD8" s="232">
        <f>SUM(AB8/AC8)</f>
        <v>77.398116314774128</v>
      </c>
      <c r="AE8" s="21"/>
      <c r="AF8" s="203">
        <f>SUMIF(E:E,"LAY 0-0 1ST HALF",U:U)</f>
        <v>2538.0003883126342</v>
      </c>
      <c r="AG8" s="240">
        <f>SUM(AG6:AG7)</f>
        <v>80</v>
      </c>
      <c r="AH8" s="232">
        <f>SUM(AF8/AG8)</f>
        <v>31.725004853907926</v>
      </c>
      <c r="AJ8" s="203">
        <f>SUMIF(E:E,"SPLIT20",U:U)</f>
        <v>6355.0840424765638</v>
      </c>
      <c r="AK8" s="240">
        <f>SUM(AK6:AK7)</f>
        <v>42</v>
      </c>
      <c r="AL8" s="232">
        <f>SUM(AJ8/AK8)</f>
        <v>151.31152482087057</v>
      </c>
    </row>
    <row r="9" spans="1:42" ht="15.75" thickBot="1">
      <c r="A9" s="156" t="e" cm="1">
        <f t="array" aca="1" ref="A9" ca="1">_xlfn.IFS(E9=$AB$42,$AC$42,E9=$AB$43,$AC$43,E9=$AB$44,$AC$44,E9=$AB$45,$AC$45,E9=$AB$46,$AC$46,E9=$AB$47,$AC$47,E9=$AB$48,$AC$48,E9=$AB$49,$AC$49,E9=$AB$50,$AC$50,E9=$AB$51,$AC$51,E9=$AB$52,$AC$52,E9=$AB$53,$AC$53,E9=$AB$54,$AC$54,E9=$AB$55,$AC$55,E9=$AB$56,$AC$56,E9=$AB$57,$AC$57,E9=$AB$58,$AC$58,E9=$AB$59,$AC$59,E9=$AB$60,$AC$60,E9=$AB$61,$AC$61,E9=$AB$62,$AC$62,E9=$AB$63,$AC$63,E9=$AB$64,$AC$64,E9=$AB$65,$AC$65,E9=$AB$66,$AC$66,TRUE,"0")</f>
        <v>#NAME?</v>
      </c>
      <c r="C9" s="161" t="str" cm="1">
        <f t="array" ref="C9">_xlfn.IFS(E9=$AB$42,$AF$42,E9=$AB$43,$AF$43,E9=$AB$44,$AF$44,E9=$AB$45,$AF$45,E9=$AB$46,$AF$46,E9=$AB$47,$AF$47,E9=$AB$48,$AF$48,E9=$AB$49,$AF$49,E9=$AB$50,$AF$50,E9=$AB$51,$AF$51,E9=$AB$52,$AF$52,E9=$AB$53,$AF$53,E9=$AB$54,$AF$54,E9=$AB$55,$AF$55,E9=$AB$56,$AF$56,E9=$AB$57,$AF$57,E9=$AB$58,$AF$58,E9=$AB$59,$AF$59,E9=$AB$60,$AF$60,E9=$AB$61,$AF$61,E9=$AB$62,$AF$62,E9=$AB$63,$AF$63,E9=$AB$64,$AF$64,E9=$AB$65,$AF$65,E9=$AB$66,$AF$66,TRUE,"0")</f>
        <v>if 0-0, BACK+ 0.5 GOALS  @ 1.15+odds.  or @ 40 mins</v>
      </c>
      <c r="D9" s="270" t="str" cm="1">
        <f t="array" ref="D9">_xlfn.IFS(E9=$AB$42,$AD$42,E9=$AB$43,$AD$43,E9=$AB$44,$AD$44,E9=$AB$45,$AD$45,E9=$AB$46,$AD$46,E9=$AB$47,$AD$47,E9=$AB$48,$AD$48,E9=$AB$49,$AD$49,E9=$AB$50,$AD$50,E9=$AB$51,$AD$51,E9=$AB$52,$AD$52,E9=$AB$53,$AD$53,E9=$AB$54,$AD$54,E9=$AB$55,$AD$55,E9=$AB$56,$AD$56,E9=$AB$57,$AD$57,E9=$AB$58,$AD$58,E9=$AB$59,$AD$59,E9=$AB$60,$AD$60,E9=$AB$61,$AD$61,E9=$AB$62,$AD$62,E9=$AB$63,$AD$63,E9=$AB$64,$AD$64,E9=$AB$65,$AD$65,E9=$AB$66,$AD$66,TRUE,"0")</f>
        <v>IP</v>
      </c>
      <c r="E9" s="163" t="s">
        <v>270</v>
      </c>
      <c r="F9" s="2" t="s">
        <v>6</v>
      </c>
      <c r="G9" s="2" t="s">
        <v>62</v>
      </c>
      <c r="H9" s="3">
        <v>45286.625</v>
      </c>
      <c r="I9" s="2" t="s">
        <v>85</v>
      </c>
      <c r="J9" s="2" t="s">
        <v>86</v>
      </c>
      <c r="K9" s="2">
        <v>66</v>
      </c>
      <c r="L9" s="2">
        <v>0</v>
      </c>
      <c r="M9" s="2">
        <v>20</v>
      </c>
      <c r="N9" s="2"/>
      <c r="O9" s="2"/>
      <c r="P9" s="11"/>
      <c r="Q9" s="2" t="s">
        <v>95</v>
      </c>
      <c r="R9" s="13" t="s">
        <v>193</v>
      </c>
      <c r="S9" s="13" t="s">
        <v>213</v>
      </c>
      <c r="T9" s="188">
        <f t="shared" si="1"/>
        <v>26.618168646968844</v>
      </c>
      <c r="U9" s="8">
        <f t="shared" si="2"/>
        <v>4.7912703564543913</v>
      </c>
      <c r="V9" s="235">
        <f t="shared" si="0"/>
        <v>537.15464329583131</v>
      </c>
      <c r="W9" s="15">
        <v>25</v>
      </c>
      <c r="X9" s="8">
        <f t="shared" si="3"/>
        <v>4.5</v>
      </c>
      <c r="Y9" s="233">
        <f t="shared" si="4"/>
        <v>536</v>
      </c>
      <c r="Z9" s="28">
        <f>SUM(AF29,AF33,AF20,AF25,AJ32,AJ16)</f>
        <v>181635.65940991574</v>
      </c>
      <c r="AB9" s="196">
        <f>SUMIF(E:E,"*H2 GOALS &amp; OVER 0.5",X:X)</f>
        <v>166.5</v>
      </c>
      <c r="AF9" s="208">
        <f>SUMIF(E:E,"LAY 0-0 1ST HALF",X:X)</f>
        <v>183</v>
      </c>
      <c r="AG9" s="238"/>
      <c r="AH9" s="195"/>
      <c r="AJ9" s="204">
        <f>SUMIF(E:E,"SPLIT20",X:X)</f>
        <v>159.5</v>
      </c>
      <c r="AK9" s="43"/>
      <c r="AL9" s="205"/>
    </row>
    <row r="10" spans="1:42" ht="15.75" thickBot="1">
      <c r="A10" s="156" t="e" cm="1">
        <f t="array" aca="1" ref="A10" ca="1">_xlfn.IFS(E10=$AB$42,$AC$42,E10=$AB$43,$AC$43,E10=$AB$44,$AC$44,E10=$AB$45,$AC$45,E10=$AB$46,$AC$46,E10=$AB$47,$AC$47,E10=$AB$48,$AC$48,E10=$AB$49,$AC$49,E10=$AB$50,$AC$50,E10=$AB$51,$AC$51,E10=$AB$52,$AC$52,E10=$AB$53,$AC$53,E10=$AB$54,$AC$54,E10=$AB$55,$AC$55,E10=$AB$56,$AC$56,E10=$AB$57,$AC$57,E10=$AB$58,$AC$58,E10=$AB$59,$AC$59,E10=$AB$60,$AC$60,E10=$AB$61,$AC$61,E10=$AB$62,$AC$62,E10=$AB$63,$AC$63,E10=$AB$64,$AC$64,E10=$AB$65,$AC$65,E10=$AB$66,$AC$66,TRUE,"0")</f>
        <v>#NAME?</v>
      </c>
      <c r="C10" s="161" t="str" cm="1">
        <f t="array" ref="C10">_xlfn.IFS(E10=$AB$42,$AF$42,E10=$AB$43,$AF$43,E10=$AB$44,$AF$44,E10=$AB$45,$AF$45,E10=$AB$46,$AF$46,E10=$AB$47,$AF$47,E10=$AB$48,$AF$48,E10=$AB$49,$AF$49,E10=$AB$50,$AF$50,E10=$AB$51,$AF$51,E10=$AB$52,$AF$52,E10=$AB$53,$AF$53,E10=$AB$54,$AF$54,E10=$AB$55,$AF$55,E10=$AB$56,$AF$56,E10=$AB$57,$AF$57,E10=$AB$58,$AF$58,E10=$AB$59,$AF$59,E10=$AB$60,$AF$60,E10=$AB$61,$AF$61,E10=$AB$62,$AF$62,E10=$AB$63,$AF$63,E10=$AB$64,$AF$64,E10=$AB$65,$AF$65,E10=$AB$66,$AF$66,TRUE,"0")</f>
        <v>40 mins Back ANother Goal</v>
      </c>
      <c r="D10" s="270" t="str" cm="1">
        <f t="array" ref="D10">_xlfn.IFS(E10=$AB$42,$AD$42,E10=$AB$43,$AD$43,E10=$AB$44,$AD$44,E10=$AB$45,$AD$45,E10=$AB$46,$AD$46,E10=$AB$47,$AD$47,E10=$AB$48,$AD$48,E10=$AB$49,$AD$49,E10=$AB$50,$AD$50,E10=$AB$51,$AD$51,E10=$AB$52,$AD$52,E10=$AB$53,$AD$53,E10=$AB$54,$AD$54,E10=$AB$55,$AD$55,E10=$AB$56,$AD$56,E10=$AB$57,$AD$57,E10=$AB$58,$AD$58,E10=$AB$59,$AD$59,E10=$AB$60,$AD$60,E10=$AB$61,$AD$61,E10=$AB$62,$AD$62,E10=$AB$63,$AD$63,E10=$AB$64,$AD$64,E10=$AB$65,$AD$65,E10=$AB$66,$AD$66,TRUE,"0")</f>
        <v xml:space="preserve">  BANG</v>
      </c>
      <c r="E10" s="163" t="s">
        <v>10</v>
      </c>
      <c r="F10" s="2" t="s">
        <v>6</v>
      </c>
      <c r="G10" s="2" t="s">
        <v>62</v>
      </c>
      <c r="H10" s="3">
        <v>45287.8125</v>
      </c>
      <c r="I10" s="2" t="s">
        <v>63</v>
      </c>
      <c r="J10" s="2" t="s">
        <v>64</v>
      </c>
      <c r="K10" s="2">
        <v>1.94</v>
      </c>
      <c r="L10" s="2">
        <v>94</v>
      </c>
      <c r="M10" s="2">
        <v>61</v>
      </c>
      <c r="N10" s="2">
        <v>22</v>
      </c>
      <c r="O10" s="2">
        <v>68</v>
      </c>
      <c r="P10" s="11">
        <v>18</v>
      </c>
      <c r="Q10" s="2" t="s">
        <v>95</v>
      </c>
      <c r="R10" s="14" t="s">
        <v>214</v>
      </c>
      <c r="S10" s="13" t="s">
        <v>216</v>
      </c>
      <c r="T10" s="188">
        <f t="shared" si="1"/>
        <v>26.857732164791567</v>
      </c>
      <c r="U10" s="8">
        <f t="shared" si="2"/>
        <v>4.8343917896624822</v>
      </c>
      <c r="V10" s="234">
        <f t="shared" si="0"/>
        <v>541.98903508549381</v>
      </c>
      <c r="W10" s="15">
        <v>25</v>
      </c>
      <c r="X10" s="8">
        <f t="shared" si="3"/>
        <v>4.5</v>
      </c>
      <c r="Y10" s="233">
        <f t="shared" si="4"/>
        <v>540.5</v>
      </c>
      <c r="Z10" s="196">
        <f>SUM(AF30,AF34,AF21,AF26,AJ33,AJ17)</f>
        <v>6069</v>
      </c>
      <c r="AB10" s="219" t="s">
        <v>272</v>
      </c>
      <c r="AC10" s="217">
        <f>COUNTIFS(E:E,"*BACK H2 GOALS",Q:Q,"WON")</f>
        <v>175</v>
      </c>
      <c r="AD10" s="149">
        <f>AC10/AC12</f>
        <v>0.95628415300546443</v>
      </c>
      <c r="AF10" s="228" t="s">
        <v>448</v>
      </c>
      <c r="AG10" s="246">
        <f>COUNTIFS(E:E,"LAY 0-0 1ST HALF B",Q:Q,"WON")</f>
        <v>51</v>
      </c>
      <c r="AH10" s="229">
        <f>AG10/AG12</f>
        <v>0.98076923076923073</v>
      </c>
      <c r="AJ10" s="201" t="s">
        <v>474</v>
      </c>
      <c r="AK10" s="250">
        <f>COUNTIFS(E:E,"SPLIT30",Q:Q,"WON")</f>
        <v>62</v>
      </c>
      <c r="AL10" s="206">
        <f>AK10/AK12</f>
        <v>1</v>
      </c>
    </row>
    <row r="11" spans="1:42" ht="15.75" thickBot="1">
      <c r="A11" s="156" t="e" cm="1">
        <f t="array" aca="1" ref="A11" ca="1">_xlfn.IFS(E11=$AB$42,$AC$42,E11=$AB$43,$AC$43,E11=$AB$44,$AC$44,E11=$AB$45,$AC$45,E11=$AB$46,$AC$46,E11=$AB$47,$AC$47,E11=$AB$48,$AC$48,E11=$AB$49,$AC$49,E11=$AB$50,$AC$50,E11=$AB$51,$AC$51,E11=$AB$52,$AC$52,E11=$AB$53,$AC$53,E11=$AB$54,$AC$54,E11=$AB$55,$AC$55,E11=$AB$56,$AC$56,E11=$AB$57,$AC$57,E11=$AB$58,$AC$58,E11=$AB$59,$AC$59,E11=$AB$60,$AC$60,E11=$AB$61,$AC$61,E11=$AB$62,$AC$62,E11=$AB$63,$AC$63,E11=$AB$64,$AC$64,E11=$AB$65,$AC$65,E11=$AB$66,$AC$66,TRUE,"0")</f>
        <v>#NAME?</v>
      </c>
      <c r="C11" s="161" t="str" cm="1">
        <f t="array" ref="C11">_xlfn.IFS(E11=$AB$42,$AF$42,E11=$AB$43,$AF$43,E11=$AB$44,$AF$44,E11=$AB$45,$AF$45,E11=$AB$46,$AF$46,E11=$AB$47,$AF$47,E11=$AB$48,$AF$48,E11=$AB$49,$AF$49,E11=$AB$50,$AF$50,E11=$AB$51,$AF$51,E11=$AB$52,$AF$52,E11=$AB$53,$AF$53,E11=$AB$54,$AF$54,E11=$AB$55,$AF$55,E11=$AB$56,$AF$56,E11=$AB$57,$AF$57,E11=$AB$58,$AF$58,E11=$AB$59,$AF$59,E11=$AB$60,$AF$60,E11=$AB$61,$AF$61,E11=$AB$62,$AF$62,E11=$AB$63,$AF$63,E11=$AB$64,$AF$64,E11=$AB$65,$AF$65,E11=$AB$66,$AF$66,TRUE,"0")</f>
        <v>if 0-0, BACK+ 0.5 GOALS  @ 1.15+odds.  or @ 40 mins</v>
      </c>
      <c r="D11" s="270" t="str" cm="1">
        <f t="array" ref="D11">_xlfn.IFS(E11=$AB$42,$AD$42,E11=$AB$43,$AD$43,E11=$AB$44,$AD$44,E11=$AB$45,$AD$45,E11=$AB$46,$AD$46,E11=$AB$47,$AD$47,E11=$AB$48,$AD$48,E11=$AB$49,$AD$49,E11=$AB$50,$AD$50,E11=$AB$51,$AD$51,E11=$AB$52,$AD$52,E11=$AB$53,$AD$53,E11=$AB$54,$AD$54,E11=$AB$55,$AD$55,E11=$AB$56,$AD$56,E11=$AB$57,$AD$57,E11=$AB$58,$AD$58,E11=$AB$59,$AD$59,E11=$AB$60,$AD$60,E11=$AB$61,$AD$61,E11=$AB$62,$AD$62,E11=$AB$63,$AD$63,E11=$AB$64,$AD$64,E11=$AB$65,$AD$65,E11=$AB$66,$AD$66,TRUE,"0")</f>
        <v>IP</v>
      </c>
      <c r="E11" s="163" t="s">
        <v>270</v>
      </c>
      <c r="F11" s="2" t="s">
        <v>6</v>
      </c>
      <c r="G11" s="2" t="s">
        <v>62</v>
      </c>
      <c r="H11" s="3">
        <v>45287.8125</v>
      </c>
      <c r="I11" s="2" t="s">
        <v>63</v>
      </c>
      <c r="J11" s="2" t="s">
        <v>64</v>
      </c>
      <c r="K11" s="2">
        <v>61</v>
      </c>
      <c r="L11" s="2">
        <v>0</v>
      </c>
      <c r="M11" s="2">
        <v>20</v>
      </c>
      <c r="N11" s="2"/>
      <c r="O11" s="2"/>
      <c r="P11" s="11"/>
      <c r="Q11" s="2" t="s">
        <v>95</v>
      </c>
      <c r="R11" s="14" t="s">
        <v>214</v>
      </c>
      <c r="S11" s="13" t="s">
        <v>216</v>
      </c>
      <c r="T11" s="188">
        <f t="shared" si="1"/>
        <v>27.099451754274693</v>
      </c>
      <c r="U11" s="8">
        <f t="shared" si="2"/>
        <v>4.8779013157694449</v>
      </c>
      <c r="V11" s="234">
        <f t="shared" si="0"/>
        <v>546.86693640126327</v>
      </c>
      <c r="W11" s="15">
        <v>25</v>
      </c>
      <c r="X11" s="8">
        <f t="shared" si="3"/>
        <v>4.5</v>
      </c>
      <c r="Y11" s="233">
        <f t="shared" si="4"/>
        <v>545</v>
      </c>
      <c r="AB11" s="219" t="s">
        <v>272</v>
      </c>
      <c r="AC11" s="217">
        <f>COUNTIFS(E:E,"*BACK H2 GOALS",Q:Q,"LOST")</f>
        <v>8</v>
      </c>
      <c r="AD11" s="18">
        <f>AC11/AC12</f>
        <v>4.3715846994535519E-2</v>
      </c>
      <c r="AF11" s="230" t="s">
        <v>448</v>
      </c>
      <c r="AG11" s="247">
        <f>COUNTIFS(E:E,"LAY 0-0 1ST HALF B",Q:Q,"LOST")</f>
        <v>1</v>
      </c>
      <c r="AH11" s="231">
        <f>AG11/AG12</f>
        <v>1.9230769230769232E-2</v>
      </c>
      <c r="AJ11" s="201" t="s">
        <v>474</v>
      </c>
      <c r="AK11" s="250">
        <f>COUNTIFS(E:E,"SPLIT30",Q:Q,"LOST")</f>
        <v>0</v>
      </c>
      <c r="AL11" s="202">
        <f>AK11/AK12</f>
        <v>0</v>
      </c>
    </row>
    <row r="12" spans="1:42" ht="15.75" thickBot="1">
      <c r="A12" s="156" t="e" cm="1">
        <f t="array" aca="1" ref="A12" ca="1">_xlfn.IFS(E12=$AB$42,$AC$42,E12=$AB$43,$AC$43,E12=$AB$44,$AC$44,E12=$AB$45,$AC$45,E12=$AB$46,$AC$46,E12=$AB$47,$AC$47,E12=$AB$48,$AC$48,E12=$AB$49,$AC$49,E12=$AB$50,$AC$50,E12=$AB$51,$AC$51,E12=$AB$52,$AC$52,E12=$AB$53,$AC$53,E12=$AB$54,$AC$54,E12=$AB$55,$AC$55,E12=$AB$56,$AC$56,E12=$AB$57,$AC$57,E12=$AB$58,$AC$58,E12=$AB$59,$AC$59,E12=$AB$60,$AC$60,E12=$AB$61,$AC$61,E12=$AB$62,$AC$62,E12=$AB$63,$AC$63,E12=$AB$64,$AC$64,E12=$AB$65,$AC$65,E12=$AB$66,$AC$66,TRUE,"0")</f>
        <v>#NAME?</v>
      </c>
      <c r="C12" s="161" t="str" cm="1">
        <f t="array" ref="C12">_xlfn.IFS(E12=$AB$42,$AF$42,E12=$AB$43,$AF$43,E12=$AB$44,$AF$44,E12=$AB$45,$AF$45,E12=$AB$46,$AF$46,E12=$AB$47,$AF$47,E12=$AB$48,$AF$48,E12=$AB$49,$AF$49,E12=$AB$50,$AF$50,E12=$AB$51,$AF$51,E12=$AB$52,$AF$52,E12=$AB$53,$AF$53,E12=$AB$54,$AF$54,E12=$AB$55,$AF$55,E12=$AB$56,$AF$56,E12=$AB$57,$AF$57,E12=$AB$58,$AF$58,E12=$AB$59,$AF$59,E12=$AB$60,$AF$60,E12=$AB$61,$AF$61,E12=$AB$62,$AF$62,E12=$AB$63,$AF$63,E12=$AB$64,$AF$64,E12=$AB$65,$AF$65,E12=$AB$66,$AF$66,TRUE,"0")</f>
        <v>if 0-0, BACK+ 0.5 GOALS  @ 1.15+odds.  or @ 40 mins</v>
      </c>
      <c r="D12" s="270" t="str" cm="1">
        <f t="array" ref="D12">_xlfn.IFS(E12=$AB$42,$AD$42,E12=$AB$43,$AD$43,E12=$AB$44,$AD$44,E12=$AB$45,$AD$45,E12=$AB$46,$AD$46,E12=$AB$47,$AD$47,E12=$AB$48,$AD$48,E12=$AB$49,$AD$49,E12=$AB$50,$AD$50,E12=$AB$51,$AD$51,E12=$AB$52,$AD$52,E12=$AB$53,$AD$53,E12=$AB$54,$AD$54,E12=$AB$55,$AD$55,E12=$AB$56,$AD$56,E12=$AB$57,$AD$57,E12=$AB$58,$AD$58,E12=$AB$59,$AD$59,E12=$AB$60,$AD$60,E12=$AB$61,$AD$61,E12=$AB$62,$AD$62,E12=$AB$63,$AD$63,E12=$AB$64,$AD$64,E12=$AB$65,$AD$65,E12=$AB$66,$AD$66,TRUE,"0")</f>
        <v>IP</v>
      </c>
      <c r="E12" s="163" t="s">
        <v>270</v>
      </c>
      <c r="F12" s="2" t="s">
        <v>6</v>
      </c>
      <c r="G12" s="2" t="s">
        <v>62</v>
      </c>
      <c r="H12" s="3">
        <v>45287.8125</v>
      </c>
      <c r="I12" s="2" t="s">
        <v>65</v>
      </c>
      <c r="J12" s="2" t="s">
        <v>66</v>
      </c>
      <c r="K12" s="2">
        <v>60</v>
      </c>
      <c r="L12" s="2">
        <v>0</v>
      </c>
      <c r="M12" s="2">
        <v>20</v>
      </c>
      <c r="N12" s="2"/>
      <c r="O12" s="2"/>
      <c r="P12" s="11"/>
      <c r="Q12" s="2" t="s">
        <v>95</v>
      </c>
      <c r="R12" s="14" t="s">
        <v>216</v>
      </c>
      <c r="S12" s="13" t="s">
        <v>222</v>
      </c>
      <c r="T12" s="188">
        <f t="shared" si="1"/>
        <v>27.343346820063164</v>
      </c>
      <c r="U12" s="8">
        <f t="shared" si="2"/>
        <v>4.921802427611369</v>
      </c>
      <c r="V12" s="234">
        <f t="shared" si="0"/>
        <v>551.78873882887467</v>
      </c>
      <c r="W12" s="15">
        <v>25</v>
      </c>
      <c r="X12" s="8">
        <f t="shared" si="3"/>
        <v>4.5</v>
      </c>
      <c r="Y12" s="233">
        <f t="shared" si="4"/>
        <v>549.5</v>
      </c>
      <c r="Z12">
        <f>SUM(AG18,AG23,AG27,AG31,AK14,AK30,AK38,AG38,AC38)</f>
        <v>1707</v>
      </c>
      <c r="AB12" s="28">
        <f>SUMIF(E:E,"*BACK H2 GOALS",U:U)</f>
        <v>12217.927450965564</v>
      </c>
      <c r="AC12" s="240">
        <f>SUM(AC10:AC11)</f>
        <v>183</v>
      </c>
      <c r="AD12" s="232">
        <f>SUM(AB12/AC12)</f>
        <v>66.764630879593241</v>
      </c>
      <c r="AF12" s="203">
        <f>SUMIF(E:E,"LAY 0-0 1ST HALF B",U:U)</f>
        <v>7094.4904381964016</v>
      </c>
      <c r="AG12" s="240">
        <f>SUM(AG10:AG11)</f>
        <v>52</v>
      </c>
      <c r="AH12" s="232">
        <f>SUM(AF12/AG12)</f>
        <v>136.43250842685387</v>
      </c>
      <c r="AJ12" s="203">
        <f>SUMIF(E:E,"SPLIT30",U:U)</f>
        <v>10551.821042969568</v>
      </c>
      <c r="AK12" s="240">
        <f>SUM(AK10:AK11)</f>
        <v>62</v>
      </c>
      <c r="AL12" s="232">
        <f>SUM(AJ12/AK12)</f>
        <v>170.19066198338012</v>
      </c>
      <c r="AP12" s="44">
        <f>SUM(AJ20,AJ24,AJ28)</f>
        <v>48961.150426993714</v>
      </c>
    </row>
    <row r="13" spans="1:42" ht="15.75" thickBot="1">
      <c r="A13" s="156" t="e" cm="1">
        <f t="array" aca="1" ref="A13" ca="1">_xlfn.IFS(E13=$AB$42,$AC$42,E13=$AB$43,$AC$43,E13=$AB$44,$AC$44,E13=$AB$45,$AC$45,E13=$AB$46,$AC$46,E13=$AB$47,$AC$47,E13=$AB$48,$AC$48,E13=$AB$49,$AC$49,E13=$AB$50,$AC$50,E13=$AB$51,$AC$51,E13=$AB$52,$AC$52,E13=$AB$53,$AC$53,E13=$AB$54,$AC$54,E13=$AB$55,$AC$55,E13=$AB$56,$AC$56,E13=$AB$57,$AC$57,E13=$AB$58,$AC$58,E13=$AB$59,$AC$59,E13=$AB$60,$AC$60,E13=$AB$61,$AC$61,E13=$AB$62,$AC$62,E13=$AB$63,$AC$63,E13=$AB$64,$AC$64,E13=$AB$65,$AC$65,E13=$AB$66,$AC$66,TRUE,"0")</f>
        <v>#NAME?</v>
      </c>
      <c r="C13" s="161" t="str" cm="1">
        <f t="array" ref="C13">_xlfn.IFS(E13=$AB$42,$AF$42,E13=$AB$43,$AF$43,E13=$AB$44,$AF$44,E13=$AB$45,$AF$45,E13=$AB$46,$AF$46,E13=$AB$47,$AF$47,E13=$AB$48,$AF$48,E13=$AB$49,$AF$49,E13=$AB$50,$AF$50,E13=$AB$51,$AF$51,E13=$AB$52,$AF$52,E13=$AB$53,$AF$53,E13=$AB$54,$AF$54,E13=$AB$55,$AF$55,E13=$AB$56,$AF$56,E13=$AB$57,$AF$57,E13=$AB$58,$AF$58,E13=$AB$59,$AF$59,E13=$AB$60,$AF$60,E13=$AB$61,$AF$61,E13=$AB$62,$AF$62,E13=$AB$63,$AF$63,E13=$AB$64,$AF$64,E13=$AB$65,$AF$65,E13=$AB$66,$AF$66,TRUE,"0")</f>
        <v>40 mins Back ANother Goal</v>
      </c>
      <c r="D13" s="270" t="str" cm="1">
        <f t="array" ref="D13">_xlfn.IFS(E13=$AB$42,$AD$42,E13=$AB$43,$AD$43,E13=$AB$44,$AD$44,E13=$AB$45,$AD$45,E13=$AB$46,$AD$46,E13=$AB$47,$AD$47,E13=$AB$48,$AD$48,E13=$AB$49,$AD$49,E13=$AB$50,$AD$50,E13=$AB$51,$AD$51,E13=$AB$52,$AD$52,E13=$AB$53,$AD$53,E13=$AB$54,$AD$54,E13=$AB$55,$AD$55,E13=$AB$56,$AD$56,E13=$AB$57,$AD$57,E13=$AB$58,$AD$58,E13=$AB$59,$AD$59,E13=$AB$60,$AD$60,E13=$AB$61,$AD$61,E13=$AB$62,$AD$62,E13=$AB$63,$AD$63,E13=$AB$64,$AD$64,E13=$AB$65,$AD$65,E13=$AB$66,$AD$66,TRUE,"0")</f>
        <v xml:space="preserve">  BANG</v>
      </c>
      <c r="E13" s="163" t="s">
        <v>35</v>
      </c>
      <c r="F13" s="2" t="s">
        <v>67</v>
      </c>
      <c r="G13" s="2" t="s">
        <v>68</v>
      </c>
      <c r="H13" s="3">
        <v>45287.822916666664</v>
      </c>
      <c r="I13" s="2" t="s">
        <v>69</v>
      </c>
      <c r="J13" s="2" t="s">
        <v>70</v>
      </c>
      <c r="K13" s="2">
        <v>69</v>
      </c>
      <c r="L13" s="7">
        <v>94</v>
      </c>
      <c r="M13" s="2">
        <v>50</v>
      </c>
      <c r="N13" s="2">
        <v>39</v>
      </c>
      <c r="O13" s="2">
        <v>18</v>
      </c>
      <c r="P13" s="11"/>
      <c r="Q13" s="2" t="s">
        <v>95</v>
      </c>
      <c r="R13" s="14" t="s">
        <v>220</v>
      </c>
      <c r="S13" s="13" t="s">
        <v>215</v>
      </c>
      <c r="T13" s="188">
        <f t="shared" si="1"/>
        <v>27.589436941443736</v>
      </c>
      <c r="U13" s="8">
        <f t="shared" si="2"/>
        <v>4.9660986494598722</v>
      </c>
      <c r="V13" s="234">
        <f t="shared" si="0"/>
        <v>556.75483747833459</v>
      </c>
      <c r="W13" s="15">
        <v>25</v>
      </c>
      <c r="X13" s="8">
        <f t="shared" si="3"/>
        <v>4.5</v>
      </c>
      <c r="Y13" s="233">
        <f t="shared" si="4"/>
        <v>554</v>
      </c>
      <c r="AB13" s="196">
        <f>SUMIF(E:E,"*BACK H2 GOALS",X:X)</f>
        <v>587.5</v>
      </c>
      <c r="AF13" s="208">
        <f>SUMIF(E:E,"LAY 0-0 1ST HALF B",X:X)</f>
        <v>204.5</v>
      </c>
      <c r="AG13" s="238"/>
      <c r="AH13" s="195"/>
      <c r="AJ13" s="204">
        <f>SUMIF(E:E,"SPLIT30",X:X)</f>
        <v>279</v>
      </c>
      <c r="AL13" s="207"/>
    </row>
    <row r="14" spans="1:42" ht="15.75" thickBot="1">
      <c r="A14" s="156" t="e" cm="1">
        <f t="array" aca="1" ref="A14" ca="1">_xlfn.IFS(E14=$AB$42,$AC$42,E14=$AB$43,$AC$43,E14=$AB$44,$AC$44,E14=$AB$45,$AC$45,E14=$AB$46,$AC$46,E14=$AB$47,$AC$47,E14=$AB$48,$AC$48,E14=$AB$49,$AC$49,E14=$AB$50,$AC$50,E14=$AB$51,$AC$51,E14=$AB$52,$AC$52,E14=$AB$53,$AC$53,E14=$AB$54,$AC$54,E14=$AB$55,$AC$55,E14=$AB$56,$AC$56,E14=$AB$57,$AC$57,E14=$AB$58,$AC$58,E14=$AB$59,$AC$59,E14=$AB$60,$AC$60,E14=$AB$61,$AC$61,E14=$AB$62,$AC$62,E14=$AB$63,$AC$63,E14=$AB$64,$AC$64,E14=$AB$65,$AC$65,E14=$AB$66,$AC$66,TRUE,"0")</f>
        <v>#NAME?</v>
      </c>
      <c r="C14" s="161" t="str" cm="1">
        <f t="array" ref="C14">_xlfn.IFS(E14=$AB$42,$AF$42,E14=$AB$43,$AF$43,E14=$AB$44,$AF$44,E14=$AB$45,$AF$45,E14=$AB$46,$AF$46,E14=$AB$47,$AF$47,E14=$AB$48,$AF$48,E14=$AB$49,$AF$49,E14=$AB$50,$AF$50,E14=$AB$51,$AF$51,E14=$AB$52,$AF$52,E14=$AB$53,$AF$53,E14=$AB$54,$AF$54,E14=$AB$55,$AF$55,E14=$AB$56,$AF$56,E14=$AB$57,$AF$57,E14=$AB$58,$AF$58,E14=$AB$59,$AF$59,E14=$AB$60,$AF$60,E14=$AB$61,$AF$61,E14=$AB$62,$AF$62,E14=$AB$63,$AF$63,E14=$AB$64,$AF$64,E14=$AB$65,$AF$65,E14=$AB$66,$AF$66,TRUE,"0")</f>
        <v>if 0-0, BACK+ 0.5 GOALS  @ 1.15+odds.  or @ 40 mins</v>
      </c>
      <c r="D14" s="270" t="str" cm="1">
        <f t="array" ref="D14">_xlfn.IFS(E14=$AB$42,$AD$42,E14=$AB$43,$AD$43,E14=$AB$44,$AD$44,E14=$AB$45,$AD$45,E14=$AB$46,$AD$46,E14=$AB$47,$AD$47,E14=$AB$48,$AD$48,E14=$AB$49,$AD$49,E14=$AB$50,$AD$50,E14=$AB$51,$AD$51,E14=$AB$52,$AD$52,E14=$AB$53,$AD$53,E14=$AB$54,$AD$54,E14=$AB$55,$AD$55,E14=$AB$56,$AD$56,E14=$AB$57,$AD$57,E14=$AB$58,$AD$58,E14=$AB$59,$AD$59,E14=$AB$60,$AD$60,E14=$AB$61,$AD$61,E14=$AB$62,$AD$62,E14=$AB$63,$AD$63,E14=$AB$64,$AD$64,E14=$AB$65,$AD$65,E14=$AB$66,$AD$66,TRUE,"0")</f>
        <v>IP</v>
      </c>
      <c r="E14" s="163" t="s">
        <v>270</v>
      </c>
      <c r="F14" s="2" t="s">
        <v>67</v>
      </c>
      <c r="G14" s="2" t="s">
        <v>68</v>
      </c>
      <c r="H14" s="3">
        <v>45287.822916666664</v>
      </c>
      <c r="I14" s="2" t="s">
        <v>69</v>
      </c>
      <c r="J14" s="2" t="s">
        <v>70</v>
      </c>
      <c r="K14" s="2">
        <v>64</v>
      </c>
      <c r="L14" s="2">
        <v>0</v>
      </c>
      <c r="M14" s="2">
        <v>20</v>
      </c>
      <c r="N14" s="2"/>
      <c r="O14" s="2"/>
      <c r="P14" s="11"/>
      <c r="Q14" s="2" t="s">
        <v>95</v>
      </c>
      <c r="R14" s="14" t="s">
        <v>220</v>
      </c>
      <c r="S14" s="13" t="s">
        <v>215</v>
      </c>
      <c r="T14" s="188">
        <f t="shared" si="1"/>
        <v>27.83774187391673</v>
      </c>
      <c r="U14" s="8">
        <f t="shared" si="2"/>
        <v>5.0107935373050116</v>
      </c>
      <c r="V14" s="234">
        <f t="shared" si="0"/>
        <v>561.76563101563966</v>
      </c>
      <c r="W14" s="15">
        <v>25</v>
      </c>
      <c r="X14" s="8">
        <f t="shared" si="3"/>
        <v>4.5</v>
      </c>
      <c r="Y14" s="233">
        <f t="shared" si="4"/>
        <v>558.5</v>
      </c>
      <c r="AB14" s="219" t="s">
        <v>273</v>
      </c>
      <c r="AC14" s="217">
        <f>COUNTIFS(E:E,"*H2 V H1 GOALS",Q:Q,"WON")</f>
        <v>71</v>
      </c>
      <c r="AD14" s="150">
        <f>AC14/AC16</f>
        <v>0.95945945945945943</v>
      </c>
      <c r="AF14" s="228" t="s">
        <v>458</v>
      </c>
      <c r="AG14" s="246">
        <f>COUNTIFS(E:E,"UNDER 2.5 GOALS",Q:Q,"WON")</f>
        <v>39</v>
      </c>
      <c r="AH14" s="229">
        <f>AG14/AG16</f>
        <v>0.97499999999999998</v>
      </c>
      <c r="AJ14" s="197" t="s">
        <v>859</v>
      </c>
      <c r="AK14" s="30">
        <f>SUM(AK6,AK10,AK2)</f>
        <v>163</v>
      </c>
      <c r="AL14" s="151">
        <f>AK14/AK16</f>
        <v>0.98192771084337349</v>
      </c>
    </row>
    <row r="15" spans="1:42" ht="15.75" thickBot="1">
      <c r="A15" s="156" t="e" cm="1">
        <f t="array" aca="1" ref="A15" ca="1">_xlfn.IFS(E15=$AB$42,$AC$42,E15=$AB$43,$AC$43,E15=$AB$44,$AC$44,E15=$AB$45,$AC$45,E15=$AB$46,$AC$46,E15=$AB$47,$AC$47,E15=$AB$48,$AC$48,E15=$AB$49,$AC$49,E15=$AB$50,$AC$50,E15=$AB$51,$AC$51,E15=$AB$52,$AC$52,E15=$AB$53,$AC$53,E15=$AB$54,$AC$54,E15=$AB$55,$AC$55,E15=$AB$56,$AC$56,E15=$AB$57,$AC$57,E15=$AB$58,$AC$58,E15=$AB$59,$AC$59,E15=$AB$60,$AC$60,E15=$AB$61,$AC$61,E15=$AB$62,$AC$62,E15=$AB$63,$AC$63,E15=$AB$64,$AC$64,E15=$AB$65,$AC$65,E15=$AB$66,$AC$66,TRUE,"0")</f>
        <v>#NAME?</v>
      </c>
      <c r="C15" s="161" t="str" cm="1">
        <f t="array" ref="C15">_xlfn.IFS(E15=$AB$42,$AF$42,E15=$AB$43,$AF$43,E15=$AB$44,$AF$44,E15=$AB$45,$AF$45,E15=$AB$46,$AF$46,E15=$AB$47,$AF$47,E15=$AB$48,$AF$48,E15=$AB$49,$AF$49,E15=$AB$50,$AF$50,E15=$AB$51,$AF$51,E15=$AB$52,$AF$52,E15=$AB$53,$AF$53,E15=$AB$54,$AF$54,E15=$AB$55,$AF$55,E15=$AB$56,$AF$56,E15=$AB$57,$AF$57,E15=$AB$58,$AF$58,E15=$AB$59,$AF$59,E15=$AB$60,$AF$60,E15=$AB$61,$AF$61,E15=$AB$62,$AF$62,E15=$AB$63,$AF$63,E15=$AB$64,$AF$64,E15=$AB$65,$AF$65,E15=$AB$66,$AF$66,TRUE,"0")</f>
        <v>if 0-0, BACK+ 0.5 GOALS  @ 1.15+odds.  or @ 40 mins</v>
      </c>
      <c r="D15" s="270" t="str" cm="1">
        <f t="array" ref="D15">_xlfn.IFS(E15=$AB$42,$AD$42,E15=$AB$43,$AD$43,E15=$AB$44,$AD$44,E15=$AB$45,$AD$45,E15=$AB$46,$AD$46,E15=$AB$47,$AD$47,E15=$AB$48,$AD$48,E15=$AB$49,$AD$49,E15=$AB$50,$AD$50,E15=$AB$51,$AD$51,E15=$AB$52,$AD$52,E15=$AB$53,$AD$53,E15=$AB$54,$AD$54,E15=$AB$55,$AD$55,E15=$AB$56,$AD$56,E15=$AB$57,$AD$57,E15=$AB$58,$AD$58,E15=$AB$59,$AD$59,E15=$AB$60,$AD$60,E15=$AB$61,$AD$61,E15=$AB$62,$AD$62,E15=$AB$63,$AD$63,E15=$AB$64,$AD$64,E15=$AB$65,$AD$65,E15=$AB$66,$AD$66,TRUE,"0")</f>
        <v>IP</v>
      </c>
      <c r="E15" s="163" t="s">
        <v>270</v>
      </c>
      <c r="F15" s="2" t="s">
        <v>6</v>
      </c>
      <c r="G15" s="2" t="s">
        <v>62</v>
      </c>
      <c r="H15" s="3">
        <v>45287.84375</v>
      </c>
      <c r="I15" s="2" t="s">
        <v>71</v>
      </c>
      <c r="J15" s="2" t="s">
        <v>72</v>
      </c>
      <c r="K15" s="2">
        <v>66</v>
      </c>
      <c r="L15" s="2">
        <v>0</v>
      </c>
      <c r="M15" s="2">
        <v>20</v>
      </c>
      <c r="N15" s="2"/>
      <c r="O15" s="2"/>
      <c r="P15" s="11"/>
      <c r="Q15" s="2" t="s">
        <v>95</v>
      </c>
      <c r="R15" s="14" t="s">
        <v>214</v>
      </c>
      <c r="S15" s="13" t="s">
        <v>211</v>
      </c>
      <c r="T15" s="188">
        <f t="shared" si="1"/>
        <v>28.088281550781986</v>
      </c>
      <c r="U15" s="8">
        <f t="shared" si="2"/>
        <v>5.0558906791407576</v>
      </c>
      <c r="V15" s="234">
        <f t="shared" si="0"/>
        <v>566.82152169478036</v>
      </c>
      <c r="W15" s="15">
        <v>25</v>
      </c>
      <c r="X15" s="8">
        <f t="shared" si="3"/>
        <v>4.5</v>
      </c>
      <c r="Y15" s="233">
        <f t="shared" si="4"/>
        <v>563</v>
      </c>
      <c r="AB15" s="219" t="s">
        <v>273</v>
      </c>
      <c r="AC15" s="217">
        <f>COUNTIFS(E:E,"*H2 V H1 GOALS",Q:Q,"LOST")</f>
        <v>3</v>
      </c>
      <c r="AD15" s="25">
        <f>AC15/AC16</f>
        <v>4.0540540540540543E-2</v>
      </c>
      <c r="AF15" s="230" t="s">
        <v>458</v>
      </c>
      <c r="AG15" s="247">
        <f>COUNTIFS(E:E,"UNDER 2.5 GOALS",Q:Q,"LOST")</f>
        <v>1</v>
      </c>
      <c r="AH15" s="231">
        <f>AG15/AG16</f>
        <v>2.5000000000000001E-2</v>
      </c>
      <c r="AJ15" s="197" t="s">
        <v>859</v>
      </c>
      <c r="AK15" s="30">
        <f>SUM(AK7,AK11,AK3)</f>
        <v>3</v>
      </c>
      <c r="AL15" s="31">
        <f>AK15/AK16</f>
        <v>1.8072289156626505E-2</v>
      </c>
    </row>
    <row r="16" spans="1:42" ht="15.75" thickBot="1">
      <c r="A16" s="156" t="e" cm="1">
        <f t="array" aca="1" ref="A16" ca="1">_xlfn.IFS(E16=$AB$42,$AC$42,E16=$AB$43,$AC$43,E16=$AB$44,$AC$44,E16=$AB$45,$AC$45,E16=$AB$46,$AC$46,E16=$AB$47,$AC$47,E16=$AB$48,$AC$48,E16=$AB$49,$AC$49,E16=$AB$50,$AC$50,E16=$AB$51,$AC$51,E16=$AB$52,$AC$52,E16=$AB$53,$AC$53,E16=$AB$54,$AC$54,E16=$AB$55,$AC$55,E16=$AB$56,$AC$56,E16=$AB$57,$AC$57,E16=$AB$58,$AC$58,E16=$AB$59,$AC$59,E16=$AB$60,$AC$60,E16=$AB$61,$AC$61,E16=$AB$62,$AC$62,E16=$AB$63,$AC$63,E16=$AB$64,$AC$64,E16=$AB$65,$AC$65,E16=$AB$66,$AC$66,TRUE,"0")</f>
        <v>#NAME?</v>
      </c>
      <c r="C16" s="161" t="str" cm="1">
        <f t="array" ref="C16">_xlfn.IFS(E16=$AB$42,$AF$42,E16=$AB$43,$AF$43,E16=$AB$44,$AF$44,E16=$AB$45,$AF$45,E16=$AB$46,$AF$46,E16=$AB$47,$AF$47,E16=$AB$48,$AF$48,E16=$AB$49,$AF$49,E16=$AB$50,$AF$50,E16=$AB$51,$AF$51,E16=$AB$52,$AF$52,E16=$AB$53,$AF$53,E16=$AB$54,$AF$54,E16=$AB$55,$AF$55,E16=$AB$56,$AF$56,E16=$AB$57,$AF$57,E16=$AB$58,$AF$58,E16=$AB$59,$AF$59,E16=$AB$60,$AF$60,E16=$AB$61,$AF$61,E16=$AB$62,$AF$62,E16=$AB$63,$AF$63,E16=$AB$64,$AF$64,E16=$AB$65,$AF$65,E16=$AB$66,$AF$66,TRUE,"0")</f>
        <v>40 mins Back ANother Goal</v>
      </c>
      <c r="D16" s="270" t="str" cm="1">
        <f t="array" ref="D16">_xlfn.IFS(E16=$AB$42,$AD$42,E16=$AB$43,$AD$43,E16=$AB$44,$AD$44,E16=$AB$45,$AD$45,E16=$AB$46,$AD$46,E16=$AB$47,$AD$47,E16=$AB$48,$AD$48,E16=$AB$49,$AD$49,E16=$AB$50,$AD$50,E16=$AB$51,$AD$51,E16=$AB$52,$AD$52,E16=$AB$53,$AD$53,E16=$AB$54,$AD$54,E16=$AB$55,$AD$55,E16=$AB$56,$AD$56,E16=$AB$57,$AD$57,E16=$AB$58,$AD$58,E16=$AB$59,$AD$59,E16=$AB$60,$AD$60,E16=$AB$61,$AD$61,E16=$AB$62,$AD$62,E16=$AB$63,$AD$63,E16=$AB$64,$AD$64,E16=$AB$65,$AD$65,E16=$AB$66,$AD$66,TRUE,"0")</f>
        <v xml:space="preserve">  BANG</v>
      </c>
      <c r="E16" s="163" t="s">
        <v>10</v>
      </c>
      <c r="F16" s="2" t="s">
        <v>6</v>
      </c>
      <c r="G16" s="2" t="s">
        <v>62</v>
      </c>
      <c r="H16" s="3">
        <v>45288.84375</v>
      </c>
      <c r="I16" s="2" t="s">
        <v>73</v>
      </c>
      <c r="J16" s="2" t="s">
        <v>74</v>
      </c>
      <c r="K16" s="2">
        <v>2.2799999999999998</v>
      </c>
      <c r="L16" s="2">
        <v>100</v>
      </c>
      <c r="M16" s="2">
        <v>83</v>
      </c>
      <c r="N16" s="2">
        <v>33</v>
      </c>
      <c r="O16" s="2">
        <v>64</v>
      </c>
      <c r="P16" s="11">
        <v>18</v>
      </c>
      <c r="Q16" s="2" t="s">
        <v>95</v>
      </c>
      <c r="R16" s="14" t="s">
        <v>193</v>
      </c>
      <c r="S16" s="13" t="s">
        <v>217</v>
      </c>
      <c r="T16" s="188">
        <f t="shared" si="1"/>
        <v>28.341076084739019</v>
      </c>
      <c r="U16" s="8">
        <f t="shared" si="2"/>
        <v>5.101393695253023</v>
      </c>
      <c r="V16" s="234">
        <f t="shared" ref="V16:V47" si="5">SUM(V15,U16)</f>
        <v>571.92291539003338</v>
      </c>
      <c r="W16" s="15">
        <v>25</v>
      </c>
      <c r="X16" s="8">
        <f t="shared" si="3"/>
        <v>4.5</v>
      </c>
      <c r="Y16" s="233">
        <f t="shared" si="4"/>
        <v>567.5</v>
      </c>
      <c r="AB16" s="28">
        <f>SUMIF(E:E,"*H2 V H1 GOALS",U:U)</f>
        <v>4931.9436757285239</v>
      </c>
      <c r="AC16" s="240">
        <f>SUM(AC14:AC15)</f>
        <v>74</v>
      </c>
      <c r="AD16" s="232">
        <f>SUM(AB16/AC16)</f>
        <v>66.647887509844921</v>
      </c>
      <c r="AF16" s="203">
        <f>SUMIF(E:E,"*UNDER 2.5 GOALS",U:U)</f>
        <v>5008.8429994442477</v>
      </c>
      <c r="AG16" s="240">
        <f>SUM(AG14:AG15)</f>
        <v>40</v>
      </c>
      <c r="AH16" s="232">
        <f>SUM(AF16/AG16)</f>
        <v>125.22107498610619</v>
      </c>
      <c r="AJ16" s="203">
        <f>SUM(AJ8,AJ12,AJ4)</f>
        <v>25652.707317547705</v>
      </c>
      <c r="AK16" s="248">
        <f>SUM(AK14:AK15)</f>
        <v>166</v>
      </c>
      <c r="AL16" s="232">
        <f>SUM(AJ16/AK16)</f>
        <v>154.53438143101027</v>
      </c>
    </row>
    <row r="17" spans="1:38" ht="15.75" thickBot="1">
      <c r="A17" s="156" t="e" cm="1">
        <f t="array" aca="1" ref="A17" ca="1">_xlfn.IFS(E17=$AB$42,$AC$42,E17=$AB$43,$AC$43,E17=$AB$44,$AC$44,E17=$AB$45,$AC$45,E17=$AB$46,$AC$46,E17=$AB$47,$AC$47,E17=$AB$48,$AC$48,E17=$AB$49,$AC$49,E17=$AB$50,$AC$50,E17=$AB$51,$AC$51,E17=$AB$52,$AC$52,E17=$AB$53,$AC$53,E17=$AB$54,$AC$54,E17=$AB$55,$AC$55,E17=$AB$56,$AC$56,E17=$AB$57,$AC$57,E17=$AB$58,$AC$58,E17=$AB$59,$AC$59,E17=$AB$60,$AC$60,E17=$AB$61,$AC$61,E17=$AB$62,$AC$62,E17=$AB$63,$AC$63,E17=$AB$64,$AC$64,E17=$AB$65,$AC$65,E17=$AB$66,$AC$66,TRUE,"0")</f>
        <v>#NAME?</v>
      </c>
      <c r="C17" s="161" t="str" cm="1">
        <f t="array" ref="C17">_xlfn.IFS(E17=$AB$42,$AF$42,E17=$AB$43,$AF$43,E17=$AB$44,$AF$44,E17=$AB$45,$AF$45,E17=$AB$46,$AF$46,E17=$AB$47,$AF$47,E17=$AB$48,$AF$48,E17=$AB$49,$AF$49,E17=$AB$50,$AF$50,E17=$AB$51,$AF$51,E17=$AB$52,$AF$52,E17=$AB$53,$AF$53,E17=$AB$54,$AF$54,E17=$AB$55,$AF$55,E17=$AB$56,$AF$56,E17=$AB$57,$AF$57,E17=$AB$58,$AF$58,E17=$AB$59,$AF$59,E17=$AB$60,$AF$60,E17=$AB$61,$AF$61,E17=$AB$62,$AF$62,E17=$AB$63,$AF$63,E17=$AB$64,$AF$64,E17=$AB$65,$AF$65,E17=$AB$66,$AF$66,TRUE,"0")</f>
        <v>if 0-0, BACK+ 0.5 GOALS  @ 1.15+odds.  or @ 40 mins</v>
      </c>
      <c r="D17" s="270" t="str" cm="1">
        <f t="array" ref="D17">_xlfn.IFS(E17=$AB$42,$AD$42,E17=$AB$43,$AD$43,E17=$AB$44,$AD$44,E17=$AB$45,$AD$45,E17=$AB$46,$AD$46,E17=$AB$47,$AD$47,E17=$AB$48,$AD$48,E17=$AB$49,$AD$49,E17=$AB$50,$AD$50,E17=$AB$51,$AD$51,E17=$AB$52,$AD$52,E17=$AB$53,$AD$53,E17=$AB$54,$AD$54,E17=$AB$55,$AD$55,E17=$AB$56,$AD$56,E17=$AB$57,$AD$57,E17=$AB$58,$AD$58,E17=$AB$59,$AD$59,E17=$AB$60,$AD$60,E17=$AB$61,$AD$61,E17=$AB$62,$AD$62,E17=$AB$63,$AD$63,E17=$AB$64,$AD$64,E17=$AB$65,$AD$65,E17=$AB$66,$AD$66,TRUE,"0")</f>
        <v>IP</v>
      </c>
      <c r="E17" s="163" t="s">
        <v>270</v>
      </c>
      <c r="F17" s="2" t="s">
        <v>6</v>
      </c>
      <c r="G17" s="2" t="s">
        <v>62</v>
      </c>
      <c r="H17" s="3">
        <v>45288.84375</v>
      </c>
      <c r="I17" s="2" t="s">
        <v>73</v>
      </c>
      <c r="J17" s="2" t="s">
        <v>74</v>
      </c>
      <c r="K17" s="2">
        <v>63</v>
      </c>
      <c r="L17" s="2">
        <v>0</v>
      </c>
      <c r="M17" s="2">
        <v>20</v>
      </c>
      <c r="N17" s="2"/>
      <c r="O17" s="2"/>
      <c r="P17" s="11"/>
      <c r="Q17" s="2" t="s">
        <v>95</v>
      </c>
      <c r="R17" s="14" t="s">
        <v>193</v>
      </c>
      <c r="S17" s="13" t="s">
        <v>217</v>
      </c>
      <c r="T17" s="188">
        <f t="shared" si="1"/>
        <v>28.596145769501671</v>
      </c>
      <c r="U17" s="8">
        <f t="shared" si="2"/>
        <v>5.1473062385103008</v>
      </c>
      <c r="V17" s="234">
        <f t="shared" si="5"/>
        <v>577.07022162854366</v>
      </c>
      <c r="W17" s="15">
        <v>25</v>
      </c>
      <c r="X17" s="8">
        <f t="shared" si="3"/>
        <v>4.5</v>
      </c>
      <c r="Y17" s="233">
        <f t="shared" si="4"/>
        <v>572</v>
      </c>
      <c r="AB17" s="196">
        <f>SUMIF(E:E,"*H2 V H1 GOALS",X:X)</f>
        <v>244.5</v>
      </c>
      <c r="AF17" s="208">
        <f>SUMIF(E:E,"*UNDER 2.5 GOALS",X:X)</f>
        <v>150.5</v>
      </c>
      <c r="AG17" s="238"/>
      <c r="AH17" s="195"/>
      <c r="AJ17" s="208">
        <f>SUM(AJ9,AJ13,AJ5)</f>
        <v>658.5</v>
      </c>
      <c r="AK17" s="251"/>
      <c r="AL17" s="209"/>
    </row>
    <row r="18" spans="1:38" ht="15.75" thickBot="1">
      <c r="A18" s="156" t="e" cm="1">
        <f t="array" aca="1" ref="A18" ca="1">_xlfn.IFS(E18=$AB$42,$AC$42,E18=$AB$43,$AC$43,E18=$AB$44,$AC$44,E18=$AB$45,$AC$45,E18=$AB$46,$AC$46,E18=$AB$47,$AC$47,E18=$AB$48,$AC$48,E18=$AB$49,$AC$49,E18=$AB$50,$AC$50,E18=$AB$51,$AC$51,E18=$AB$52,$AC$52,E18=$AB$53,$AC$53,E18=$AB$54,$AC$54,E18=$AB$55,$AC$55,E18=$AB$56,$AC$56,E18=$AB$57,$AC$57,E18=$AB$58,$AC$58,E18=$AB$59,$AC$59,E18=$AB$60,$AC$60,E18=$AB$61,$AC$61,E18=$AB$62,$AC$62,E18=$AB$63,$AC$63,E18=$AB$64,$AC$64,E18=$AB$65,$AC$65,E18=$AB$66,$AC$66,TRUE,"0")</f>
        <v>#NAME?</v>
      </c>
      <c r="C18" s="161" t="str" cm="1">
        <f t="array" ref="C18">_xlfn.IFS(E18=$AB$42,$AF$42,E18=$AB$43,$AF$43,E18=$AB$44,$AF$44,E18=$AB$45,$AF$45,E18=$AB$46,$AF$46,E18=$AB$47,$AF$47,E18=$AB$48,$AF$48,E18=$AB$49,$AF$49,E18=$AB$50,$AF$50,E18=$AB$51,$AF$51,E18=$AB$52,$AF$52,E18=$AB$53,$AF$53,E18=$AB$54,$AF$54,E18=$AB$55,$AF$55,E18=$AB$56,$AF$56,E18=$AB$57,$AF$57,E18=$AB$58,$AF$58,E18=$AB$59,$AF$59,E18=$AB$60,$AF$60,E18=$AB$61,$AF$61,E18=$AB$62,$AF$62,E18=$AB$63,$AF$63,E18=$AB$64,$AF$64,E18=$AB$65,$AF$65,E18=$AB$66,$AF$66,TRUE,"0")</f>
        <v>if 0-0, BACK+ 0.5 GOALS  @ 1.15+odds.  or @ 40 mins</v>
      </c>
      <c r="D18" s="270" t="str" cm="1">
        <f t="array" ref="D18">_xlfn.IFS(E18=$AB$42,$AD$42,E18=$AB$43,$AD$43,E18=$AB$44,$AD$44,E18=$AB$45,$AD$45,E18=$AB$46,$AD$46,E18=$AB$47,$AD$47,E18=$AB$48,$AD$48,E18=$AB$49,$AD$49,E18=$AB$50,$AD$50,E18=$AB$51,$AD$51,E18=$AB$52,$AD$52,E18=$AB$53,$AD$53,E18=$AB$54,$AD$54,E18=$AB$55,$AD$55,E18=$AB$56,$AD$56,E18=$AB$57,$AD$57,E18=$AB$58,$AD$58,E18=$AB$59,$AD$59,E18=$AB$60,$AD$60,E18=$AB$61,$AD$61,E18=$AB$62,$AD$62,E18=$AB$63,$AD$63,E18=$AB$64,$AD$64,E18=$AB$65,$AD$65,E18=$AB$66,$AD$66,TRUE,"0")</f>
        <v>IP</v>
      </c>
      <c r="E18" s="163" t="s">
        <v>270</v>
      </c>
      <c r="F18" s="2" t="s">
        <v>58</v>
      </c>
      <c r="G18" s="2" t="s">
        <v>59</v>
      </c>
      <c r="H18" s="3">
        <v>45288.84375</v>
      </c>
      <c r="I18" s="2" t="s">
        <v>75</v>
      </c>
      <c r="J18" s="2" t="s">
        <v>76</v>
      </c>
      <c r="K18" s="2">
        <v>67</v>
      </c>
      <c r="L18" s="2">
        <v>0</v>
      </c>
      <c r="M18" s="2">
        <v>20</v>
      </c>
      <c r="N18" s="2"/>
      <c r="O18" s="2"/>
      <c r="P18" s="11"/>
      <c r="Q18" s="2" t="s">
        <v>95</v>
      </c>
      <c r="R18" s="14" t="s">
        <v>214</v>
      </c>
      <c r="S18" s="13" t="s">
        <v>225</v>
      </c>
      <c r="T18" s="188">
        <f t="shared" si="1"/>
        <v>28.853511081427186</v>
      </c>
      <c r="U18" s="8">
        <f t="shared" si="2"/>
        <v>5.1936319946568936</v>
      </c>
      <c r="V18" s="234">
        <f t="shared" si="5"/>
        <v>582.26385362320059</v>
      </c>
      <c r="W18" s="15">
        <v>25</v>
      </c>
      <c r="X18" s="8">
        <f t="shared" si="3"/>
        <v>4.5</v>
      </c>
      <c r="Y18" s="233">
        <f t="shared" si="4"/>
        <v>576.5</v>
      </c>
      <c r="AB18" s="219" t="s">
        <v>515</v>
      </c>
      <c r="AC18" s="217">
        <f>COUNTIFS(E:E,"H2 HIGH SCORERS",Q:Q,"WON")</f>
        <v>59</v>
      </c>
      <c r="AD18" s="149">
        <f>AC18/AC20</f>
        <v>0.98333333333333328</v>
      </c>
      <c r="AF18" s="213" t="s">
        <v>404</v>
      </c>
      <c r="AG18" s="254">
        <f>SUM(AG2,AG6,AG10,AG14,AK34)</f>
        <v>178</v>
      </c>
      <c r="AH18" s="151">
        <f>AG18/AG20</f>
        <v>0.95187165775401072</v>
      </c>
      <c r="AJ18" s="210" t="s">
        <v>510</v>
      </c>
      <c r="AK18" s="252">
        <f>COUNTIFS(E:E,"AOSHOME",Q:Q,"WON")</f>
        <v>213</v>
      </c>
      <c r="AL18" s="211">
        <f>AK18/AK20</f>
        <v>0.97706422018348627</v>
      </c>
    </row>
    <row r="19" spans="1:38" ht="15.75" thickBot="1">
      <c r="A19" s="156" t="e" cm="1">
        <f t="array" aca="1" ref="A19" ca="1">_xlfn.IFS(E19=$AB$42,$AC$42,E19=$AB$43,$AC$43,E19=$AB$44,$AC$44,E19=$AB$45,$AC$45,E19=$AB$46,$AC$46,E19=$AB$47,$AC$47,E19=$AB$48,$AC$48,E19=$AB$49,$AC$49,E19=$AB$50,$AC$50,E19=$AB$51,$AC$51,E19=$AB$52,$AC$52,E19=$AB$53,$AC$53,E19=$AB$54,$AC$54,E19=$AB$55,$AC$55,E19=$AB$56,$AC$56,E19=$AB$57,$AC$57,E19=$AB$58,$AC$58,E19=$AB$59,$AC$59,E19=$AB$60,$AC$60,E19=$AB$61,$AC$61,E19=$AB$62,$AC$62,E19=$AB$63,$AC$63,E19=$AB$64,$AC$64,E19=$AB$65,$AC$65,E19=$AB$66,$AC$66,TRUE,"0")</f>
        <v>#NAME?</v>
      </c>
      <c r="C19" s="161" t="str" cm="1">
        <f t="array" ref="C19">_xlfn.IFS(E19=$AB$42,$AF$42,E19=$AB$43,$AF$43,E19=$AB$44,$AF$44,E19=$AB$45,$AF$45,E19=$AB$46,$AF$46,E19=$AB$47,$AF$47,E19=$AB$48,$AF$48,E19=$AB$49,$AF$49,E19=$AB$50,$AF$50,E19=$AB$51,$AF$51,E19=$AB$52,$AF$52,E19=$AB$53,$AF$53,E19=$AB$54,$AF$54,E19=$AB$55,$AF$55,E19=$AB$56,$AF$56,E19=$AB$57,$AF$57,E19=$AB$58,$AF$58,E19=$AB$59,$AF$59,E19=$AB$60,$AF$60,E19=$AB$61,$AF$61,E19=$AB$62,$AF$62,E19=$AB$63,$AF$63,E19=$AB$64,$AF$64,E19=$AB$65,$AF$65,E19=$AB$66,$AF$66,TRUE,"0")</f>
        <v>B4 Match, lay HT 0-0 or BACK H1 +0.5 GOALS</v>
      </c>
      <c r="D19" s="270" t="str" cm="1">
        <f t="array" ref="D19">_xlfn.IFS(E19=$AB$42,$AD$42,E19=$AB$43,$AD$43,E19=$AB$44,$AD$44,E19=$AB$45,$AD$45,E19=$AB$46,$AD$46,E19=$AB$47,$AD$47,E19=$AB$48,$AD$48,E19=$AB$49,$AD$49,E19=$AB$50,$AD$50,E19=$AB$51,$AD$51,E19=$AB$52,$AD$52,E19=$AB$53,$AD$53,E19=$AB$54,$AD$54,E19=$AB$55,$AD$55,E19=$AB$56,$AD$56,E19=$AB$57,$AD$57,E19=$AB$58,$AD$58,E19=$AB$59,$AD$59,E19=$AB$60,$AD$60,E19=$AB$61,$AD$61,E19=$AB$62,$AD$62,E19=$AB$63,$AD$63,E19=$AB$64,$AD$64,E19=$AB$65,$AD$65,E19=$AB$66,$AD$66,TRUE,"0")</f>
        <v xml:space="preserve">BFM </v>
      </c>
      <c r="E19" s="163" t="s">
        <v>432</v>
      </c>
      <c r="F19" s="2" t="s">
        <v>44</v>
      </c>
      <c r="G19" s="2" t="s">
        <v>45</v>
      </c>
      <c r="H19" s="3">
        <v>45289.364583333336</v>
      </c>
      <c r="I19" s="2" t="s">
        <v>46</v>
      </c>
      <c r="J19" s="2" t="s">
        <v>47</v>
      </c>
      <c r="K19" s="2">
        <v>85</v>
      </c>
      <c r="L19" s="2">
        <v>24</v>
      </c>
      <c r="M19" s="2">
        <v>48</v>
      </c>
      <c r="N19" s="2"/>
      <c r="O19" s="2"/>
      <c r="P19" s="11"/>
      <c r="Q19" s="2" t="s">
        <v>95</v>
      </c>
      <c r="R19" s="14" t="s">
        <v>214</v>
      </c>
      <c r="S19" s="13" t="s">
        <v>215</v>
      </c>
      <c r="T19" s="188">
        <f t="shared" si="1"/>
        <v>29.113192681160029</v>
      </c>
      <c r="U19" s="8">
        <f t="shared" si="2"/>
        <v>5.2403746826088051</v>
      </c>
      <c r="V19" s="234">
        <f t="shared" si="5"/>
        <v>587.50422830580942</v>
      </c>
      <c r="W19" s="15">
        <v>25</v>
      </c>
      <c r="X19" s="8">
        <f t="shared" si="3"/>
        <v>4.5</v>
      </c>
      <c r="Y19" s="233">
        <f t="shared" si="4"/>
        <v>581</v>
      </c>
      <c r="AB19" s="219" t="s">
        <v>515</v>
      </c>
      <c r="AC19" s="217">
        <f>COUNTIFS(E:E,"H2 HIGH SCORERS",Q:Q,"LOST")</f>
        <v>1</v>
      </c>
      <c r="AD19" s="18">
        <f>AC19/AC20</f>
        <v>1.6666666666666666E-2</v>
      </c>
      <c r="AF19" s="213" t="s">
        <v>404</v>
      </c>
      <c r="AG19" s="254">
        <f>SUM(AG3,AG7,AG11,AG15,AK35)</f>
        <v>9</v>
      </c>
      <c r="AH19" s="31">
        <f>AG19/AG20</f>
        <v>4.8128342245989303E-2</v>
      </c>
      <c r="AJ19" s="212" t="s">
        <v>510</v>
      </c>
      <c r="AK19" s="253">
        <f>COUNTIFS(E:E,"AOSHOME",Q:Q,"LOST")</f>
        <v>5</v>
      </c>
      <c r="AL19" s="202">
        <f>AK19/AK20</f>
        <v>2.2935779816513763E-2</v>
      </c>
    </row>
    <row r="20" spans="1:38" ht="15.75" thickBot="1">
      <c r="A20" s="156" t="e" cm="1">
        <f t="array" aca="1" ref="A20" ca="1">_xlfn.IFS(E20=$AB$42,$AC$42,E20=$AB$43,$AC$43,E20=$AB$44,$AC$44,E20=$AB$45,$AC$45,E20=$AB$46,$AC$46,E20=$AB$47,$AC$47,E20=$AB$48,$AC$48,E20=$AB$49,$AC$49,E20=$AB$50,$AC$50,E20=$AB$51,$AC$51,E20=$AB$52,$AC$52,E20=$AB$53,$AC$53,E20=$AB$54,$AC$54,E20=$AB$55,$AC$55,E20=$AB$56,$AC$56,E20=$AB$57,$AC$57,E20=$AB$58,$AC$58,E20=$AB$59,$AC$59,E20=$AB$60,$AC$60,E20=$AB$61,$AC$61,E20=$AB$62,$AC$62,E20=$AB$63,$AC$63,E20=$AB$64,$AC$64,E20=$AB$65,$AC$65,E20=$AB$66,$AC$66,TRUE,"0")</f>
        <v>#NAME?</v>
      </c>
      <c r="C20" s="161" t="str" cm="1">
        <f t="array" ref="C20">_xlfn.IFS(E20=$AB$42,$AF$42,E20=$AB$43,$AF$43,E20=$AB$44,$AF$44,E20=$AB$45,$AF$45,E20=$AB$46,$AF$46,E20=$AB$47,$AF$47,E20=$AB$48,$AF$48,E20=$AB$49,$AF$49,E20=$AB$50,$AF$50,E20=$AB$51,$AF$51,E20=$AB$52,$AF$52,E20=$AB$53,$AF$53,E20=$AB$54,$AF$54,E20=$AB$55,$AF$55,E20=$AB$56,$AF$56,E20=$AB$57,$AF$57,E20=$AB$58,$AF$58,E20=$AB$59,$AF$59,E20=$AB$60,$AF$60,E20=$AB$61,$AF$61,E20=$AB$62,$AF$62,E20=$AB$63,$AF$63,E20=$AB$64,$AF$64,E20=$AB$65,$AF$65,E20=$AB$66,$AF$66,TRUE,"0")</f>
        <v>B4 Match, lay HT 0-0 or BACK H1 +0.5 GOALS</v>
      </c>
      <c r="D20" s="270" t="str" cm="1">
        <f t="array" ref="D20">_xlfn.IFS(E20=$AB$42,$AD$42,E20=$AB$43,$AD$43,E20=$AB$44,$AD$44,E20=$AB$45,$AD$45,E20=$AB$46,$AD$46,E20=$AB$47,$AD$47,E20=$AB$48,$AD$48,E20=$AB$49,$AD$49,E20=$AB$50,$AD$50,E20=$AB$51,$AD$51,E20=$AB$52,$AD$52,E20=$AB$53,$AD$53,E20=$AB$54,$AD$54,E20=$AB$55,$AD$55,E20=$AB$56,$AD$56,E20=$AB$57,$AD$57,E20=$AB$58,$AD$58,E20=$AB$59,$AD$59,E20=$AB$60,$AD$60,E20=$AB$61,$AD$61,E20=$AB$62,$AD$62,E20=$AB$63,$AD$63,E20=$AB$64,$AD$64,E20=$AB$65,$AD$65,E20=$AB$66,$AD$66,TRUE,"0")</f>
        <v xml:space="preserve">BFM </v>
      </c>
      <c r="E20" s="163" t="s">
        <v>432</v>
      </c>
      <c r="F20" s="2" t="s">
        <v>48</v>
      </c>
      <c r="G20" s="2" t="s">
        <v>49</v>
      </c>
      <c r="H20" s="3">
        <v>45289.604166666664</v>
      </c>
      <c r="I20" s="2" t="s">
        <v>50</v>
      </c>
      <c r="J20" s="2" t="s">
        <v>51</v>
      </c>
      <c r="K20" s="2">
        <v>85</v>
      </c>
      <c r="L20" s="2">
        <v>25</v>
      </c>
      <c r="M20" s="2">
        <v>53</v>
      </c>
      <c r="N20" s="2"/>
      <c r="O20" s="2"/>
      <c r="P20" s="11"/>
      <c r="Q20" s="2" t="s">
        <v>95</v>
      </c>
      <c r="R20" s="14" t="s">
        <v>216</v>
      </c>
      <c r="S20" s="13" t="s">
        <v>216</v>
      </c>
      <c r="T20" s="188">
        <f t="shared" si="1"/>
        <v>29.375211415290472</v>
      </c>
      <c r="U20" s="8">
        <f t="shared" si="2"/>
        <v>5.287538054752285</v>
      </c>
      <c r="V20" s="234">
        <f t="shared" si="5"/>
        <v>592.79176636056172</v>
      </c>
      <c r="W20" s="15">
        <v>25</v>
      </c>
      <c r="X20" s="8">
        <f t="shared" si="3"/>
        <v>4.5</v>
      </c>
      <c r="Y20" s="233">
        <f t="shared" si="4"/>
        <v>585.5</v>
      </c>
      <c r="AB20" s="28">
        <f>SUMIF(E:E,"H2 HIGH SCORERS",U:U)</f>
        <v>8236.343844824205</v>
      </c>
      <c r="AC20" s="240">
        <f>SUM(AC18:AC19)</f>
        <v>60</v>
      </c>
      <c r="AD20" s="232">
        <f>SUM(AB20/AC20)</f>
        <v>137.27239741373674</v>
      </c>
      <c r="AF20" s="203">
        <f>SUM(AF4,AF8,AF12,AF16)</f>
        <v>14848.039506745557</v>
      </c>
      <c r="AG20" s="248">
        <f>SUM(AG18:AG19)</f>
        <v>187</v>
      </c>
      <c r="AH20" s="232">
        <f>SUM(AF20/AG20)</f>
        <v>79.401280784735604</v>
      </c>
      <c r="AJ20" s="203">
        <f>SUMIF(E:E,"AOSHOME",U:U)</f>
        <v>32210.11644016948</v>
      </c>
      <c r="AK20" s="240">
        <f>SUM(AK18:AK19)</f>
        <v>218</v>
      </c>
      <c r="AL20" s="232">
        <f>SUM(AJ20/AK20)</f>
        <v>147.75282770719946</v>
      </c>
    </row>
    <row r="21" spans="1:38" ht="15.75" thickBot="1">
      <c r="A21" s="156" t="e" cm="1">
        <f t="array" aca="1" ref="A21" ca="1">_xlfn.IFS(E21=$AB$42,$AC$42,E21=$AB$43,$AC$43,E21=$AB$44,$AC$44,E21=$AB$45,$AC$45,E21=$AB$46,$AC$46,E21=$AB$47,$AC$47,E21=$AB$48,$AC$48,E21=$AB$49,$AC$49,E21=$AB$50,$AC$50,E21=$AB$51,$AC$51,E21=$AB$52,$AC$52,E21=$AB$53,$AC$53,E21=$AB$54,$AC$54,E21=$AB$55,$AC$55,E21=$AB$56,$AC$56,E21=$AB$57,$AC$57,E21=$AB$58,$AC$58,E21=$AB$59,$AC$59,E21=$AB$60,$AC$60,E21=$AB$61,$AC$61,E21=$AB$62,$AC$62,E21=$AB$63,$AC$63,E21=$AB$64,$AC$64,E21=$AB$65,$AC$65,E21=$AB$66,$AC$66,TRUE,"0")</f>
        <v>#NAME?</v>
      </c>
      <c r="C21" s="161" t="str" cm="1">
        <f t="array" ref="C21">_xlfn.IFS(E21=$AB$42,$AF$42,E21=$AB$43,$AF$43,E21=$AB$44,$AF$44,E21=$AB$45,$AF$45,E21=$AB$46,$AF$46,E21=$AB$47,$AF$47,E21=$AB$48,$AF$48,E21=$AB$49,$AF$49,E21=$AB$50,$AF$50,E21=$AB$51,$AF$51,E21=$AB$52,$AF$52,E21=$AB$53,$AF$53,E21=$AB$54,$AF$54,E21=$AB$55,$AF$55,E21=$AB$56,$AF$56,E21=$AB$57,$AF$57,E21=$AB$58,$AF$58,E21=$AB$59,$AF$59,E21=$AB$60,$AF$60,E21=$AB$61,$AF$61,E21=$AB$62,$AF$62,E21=$AB$63,$AF$63,E21=$AB$64,$AF$64,E21=$AB$65,$AF$65,E21=$AB$66,$AF$66,TRUE,"0")</f>
        <v>if 0-0, BACK+ 0.5 GOALS  @ 1.15+odds.  or @ 40 mins</v>
      </c>
      <c r="D21" s="270" t="str" cm="1">
        <f t="array" ref="D21">_xlfn.IFS(E21=$AB$42,$AD$42,E21=$AB$43,$AD$43,E21=$AB$44,$AD$44,E21=$AB$45,$AD$45,E21=$AB$46,$AD$46,E21=$AB$47,$AD$47,E21=$AB$48,$AD$48,E21=$AB$49,$AD$49,E21=$AB$50,$AD$50,E21=$AB$51,$AD$51,E21=$AB$52,$AD$52,E21=$AB$53,$AD$53,E21=$AB$54,$AD$54,E21=$AB$55,$AD$55,E21=$AB$56,$AD$56,E21=$AB$57,$AD$57,E21=$AB$58,$AD$58,E21=$AB$59,$AD$59,E21=$AB$60,$AD$60,E21=$AB$61,$AD$61,E21=$AB$62,$AD$62,E21=$AB$63,$AD$63,E21=$AB$64,$AD$64,E21=$AB$65,$AD$65,E21=$AB$66,$AD$66,TRUE,"0")</f>
        <v>IP</v>
      </c>
      <c r="E21" s="163" t="s">
        <v>270</v>
      </c>
      <c r="F21" s="2" t="s">
        <v>20</v>
      </c>
      <c r="G21" s="2" t="s">
        <v>21</v>
      </c>
      <c r="H21" s="3">
        <v>45289.729166666664</v>
      </c>
      <c r="I21" s="2" t="s">
        <v>22</v>
      </c>
      <c r="J21" s="2" t="s">
        <v>23</v>
      </c>
      <c r="K21" s="2">
        <v>63</v>
      </c>
      <c r="L21" s="2">
        <v>0</v>
      </c>
      <c r="M21" s="2">
        <v>20</v>
      </c>
      <c r="N21" s="2"/>
      <c r="O21" s="2"/>
      <c r="P21" s="11"/>
      <c r="Q21" s="2" t="s">
        <v>96</v>
      </c>
      <c r="R21" s="13" t="s">
        <v>221</v>
      </c>
      <c r="S21" s="13" t="s">
        <v>221</v>
      </c>
      <c r="T21" s="188">
        <f t="shared" si="1"/>
        <v>29.639588318028089</v>
      </c>
      <c r="U21" s="8">
        <f t="shared" si="2"/>
        <v>-29.639588318028089</v>
      </c>
      <c r="V21" s="234">
        <f t="shared" si="5"/>
        <v>563.15217804253359</v>
      </c>
      <c r="W21" s="15">
        <v>25</v>
      </c>
      <c r="X21" s="8">
        <f t="shared" si="3"/>
        <v>-25</v>
      </c>
      <c r="Y21" s="233">
        <f t="shared" si="4"/>
        <v>560.5</v>
      </c>
      <c r="AB21" s="196">
        <f>SUMIF(E:E,"H2 HIGH SCORERS",X:X)</f>
        <v>240.5</v>
      </c>
      <c r="AF21" s="208">
        <f>SUM(AF5,AF9,AF13,AF17)</f>
        <v>571.5</v>
      </c>
      <c r="AG21" s="238"/>
      <c r="AH21" s="195"/>
      <c r="AJ21" s="204">
        <f>SUMIF(E:E,"AOSHOME",X:X)</f>
        <v>833.5</v>
      </c>
      <c r="AL21" s="207"/>
    </row>
    <row r="22" spans="1:38" ht="15.75" thickBot="1">
      <c r="A22" s="156" t="e" cm="1">
        <f t="array" aca="1" ref="A22" ca="1">_xlfn.IFS(E22=$AB$42,$AC$42,E22=$AB$43,$AC$43,E22=$AB$44,$AC$44,E22=$AB$45,$AC$45,E22=$AB$46,$AC$46,E22=$AB$47,$AC$47,E22=$AB$48,$AC$48,E22=$AB$49,$AC$49,E22=$AB$50,$AC$50,E22=$AB$51,$AC$51,E22=$AB$52,$AC$52,E22=$AB$53,$AC$53,E22=$AB$54,$AC$54,E22=$AB$55,$AC$55,E22=$AB$56,$AC$56,E22=$AB$57,$AC$57,E22=$AB$58,$AC$58,E22=$AB$59,$AC$59,E22=$AB$60,$AC$60,E22=$AB$61,$AC$61,E22=$AB$62,$AC$62,E22=$AB$63,$AC$63,E22=$AB$64,$AC$64,E22=$AB$65,$AC$65,E22=$AB$66,$AC$66,TRUE,"0")</f>
        <v>#NAME?</v>
      </c>
      <c r="C22" s="161" t="str" cm="1">
        <f t="array" ref="C22">_xlfn.IFS(E22=$AB$42,$AF$42,E22=$AB$43,$AF$43,E22=$AB$44,$AF$44,E22=$AB$45,$AF$45,E22=$AB$46,$AF$46,E22=$AB$47,$AF$47,E22=$AB$48,$AF$48,E22=$AB$49,$AF$49,E22=$AB$50,$AF$50,E22=$AB$51,$AF$51,E22=$AB$52,$AF$52,E22=$AB$53,$AF$53,E22=$AB$54,$AF$54,E22=$AB$55,$AF$55,E22=$AB$56,$AF$56,E22=$AB$57,$AF$57,E22=$AB$58,$AF$58,E22=$AB$59,$AF$59,E22=$AB$60,$AF$60,E22=$AB$61,$AF$61,E22=$AB$62,$AF$62,E22=$AB$63,$AF$63,E22=$AB$64,$AF$64,E22=$AB$65,$AF$65,E22=$AB$66,$AF$66,TRUE,"0")</f>
        <v>if 0-0, BACK+ 0.5 GOALS  @ 1.15+odds.  or @ 40 mins</v>
      </c>
      <c r="D22" s="270" t="str" cm="1">
        <f t="array" ref="D22">_xlfn.IFS(E22=$AB$42,$AD$42,E22=$AB$43,$AD$43,E22=$AB$44,$AD$44,E22=$AB$45,$AD$45,E22=$AB$46,$AD$46,E22=$AB$47,$AD$47,E22=$AB$48,$AD$48,E22=$AB$49,$AD$49,E22=$AB$50,$AD$50,E22=$AB$51,$AD$51,E22=$AB$52,$AD$52,E22=$AB$53,$AD$53,E22=$AB$54,$AD$54,E22=$AB$55,$AD$55,E22=$AB$56,$AD$56,E22=$AB$57,$AD$57,E22=$AB$58,$AD$58,E22=$AB$59,$AD$59,E22=$AB$60,$AD$60,E22=$AB$61,$AD$61,E22=$AB$62,$AD$62,E22=$AB$63,$AD$63,E22=$AB$64,$AD$64,E22=$AB$65,$AD$65,E22=$AB$66,$AD$66,TRUE,"0")</f>
        <v>IP</v>
      </c>
      <c r="E22" s="163" t="s">
        <v>270</v>
      </c>
      <c r="F22" s="2" t="s">
        <v>6</v>
      </c>
      <c r="G22" s="2" t="s">
        <v>7</v>
      </c>
      <c r="H22" s="3">
        <v>45289.822916666664</v>
      </c>
      <c r="I22" s="2" t="s">
        <v>26</v>
      </c>
      <c r="J22" s="2" t="s">
        <v>27</v>
      </c>
      <c r="K22" s="2">
        <v>60</v>
      </c>
      <c r="L22" s="2">
        <v>0</v>
      </c>
      <c r="M22" s="2">
        <v>20</v>
      </c>
      <c r="N22" s="2"/>
      <c r="O22" s="2"/>
      <c r="P22" s="11"/>
      <c r="Q22" s="2" t="s">
        <v>95</v>
      </c>
      <c r="R22" s="14" t="s">
        <v>210</v>
      </c>
      <c r="S22" s="13" t="s">
        <v>219</v>
      </c>
      <c r="T22" s="188">
        <f t="shared" si="1"/>
        <v>28.157608902126682</v>
      </c>
      <c r="U22" s="8">
        <f t="shared" si="2"/>
        <v>5.0683696023828029</v>
      </c>
      <c r="V22" s="234">
        <f t="shared" si="5"/>
        <v>568.22054764491645</v>
      </c>
      <c r="W22" s="15">
        <v>25</v>
      </c>
      <c r="X22" s="8">
        <f t="shared" si="3"/>
        <v>4.5</v>
      </c>
      <c r="Y22" s="233">
        <f t="shared" si="4"/>
        <v>565</v>
      </c>
      <c r="AB22" s="219" t="s">
        <v>539</v>
      </c>
      <c r="AC22" s="217">
        <f>COUNTIFS(E:E,"H1&lt;2 GOALS, H2&gt; 1 GOAL",Q:Q,"WON")</f>
        <v>0</v>
      </c>
      <c r="AD22" s="23"/>
      <c r="AJ22" s="212" t="s">
        <v>511</v>
      </c>
      <c r="AK22" s="253">
        <f>COUNTIFS(E:E,"AOSAWAY",Q:Q,"WON")</f>
        <v>90</v>
      </c>
      <c r="AL22" s="206">
        <f>AK22/AK24</f>
        <v>0.967741935483871</v>
      </c>
    </row>
    <row r="23" spans="1:38" ht="15.75" thickBot="1">
      <c r="A23" s="156" t="e" cm="1">
        <f t="array" aca="1" ref="A23" ca="1">_xlfn.IFS(E23=$AB$42,$AC$42,E23=$AB$43,$AC$43,E23=$AB$44,$AC$44,E23=$AB$45,$AC$45,E23=$AB$46,$AC$46,E23=$AB$47,$AC$47,E23=$AB$48,$AC$48,E23=$AB$49,$AC$49,E23=$AB$50,$AC$50,E23=$AB$51,$AC$51,E23=$AB$52,$AC$52,E23=$AB$53,$AC$53,E23=$AB$54,$AC$54,E23=$AB$55,$AC$55,E23=$AB$56,$AC$56,E23=$AB$57,$AC$57,E23=$AB$58,$AC$58,E23=$AB$59,$AC$59,E23=$AB$60,$AC$60,E23=$AB$61,$AC$61,E23=$AB$62,$AC$62,E23=$AB$63,$AC$63,E23=$AB$64,$AC$64,E23=$AB$65,$AC$65,E23=$AB$66,$AC$66,TRUE,"0")</f>
        <v>#NAME?</v>
      </c>
      <c r="C23" s="161" t="str" cm="1">
        <f t="array" ref="C23">_xlfn.IFS(E23=$AB$42,$AF$42,E23=$AB$43,$AF$43,E23=$AB$44,$AF$44,E23=$AB$45,$AF$45,E23=$AB$46,$AF$46,E23=$AB$47,$AF$47,E23=$AB$48,$AF$48,E23=$AB$49,$AF$49,E23=$AB$50,$AF$50,E23=$AB$51,$AF$51,E23=$AB$52,$AF$52,E23=$AB$53,$AF$53,E23=$AB$54,$AF$54,E23=$AB$55,$AF$55,E23=$AB$56,$AF$56,E23=$AB$57,$AF$57,E23=$AB$58,$AF$58,E23=$AB$59,$AF$59,E23=$AB$60,$AF$60,E23=$AB$61,$AF$61,E23=$AB$62,$AF$62,E23=$AB$63,$AF$63,E23=$AB$64,$AF$64,E23=$AB$65,$AF$65,E23=$AB$66,$AF$66,TRUE,"0")</f>
        <v>40 mins Back ANother Goal</v>
      </c>
      <c r="D23" s="270" t="str" cm="1">
        <f t="array" ref="D23">_xlfn.IFS(E23=$AB$42,$AD$42,E23=$AB$43,$AD$43,E23=$AB$44,$AD$44,E23=$AB$45,$AD$45,E23=$AB$46,$AD$46,E23=$AB$47,$AD$47,E23=$AB$48,$AD$48,E23=$AB$49,$AD$49,E23=$AB$50,$AD$50,E23=$AB$51,$AD$51,E23=$AB$52,$AD$52,E23=$AB$53,$AD$53,E23=$AB$54,$AD$54,E23=$AB$55,$AD$55,E23=$AB$56,$AD$56,E23=$AB$57,$AD$57,E23=$AB$58,$AD$58,E23=$AB$59,$AD$59,E23=$AB$60,$AD$60,E23=$AB$61,$AD$61,E23=$AB$62,$AD$62,E23=$AB$63,$AD$63,E23=$AB$64,$AD$64,E23=$AB$65,$AD$65,E23=$AB$66,$AD$66,TRUE,"0")</f>
        <v xml:space="preserve">  BANG</v>
      </c>
      <c r="E23" s="163" t="s">
        <v>35</v>
      </c>
      <c r="F23" s="2" t="s">
        <v>13</v>
      </c>
      <c r="G23" s="2" t="s">
        <v>14</v>
      </c>
      <c r="H23" s="3">
        <v>45289.822916666664</v>
      </c>
      <c r="I23" s="2" t="s">
        <v>15</v>
      </c>
      <c r="J23" s="2" t="s">
        <v>16</v>
      </c>
      <c r="K23" s="2">
        <v>69</v>
      </c>
      <c r="L23" s="2">
        <v>94</v>
      </c>
      <c r="M23" s="2">
        <v>63</v>
      </c>
      <c r="N23" s="2">
        <v>44</v>
      </c>
      <c r="O23" s="2">
        <v>16</v>
      </c>
      <c r="P23" s="11"/>
      <c r="Q23" s="2" t="s">
        <v>95</v>
      </c>
      <c r="R23" s="14" t="s">
        <v>214</v>
      </c>
      <c r="S23" s="13" t="s">
        <v>207</v>
      </c>
      <c r="T23" s="188">
        <f t="shared" si="1"/>
        <v>28.411027382245823</v>
      </c>
      <c r="U23" s="8">
        <f t="shared" si="2"/>
        <v>5.113984928804248</v>
      </c>
      <c r="V23" s="234">
        <f t="shared" si="5"/>
        <v>573.33453257372071</v>
      </c>
      <c r="W23" s="15">
        <v>25</v>
      </c>
      <c r="X23" s="8">
        <f t="shared" si="3"/>
        <v>4.5</v>
      </c>
      <c r="Y23" s="233">
        <f t="shared" si="4"/>
        <v>569.5</v>
      </c>
      <c r="AB23" s="219" t="s">
        <v>539</v>
      </c>
      <c r="AC23" s="217">
        <f>COUNTIFS(E:E,"H1&lt;2 GOALS, H2&gt; 1 GOAL",Q:Q,"LOST")</f>
        <v>0</v>
      </c>
      <c r="AD23" s="18"/>
      <c r="AF23" s="222" t="s">
        <v>275</v>
      </c>
      <c r="AG23" s="223">
        <f>COUNTIFS(E:E,"*PHF HOME",Q:Q,"WON")</f>
        <v>76</v>
      </c>
      <c r="AH23" s="151">
        <f>AG23/AG25</f>
        <v>0.97435897435897434</v>
      </c>
      <c r="AJ23" s="212" t="s">
        <v>511</v>
      </c>
      <c r="AK23" s="253">
        <f>COUNTIFS(E:E,"AOSAWAY",Q:Q,"LOST")</f>
        <v>3</v>
      </c>
      <c r="AL23" s="202">
        <f>AK23/AK24</f>
        <v>3.2258064516129031E-2</v>
      </c>
    </row>
    <row r="24" spans="1:38" ht="15.75" thickBot="1">
      <c r="A24" s="156" t="e" cm="1">
        <f t="array" aca="1" ref="A24" ca="1">_xlfn.IFS(E24=$AB$42,$AC$42,E24=$AB$43,$AC$43,E24=$AB$44,$AC$44,E24=$AB$45,$AC$45,E24=$AB$46,$AC$46,E24=$AB$47,$AC$47,E24=$AB$48,$AC$48,E24=$AB$49,$AC$49,E24=$AB$50,$AC$50,E24=$AB$51,$AC$51,E24=$AB$52,$AC$52,E24=$AB$53,$AC$53,E24=$AB$54,$AC$54,E24=$AB$55,$AC$55,E24=$AB$56,$AC$56,E24=$AB$57,$AC$57,E24=$AB$58,$AC$58,E24=$AB$59,$AC$59,E24=$AB$60,$AC$60,E24=$AB$61,$AC$61,E24=$AB$62,$AC$62,E24=$AB$63,$AC$63,E24=$AB$64,$AC$64,E24=$AB$65,$AC$65,E24=$AB$66,$AC$66,TRUE,"0")</f>
        <v>#NAME?</v>
      </c>
      <c r="C24" s="161" t="str" cm="1">
        <f t="array" ref="C24">_xlfn.IFS(E24=$AB$42,$AF$42,E24=$AB$43,$AF$43,E24=$AB$44,$AF$44,E24=$AB$45,$AF$45,E24=$AB$46,$AF$46,E24=$AB$47,$AF$47,E24=$AB$48,$AF$48,E24=$AB$49,$AF$49,E24=$AB$50,$AF$50,E24=$AB$51,$AF$51,E24=$AB$52,$AF$52,E24=$AB$53,$AF$53,E24=$AB$54,$AF$54,E24=$AB$55,$AF$55,E24=$AB$56,$AF$56,E24=$AB$57,$AF$57,E24=$AB$58,$AF$58,E24=$AB$59,$AF$59,E24=$AB$60,$AF$60,E24=$AB$61,$AF$61,E24=$AB$62,$AF$62,E24=$AB$63,$AF$63,E24=$AB$64,$AF$64,E24=$AB$65,$AF$65,E24=$AB$66,$AF$66,TRUE,"0")</f>
        <v>if 0-0, BACK+ 0.5 GOALS  @ 1.15+odds.  or @ 40 mins</v>
      </c>
      <c r="D24" s="270" t="str" cm="1">
        <f t="array" ref="D24">_xlfn.IFS(E24=$AB$42,$AD$42,E24=$AB$43,$AD$43,E24=$AB$44,$AD$44,E24=$AB$45,$AD$45,E24=$AB$46,$AD$46,E24=$AB$47,$AD$47,E24=$AB$48,$AD$48,E24=$AB$49,$AD$49,E24=$AB$50,$AD$50,E24=$AB$51,$AD$51,E24=$AB$52,$AD$52,E24=$AB$53,$AD$53,E24=$AB$54,$AD$54,E24=$AB$55,$AD$55,E24=$AB$56,$AD$56,E24=$AB$57,$AD$57,E24=$AB$58,$AD$58,E24=$AB$59,$AD$59,E24=$AB$60,$AD$60,E24=$AB$61,$AD$61,E24=$AB$62,$AD$62,E24=$AB$63,$AD$63,E24=$AB$64,$AD$64,E24=$AB$65,$AD$65,E24=$AB$66,$AD$66,TRUE,"0")</f>
        <v>IP</v>
      </c>
      <c r="E24" s="163" t="s">
        <v>270</v>
      </c>
      <c r="F24" s="2" t="s">
        <v>20</v>
      </c>
      <c r="G24" s="2" t="s">
        <v>21</v>
      </c>
      <c r="H24" s="3">
        <v>45289.822916666664</v>
      </c>
      <c r="I24" s="2" t="s">
        <v>24</v>
      </c>
      <c r="J24" s="2" t="s">
        <v>25</v>
      </c>
      <c r="K24" s="2">
        <v>59</v>
      </c>
      <c r="L24" s="2">
        <v>0</v>
      </c>
      <c r="M24" s="2">
        <v>20</v>
      </c>
      <c r="N24" s="2"/>
      <c r="O24" s="2"/>
      <c r="P24" s="11"/>
      <c r="Q24" s="2" t="s">
        <v>95</v>
      </c>
      <c r="R24" s="14" t="s">
        <v>216</v>
      </c>
      <c r="S24" s="13" t="s">
        <v>216</v>
      </c>
      <c r="T24" s="188">
        <f t="shared" si="1"/>
        <v>28.666726628686035</v>
      </c>
      <c r="U24" s="8">
        <f t="shared" si="2"/>
        <v>5.1600107931634858</v>
      </c>
      <c r="V24" s="234">
        <f t="shared" si="5"/>
        <v>578.49454336688416</v>
      </c>
      <c r="W24" s="15">
        <v>25</v>
      </c>
      <c r="X24" s="8">
        <f t="shared" si="3"/>
        <v>4.5</v>
      </c>
      <c r="Y24" s="233">
        <f t="shared" si="4"/>
        <v>574</v>
      </c>
      <c r="AB24" s="28">
        <f>SUMIF(E:E,"H1&lt;2 goals, h2&gt; 1 goal",U:U)</f>
        <v>0</v>
      </c>
      <c r="AC24" s="240">
        <f>SUM(AC22:AC23)</f>
        <v>0</v>
      </c>
      <c r="AD24" s="232" t="e">
        <f>SUM(AB24/AC24)</f>
        <v>#DIV/0!</v>
      </c>
      <c r="AF24" s="222" t="s">
        <v>275</v>
      </c>
      <c r="AG24" s="224">
        <f>COUNTIFS(E:E,"*PHF HOME",Q:Q,"LOST")</f>
        <v>2</v>
      </c>
      <c r="AH24" s="151">
        <f>AG24/AG25</f>
        <v>2.564102564102564E-2</v>
      </c>
      <c r="AJ24" s="203">
        <f>SUMIF(E:E,"AOSAWAY",U:U)</f>
        <v>12676.176001495804</v>
      </c>
      <c r="AK24" s="240">
        <f>SUM(AK22:AK23)</f>
        <v>93</v>
      </c>
      <c r="AL24" s="232">
        <f>SUM(AJ24/AK24)</f>
        <v>136.30296775801941</v>
      </c>
    </row>
    <row r="25" spans="1:38" ht="15.75" thickBot="1">
      <c r="A25" s="156" t="e" cm="1">
        <f t="array" aca="1" ref="A25" ca="1">_xlfn.IFS(E25=$AB$42,$AC$42,E25=$AB$43,$AC$43,E25=$AB$44,$AC$44,E25=$AB$45,$AC$45,E25=$AB$46,$AC$46,E25=$AB$47,$AC$47,E25=$AB$48,$AC$48,E25=$AB$49,$AC$49,E25=$AB$50,$AC$50,E25=$AB$51,$AC$51,E25=$AB$52,$AC$52,E25=$AB$53,$AC$53,E25=$AB$54,$AC$54,E25=$AB$55,$AC$55,E25=$AB$56,$AC$56,E25=$AB$57,$AC$57,E25=$AB$58,$AC$58,E25=$AB$59,$AC$59,E25=$AB$60,$AC$60,E25=$AB$61,$AC$61,E25=$AB$62,$AC$62,E25=$AB$63,$AC$63,E25=$AB$64,$AC$64,E25=$AB$65,$AC$65,E25=$AB$66,$AC$66,TRUE,"0")</f>
        <v>#NAME?</v>
      </c>
      <c r="C25" s="161" t="str" cm="1">
        <f t="array" ref="C25">_xlfn.IFS(E25=$AB$42,$AF$42,E25=$AB$43,$AF$43,E25=$AB$44,$AF$44,E25=$AB$45,$AF$45,E25=$AB$46,$AF$46,E25=$AB$47,$AF$47,E25=$AB$48,$AF$48,E25=$AB$49,$AF$49,E25=$AB$50,$AF$50,E25=$AB$51,$AF$51,E25=$AB$52,$AF$52,E25=$AB$53,$AF$53,E25=$AB$54,$AF$54,E25=$AB$55,$AF$55,E25=$AB$56,$AF$56,E25=$AB$57,$AF$57,E25=$AB$58,$AF$58,E25=$AB$59,$AF$59,E25=$AB$60,$AF$60,E25=$AB$61,$AF$61,E25=$AB$62,$AF$62,E25=$AB$63,$AF$63,E25=$AB$64,$AF$64,E25=$AB$65,$AF$65,E25=$AB$66,$AF$66,TRUE,"0")</f>
        <v>B4 Match, lay HT 0-0 or BACK H1 +0.5 GOALS</v>
      </c>
      <c r="D25" s="270" t="str" cm="1">
        <f t="array" ref="D25">_xlfn.IFS(E25=$AB$42,$AD$42,E25=$AB$43,$AD$43,E25=$AB$44,$AD$44,E25=$AB$45,$AD$45,E25=$AB$46,$AD$46,E25=$AB$47,$AD$47,E25=$AB$48,$AD$48,E25=$AB$49,$AD$49,E25=$AB$50,$AD$50,E25=$AB$51,$AD$51,E25=$AB$52,$AD$52,E25=$AB$53,$AD$53,E25=$AB$54,$AD$54,E25=$AB$55,$AD$55,E25=$AB$56,$AD$56,E25=$AB$57,$AD$57,E25=$AB$58,$AD$58,E25=$AB$59,$AD$59,E25=$AB$60,$AD$60,E25=$AB$61,$AD$61,E25=$AB$62,$AD$62,E25=$AB$63,$AD$63,E25=$AB$64,$AD$64,E25=$AB$65,$AD$65,E25=$AB$66,$AD$66,TRUE,"0")</f>
        <v xml:space="preserve">BFM </v>
      </c>
      <c r="E25" s="163" t="s">
        <v>432</v>
      </c>
      <c r="F25" s="2" t="s">
        <v>6</v>
      </c>
      <c r="G25" s="2" t="s">
        <v>7</v>
      </c>
      <c r="H25" s="3">
        <v>45289.822916666664</v>
      </c>
      <c r="I25" s="2" t="s">
        <v>54</v>
      </c>
      <c r="J25" s="2" t="s">
        <v>55</v>
      </c>
      <c r="K25" s="2">
        <v>10</v>
      </c>
      <c r="L25" s="2">
        <v>10</v>
      </c>
      <c r="M25" s="2">
        <v>28</v>
      </c>
      <c r="N25" s="2">
        <v>20</v>
      </c>
      <c r="O25" s="2">
        <v>70</v>
      </c>
      <c r="P25" s="11">
        <v>4.5999999999999996</v>
      </c>
      <c r="Q25" s="2" t="s">
        <v>95</v>
      </c>
      <c r="R25" s="14" t="s">
        <v>214</v>
      </c>
      <c r="S25" s="13" t="s">
        <v>220</v>
      </c>
      <c r="T25" s="188">
        <f t="shared" si="1"/>
        <v>28.924727168344209</v>
      </c>
      <c r="U25" s="8">
        <f t="shared" si="2"/>
        <v>5.2064508903019577</v>
      </c>
      <c r="V25" s="234">
        <f t="shared" si="5"/>
        <v>583.70099425718615</v>
      </c>
      <c r="W25" s="15">
        <v>25</v>
      </c>
      <c r="X25" s="8">
        <f t="shared" si="3"/>
        <v>4.5</v>
      </c>
      <c r="Y25" s="233">
        <f t="shared" si="4"/>
        <v>578.5</v>
      </c>
      <c r="AB25" s="196">
        <f>SUMIF(E:E,"H1&lt;2 goals, h2&gt; 1 goal",U:U)</f>
        <v>0</v>
      </c>
      <c r="AF25" s="203">
        <f>SUMIF(E:E,"*PHF HOME",U:U)</f>
        <v>7439.5519540142568</v>
      </c>
      <c r="AG25" s="248">
        <f>SUM(AG23:AG24)</f>
        <v>78</v>
      </c>
      <c r="AH25" s="232">
        <f>SUM(AF25/AG25)</f>
        <v>95.378871205310986</v>
      </c>
      <c r="AJ25" s="204">
        <f>SUMIF(E:E,"AOSAWAY",X:X)</f>
        <v>330</v>
      </c>
      <c r="AL25" s="207"/>
    </row>
    <row r="26" spans="1:38" ht="15.75" thickBot="1">
      <c r="A26" s="156" t="e" cm="1">
        <f t="array" aca="1" ref="A26" ca="1">_xlfn.IFS(E26=$AB$42,$AC$42,E26=$AB$43,$AC$43,E26=$AB$44,$AC$44,E26=$AB$45,$AC$45,E26=$AB$46,$AC$46,E26=$AB$47,$AC$47,E26=$AB$48,$AC$48,E26=$AB$49,$AC$49,E26=$AB$50,$AC$50,E26=$AB$51,$AC$51,E26=$AB$52,$AC$52,E26=$AB$53,$AC$53,E26=$AB$54,$AC$54,E26=$AB$55,$AC$55,E26=$AB$56,$AC$56,E26=$AB$57,$AC$57,E26=$AB$58,$AC$58,E26=$AB$59,$AC$59,E26=$AB$60,$AC$60,E26=$AB$61,$AC$61,E26=$AB$62,$AC$62,E26=$AB$63,$AC$63,E26=$AB$64,$AC$64,E26=$AB$65,$AC$65,E26=$AB$66,$AC$66,TRUE,"0")</f>
        <v>#NAME?</v>
      </c>
      <c r="C26" s="161" t="str" cm="1">
        <f t="array" ref="C26">_xlfn.IFS(E26=$AB$42,$AF$42,E26=$AB$43,$AF$43,E26=$AB$44,$AF$44,E26=$AB$45,$AF$45,E26=$AB$46,$AF$46,E26=$AB$47,$AF$47,E26=$AB$48,$AF$48,E26=$AB$49,$AF$49,E26=$AB$50,$AF$50,E26=$AB$51,$AF$51,E26=$AB$52,$AF$52,E26=$AB$53,$AF$53,E26=$AB$54,$AF$54,E26=$AB$55,$AF$55,E26=$AB$56,$AF$56,E26=$AB$57,$AF$57,E26=$AB$58,$AF$58,E26=$AB$59,$AF$59,E26=$AB$60,$AF$60,E26=$AB$61,$AF$61,E26=$AB$62,$AF$62,E26=$AB$63,$AF$63,E26=$AB$64,$AF$64,E26=$AB$65,$AF$65,E26=$AB$66,$AF$66,TRUE,"0")</f>
        <v>B4 Match, lay HT 0-0 or BACK H1 +0.5 GOALS</v>
      </c>
      <c r="D26" s="270" t="str" cm="1">
        <f t="array" ref="D26">_xlfn.IFS(E26=$AB$42,$AD$42,E26=$AB$43,$AD$43,E26=$AB$44,$AD$44,E26=$AB$45,$AD$45,E26=$AB$46,$AD$46,E26=$AB$47,$AD$47,E26=$AB$48,$AD$48,E26=$AB$49,$AD$49,E26=$AB$50,$AD$50,E26=$AB$51,$AD$51,E26=$AB$52,$AD$52,E26=$AB$53,$AD$53,E26=$AB$54,$AD$54,E26=$AB$55,$AD$55,E26=$AB$56,$AD$56,E26=$AB$57,$AD$57,E26=$AB$58,$AD$58,E26=$AB$59,$AD$59,E26=$AB$60,$AD$60,E26=$AB$61,$AD$61,E26=$AB$62,$AD$62,E26=$AB$63,$AD$63,E26=$AB$64,$AD$64,E26=$AB$65,$AD$65,E26=$AB$66,$AD$66,TRUE,"0")</f>
        <v xml:space="preserve">BFM </v>
      </c>
      <c r="E26" s="163" t="s">
        <v>432</v>
      </c>
      <c r="F26" s="2" t="s">
        <v>6</v>
      </c>
      <c r="G26" s="2" t="s">
        <v>7</v>
      </c>
      <c r="H26" s="3">
        <v>45289.822916666664</v>
      </c>
      <c r="I26" s="2" t="s">
        <v>8</v>
      </c>
      <c r="J26" s="2" t="s">
        <v>9</v>
      </c>
      <c r="K26" s="2">
        <v>10</v>
      </c>
      <c r="L26" s="2">
        <v>10</v>
      </c>
      <c r="M26" s="2">
        <v>27</v>
      </c>
      <c r="N26" s="2">
        <v>5</v>
      </c>
      <c r="O26" s="2">
        <v>80</v>
      </c>
      <c r="P26" s="11">
        <v>4.7</v>
      </c>
      <c r="Q26" s="2" t="s">
        <v>95</v>
      </c>
      <c r="R26" s="14" t="s">
        <v>194</v>
      </c>
      <c r="S26" s="13" t="s">
        <v>195</v>
      </c>
      <c r="T26" s="188">
        <f t="shared" si="1"/>
        <v>29.18504971285931</v>
      </c>
      <c r="U26" s="8">
        <f t="shared" si="2"/>
        <v>5.2533089483146753</v>
      </c>
      <c r="V26" s="234">
        <f t="shared" si="5"/>
        <v>588.95430320550088</v>
      </c>
      <c r="W26" s="15">
        <v>25</v>
      </c>
      <c r="X26" s="8">
        <f t="shared" si="3"/>
        <v>4.5</v>
      </c>
      <c r="Y26" s="233">
        <f t="shared" si="4"/>
        <v>583</v>
      </c>
      <c r="AB26" s="219" t="s">
        <v>519</v>
      </c>
      <c r="AC26" s="217">
        <f>COUNTIFS(E:E,"H1 &amp; H2 % SPLIT",Q:Q,"WON")</f>
        <v>9</v>
      </c>
      <c r="AD26" s="149">
        <f>AC26/AC28</f>
        <v>1</v>
      </c>
      <c r="AF26" s="208">
        <f>SUMIF(E:E,"*PHF HOME",X:X)</f>
        <v>292</v>
      </c>
      <c r="AG26" s="238"/>
      <c r="AH26" s="195"/>
      <c r="AJ26" s="212" t="s">
        <v>514</v>
      </c>
      <c r="AK26" s="253">
        <f>COUNTIFS(E:E,"BETFAIR ANYOTHER",Q:Q,"WON")</f>
        <v>36</v>
      </c>
      <c r="AL26" s="206">
        <f>AK26/AK28</f>
        <v>0.92307692307692313</v>
      </c>
    </row>
    <row r="27" spans="1:38" ht="15.75" thickBot="1">
      <c r="A27" s="156" t="e" cm="1">
        <f t="array" aca="1" ref="A27" ca="1">_xlfn.IFS(E27=$AB$42,$AC$42,E27=$AB$43,$AC$43,E27=$AB$44,$AC$44,E27=$AB$45,$AC$45,E27=$AB$46,$AC$46,E27=$AB$47,$AC$47,E27=$AB$48,$AC$48,E27=$AB$49,$AC$49,E27=$AB$50,$AC$50,E27=$AB$51,$AC$51,E27=$AB$52,$AC$52,E27=$AB$53,$AC$53,E27=$AB$54,$AC$54,E27=$AB$55,$AC$55,E27=$AB$56,$AC$56,E27=$AB$57,$AC$57,E27=$AB$58,$AC$58,E27=$AB$59,$AC$59,E27=$AB$60,$AC$60,E27=$AB$61,$AC$61,E27=$AB$62,$AC$62,E27=$AB$63,$AC$63,E27=$AB$64,$AC$64,E27=$AB$65,$AC$65,E27=$AB$66,$AC$66,TRUE,"0")</f>
        <v>#NAME?</v>
      </c>
      <c r="C27" s="161" t="str" cm="1">
        <f t="array" ref="C27">_xlfn.IFS(E27=$AB$42,$AF$42,E27=$AB$43,$AF$43,E27=$AB$44,$AF$44,E27=$AB$45,$AF$45,E27=$AB$46,$AF$46,E27=$AB$47,$AF$47,E27=$AB$48,$AF$48,E27=$AB$49,$AF$49,E27=$AB$50,$AF$50,E27=$AB$51,$AF$51,E27=$AB$52,$AF$52,E27=$AB$53,$AF$53,E27=$AB$54,$AF$54,E27=$AB$55,$AF$55,E27=$AB$56,$AF$56,E27=$AB$57,$AF$57,E27=$AB$58,$AF$58,E27=$AB$59,$AF$59,E27=$AB$60,$AF$60,E27=$AB$61,$AF$61,E27=$AB$62,$AF$62,E27=$AB$63,$AF$63,E27=$AB$64,$AF$64,E27=$AB$65,$AF$65,E27=$AB$66,$AF$66,TRUE,"0")</f>
        <v>40 mins Back ANother Goal</v>
      </c>
      <c r="D27" s="270" t="str" cm="1">
        <f t="array" ref="D27">_xlfn.IFS(E27=$AB$42,$AD$42,E27=$AB$43,$AD$43,E27=$AB$44,$AD$44,E27=$AB$45,$AD$45,E27=$AB$46,$AD$46,E27=$AB$47,$AD$47,E27=$AB$48,$AD$48,E27=$AB$49,$AD$49,E27=$AB$50,$AD$50,E27=$AB$51,$AD$51,E27=$AB$52,$AD$52,E27=$AB$53,$AD$53,E27=$AB$54,$AD$54,E27=$AB$55,$AD$55,E27=$AB$56,$AD$56,E27=$AB$57,$AD$57,E27=$AB$58,$AD$58,E27=$AB$59,$AD$59,E27=$AB$60,$AD$60,E27=$AB$61,$AD$61,E27=$AB$62,$AD$62,E27=$AB$63,$AD$63,E27=$AB$64,$AD$64,E27=$AB$65,$AD$65,E27=$AB$66,$AD$66,TRUE,"0")</f>
        <v xml:space="preserve">  BANG</v>
      </c>
      <c r="E27" s="163" t="s">
        <v>43</v>
      </c>
      <c r="F27" s="2" t="s">
        <v>20</v>
      </c>
      <c r="G27" s="2" t="s">
        <v>21</v>
      </c>
      <c r="H27" s="3">
        <v>45290.479166666664</v>
      </c>
      <c r="I27" s="2" t="s">
        <v>97</v>
      </c>
      <c r="J27" s="2" t="s">
        <v>98</v>
      </c>
      <c r="K27" s="2">
        <v>71</v>
      </c>
      <c r="L27" s="2">
        <v>73</v>
      </c>
      <c r="M27" s="2">
        <v>61</v>
      </c>
      <c r="N27" s="2">
        <v>1.9</v>
      </c>
      <c r="O27" s="2"/>
      <c r="P27" s="11"/>
      <c r="Q27" s="2" t="s">
        <v>95</v>
      </c>
      <c r="R27" s="13" t="s">
        <v>221</v>
      </c>
      <c r="S27" s="13" t="s">
        <v>214</v>
      </c>
      <c r="T27" s="188">
        <f t="shared" si="1"/>
        <v>29.447715160275045</v>
      </c>
      <c r="U27" s="8">
        <f t="shared" si="2"/>
        <v>5.3005887288495082</v>
      </c>
      <c r="V27" s="234">
        <f t="shared" si="5"/>
        <v>594.25489193435044</v>
      </c>
      <c r="W27" s="15">
        <v>25</v>
      </c>
      <c r="X27" s="8">
        <f t="shared" si="3"/>
        <v>4.5</v>
      </c>
      <c r="Y27" s="233">
        <f t="shared" si="4"/>
        <v>587.5</v>
      </c>
      <c r="AB27" s="219" t="s">
        <v>519</v>
      </c>
      <c r="AC27" s="217">
        <f>COUNTIFS(E:E,"H1 &amp; H2 % SPLIT",Q:Q,"LOST")</f>
        <v>0</v>
      </c>
      <c r="AD27" s="18">
        <f>AC27/AC28</f>
        <v>0</v>
      </c>
      <c r="AF27" s="221" t="s">
        <v>861</v>
      </c>
      <c r="AG27" s="30">
        <f>SUM(AC2,AC10,AC6,AC14,AC18,AC22,AC26,AC30,AC34)</f>
        <v>517</v>
      </c>
      <c r="AH27" s="151">
        <f>AG27/AG29</f>
        <v>0.96096654275092941</v>
      </c>
      <c r="AJ27" s="212" t="s">
        <v>514</v>
      </c>
      <c r="AK27" s="253">
        <f>COUNTIFS(E:E,"BETFAIR ANYOTHER",Q:Q,"LOST")</f>
        <v>3</v>
      </c>
      <c r="AL27" s="202">
        <f>AK27/AK28</f>
        <v>7.6923076923076927E-2</v>
      </c>
    </row>
    <row r="28" spans="1:38" ht="15.75" thickBot="1">
      <c r="A28" s="156" t="e" cm="1">
        <f t="array" aca="1" ref="A28" ca="1">_xlfn.IFS(E28=$AB$42,$AC$42,E28=$AB$43,$AC$43,E28=$AB$44,$AC$44,E28=$AB$45,$AC$45,E28=$AB$46,$AC$46,E28=$AB$47,$AC$47,E28=$AB$48,$AC$48,E28=$AB$49,$AC$49,E28=$AB$50,$AC$50,E28=$AB$51,$AC$51,E28=$AB$52,$AC$52,E28=$AB$53,$AC$53,E28=$AB$54,$AC$54,E28=$AB$55,$AC$55,E28=$AB$56,$AC$56,E28=$AB$57,$AC$57,E28=$AB$58,$AC$58,E28=$AB$59,$AC$59,E28=$AB$60,$AC$60,E28=$AB$61,$AC$61,E28=$AB$62,$AC$62,E28=$AB$63,$AC$63,E28=$AB$64,$AC$64,E28=$AB$65,$AC$65,E28=$AB$66,$AC$66,TRUE,"0")</f>
        <v>#NAME?</v>
      </c>
      <c r="C28" s="161" t="str" cm="1">
        <f t="array" ref="C28">_xlfn.IFS(E28=$AB$42,$AF$42,E28=$AB$43,$AF$43,E28=$AB$44,$AF$44,E28=$AB$45,$AF$45,E28=$AB$46,$AF$46,E28=$AB$47,$AF$47,E28=$AB$48,$AF$48,E28=$AB$49,$AF$49,E28=$AB$50,$AF$50,E28=$AB$51,$AF$51,E28=$AB$52,$AF$52,E28=$AB$53,$AF$53,E28=$AB$54,$AF$54,E28=$AB$55,$AF$55,E28=$AB$56,$AF$56,E28=$AB$57,$AF$57,E28=$AB$58,$AF$58,E28=$AB$59,$AF$59,E28=$AB$60,$AF$60,E28=$AB$61,$AF$61,E28=$AB$62,$AF$62,E28=$AB$63,$AF$63,E28=$AB$64,$AF$64,E28=$AB$65,$AF$65,E28=$AB$66,$AF$66,TRUE,"0")</f>
        <v>B4 Match, lay HT 0-0 or BACK H1 +0.5 GOALS</v>
      </c>
      <c r="D28" s="270" t="str" cm="1">
        <f t="array" ref="D28">_xlfn.IFS(E28=$AB$42,$AD$42,E28=$AB$43,$AD$43,E28=$AB$44,$AD$44,E28=$AB$45,$AD$45,E28=$AB$46,$AD$46,E28=$AB$47,$AD$47,E28=$AB$48,$AD$48,E28=$AB$49,$AD$49,E28=$AB$50,$AD$50,E28=$AB$51,$AD$51,E28=$AB$52,$AD$52,E28=$AB$53,$AD$53,E28=$AB$54,$AD$54,E28=$AB$55,$AD$55,E28=$AB$56,$AD$56,E28=$AB$57,$AD$57,E28=$AB$58,$AD$58,E28=$AB$59,$AD$59,E28=$AB$60,$AD$60,E28=$AB$61,$AD$61,E28=$AB$62,$AD$62,E28=$AB$63,$AD$63,E28=$AB$64,$AD$64,E28=$AB$65,$AD$65,E28=$AB$66,$AD$66,TRUE,"0")</f>
        <v xml:space="preserve">BFM </v>
      </c>
      <c r="E28" s="163" t="s">
        <v>432</v>
      </c>
      <c r="F28" s="2" t="s">
        <v>13</v>
      </c>
      <c r="G28" s="2" t="s">
        <v>37</v>
      </c>
      <c r="H28" s="3">
        <v>45290.520833333336</v>
      </c>
      <c r="I28" s="2" t="s">
        <v>99</v>
      </c>
      <c r="J28" s="2" t="s">
        <v>79</v>
      </c>
      <c r="K28" s="2">
        <v>83</v>
      </c>
      <c r="L28" s="2">
        <v>25</v>
      </c>
      <c r="M28" s="2">
        <v>50</v>
      </c>
      <c r="N28" s="2"/>
      <c r="O28" s="2"/>
      <c r="P28" s="11"/>
      <c r="Q28" s="2" t="s">
        <v>95</v>
      </c>
      <c r="R28" s="14" t="s">
        <v>214</v>
      </c>
      <c r="S28" s="13" t="s">
        <v>222</v>
      </c>
      <c r="T28" s="188">
        <f t="shared" si="1"/>
        <v>29.712744596717524</v>
      </c>
      <c r="U28" s="8">
        <f t="shared" si="2"/>
        <v>5.3482940274091542</v>
      </c>
      <c r="V28" s="234">
        <f t="shared" si="5"/>
        <v>599.60318596175955</v>
      </c>
      <c r="W28" s="15">
        <v>25</v>
      </c>
      <c r="X28" s="8">
        <f t="shared" si="3"/>
        <v>4.5</v>
      </c>
      <c r="Y28" s="233">
        <f t="shared" si="4"/>
        <v>592</v>
      </c>
      <c r="AB28" s="28">
        <f>SUMIF(E:E,"h1 &amp; h2 % split",U:U)</f>
        <v>1370.6767823499797</v>
      </c>
      <c r="AC28" s="240">
        <f>SUM(AC26:AC27)</f>
        <v>9</v>
      </c>
      <c r="AD28" s="232">
        <f>SUM(AB28/AC28)</f>
        <v>152.29742026110887</v>
      </c>
      <c r="AF28" s="221" t="s">
        <v>861</v>
      </c>
      <c r="AG28" s="30">
        <f>SUM(AC3,AC11,AC7,AC15,AC19,AC23,AC27,AC31,AC35)</f>
        <v>21</v>
      </c>
      <c r="AH28" s="31">
        <f>AG28/AG29</f>
        <v>3.9033457249070633E-2</v>
      </c>
      <c r="AJ28" s="203">
        <f>SUMIF(E:E,"BETFAIR ANYOTHER",U:U)</f>
        <v>4074.8579853284332</v>
      </c>
      <c r="AK28" s="240">
        <f>SUM(AK26:AK27)</f>
        <v>39</v>
      </c>
      <c r="AL28" s="232">
        <f>SUM(AJ28/AK28)</f>
        <v>104.48353808534443</v>
      </c>
    </row>
    <row r="29" spans="1:38" ht="15.75" thickBot="1">
      <c r="A29" s="156" t="e" cm="1">
        <f t="array" aca="1" ref="A29" ca="1">_xlfn.IFS(E29=$AB$42,$AC$42,E29=$AB$43,$AC$43,E29=$AB$44,$AC$44,E29=$AB$45,$AC$45,E29=$AB$46,$AC$46,E29=$AB$47,$AC$47,E29=$AB$48,$AC$48,E29=$AB$49,$AC$49,E29=$AB$50,$AC$50,E29=$AB$51,$AC$51,E29=$AB$52,$AC$52,E29=$AB$53,$AC$53,E29=$AB$54,$AC$54,E29=$AB$55,$AC$55,E29=$AB$56,$AC$56,E29=$AB$57,$AC$57,E29=$AB$58,$AC$58,E29=$AB$59,$AC$59,E29=$AB$60,$AC$60,E29=$AB$61,$AC$61,E29=$AB$62,$AC$62,E29=$AB$63,$AC$63,E29=$AB$64,$AC$64,E29=$AB$65,$AC$65,E29=$AB$66,$AC$66,TRUE,"0")</f>
        <v>#NAME?</v>
      </c>
      <c r="C29" s="161" t="str" cm="1">
        <f t="array" ref="C29">_xlfn.IFS(E29=$AB$42,$AF$42,E29=$AB$43,$AF$43,E29=$AB$44,$AF$44,E29=$AB$45,$AF$45,E29=$AB$46,$AF$46,E29=$AB$47,$AF$47,E29=$AB$48,$AF$48,E29=$AB$49,$AF$49,E29=$AB$50,$AF$50,E29=$AB$51,$AF$51,E29=$AB$52,$AF$52,E29=$AB$53,$AF$53,E29=$AB$54,$AF$54,E29=$AB$55,$AF$55,E29=$AB$56,$AF$56,E29=$AB$57,$AF$57,E29=$AB$58,$AF$58,E29=$AB$59,$AF$59,E29=$AB$60,$AF$60,E29=$AB$61,$AF$61,E29=$AB$62,$AF$62,E29=$AB$63,$AF$63,E29=$AB$64,$AF$64,E29=$AB$65,$AF$65,E29=$AB$66,$AF$66,TRUE,"0")</f>
        <v>B4 Match, lay HT 0-0 or BACK H1 +0.5 GOALS</v>
      </c>
      <c r="D29" s="270" t="str" cm="1">
        <f t="array" ref="D29">_xlfn.IFS(E29=$AB$42,$AD$42,E29=$AB$43,$AD$43,E29=$AB$44,$AD$44,E29=$AB$45,$AD$45,E29=$AB$46,$AD$46,E29=$AB$47,$AD$47,E29=$AB$48,$AD$48,E29=$AB$49,$AD$49,E29=$AB$50,$AD$50,E29=$AB$51,$AD$51,E29=$AB$52,$AD$52,E29=$AB$53,$AD$53,E29=$AB$54,$AD$54,E29=$AB$55,$AD$55,E29=$AB$56,$AD$56,E29=$AB$57,$AD$57,E29=$AB$58,$AD$58,E29=$AB$59,$AD$59,E29=$AB$60,$AD$60,E29=$AB$61,$AD$61,E29=$AB$62,$AD$62,E29=$AB$63,$AD$63,E29=$AB$64,$AD$64,E29=$AB$65,$AD$65,E29=$AB$66,$AD$66,TRUE,"0")</f>
        <v xml:space="preserve">BFM </v>
      </c>
      <c r="E29" s="163" t="s">
        <v>432</v>
      </c>
      <c r="F29" s="2" t="s">
        <v>20</v>
      </c>
      <c r="G29" s="2" t="s">
        <v>21</v>
      </c>
      <c r="H29" s="3">
        <v>45290.583333333336</v>
      </c>
      <c r="I29" s="2" t="s">
        <v>100</v>
      </c>
      <c r="J29" s="2" t="s">
        <v>101</v>
      </c>
      <c r="K29" s="2">
        <v>80</v>
      </c>
      <c r="L29" s="2">
        <v>20</v>
      </c>
      <c r="M29" s="2">
        <v>45</v>
      </c>
      <c r="N29" s="2"/>
      <c r="O29" s="2"/>
      <c r="P29" s="11"/>
      <c r="Q29" s="2" t="s">
        <v>95</v>
      </c>
      <c r="R29" s="14" t="s">
        <v>214</v>
      </c>
      <c r="S29" s="13" t="s">
        <v>207</v>
      </c>
      <c r="T29" s="188">
        <f t="shared" si="1"/>
        <v>29.98015929808798</v>
      </c>
      <c r="U29" s="8">
        <f t="shared" si="2"/>
        <v>5.3964286736558362</v>
      </c>
      <c r="V29" s="234">
        <f t="shared" si="5"/>
        <v>604.99961463541536</v>
      </c>
      <c r="W29" s="15">
        <v>25</v>
      </c>
      <c r="X29" s="8">
        <f t="shared" si="3"/>
        <v>4.5</v>
      </c>
      <c r="Y29" s="233">
        <f t="shared" si="4"/>
        <v>596.5</v>
      </c>
      <c r="AB29" s="196">
        <f>SUMIF(E:E,"h1 &amp; h2 % split",X:X)</f>
        <v>40.5</v>
      </c>
      <c r="AF29" s="203">
        <f>SUM(AB4,AB8,AB12,AB16,AB20,AB24,AB28,AB32,AB36)</f>
        <v>49439.903647719104</v>
      </c>
      <c r="AG29" s="248">
        <f>SUM(AG27:AG28)</f>
        <v>538</v>
      </c>
      <c r="AH29" s="232">
        <f>SUM(AF29/AG29)</f>
        <v>91.89573168721023</v>
      </c>
      <c r="AJ29" s="204">
        <f>SUMIF(E:E,"BETFAIR ANYOTHER",X:X)</f>
        <v>87</v>
      </c>
      <c r="AL29" s="207"/>
    </row>
    <row r="30" spans="1:38" ht="15.75" thickBot="1">
      <c r="A30" s="156" t="e" cm="1">
        <f t="array" aca="1" ref="A30" ca="1">_xlfn.IFS(E30=$AB$42,$AC$42,E30=$AB$43,$AC$43,E30=$AB$44,$AC$44,E30=$AB$45,$AC$45,E30=$AB$46,$AC$46,E30=$AB$47,$AC$47,E30=$AB$48,$AC$48,E30=$AB$49,$AC$49,E30=$AB$50,$AC$50,E30=$AB$51,$AC$51,E30=$AB$52,$AC$52,E30=$AB$53,$AC$53,E30=$AB$54,$AC$54,E30=$AB$55,$AC$55,E30=$AB$56,$AC$56,E30=$AB$57,$AC$57,E30=$AB$58,$AC$58,E30=$AB$59,$AC$59,E30=$AB$60,$AC$60,E30=$AB$61,$AC$61,E30=$AB$62,$AC$62,E30=$AB$63,$AC$63,E30=$AB$64,$AC$64,E30=$AB$65,$AC$65,E30=$AB$66,$AC$66,TRUE,"0")</f>
        <v>#NAME?</v>
      </c>
      <c r="C30" s="161" t="str" cm="1">
        <f t="array" ref="C30">_xlfn.IFS(E30=$AB$42,$AF$42,E30=$AB$43,$AF$43,E30=$AB$44,$AF$44,E30=$AB$45,$AF$45,E30=$AB$46,$AF$46,E30=$AB$47,$AF$47,E30=$AB$48,$AF$48,E30=$AB$49,$AF$49,E30=$AB$50,$AF$50,E30=$AB$51,$AF$51,E30=$AB$52,$AF$52,E30=$AB$53,$AF$53,E30=$AB$54,$AF$54,E30=$AB$55,$AF$55,E30=$AB$56,$AF$56,E30=$AB$57,$AF$57,E30=$AB$58,$AF$58,E30=$AB$59,$AF$59,E30=$AB$60,$AF$60,E30=$AB$61,$AF$61,E30=$AB$62,$AF$62,E30=$AB$63,$AF$63,E30=$AB$64,$AF$64,E30=$AB$65,$AF$65,E30=$AB$66,$AF$66,TRUE,"0")</f>
        <v>40 mins Back ANother Goal</v>
      </c>
      <c r="D30" s="270" t="str" cm="1">
        <f t="array" ref="D30">_xlfn.IFS(E30=$AB$42,$AD$42,E30=$AB$43,$AD$43,E30=$AB$44,$AD$44,E30=$AB$45,$AD$45,E30=$AB$46,$AD$46,E30=$AB$47,$AD$47,E30=$AB$48,$AD$48,E30=$AB$49,$AD$49,E30=$AB$50,$AD$50,E30=$AB$51,$AD$51,E30=$AB$52,$AD$52,E30=$AB$53,$AD$53,E30=$AB$54,$AD$54,E30=$AB$55,$AD$55,E30=$AB$56,$AD$56,E30=$AB$57,$AD$57,E30=$AB$58,$AD$58,E30=$AB$59,$AD$59,E30=$AB$60,$AD$60,E30=$AB$61,$AD$61,E30=$AB$62,$AD$62,E30=$AB$63,$AD$63,E30=$AB$64,$AD$64,E30=$AB$65,$AD$65,E30=$AB$66,$AD$66,TRUE,"0")</f>
        <v xml:space="preserve">  BANG</v>
      </c>
      <c r="E30" s="163" t="s">
        <v>10</v>
      </c>
      <c r="F30" s="2" t="s">
        <v>6</v>
      </c>
      <c r="G30" s="2" t="s">
        <v>62</v>
      </c>
      <c r="H30" s="3">
        <v>45290.625</v>
      </c>
      <c r="I30" s="2" t="s">
        <v>102</v>
      </c>
      <c r="J30" s="2" t="s">
        <v>103</v>
      </c>
      <c r="K30" s="2">
        <v>1.94</v>
      </c>
      <c r="L30" s="2">
        <v>89</v>
      </c>
      <c r="M30" s="2">
        <v>61</v>
      </c>
      <c r="N30" s="2">
        <v>28</v>
      </c>
      <c r="O30" s="2">
        <v>63</v>
      </c>
      <c r="P30" s="11">
        <v>18</v>
      </c>
      <c r="Q30" s="2" t="s">
        <v>95</v>
      </c>
      <c r="R30" s="14" t="s">
        <v>222</v>
      </c>
      <c r="S30" s="13" t="s">
        <v>209</v>
      </c>
      <c r="T30" s="188">
        <f t="shared" si="1"/>
        <v>30.249980731770769</v>
      </c>
      <c r="U30" s="8">
        <f t="shared" si="2"/>
        <v>5.4449965317187381</v>
      </c>
      <c r="V30" s="234">
        <f t="shared" si="5"/>
        <v>610.4446111671341</v>
      </c>
      <c r="W30" s="15">
        <v>25</v>
      </c>
      <c r="X30" s="8">
        <f t="shared" si="3"/>
        <v>4.5</v>
      </c>
      <c r="Y30" s="233">
        <f t="shared" si="4"/>
        <v>601</v>
      </c>
      <c r="AB30" s="219" t="s">
        <v>540</v>
      </c>
      <c r="AC30" s="217">
        <f>COUNTIFS(E:E,"H2 GOALS%",Q:Q,"WON")</f>
        <v>16</v>
      </c>
      <c r="AD30" s="149">
        <f>AC30/AC32</f>
        <v>1</v>
      </c>
      <c r="AF30" s="208">
        <f>SUM(AB5,AB9,AB13,AB17,AB21,AB25,AB29,AB33,AB37)</f>
        <v>1801.5</v>
      </c>
      <c r="AG30" s="238"/>
      <c r="AH30" s="195"/>
      <c r="AJ30" s="198" t="s">
        <v>860</v>
      </c>
      <c r="AK30" s="30">
        <f>SUM(AK18,AK22,AK26)</f>
        <v>339</v>
      </c>
      <c r="AL30" s="151">
        <f>AK30/AK32</f>
        <v>0.96857142857142853</v>
      </c>
    </row>
    <row r="31" spans="1:38" ht="15.75" thickBot="1">
      <c r="A31" s="156" t="e" cm="1">
        <f t="array" aca="1" ref="A31" ca="1">_xlfn.IFS(E31=$AB$42,$AC$42,E31=$AB$43,$AC$43,E31=$AB$44,$AC$44,E31=$AB$45,$AC$45,E31=$AB$46,$AC$46,E31=$AB$47,$AC$47,E31=$AB$48,$AC$48,E31=$AB$49,$AC$49,E31=$AB$50,$AC$50,E31=$AB$51,$AC$51,E31=$AB$52,$AC$52,E31=$AB$53,$AC$53,E31=$AB$54,$AC$54,E31=$AB$55,$AC$55,E31=$AB$56,$AC$56,E31=$AB$57,$AC$57,E31=$AB$58,$AC$58,E31=$AB$59,$AC$59,E31=$AB$60,$AC$60,E31=$AB$61,$AC$61,E31=$AB$62,$AC$62,E31=$AB$63,$AC$63,E31=$AB$64,$AC$64,E31=$AB$65,$AC$65,E31=$AB$66,$AC$66,TRUE,"0")</f>
        <v>#NAME?</v>
      </c>
      <c r="C31" s="161" t="str" cm="1">
        <f t="array" ref="C31">_xlfn.IFS(E31=$AB$42,$AF$42,E31=$AB$43,$AF$43,E31=$AB$44,$AF$44,E31=$AB$45,$AF$45,E31=$AB$46,$AF$46,E31=$AB$47,$AF$47,E31=$AB$48,$AF$48,E31=$AB$49,$AF$49,E31=$AB$50,$AF$50,E31=$AB$51,$AF$51,E31=$AB$52,$AF$52,E31=$AB$53,$AF$53,E31=$AB$54,$AF$54,E31=$AB$55,$AF$55,E31=$AB$56,$AF$56,E31=$AB$57,$AF$57,E31=$AB$58,$AF$58,E31=$AB$59,$AF$59,E31=$AB$60,$AF$60,E31=$AB$61,$AF$61,E31=$AB$62,$AF$62,E31=$AB$63,$AF$63,E31=$AB$64,$AF$64,E31=$AB$65,$AF$65,E31=$AB$66,$AF$66,TRUE,"0")</f>
        <v>if 0-0, BACK+ 0.5 GOALS  @ 1.15+odds.  or @ 40 mins</v>
      </c>
      <c r="D31" s="270" t="str" cm="1">
        <f t="array" ref="D31">_xlfn.IFS(E31=$AB$42,$AD$42,E31=$AB$43,$AD$43,E31=$AB$44,$AD$44,E31=$AB$45,$AD$45,E31=$AB$46,$AD$46,E31=$AB$47,$AD$47,E31=$AB$48,$AD$48,E31=$AB$49,$AD$49,E31=$AB$50,$AD$50,E31=$AB$51,$AD$51,E31=$AB$52,$AD$52,E31=$AB$53,$AD$53,E31=$AB$54,$AD$54,E31=$AB$55,$AD$55,E31=$AB$56,$AD$56,E31=$AB$57,$AD$57,E31=$AB$58,$AD$58,E31=$AB$59,$AD$59,E31=$AB$60,$AD$60,E31=$AB$61,$AD$61,E31=$AB$62,$AD$62,E31=$AB$63,$AD$63,E31=$AB$64,$AD$64,E31=$AB$65,$AD$65,E31=$AB$66,$AD$66,TRUE,"0")</f>
        <v>IP</v>
      </c>
      <c r="E31" s="163" t="s">
        <v>270</v>
      </c>
      <c r="F31" s="2" t="s">
        <v>6</v>
      </c>
      <c r="G31" s="2" t="s">
        <v>62</v>
      </c>
      <c r="H31" s="3">
        <v>45290.625</v>
      </c>
      <c r="I31" s="2" t="s">
        <v>102</v>
      </c>
      <c r="J31" s="2" t="s">
        <v>103</v>
      </c>
      <c r="K31" s="2">
        <v>62</v>
      </c>
      <c r="L31" s="2">
        <v>0</v>
      </c>
      <c r="M31" s="2">
        <v>20</v>
      </c>
      <c r="N31" s="2"/>
      <c r="O31" s="2"/>
      <c r="P31" s="11"/>
      <c r="Q31" s="2" t="s">
        <v>95</v>
      </c>
      <c r="R31" s="14" t="s">
        <v>222</v>
      </c>
      <c r="S31" s="13" t="s">
        <v>209</v>
      </c>
      <c r="T31" s="188">
        <f t="shared" si="1"/>
        <v>30.522230558356707</v>
      </c>
      <c r="U31" s="8">
        <f t="shared" si="2"/>
        <v>5.4940015005042069</v>
      </c>
      <c r="V31" s="234">
        <f t="shared" si="5"/>
        <v>615.93861266763827</v>
      </c>
      <c r="W31" s="15">
        <v>25</v>
      </c>
      <c r="X31" s="8">
        <f t="shared" si="3"/>
        <v>4.5</v>
      </c>
      <c r="Y31" s="233">
        <f t="shared" si="4"/>
        <v>605.5</v>
      </c>
      <c r="AB31" s="219" t="s">
        <v>540</v>
      </c>
      <c r="AC31" s="217">
        <f>COUNTIFS(E:E,"H2 GOALS%",Q:Q,"LOST")</f>
        <v>0</v>
      </c>
      <c r="AD31" s="18">
        <f>AC31/AC32</f>
        <v>0</v>
      </c>
      <c r="AF31" s="225" t="s">
        <v>270</v>
      </c>
      <c r="AG31" s="226">
        <f>COUNTIFS(E:E,"*ft 0-0 B",Q:Q, "won")</f>
        <v>410</v>
      </c>
      <c r="AH31" s="151">
        <f>AG31/AG33</f>
        <v>0.96698113207547165</v>
      </c>
      <c r="AJ31" s="198" t="s">
        <v>860</v>
      </c>
      <c r="AK31" s="30">
        <f>SUM(AK19,AK23,AK27)</f>
        <v>11</v>
      </c>
      <c r="AL31" s="31">
        <f>AK31/AK32</f>
        <v>3.1428571428571431E-2</v>
      </c>
    </row>
    <row r="32" spans="1:38" ht="15.75" thickBot="1">
      <c r="A32" s="156" t="e" cm="1">
        <f t="array" aca="1" ref="A32" ca="1">_xlfn.IFS(E32=$AB$42,$AC$42,E32=$AB$43,$AC$43,E32=$AB$44,$AC$44,E32=$AB$45,$AC$45,E32=$AB$46,$AC$46,E32=$AB$47,$AC$47,E32=$AB$48,$AC$48,E32=$AB$49,$AC$49,E32=$AB$50,$AC$50,E32=$AB$51,$AC$51,E32=$AB$52,$AC$52,E32=$AB$53,$AC$53,E32=$AB$54,$AC$54,E32=$AB$55,$AC$55,E32=$AB$56,$AC$56,E32=$AB$57,$AC$57,E32=$AB$58,$AC$58,E32=$AB$59,$AC$59,E32=$AB$60,$AC$60,E32=$AB$61,$AC$61,E32=$AB$62,$AC$62,E32=$AB$63,$AC$63,E32=$AB$64,$AC$64,E32=$AB$65,$AC$65,E32=$AB$66,$AC$66,TRUE,"0")</f>
        <v>#NAME?</v>
      </c>
      <c r="C32" s="161" t="str" cm="1">
        <f t="array" ref="C32">_xlfn.IFS(E32=$AB$42,$AF$42,E32=$AB$43,$AF$43,E32=$AB$44,$AF$44,E32=$AB$45,$AF$45,E32=$AB$46,$AF$46,E32=$AB$47,$AF$47,E32=$AB$48,$AF$48,E32=$AB$49,$AF$49,E32=$AB$50,$AF$50,E32=$AB$51,$AF$51,E32=$AB$52,$AF$52,E32=$AB$53,$AF$53,E32=$AB$54,$AF$54,E32=$AB$55,$AF$55,E32=$AB$56,$AF$56,E32=$AB$57,$AF$57,E32=$AB$58,$AF$58,E32=$AB$59,$AF$59,E32=$AB$60,$AF$60,E32=$AB$61,$AF$61,E32=$AB$62,$AF$62,E32=$AB$63,$AF$63,E32=$AB$64,$AF$64,E32=$AB$65,$AF$65,E32=$AB$66,$AF$66,TRUE,"0")</f>
        <v>40 mins Back ANother Goal</v>
      </c>
      <c r="D32" s="270" t="str" cm="1">
        <f t="array" ref="D32">_xlfn.IFS(E32=$AB$42,$AD$42,E32=$AB$43,$AD$43,E32=$AB$44,$AD$44,E32=$AB$45,$AD$45,E32=$AB$46,$AD$46,E32=$AB$47,$AD$47,E32=$AB$48,$AD$48,E32=$AB$49,$AD$49,E32=$AB$50,$AD$50,E32=$AB$51,$AD$51,E32=$AB$52,$AD$52,E32=$AB$53,$AD$53,E32=$AB$54,$AD$54,E32=$AB$55,$AD$55,E32=$AB$56,$AD$56,E32=$AB$57,$AD$57,E32=$AB$58,$AD$58,E32=$AB$59,$AD$59,E32=$AB$60,$AD$60,E32=$AB$61,$AD$61,E32=$AB$62,$AD$62,E32=$AB$63,$AD$63,E32=$AB$64,$AD$64,E32=$AB$65,$AD$65,E32=$AB$66,$AD$66,TRUE,"0")</f>
        <v xml:space="preserve">  BANG</v>
      </c>
      <c r="E32" s="163" t="s">
        <v>28</v>
      </c>
      <c r="F32" s="2" t="s">
        <v>31</v>
      </c>
      <c r="G32" s="2" t="s">
        <v>32</v>
      </c>
      <c r="H32" s="3">
        <v>45290.625</v>
      </c>
      <c r="I32" s="2" t="s">
        <v>33</v>
      </c>
      <c r="J32" s="2" t="s">
        <v>34</v>
      </c>
      <c r="K32" s="2">
        <v>1.9</v>
      </c>
      <c r="L32" s="2">
        <v>4.3899999999999997</v>
      </c>
      <c r="M32" s="2">
        <v>64</v>
      </c>
      <c r="N32" s="2">
        <v>0</v>
      </c>
      <c r="O32" s="2">
        <v>20</v>
      </c>
      <c r="P32" s="11"/>
      <c r="Q32" s="2" t="s">
        <v>95</v>
      </c>
      <c r="R32" s="14" t="s">
        <v>221</v>
      </c>
      <c r="S32" s="13" t="s">
        <v>220</v>
      </c>
      <c r="T32" s="188">
        <f t="shared" si="1"/>
        <v>30.796930633381915</v>
      </c>
      <c r="U32" s="8">
        <f t="shared" si="2"/>
        <v>5.5434475140087445</v>
      </c>
      <c r="V32" s="234">
        <f t="shared" si="5"/>
        <v>621.48206018164706</v>
      </c>
      <c r="W32" s="15">
        <v>25</v>
      </c>
      <c r="X32" s="8">
        <f t="shared" si="3"/>
        <v>4.5</v>
      </c>
      <c r="Y32" s="233">
        <f t="shared" si="4"/>
        <v>610</v>
      </c>
      <c r="AB32" s="28">
        <f>SUMIF(E:E,"H2 goals%",U:U)</f>
        <v>2790.1187550007958</v>
      </c>
      <c r="AC32" s="240">
        <f>SUM(AC30:AC31)</f>
        <v>16</v>
      </c>
      <c r="AD32" s="232">
        <f>SUM(AB32/AC32)</f>
        <v>174.38242218754974</v>
      </c>
      <c r="AF32" s="225" t="s">
        <v>270</v>
      </c>
      <c r="AG32" s="227">
        <f>COUNTIFS(E:E,"*ft 0-0 B",Q:Q, "lost")</f>
        <v>14</v>
      </c>
      <c r="AH32" s="31">
        <f>AG32/AG33</f>
        <v>3.3018867924528301E-2</v>
      </c>
      <c r="AJ32" s="203">
        <f>SUM(AJ24,AJ28,AJ20)</f>
        <v>48961.150426993714</v>
      </c>
      <c r="AK32" s="248">
        <f>SUM(AK30:AK31)</f>
        <v>350</v>
      </c>
      <c r="AL32" s="232">
        <f>SUM(AJ32/AK32)</f>
        <v>139.88900121998205</v>
      </c>
    </row>
    <row r="33" spans="1:39" ht="15.75" thickBot="1">
      <c r="A33" s="156" t="e" cm="1">
        <f t="array" aca="1" ref="A33" ca="1">_xlfn.IFS(E33=$AB$42,$AC$42,E33=$AB$43,$AC$43,E33=$AB$44,$AC$44,E33=$AB$45,$AC$45,E33=$AB$46,$AC$46,E33=$AB$47,$AC$47,E33=$AB$48,$AC$48,E33=$AB$49,$AC$49,E33=$AB$50,$AC$50,E33=$AB$51,$AC$51,E33=$AB$52,$AC$52,E33=$AB$53,$AC$53,E33=$AB$54,$AC$54,E33=$AB$55,$AC$55,E33=$AB$56,$AC$56,E33=$AB$57,$AC$57,E33=$AB$58,$AC$58,E33=$AB$59,$AC$59,E33=$AB$60,$AC$60,E33=$AB$61,$AC$61,E33=$AB$62,$AC$62,E33=$AB$63,$AC$63,E33=$AB$64,$AC$64,E33=$AB$65,$AC$65,E33=$AB$66,$AC$66,TRUE,"0")</f>
        <v>#NAME?</v>
      </c>
      <c r="C33" s="161" t="str" cm="1">
        <f t="array" ref="C33">_xlfn.IFS(E33=$AB$42,$AF$42,E33=$AB$43,$AF$43,E33=$AB$44,$AF$44,E33=$AB$45,$AF$45,E33=$AB$46,$AF$46,E33=$AB$47,$AF$47,E33=$AB$48,$AF$48,E33=$AB$49,$AF$49,E33=$AB$50,$AF$50,E33=$AB$51,$AF$51,E33=$AB$52,$AF$52,E33=$AB$53,$AF$53,E33=$AB$54,$AF$54,E33=$AB$55,$AF$55,E33=$AB$56,$AF$56,E33=$AB$57,$AF$57,E33=$AB$58,$AF$58,E33=$AB$59,$AF$59,E33=$AB$60,$AF$60,E33=$AB$61,$AF$61,E33=$AB$62,$AF$62,E33=$AB$63,$AF$63,E33=$AB$64,$AF$64,E33=$AB$65,$AF$65,E33=$AB$66,$AF$66,TRUE,"0")</f>
        <v>if 0-0, BACK+ 0.5 GOALS  @ 1.15+odds.  or @ 40 mins</v>
      </c>
      <c r="D33" s="270" t="str" cm="1">
        <f t="array" ref="D33">_xlfn.IFS(E33=$AB$42,$AD$42,E33=$AB$43,$AD$43,E33=$AB$44,$AD$44,E33=$AB$45,$AD$45,E33=$AB$46,$AD$46,E33=$AB$47,$AD$47,E33=$AB$48,$AD$48,E33=$AB$49,$AD$49,E33=$AB$50,$AD$50,E33=$AB$51,$AD$51,E33=$AB$52,$AD$52,E33=$AB$53,$AD$53,E33=$AB$54,$AD$54,E33=$AB$55,$AD$55,E33=$AB$56,$AD$56,E33=$AB$57,$AD$57,E33=$AB$58,$AD$58,E33=$AB$59,$AD$59,E33=$AB$60,$AD$60,E33=$AB$61,$AD$61,E33=$AB$62,$AD$62,E33=$AB$63,$AD$63,E33=$AB$64,$AD$64,E33=$AB$65,$AD$65,E33=$AB$66,$AD$66,TRUE,"0")</f>
        <v>IP</v>
      </c>
      <c r="E33" s="163" t="s">
        <v>270</v>
      </c>
      <c r="F33" s="2" t="s">
        <v>6</v>
      </c>
      <c r="G33" s="2" t="s">
        <v>62</v>
      </c>
      <c r="H33" s="3">
        <v>45290.625</v>
      </c>
      <c r="I33" s="2" t="s">
        <v>72</v>
      </c>
      <c r="J33" s="2" t="s">
        <v>85</v>
      </c>
      <c r="K33" s="2">
        <v>61</v>
      </c>
      <c r="L33" s="2">
        <v>0</v>
      </c>
      <c r="M33" s="2">
        <v>20</v>
      </c>
      <c r="N33" s="2"/>
      <c r="O33" s="2"/>
      <c r="P33" s="11"/>
      <c r="Q33" s="2" t="s">
        <v>95</v>
      </c>
      <c r="R33" s="14" t="s">
        <v>214</v>
      </c>
      <c r="S33" s="13" t="s">
        <v>220</v>
      </c>
      <c r="T33" s="188">
        <f t="shared" si="1"/>
        <v>31.074103009082354</v>
      </c>
      <c r="U33" s="8">
        <f t="shared" si="2"/>
        <v>5.5933385416348234</v>
      </c>
      <c r="V33" s="234">
        <f t="shared" si="5"/>
        <v>627.07539872328186</v>
      </c>
      <c r="W33" s="15">
        <v>25</v>
      </c>
      <c r="X33" s="8">
        <f t="shared" si="3"/>
        <v>4.5</v>
      </c>
      <c r="Y33" s="233">
        <f t="shared" si="4"/>
        <v>614.5</v>
      </c>
      <c r="AB33" s="196">
        <f>SUMIF(E:E,"H2 goals%",X:X)</f>
        <v>72</v>
      </c>
      <c r="AF33" s="203">
        <f>SUMIF(E:E,"*FT 0-0 B",U:U)</f>
        <v>35294.306556895404</v>
      </c>
      <c r="AG33" s="248">
        <f>SUM(AG31:AG32)</f>
        <v>424</v>
      </c>
      <c r="AH33" s="232">
        <f>SUM(AF33/AG33)</f>
        <v>83.241289049281619</v>
      </c>
      <c r="AJ33" s="208">
        <f>SUM(AJ25,AJ29,AJ21)</f>
        <v>1250.5</v>
      </c>
      <c r="AK33" s="251"/>
      <c r="AL33" s="209"/>
    </row>
    <row r="34" spans="1:39" ht="15.75" thickBot="1">
      <c r="A34" s="156" t="e" cm="1">
        <f t="array" aca="1" ref="A34" ca="1">_xlfn.IFS(E34=$AB$42,$AC$42,E34=$AB$43,$AC$43,E34=$AB$44,$AC$44,E34=$AB$45,$AC$45,E34=$AB$46,$AC$46,E34=$AB$47,$AC$47,E34=$AB$48,$AC$48,E34=$AB$49,$AC$49,E34=$AB$50,$AC$50,E34=$AB$51,$AC$51,E34=$AB$52,$AC$52,E34=$AB$53,$AC$53,E34=$AB$54,$AC$54,E34=$AB$55,$AC$55,E34=$AB$56,$AC$56,E34=$AB$57,$AC$57,E34=$AB$58,$AC$58,E34=$AB$59,$AC$59,E34=$AB$60,$AC$60,E34=$AB$61,$AC$61,E34=$AB$62,$AC$62,E34=$AB$63,$AC$63,E34=$AB$64,$AC$64,E34=$AB$65,$AC$65,E34=$AB$66,$AC$66,TRUE,"0")</f>
        <v>#NAME?</v>
      </c>
      <c r="C34" s="161" t="str" cm="1">
        <f t="array" ref="C34">_xlfn.IFS(E34=$AB$42,$AF$42,E34=$AB$43,$AF$43,E34=$AB$44,$AF$44,E34=$AB$45,$AF$45,E34=$AB$46,$AF$46,E34=$AB$47,$AF$47,E34=$AB$48,$AF$48,E34=$AB$49,$AF$49,E34=$AB$50,$AF$50,E34=$AB$51,$AF$51,E34=$AB$52,$AF$52,E34=$AB$53,$AF$53,E34=$AB$54,$AF$54,E34=$AB$55,$AF$55,E34=$AB$56,$AF$56,E34=$AB$57,$AF$57,E34=$AB$58,$AF$58,E34=$AB$59,$AF$59,E34=$AB$60,$AF$60,E34=$AB$61,$AF$61,E34=$AB$62,$AF$62,E34=$AB$63,$AF$63,E34=$AB$64,$AF$64,E34=$AB$65,$AF$65,E34=$AB$66,$AF$66,TRUE,"0")</f>
        <v>if 0-0, BACK+ 0.5 GOALS  @ 1.15+odds.  or @ 40 mins</v>
      </c>
      <c r="D34" s="270" t="str" cm="1">
        <f t="array" ref="D34">_xlfn.IFS(E34=$AB$42,$AD$42,E34=$AB$43,$AD$43,E34=$AB$44,$AD$44,E34=$AB$45,$AD$45,E34=$AB$46,$AD$46,E34=$AB$47,$AD$47,E34=$AB$48,$AD$48,E34=$AB$49,$AD$49,E34=$AB$50,$AD$50,E34=$AB$51,$AD$51,E34=$AB$52,$AD$52,E34=$AB$53,$AD$53,E34=$AB$54,$AD$54,E34=$AB$55,$AD$55,E34=$AB$56,$AD$56,E34=$AB$57,$AD$57,E34=$AB$58,$AD$58,E34=$AB$59,$AD$59,E34=$AB$60,$AD$60,E34=$AB$61,$AD$61,E34=$AB$62,$AD$62,E34=$AB$63,$AD$63,E34=$AB$64,$AD$64,E34=$AB$65,$AD$65,E34=$AB$66,$AD$66,TRUE,"0")</f>
        <v>IP</v>
      </c>
      <c r="E34" s="163" t="s">
        <v>270</v>
      </c>
      <c r="F34" s="2" t="s">
        <v>13</v>
      </c>
      <c r="G34" s="2" t="s">
        <v>37</v>
      </c>
      <c r="H34" s="3">
        <v>45290.625</v>
      </c>
      <c r="I34" s="2" t="s">
        <v>38</v>
      </c>
      <c r="J34" s="2" t="s">
        <v>39</v>
      </c>
      <c r="K34" s="2">
        <v>70</v>
      </c>
      <c r="L34" s="2">
        <v>0</v>
      </c>
      <c r="M34" s="2">
        <v>20</v>
      </c>
      <c r="N34" s="2"/>
      <c r="O34" s="2"/>
      <c r="P34" s="11"/>
      <c r="Q34" s="2" t="s">
        <v>95</v>
      </c>
      <c r="R34" s="14" t="s">
        <v>215</v>
      </c>
      <c r="S34" s="13" t="s">
        <v>215</v>
      </c>
      <c r="T34" s="188">
        <f t="shared" si="1"/>
        <v>31.353769936164095</v>
      </c>
      <c r="U34" s="8">
        <f t="shared" si="2"/>
        <v>5.6436785885095366</v>
      </c>
      <c r="V34" s="234">
        <f t="shared" si="5"/>
        <v>632.71907731179135</v>
      </c>
      <c r="W34" s="15">
        <v>25</v>
      </c>
      <c r="X34" s="8">
        <f t="shared" si="3"/>
        <v>4.5</v>
      </c>
      <c r="Y34" s="233">
        <f t="shared" si="4"/>
        <v>619</v>
      </c>
      <c r="AB34" s="220" t="s">
        <v>726</v>
      </c>
      <c r="AC34" s="217">
        <f>COUNTIFS(E:E,"0.5+ h2",Q:Q,"won")</f>
        <v>143</v>
      </c>
      <c r="AD34" s="23">
        <f>AC34/AC36</f>
        <v>0.94078947368421051</v>
      </c>
      <c r="AF34" s="208">
        <f>SUMIF(E:E,"*FT 0-0 B",X:X)</f>
        <v>1495</v>
      </c>
      <c r="AG34" s="238"/>
      <c r="AH34" s="195"/>
      <c r="AJ34" s="228" t="s">
        <v>909</v>
      </c>
      <c r="AK34" s="246">
        <f>COUNTIFS(E:E,"SH LAY 0-0 1ST HALF B",Q:Q,"WON")</f>
        <v>1</v>
      </c>
      <c r="AL34" s="229">
        <f>AK34/AK36</f>
        <v>1</v>
      </c>
    </row>
    <row r="35" spans="1:39" ht="15.75" thickBot="1">
      <c r="A35" s="156" t="e" cm="1">
        <f t="array" aca="1" ref="A35" ca="1">_xlfn.IFS(E35=$AB$42,$AC$42,E35=$AB$43,$AC$43,E35=$AB$44,$AC$44,E35=$AB$45,$AC$45,E35=$AB$46,$AC$46,E35=$AB$47,$AC$47,E35=$AB$48,$AC$48,E35=$AB$49,$AC$49,E35=$AB$50,$AC$50,E35=$AB$51,$AC$51,E35=$AB$52,$AC$52,E35=$AB$53,$AC$53,E35=$AB$54,$AC$54,E35=$AB$55,$AC$55,E35=$AB$56,$AC$56,E35=$AB$57,$AC$57,E35=$AB$58,$AC$58,E35=$AB$59,$AC$59,E35=$AB$60,$AC$60,E35=$AB$61,$AC$61,E35=$AB$62,$AC$62,E35=$AB$63,$AC$63,E35=$AB$64,$AC$64,E35=$AB$65,$AC$65,E35=$AB$66,$AC$66,TRUE,"0")</f>
        <v>#NAME?</v>
      </c>
      <c r="C35" s="161" t="str" cm="1">
        <f t="array" ref="C35">_xlfn.IFS(E35=$AB$42,$AF$42,E35=$AB$43,$AF$43,E35=$AB$44,$AF$44,E35=$AB$45,$AF$45,E35=$AB$46,$AF$46,E35=$AB$47,$AF$47,E35=$AB$48,$AF$48,E35=$AB$49,$AF$49,E35=$AB$50,$AF$50,E35=$AB$51,$AF$51,E35=$AB$52,$AF$52,E35=$AB$53,$AF$53,E35=$AB$54,$AF$54,E35=$AB$55,$AF$55,E35=$AB$56,$AF$56,E35=$AB$57,$AF$57,E35=$AB$58,$AF$58,E35=$AB$59,$AF$59,E35=$AB$60,$AF$60,E35=$AB$61,$AF$61,E35=$AB$62,$AF$62,E35=$AB$63,$AF$63,E35=$AB$64,$AF$64,E35=$AB$65,$AF$65,E35=$AB$66,$AF$66,TRUE,"0")</f>
        <v>if 0-0, BACK+ 0.5 GOALS  @ 1.15+odds.  or @ 40 mins</v>
      </c>
      <c r="D35" s="270" t="str" cm="1">
        <f t="array" ref="D35">_xlfn.IFS(E35=$AB$42,$AD$42,E35=$AB$43,$AD$43,E35=$AB$44,$AD$44,E35=$AB$45,$AD$45,E35=$AB$46,$AD$46,E35=$AB$47,$AD$47,E35=$AB$48,$AD$48,E35=$AB$49,$AD$49,E35=$AB$50,$AD$50,E35=$AB$51,$AD$51,E35=$AB$52,$AD$52,E35=$AB$53,$AD$53,E35=$AB$54,$AD$54,E35=$AB$55,$AD$55,E35=$AB$56,$AD$56,E35=$AB$57,$AD$57,E35=$AB$58,$AD$58,E35=$AB$59,$AD$59,E35=$AB$60,$AD$60,E35=$AB$61,$AD$61,E35=$AB$62,$AD$62,E35=$AB$63,$AD$63,E35=$AB$64,$AD$64,E35=$AB$65,$AD$65,E35=$AB$66,$AD$66,TRUE,"0")</f>
        <v>IP</v>
      </c>
      <c r="E35" s="163" t="s">
        <v>270</v>
      </c>
      <c r="F35" s="2" t="s">
        <v>13</v>
      </c>
      <c r="G35" s="2" t="s">
        <v>14</v>
      </c>
      <c r="H35" s="3">
        <v>45290.625</v>
      </c>
      <c r="I35" s="2" t="s">
        <v>29</v>
      </c>
      <c r="J35" s="2" t="s">
        <v>30</v>
      </c>
      <c r="K35" s="2">
        <v>61</v>
      </c>
      <c r="L35" s="2">
        <v>0</v>
      </c>
      <c r="M35" s="2">
        <v>20</v>
      </c>
      <c r="N35" s="2"/>
      <c r="O35" s="2"/>
      <c r="P35" s="11"/>
      <c r="Q35" s="2" t="s">
        <v>95</v>
      </c>
      <c r="R35" s="14" t="s">
        <v>214</v>
      </c>
      <c r="S35" s="13" t="s">
        <v>210</v>
      </c>
      <c r="T35" s="188">
        <f t="shared" si="1"/>
        <v>31.63595386558957</v>
      </c>
      <c r="U35" s="8">
        <f t="shared" si="2"/>
        <v>5.6944716958061221</v>
      </c>
      <c r="V35" s="234">
        <f t="shared" si="5"/>
        <v>638.41354900759745</v>
      </c>
      <c r="W35" s="15">
        <v>25</v>
      </c>
      <c r="X35" s="8">
        <f t="shared" si="3"/>
        <v>4.5</v>
      </c>
      <c r="Y35" s="233">
        <f t="shared" si="4"/>
        <v>623.5</v>
      </c>
      <c r="AB35" s="220" t="s">
        <v>726</v>
      </c>
      <c r="AC35" s="217">
        <f>COUNTIFS(E:E,"0.5+ h2",Q:Q,"LOST")</f>
        <v>9</v>
      </c>
      <c r="AD35" s="18">
        <f>AC35/AC36</f>
        <v>5.921052631578947E-2</v>
      </c>
      <c r="AJ35" s="230" t="s">
        <v>909</v>
      </c>
      <c r="AK35" s="246">
        <f>COUNTIFS(I:I,"SH LAY 0-0 1ST HALF B",Q:Q,"WON")</f>
        <v>0</v>
      </c>
      <c r="AL35" s="231">
        <f>AK35/AK36</f>
        <v>0</v>
      </c>
    </row>
    <row r="36" spans="1:39" ht="15.75" thickBot="1">
      <c r="A36" s="156" t="e" cm="1">
        <f t="array" aca="1" ref="A36" ca="1">_xlfn.IFS(E36=$AB$42,$AC$42,E36=$AB$43,$AC$43,E36=$AB$44,$AC$44,E36=$AB$45,$AC$45,E36=$AB$46,$AC$46,E36=$AB$47,$AC$47,E36=$AB$48,$AC$48,E36=$AB$49,$AC$49,E36=$AB$50,$AC$50,E36=$AB$51,$AC$51,E36=$AB$52,$AC$52,E36=$AB$53,$AC$53,E36=$AB$54,$AC$54,E36=$AB$55,$AC$55,E36=$AB$56,$AC$56,E36=$AB$57,$AC$57,E36=$AB$58,$AC$58,E36=$AB$59,$AC$59,E36=$AB$60,$AC$60,E36=$AB$61,$AC$61,E36=$AB$62,$AC$62,E36=$AB$63,$AC$63,E36=$AB$64,$AC$64,E36=$AB$65,$AC$65,E36=$AB$66,$AC$66,TRUE,"0")</f>
        <v>#NAME?</v>
      </c>
      <c r="C36" s="161" t="str" cm="1">
        <f t="array" ref="C36">_xlfn.IFS(E36=$AB$42,$AF$42,E36=$AB$43,$AF$43,E36=$AB$44,$AF$44,E36=$AB$45,$AF$45,E36=$AB$46,$AF$46,E36=$AB$47,$AF$47,E36=$AB$48,$AF$48,E36=$AB$49,$AF$49,E36=$AB$50,$AF$50,E36=$AB$51,$AF$51,E36=$AB$52,$AF$52,E36=$AB$53,$AF$53,E36=$AB$54,$AF$54,E36=$AB$55,$AF$55,E36=$AB$56,$AF$56,E36=$AB$57,$AF$57,E36=$AB$58,$AF$58,E36=$AB$59,$AF$59,E36=$AB$60,$AF$60,E36=$AB$61,$AF$61,E36=$AB$62,$AF$62,E36=$AB$63,$AF$63,E36=$AB$64,$AF$64,E36=$AB$65,$AF$65,E36=$AB$66,$AF$66,TRUE,"0")</f>
        <v>if 0-0, BACK+ 0.5 GOALS  @ 1.15+odds.  or @ 40 mins</v>
      </c>
      <c r="D36" s="270" t="str" cm="1">
        <f t="array" ref="D36">_xlfn.IFS(E36=$AB$42,$AD$42,E36=$AB$43,$AD$43,E36=$AB$44,$AD$44,E36=$AB$45,$AD$45,E36=$AB$46,$AD$46,E36=$AB$47,$AD$47,E36=$AB$48,$AD$48,E36=$AB$49,$AD$49,E36=$AB$50,$AD$50,E36=$AB$51,$AD$51,E36=$AB$52,$AD$52,E36=$AB$53,$AD$53,E36=$AB$54,$AD$54,E36=$AB$55,$AD$55,E36=$AB$56,$AD$56,E36=$AB$57,$AD$57,E36=$AB$58,$AD$58,E36=$AB$59,$AD$59,E36=$AB$60,$AD$60,E36=$AB$61,$AD$61,E36=$AB$62,$AD$62,E36=$AB$63,$AD$63,E36=$AB$64,$AD$64,E36=$AB$65,$AD$65,E36=$AB$66,$AD$66,TRUE,"0")</f>
        <v>IP</v>
      </c>
      <c r="E36" s="163" t="s">
        <v>270</v>
      </c>
      <c r="F36" s="2" t="s">
        <v>58</v>
      </c>
      <c r="G36" s="2" t="s">
        <v>59</v>
      </c>
      <c r="H36" s="3">
        <v>45290.645833333336</v>
      </c>
      <c r="I36" s="2" t="s">
        <v>105</v>
      </c>
      <c r="J36" s="2" t="s">
        <v>106</v>
      </c>
      <c r="K36" s="2">
        <v>64</v>
      </c>
      <c r="L36" s="2">
        <v>0</v>
      </c>
      <c r="M36" s="2">
        <v>20</v>
      </c>
      <c r="N36" s="2"/>
      <c r="O36" s="2"/>
      <c r="P36" s="11"/>
      <c r="Q36" s="2" t="s">
        <v>95</v>
      </c>
      <c r="R36" s="14" t="s">
        <v>220</v>
      </c>
      <c r="S36" s="13" t="s">
        <v>194</v>
      </c>
      <c r="T36" s="188">
        <f t="shared" si="1"/>
        <v>31.920677450379873</v>
      </c>
      <c r="U36" s="8">
        <f t="shared" si="2"/>
        <v>5.7457219410683766</v>
      </c>
      <c r="V36" s="234">
        <f t="shared" si="5"/>
        <v>644.15927094866584</v>
      </c>
      <c r="W36" s="15">
        <v>25</v>
      </c>
      <c r="X36" s="8">
        <f t="shared" si="3"/>
        <v>4.5</v>
      </c>
      <c r="Y36" s="233">
        <f t="shared" si="4"/>
        <v>628</v>
      </c>
      <c r="AB36" s="28">
        <f>SUMIF(E:E,"0.5+ h2",U:U)</f>
        <v>16740</v>
      </c>
      <c r="AC36" s="240">
        <f>SUM(AC34:AC35)</f>
        <v>152</v>
      </c>
      <c r="AD36" s="232">
        <f>SUM(AB36/AC36)</f>
        <v>110.13157894736842</v>
      </c>
      <c r="AJ36" s="203">
        <f>SUMIF(E:E,"SH LAY 0-0 1ST HALF B",U:U)</f>
        <v>5.3747278724898377</v>
      </c>
      <c r="AK36" s="240">
        <f>SUM(AK34:AK35)</f>
        <v>1</v>
      </c>
      <c r="AL36" s="232">
        <f>SUM(AJ36/AK36)</f>
        <v>5.3747278724898377</v>
      </c>
    </row>
    <row r="37" spans="1:39" ht="15.75" thickBot="1">
      <c r="A37" s="156" t="e" cm="1">
        <f t="array" aca="1" ref="A37" ca="1">_xlfn.IFS(E37=$AB$42,$AC$42,E37=$AB$43,$AC$43,E37=$AB$44,$AC$44,E37=$AB$45,$AC$45,E37=$AB$46,$AC$46,E37=$AB$47,$AC$47,E37=$AB$48,$AC$48,E37=$AB$49,$AC$49,E37=$AB$50,$AC$50,E37=$AB$51,$AC$51,E37=$AB$52,$AC$52,E37=$AB$53,$AC$53,E37=$AB$54,$AC$54,E37=$AB$55,$AC$55,E37=$AB$56,$AC$56,E37=$AB$57,$AC$57,E37=$AB$58,$AC$58,E37=$AB$59,$AC$59,E37=$AB$60,$AC$60,E37=$AB$61,$AC$61,E37=$AB$62,$AC$62,E37=$AB$63,$AC$63,E37=$AB$64,$AC$64,E37=$AB$65,$AC$65,E37=$AB$66,$AC$66,TRUE,"0")</f>
        <v>#NAME?</v>
      </c>
      <c r="C37" s="161" t="str" cm="1">
        <f t="array" ref="C37">_xlfn.IFS(E37=$AB$42,$AF$42,E37=$AB$43,$AF$43,E37=$AB$44,$AF$44,E37=$AB$45,$AF$45,E37=$AB$46,$AF$46,E37=$AB$47,$AF$47,E37=$AB$48,$AF$48,E37=$AB$49,$AF$49,E37=$AB$50,$AF$50,E37=$AB$51,$AF$51,E37=$AB$52,$AF$52,E37=$AB$53,$AF$53,E37=$AB$54,$AF$54,E37=$AB$55,$AF$55,E37=$AB$56,$AF$56,E37=$AB$57,$AF$57,E37=$AB$58,$AF$58,E37=$AB$59,$AF$59,E37=$AB$60,$AF$60,E37=$AB$61,$AF$61,E37=$AB$62,$AF$62,E37=$AB$63,$AF$63,E37=$AB$64,$AF$64,E37=$AB$65,$AF$65,E37=$AB$66,$AF$66,TRUE,"0")</f>
        <v>if 0-0, BACK+ 0.5 GOALS  @ 1.15+odds.  or @ 40 mins</v>
      </c>
      <c r="D37" s="270" t="str" cm="1">
        <f t="array" ref="D37">_xlfn.IFS(E37=$AB$42,$AD$42,E37=$AB$43,$AD$43,E37=$AB$44,$AD$44,E37=$AB$45,$AD$45,E37=$AB$46,$AD$46,E37=$AB$47,$AD$47,E37=$AB$48,$AD$48,E37=$AB$49,$AD$49,E37=$AB$50,$AD$50,E37=$AB$51,$AD$51,E37=$AB$52,$AD$52,E37=$AB$53,$AD$53,E37=$AB$54,$AD$54,E37=$AB$55,$AD$55,E37=$AB$56,$AD$56,E37=$AB$57,$AD$57,E37=$AB$58,$AD$58,E37=$AB$59,$AD$59,E37=$AB$60,$AD$60,E37=$AB$61,$AD$61,E37=$AB$62,$AD$62,E37=$AB$63,$AD$63,E37=$AB$64,$AD$64,E37=$AB$65,$AD$65,E37=$AB$66,$AD$66,TRUE,"0")</f>
        <v>IP</v>
      </c>
      <c r="E37" s="163" t="s">
        <v>270</v>
      </c>
      <c r="F37" s="2" t="s">
        <v>58</v>
      </c>
      <c r="G37" s="2" t="s">
        <v>59</v>
      </c>
      <c r="H37" s="3">
        <v>45290.645833333336</v>
      </c>
      <c r="I37" s="2" t="s">
        <v>107</v>
      </c>
      <c r="J37" s="2" t="s">
        <v>108</v>
      </c>
      <c r="K37" s="2">
        <v>66</v>
      </c>
      <c r="L37" s="2">
        <v>0</v>
      </c>
      <c r="M37" s="2">
        <v>20</v>
      </c>
      <c r="N37" s="2"/>
      <c r="O37" s="2"/>
      <c r="P37" s="11"/>
      <c r="Q37" s="2" t="s">
        <v>95</v>
      </c>
      <c r="R37" s="14" t="s">
        <v>221</v>
      </c>
      <c r="S37" s="13" t="s">
        <v>214</v>
      </c>
      <c r="T37" s="188">
        <f t="shared" si="1"/>
        <v>32.207963547433295</v>
      </c>
      <c r="U37" s="8">
        <f t="shared" si="2"/>
        <v>5.7974334385379924</v>
      </c>
      <c r="V37" s="234">
        <f t="shared" si="5"/>
        <v>649.95670438720379</v>
      </c>
      <c r="W37" s="15">
        <v>25</v>
      </c>
      <c r="X37" s="8">
        <f t="shared" si="3"/>
        <v>4.5</v>
      </c>
      <c r="Y37" s="233">
        <f t="shared" si="4"/>
        <v>632.5</v>
      </c>
      <c r="AB37" s="196">
        <f>SUMIF(E:E,"0.5+ h2",X:X)</f>
        <v>418.5</v>
      </c>
      <c r="AJ37" s="208">
        <f>SUMIF(E:E,"SH LAY 0-0 1ST HALF B",X:X)</f>
        <v>4.5</v>
      </c>
      <c r="AK37" s="238"/>
      <c r="AL37" s="195"/>
    </row>
    <row r="38" spans="1:39" ht="15.75" thickBot="1">
      <c r="A38" s="156" t="e" cm="1">
        <f t="array" aca="1" ref="A38" ca="1">_xlfn.IFS(E38=$AB$42,$AC$42,E38=$AB$43,$AC$43,E38=$AB$44,$AC$44,E38=$AB$45,$AC$45,E38=$AB$46,$AC$46,E38=$AB$47,$AC$47,E38=$AB$48,$AC$48,E38=$AB$49,$AC$49,E38=$AB$50,$AC$50,E38=$AB$51,$AC$51,E38=$AB$52,$AC$52,E38=$AB$53,$AC$53,E38=$AB$54,$AC$54,E38=$AB$55,$AC$55,E38=$AB$56,$AC$56,E38=$AB$57,$AC$57,E38=$AB$58,$AC$58,E38=$AB$59,$AC$59,E38=$AB$60,$AC$60,E38=$AB$61,$AC$61,E38=$AB$62,$AC$62,E38=$AB$63,$AC$63,E38=$AB$64,$AC$64,E38=$AB$65,$AC$65,E38=$AB$66,$AC$66,TRUE,"0")</f>
        <v>#NAME?</v>
      </c>
      <c r="C38" s="161" t="str" cm="1">
        <f t="array" ref="C38">_xlfn.IFS(E38=$AB$42,$AF$42,E38=$AB$43,$AF$43,E38=$AB$44,$AF$44,E38=$AB$45,$AF$45,E38=$AB$46,$AF$46,E38=$AB$47,$AF$47,E38=$AB$48,$AF$48,E38=$AB$49,$AF$49,E38=$AB$50,$AF$50,E38=$AB$51,$AF$51,E38=$AB$52,$AF$52,E38=$AB$53,$AF$53,E38=$AB$54,$AF$54,E38=$AB$55,$AF$55,E38=$AB$56,$AF$56,E38=$AB$57,$AF$57,E38=$AB$58,$AF$58,E38=$AB$59,$AF$59,E38=$AB$60,$AF$60,E38=$AB$61,$AF$61,E38=$AB$62,$AF$62,E38=$AB$63,$AF$63,E38=$AB$64,$AF$64,E38=$AB$65,$AF$65,E38=$AB$66,$AF$66,TRUE,"0")</f>
        <v>if 0-0, BACK+ 0.5 GOALS  @ 1.15+odds.  or @ 40 mins</v>
      </c>
      <c r="D38" s="270" t="str" cm="1">
        <f t="array" ref="D38">_xlfn.IFS(E38=$AB$42,$AD$42,E38=$AB$43,$AD$43,E38=$AB$44,$AD$44,E38=$AB$45,$AD$45,E38=$AB$46,$AD$46,E38=$AB$47,$AD$47,E38=$AB$48,$AD$48,E38=$AB$49,$AD$49,E38=$AB$50,$AD$50,E38=$AB$51,$AD$51,E38=$AB$52,$AD$52,E38=$AB$53,$AD$53,E38=$AB$54,$AD$54,E38=$AB$55,$AD$55,E38=$AB$56,$AD$56,E38=$AB$57,$AD$57,E38=$AB$58,$AD$58,E38=$AB$59,$AD$59,E38=$AB$60,$AD$60,E38=$AB$61,$AD$61,E38=$AB$62,$AD$62,E38=$AB$63,$AD$63,E38=$AB$64,$AD$64,E38=$AB$65,$AD$65,E38=$AB$66,$AD$66,TRUE,"0")</f>
        <v>IP</v>
      </c>
      <c r="E38" s="163" t="s">
        <v>270</v>
      </c>
      <c r="F38" s="2" t="s">
        <v>6</v>
      </c>
      <c r="G38" s="2" t="s">
        <v>62</v>
      </c>
      <c r="H38" s="3">
        <v>45291.583333333336</v>
      </c>
      <c r="I38" s="2" t="s">
        <v>115</v>
      </c>
      <c r="J38" s="2" t="s">
        <v>73</v>
      </c>
      <c r="K38" s="2">
        <v>60</v>
      </c>
      <c r="L38" s="2">
        <v>0</v>
      </c>
      <c r="M38" s="2">
        <v>20</v>
      </c>
      <c r="N38" s="2"/>
      <c r="O38" s="2"/>
      <c r="P38" s="11"/>
      <c r="Q38" s="2" t="s">
        <v>95</v>
      </c>
      <c r="R38" s="14" t="s">
        <v>216</v>
      </c>
      <c r="S38" s="13" t="s">
        <v>222</v>
      </c>
      <c r="T38" s="188">
        <f t="shared" si="1"/>
        <v>32.497835219360191</v>
      </c>
      <c r="U38" s="8">
        <f t="shared" si="2"/>
        <v>5.8496103394848342</v>
      </c>
      <c r="V38" s="234">
        <f t="shared" si="5"/>
        <v>655.80631472668858</v>
      </c>
      <c r="W38" s="15">
        <v>25</v>
      </c>
      <c r="X38" s="8">
        <f t="shared" si="3"/>
        <v>4.5</v>
      </c>
      <c r="Y38" s="233">
        <f t="shared" si="4"/>
        <v>637</v>
      </c>
      <c r="AB38" s="263" t="s">
        <v>876</v>
      </c>
      <c r="AC38" s="264">
        <f>COUNTIFS(E:E,"sh H2 HIGH SCORERS",Q:Q,"WON")</f>
        <v>6</v>
      </c>
      <c r="AD38" s="149">
        <f>AC38/AC40</f>
        <v>1</v>
      </c>
      <c r="AF38" s="265" t="s">
        <v>877</v>
      </c>
      <c r="AG38" s="264">
        <f>COUNTIFS(E:E,"SH BACK H2 GOALS",Q:Q,"WON")</f>
        <v>15</v>
      </c>
      <c r="AH38" s="149">
        <f>AG38/AG40</f>
        <v>1</v>
      </c>
      <c r="AJ38" s="266" t="s">
        <v>885</v>
      </c>
      <c r="AK38" s="264">
        <f>COUNTIFS(E:E,"SH 0.5+ h2",Q:Q,"won")</f>
        <v>3</v>
      </c>
      <c r="AL38" s="23">
        <f>AK38/AK40</f>
        <v>1</v>
      </c>
    </row>
    <row r="39" spans="1:39" ht="15.75" thickBot="1">
      <c r="A39" s="156" t="e" cm="1">
        <f t="array" aca="1" ref="A39" ca="1">_xlfn.IFS(E39=$AB$42,$AC$42,E39=$AB$43,$AC$43,E39=$AB$44,$AC$44,E39=$AB$45,$AC$45,E39=$AB$46,$AC$46,E39=$AB$47,$AC$47,E39=$AB$48,$AC$48,E39=$AB$49,$AC$49,E39=$AB$50,$AC$50,E39=$AB$51,$AC$51,E39=$AB$52,$AC$52,E39=$AB$53,$AC$53,E39=$AB$54,$AC$54,E39=$AB$55,$AC$55,E39=$AB$56,$AC$56,E39=$AB$57,$AC$57,E39=$AB$58,$AC$58,E39=$AB$59,$AC$59,E39=$AB$60,$AC$60,E39=$AB$61,$AC$61,E39=$AB$62,$AC$62,E39=$AB$63,$AC$63,E39=$AB$64,$AC$64,E39=$AB$65,$AC$65,E39=$AB$66,$AC$66,TRUE,"0")</f>
        <v>#NAME?</v>
      </c>
      <c r="C39" s="161" t="str" cm="1">
        <f t="array" ref="C39">_xlfn.IFS(E39=$AB$42,$AF$42,E39=$AB$43,$AF$43,E39=$AB$44,$AF$44,E39=$AB$45,$AF$45,E39=$AB$46,$AF$46,E39=$AB$47,$AF$47,E39=$AB$48,$AF$48,E39=$AB$49,$AF$49,E39=$AB$50,$AF$50,E39=$AB$51,$AF$51,E39=$AB$52,$AF$52,E39=$AB$53,$AF$53,E39=$AB$54,$AF$54,E39=$AB$55,$AF$55,E39=$AB$56,$AF$56,E39=$AB$57,$AF$57,E39=$AB$58,$AF$58,E39=$AB$59,$AF$59,E39=$AB$60,$AF$60,E39=$AB$61,$AF$61,E39=$AB$62,$AF$62,E39=$AB$63,$AF$63,E39=$AB$64,$AF$64,E39=$AB$65,$AF$65,E39=$AB$66,$AF$66,TRUE,"0")</f>
        <v>40 mins Back ANother Goal</v>
      </c>
      <c r="D39" s="270" t="str" cm="1">
        <f t="array" ref="D39">_xlfn.IFS(E39=$AB$42,$AD$42,E39=$AB$43,$AD$43,E39=$AB$44,$AD$44,E39=$AB$45,$AD$45,E39=$AB$46,$AD$46,E39=$AB$47,$AD$47,E39=$AB$48,$AD$48,E39=$AB$49,$AD$49,E39=$AB$50,$AD$50,E39=$AB$51,$AD$51,E39=$AB$52,$AD$52,E39=$AB$53,$AD$53,E39=$AB$54,$AD$54,E39=$AB$55,$AD$55,E39=$AB$56,$AD$56,E39=$AB$57,$AD$57,E39=$AB$58,$AD$58,E39=$AB$59,$AD$59,E39=$AB$60,$AD$60,E39=$AB$61,$AD$61,E39=$AB$62,$AD$62,E39=$AB$63,$AD$63,E39=$AB$64,$AD$64,E39=$AB$65,$AD$65,E39=$AB$66,$AD$66,TRUE,"0")</f>
        <v xml:space="preserve">  BANG</v>
      </c>
      <c r="E39" s="163" t="s">
        <v>10</v>
      </c>
      <c r="F39" s="2" t="s">
        <v>6</v>
      </c>
      <c r="G39" s="2" t="s">
        <v>62</v>
      </c>
      <c r="H39" s="3">
        <v>45291.583333333336</v>
      </c>
      <c r="I39" s="2" t="s">
        <v>116</v>
      </c>
      <c r="J39" s="2" t="s">
        <v>117</v>
      </c>
      <c r="K39" s="2">
        <v>2.06</v>
      </c>
      <c r="L39" s="2">
        <v>100</v>
      </c>
      <c r="M39" s="2">
        <v>61</v>
      </c>
      <c r="N39" s="2">
        <v>28</v>
      </c>
      <c r="O39" s="2">
        <v>65</v>
      </c>
      <c r="P39" s="11">
        <v>18</v>
      </c>
      <c r="Q39" s="2" t="s">
        <v>95</v>
      </c>
      <c r="R39" s="13" t="s">
        <v>214</v>
      </c>
      <c r="S39" s="13" t="s">
        <v>215</v>
      </c>
      <c r="T39" s="188">
        <f t="shared" si="1"/>
        <v>32.790315736334428</v>
      </c>
      <c r="U39" s="8">
        <f t="shared" si="2"/>
        <v>5.9022568325401972</v>
      </c>
      <c r="V39" s="234">
        <f t="shared" si="5"/>
        <v>661.70857155922874</v>
      </c>
      <c r="W39" s="15">
        <v>25</v>
      </c>
      <c r="X39" s="8">
        <f t="shared" si="3"/>
        <v>4.5</v>
      </c>
      <c r="Y39" s="233">
        <f t="shared" si="4"/>
        <v>641.5</v>
      </c>
      <c r="AB39" s="263" t="s">
        <v>876</v>
      </c>
      <c r="AC39" s="264">
        <f>COUNTIFS(E:E,"sh H2 HIGH SCORERS",Q:Q,"LOST")</f>
        <v>0</v>
      </c>
      <c r="AD39" s="18">
        <f>AC39/AC40</f>
        <v>0</v>
      </c>
      <c r="AF39" s="265" t="s">
        <v>877</v>
      </c>
      <c r="AG39" s="264">
        <f>COUNTIFS(E:E,"SH BACK H2 GOALS",Q:Q,"LOST")</f>
        <v>0</v>
      </c>
      <c r="AH39" s="18">
        <f>AG39/AG40</f>
        <v>0</v>
      </c>
      <c r="AJ39" s="266" t="s">
        <v>907</v>
      </c>
      <c r="AK39" s="264">
        <f>COUNTIFS(E:E,"SH 0.5+ h2",Q:Q,"LOST")</f>
        <v>0</v>
      </c>
      <c r="AL39" s="18">
        <f>AK39/AK40</f>
        <v>0</v>
      </c>
    </row>
    <row r="40" spans="1:39" ht="15.75" thickBot="1">
      <c r="A40" s="156" t="e" cm="1">
        <f t="array" aca="1" ref="A40" ca="1">_xlfn.IFS(E40=$AB$42,$AC$42,E40=$AB$43,$AC$43,E40=$AB$44,$AC$44,E40=$AB$45,$AC$45,E40=$AB$46,$AC$46,E40=$AB$47,$AC$47,E40=$AB$48,$AC$48,E40=$AB$49,$AC$49,E40=$AB$50,$AC$50,E40=$AB$51,$AC$51,E40=$AB$52,$AC$52,E40=$AB$53,$AC$53,E40=$AB$54,$AC$54,E40=$AB$55,$AC$55,E40=$AB$56,$AC$56,E40=$AB$57,$AC$57,E40=$AB$58,$AC$58,E40=$AB$59,$AC$59,E40=$AB$60,$AC$60,E40=$AB$61,$AC$61,E40=$AB$62,$AC$62,E40=$AB$63,$AC$63,E40=$AB$64,$AC$64,E40=$AB$65,$AC$65,E40=$AB$66,$AC$66,TRUE,"0")</f>
        <v>#NAME?</v>
      </c>
      <c r="C40" s="161" t="str" cm="1">
        <f t="array" ref="C40">_xlfn.IFS(E40=$AB$42,$AF$42,E40=$AB$43,$AF$43,E40=$AB$44,$AF$44,E40=$AB$45,$AF$45,E40=$AB$46,$AF$46,E40=$AB$47,$AF$47,E40=$AB$48,$AF$48,E40=$AB$49,$AF$49,E40=$AB$50,$AF$50,E40=$AB$51,$AF$51,E40=$AB$52,$AF$52,E40=$AB$53,$AF$53,E40=$AB$54,$AF$54,E40=$AB$55,$AF$55,E40=$AB$56,$AF$56,E40=$AB$57,$AF$57,E40=$AB$58,$AF$58,E40=$AB$59,$AF$59,E40=$AB$60,$AF$60,E40=$AB$61,$AF$61,E40=$AB$62,$AF$62,E40=$AB$63,$AF$63,E40=$AB$64,$AF$64,E40=$AB$65,$AF$65,E40=$AB$66,$AF$66,TRUE,"0")</f>
        <v>if 0-0, BACK+ 0.5 GOALS  @ 1.15+odds.  or @ 40 mins</v>
      </c>
      <c r="D40" s="270" t="str" cm="1">
        <f t="array" ref="D40">_xlfn.IFS(E40=$AB$42,$AD$42,E40=$AB$43,$AD$43,E40=$AB$44,$AD$44,E40=$AB$45,$AD$45,E40=$AB$46,$AD$46,E40=$AB$47,$AD$47,E40=$AB$48,$AD$48,E40=$AB$49,$AD$49,E40=$AB$50,$AD$50,E40=$AB$51,$AD$51,E40=$AB$52,$AD$52,E40=$AB$53,$AD$53,E40=$AB$54,$AD$54,E40=$AB$55,$AD$55,E40=$AB$56,$AD$56,E40=$AB$57,$AD$57,E40=$AB$58,$AD$58,E40=$AB$59,$AD$59,E40=$AB$60,$AD$60,E40=$AB$61,$AD$61,E40=$AB$62,$AD$62,E40=$AB$63,$AD$63,E40=$AB$64,$AD$64,E40=$AB$65,$AD$65,E40=$AB$66,$AD$66,TRUE,"0")</f>
        <v>IP</v>
      </c>
      <c r="E40" s="163" t="s">
        <v>270</v>
      </c>
      <c r="F40" s="2" t="s">
        <v>6</v>
      </c>
      <c r="G40" s="2" t="s">
        <v>62</v>
      </c>
      <c r="H40" s="3">
        <v>45291.583333333336</v>
      </c>
      <c r="I40" s="2" t="s">
        <v>116</v>
      </c>
      <c r="J40" s="2" t="s">
        <v>117</v>
      </c>
      <c r="K40" s="2">
        <v>59</v>
      </c>
      <c r="L40" s="2">
        <v>0</v>
      </c>
      <c r="M40" s="2">
        <v>20</v>
      </c>
      <c r="N40" s="2"/>
      <c r="O40" s="2"/>
      <c r="P40" s="11"/>
      <c r="Q40" s="2" t="s">
        <v>95</v>
      </c>
      <c r="R40" s="13" t="s">
        <v>214</v>
      </c>
      <c r="S40" s="13" t="s">
        <v>215</v>
      </c>
      <c r="T40" s="188">
        <f t="shared" si="1"/>
        <v>33.085428577961437</v>
      </c>
      <c r="U40" s="8">
        <f t="shared" si="2"/>
        <v>5.9553771440330587</v>
      </c>
      <c r="V40" s="234">
        <f t="shared" si="5"/>
        <v>667.66394870326178</v>
      </c>
      <c r="W40" s="15">
        <v>25</v>
      </c>
      <c r="X40" s="8">
        <f t="shared" si="3"/>
        <v>4.5</v>
      </c>
      <c r="Y40" s="233">
        <f t="shared" si="4"/>
        <v>646</v>
      </c>
      <c r="AB40" s="28">
        <f>SUMIF(E:E,"SH H2 HIGH SCORERS",U:U)</f>
        <v>30.339014943838144</v>
      </c>
      <c r="AC40" s="240">
        <f>SUM(AC38:AC39)</f>
        <v>6</v>
      </c>
      <c r="AD40" s="232">
        <f>SUM(AB40/AC40)</f>
        <v>5.0565024906396907</v>
      </c>
      <c r="AF40" s="28">
        <f>SUMIF(E:E,"SH BACK H2 GOALS",U:U)</f>
        <v>76.696044943577249</v>
      </c>
      <c r="AG40" s="240">
        <f>SUM(AG38:AG39)</f>
        <v>15</v>
      </c>
      <c r="AH40" s="232">
        <f>SUM(AF40/AG40)</f>
        <v>5.1130696629051497</v>
      </c>
      <c r="AJ40" s="28">
        <f>SUMIF(E:E,"SH 0.5+ h2",U:U)</f>
        <v>13.242703734982891</v>
      </c>
      <c r="AK40" s="240">
        <f>SUM(AK38:AK39)</f>
        <v>3</v>
      </c>
      <c r="AL40" s="232">
        <f>SUM(AJ40/AK40)</f>
        <v>4.4142345783276307</v>
      </c>
    </row>
    <row r="41" spans="1:39" ht="15.75" thickBot="1">
      <c r="A41" s="156" t="e" cm="1">
        <f t="array" aca="1" ref="A41" ca="1">_xlfn.IFS(E41=$AB$42,$AC$42,E41=$AB$43,$AC$43,E41=$AB$44,$AC$44,E41=$AB$45,$AC$45,E41=$AB$46,$AC$46,E41=$AB$47,$AC$47,E41=$AB$48,$AC$48,E41=$AB$49,$AC$49,E41=$AB$50,$AC$50,E41=$AB$51,$AC$51,E41=$AB$52,$AC$52,E41=$AB$53,$AC$53,E41=$AB$54,$AC$54,E41=$AB$55,$AC$55,E41=$AB$56,$AC$56,E41=$AB$57,$AC$57,E41=$AB$58,$AC$58,E41=$AB$59,$AC$59,E41=$AB$60,$AC$60,E41=$AB$61,$AC$61,E41=$AB$62,$AC$62,E41=$AB$63,$AC$63,E41=$AB$64,$AC$64,E41=$AB$65,$AC$65,E41=$AB$66,$AC$66,TRUE,"0")</f>
        <v>#NAME?</v>
      </c>
      <c r="C41" s="161" t="str" cm="1">
        <f t="array" ref="C41">_xlfn.IFS(E41=$AB$42,$AF$42,E41=$AB$43,$AF$43,E41=$AB$44,$AF$44,E41=$AB$45,$AF$45,E41=$AB$46,$AF$46,E41=$AB$47,$AF$47,E41=$AB$48,$AF$48,E41=$AB$49,$AF$49,E41=$AB$50,$AF$50,E41=$AB$51,$AF$51,E41=$AB$52,$AF$52,E41=$AB$53,$AF$53,E41=$AB$54,$AF$54,E41=$AB$55,$AF$55,E41=$AB$56,$AF$56,E41=$AB$57,$AF$57,E41=$AB$58,$AF$58,E41=$AB$59,$AF$59,E41=$AB$60,$AF$60,E41=$AB$61,$AF$61,E41=$AB$62,$AF$62,E41=$AB$63,$AF$63,E41=$AB$64,$AF$64,E41=$AB$65,$AF$65,E41=$AB$66,$AF$66,TRUE,"0")</f>
        <v>B4 Match, lay HT 0-0 or BACK H1 +0.5 GOALS</v>
      </c>
      <c r="D41" s="270" t="str" cm="1">
        <f t="array" ref="D41">_xlfn.IFS(E41=$AB$42,$AD$42,E41=$AB$43,$AD$43,E41=$AB$44,$AD$44,E41=$AB$45,$AD$45,E41=$AB$46,$AD$46,E41=$AB$47,$AD$47,E41=$AB$48,$AD$48,E41=$AB$49,$AD$49,E41=$AB$50,$AD$50,E41=$AB$51,$AD$51,E41=$AB$52,$AD$52,E41=$AB$53,$AD$53,E41=$AB$54,$AD$54,E41=$AB$55,$AD$55,E41=$AB$56,$AD$56,E41=$AB$57,$AD$57,E41=$AB$58,$AD$58,E41=$AB$59,$AD$59,E41=$AB$60,$AD$60,E41=$AB$61,$AD$61,E41=$AB$62,$AD$62,E41=$AB$63,$AD$63,E41=$AB$64,$AD$64,E41=$AB$65,$AD$65,E41=$AB$66,$AD$66,TRUE,"0")</f>
        <v xml:space="preserve">BFM </v>
      </c>
      <c r="E41" s="163" t="s">
        <v>432</v>
      </c>
      <c r="F41" s="2" t="s">
        <v>6</v>
      </c>
      <c r="G41" s="2" t="s">
        <v>62</v>
      </c>
      <c r="H41" s="3">
        <v>45291.583333333336</v>
      </c>
      <c r="I41" s="2" t="s">
        <v>116</v>
      </c>
      <c r="J41" s="2" t="s">
        <v>117</v>
      </c>
      <c r="K41" s="2">
        <v>9</v>
      </c>
      <c r="L41" s="2">
        <v>9</v>
      </c>
      <c r="M41" s="2">
        <v>22</v>
      </c>
      <c r="N41" s="2">
        <v>17</v>
      </c>
      <c r="O41" s="2">
        <v>89</v>
      </c>
      <c r="P41" s="11">
        <v>4.7</v>
      </c>
      <c r="Q41" s="2" t="s">
        <v>95</v>
      </c>
      <c r="R41" s="14" t="s">
        <v>214</v>
      </c>
      <c r="S41" s="13" t="s">
        <v>215</v>
      </c>
      <c r="T41" s="188">
        <f t="shared" si="1"/>
        <v>33.38319743516309</v>
      </c>
      <c r="U41" s="8">
        <f t="shared" si="2"/>
        <v>6.0089755383293557</v>
      </c>
      <c r="V41" s="234">
        <f t="shared" si="5"/>
        <v>673.67292424159109</v>
      </c>
      <c r="W41" s="15">
        <v>25</v>
      </c>
      <c r="X41" s="8">
        <f t="shared" si="3"/>
        <v>4.5</v>
      </c>
      <c r="Y41" s="233">
        <f t="shared" si="4"/>
        <v>650.5</v>
      </c>
      <c r="AB41" s="280">
        <f>SUMIF(E:E,"SH H2 HIGH SCORERS",X:X)</f>
        <v>27</v>
      </c>
      <c r="AF41" s="280">
        <f>SUMIF(E:E,"SH BACK H2 GOALS",X:X)</f>
        <v>67.5</v>
      </c>
      <c r="AJ41" s="196">
        <f>SUMIF(E:E,"SH 0.5+ h2",X:X)</f>
        <v>13.5</v>
      </c>
      <c r="AK41" s="43"/>
      <c r="AL41" s="16"/>
    </row>
    <row r="42" spans="1:39" ht="15.75" thickBot="1">
      <c r="A42" s="156" t="e" cm="1">
        <f t="array" aca="1" ref="A42" ca="1">_xlfn.IFS(E42=$AB$42,$AC$42,E42=$AB$43,$AC$43,E42=$AB$44,$AC$44,E42=$AB$45,$AC$45,E42=$AB$46,$AC$46,E42=$AB$47,$AC$47,E42=$AB$48,$AC$48,E42=$AB$49,$AC$49,E42=$AB$50,$AC$50,E42=$AB$51,$AC$51,E42=$AB$52,$AC$52,E42=$AB$53,$AC$53,E42=$AB$54,$AC$54,E42=$AB$55,$AC$55,E42=$AB$56,$AC$56,E42=$AB$57,$AC$57,E42=$AB$58,$AC$58,E42=$AB$59,$AC$59,E42=$AB$60,$AC$60,E42=$AB$61,$AC$61,E42=$AB$62,$AC$62,E42=$AB$63,$AC$63,E42=$AB$64,$AC$64,E42=$AB$65,$AC$65,E42=$AB$66,$AC$66,TRUE,"0")</f>
        <v>#NAME?</v>
      </c>
      <c r="C42" s="161" t="str" cm="1">
        <f t="array" ref="C42">_xlfn.IFS(E42=$AB$42,$AF$42,E42=$AB$43,$AF$43,E42=$AB$44,$AF$44,E42=$AB$45,$AF$45,E42=$AB$46,$AF$46,E42=$AB$47,$AF$47,E42=$AB$48,$AF$48,E42=$AB$49,$AF$49,E42=$AB$50,$AF$50,E42=$AB$51,$AF$51,E42=$AB$52,$AF$52,E42=$AB$53,$AF$53,E42=$AB$54,$AF$54,E42=$AB$55,$AF$55,E42=$AB$56,$AF$56,E42=$AB$57,$AF$57,E42=$AB$58,$AF$58,E42=$AB$59,$AF$59,E42=$AB$60,$AF$60,E42=$AB$61,$AF$61,E42=$AB$62,$AF$62,E42=$AB$63,$AF$63,E42=$AB$64,$AF$64,E42=$AB$65,$AF$65,E42=$AB$66,$AF$66,TRUE,"0")</f>
        <v>40 mins Back ANother Goal</v>
      </c>
      <c r="D42" s="270" t="str" cm="1">
        <f t="array" ref="D42">_xlfn.IFS(E42=$AB$42,$AD$42,E42=$AB$43,$AD$43,E42=$AB$44,$AD$44,E42=$AB$45,$AD$45,E42=$AB$46,$AD$46,E42=$AB$47,$AD$47,E42=$AB$48,$AD$48,E42=$AB$49,$AD$49,E42=$AB$50,$AD$50,E42=$AB$51,$AD$51,E42=$AB$52,$AD$52,E42=$AB$53,$AD$53,E42=$AB$54,$AD$54,E42=$AB$55,$AD$55,E42=$AB$56,$AD$56,E42=$AB$57,$AD$57,E42=$AB$58,$AD$58,E42=$AB$59,$AD$59,E42=$AB$60,$AD$60,E42=$AB$61,$AD$61,E42=$AB$62,$AD$62,E42=$AB$63,$AD$63,E42=$AB$64,$AD$64,E42=$AB$65,$AD$65,E42=$AB$66,$AD$66,TRUE,"0")</f>
        <v xml:space="preserve">  BANG</v>
      </c>
      <c r="E42" s="163" t="s">
        <v>35</v>
      </c>
      <c r="F42" s="2" t="s">
        <v>6</v>
      </c>
      <c r="G42" s="2" t="s">
        <v>40</v>
      </c>
      <c r="H42" s="3">
        <v>45292.625</v>
      </c>
      <c r="I42" s="2" t="s">
        <v>41</v>
      </c>
      <c r="J42" s="2" t="s">
        <v>42</v>
      </c>
      <c r="K42" s="2">
        <v>70</v>
      </c>
      <c r="L42" s="2">
        <v>90</v>
      </c>
      <c r="M42" s="2">
        <v>80</v>
      </c>
      <c r="N42" s="2">
        <v>50</v>
      </c>
      <c r="O42" s="2">
        <v>20</v>
      </c>
      <c r="P42" s="11"/>
      <c r="Q42" s="2" t="s">
        <v>95</v>
      </c>
      <c r="R42" s="13" t="s">
        <v>193</v>
      </c>
      <c r="S42" s="13" t="s">
        <v>209</v>
      </c>
      <c r="T42" s="188">
        <f t="shared" si="1"/>
        <v>33.683646212079559</v>
      </c>
      <c r="U42" s="8">
        <f t="shared" si="2"/>
        <v>6.0630563181743202</v>
      </c>
      <c r="V42" s="234">
        <f t="shared" si="5"/>
        <v>679.73598055976538</v>
      </c>
      <c r="W42" s="15">
        <v>25</v>
      </c>
      <c r="X42" s="8">
        <f t="shared" si="3"/>
        <v>4.5</v>
      </c>
      <c r="Y42" s="233">
        <f t="shared" si="4"/>
        <v>655</v>
      </c>
      <c r="Z42">
        <v>70</v>
      </c>
      <c r="AA42" s="35">
        <v>1.43</v>
      </c>
      <c r="AB42" s="2" t="s">
        <v>28</v>
      </c>
      <c r="AC42" s="281">
        <f>AD2</f>
        <v>1</v>
      </c>
      <c r="AD42" s="7" t="s">
        <v>925</v>
      </c>
      <c r="AE42" s="160">
        <f>AK44</f>
        <v>538</v>
      </c>
      <c r="AF42" s="160" t="s">
        <v>924</v>
      </c>
      <c r="AG42" s="7"/>
      <c r="AH42" s="160"/>
      <c r="AI42" s="29"/>
      <c r="AJ42" s="274" t="s">
        <v>899</v>
      </c>
      <c r="AK42" s="30">
        <f>SUM(AG27)</f>
        <v>517</v>
      </c>
      <c r="AL42" s="151">
        <f>AK42/AK44</f>
        <v>0.96096654275092941</v>
      </c>
      <c r="AM42" t="s">
        <v>902</v>
      </c>
    </row>
    <row r="43" spans="1:39" ht="15.75" thickBot="1">
      <c r="A43" s="156" t="e" cm="1">
        <f t="array" aca="1" ref="A43" ca="1">_xlfn.IFS(E43=$AB$42,$AC$42,E43=$AB$43,$AC$43,E43=$AB$44,$AC$44,E43=$AB$45,$AC$45,E43=$AB$46,$AC$46,E43=$AB$47,$AC$47,E43=$AB$48,$AC$48,E43=$AB$49,$AC$49,E43=$AB$50,$AC$50,E43=$AB$51,$AC$51,E43=$AB$52,$AC$52,E43=$AB$53,$AC$53,E43=$AB$54,$AC$54,E43=$AB$55,$AC$55,E43=$AB$56,$AC$56,E43=$AB$57,$AC$57,E43=$AB$58,$AC$58,E43=$AB$59,$AC$59,E43=$AB$60,$AC$60,E43=$AB$61,$AC$61,E43=$AB$62,$AC$62,E43=$AB$63,$AC$63,E43=$AB$64,$AC$64,E43=$AB$65,$AC$65,E43=$AB$66,$AC$66,TRUE,"0")</f>
        <v>#NAME?</v>
      </c>
      <c r="C43" s="161" t="str" cm="1">
        <f t="array" ref="C43">_xlfn.IFS(E43=$AB$42,$AF$42,E43=$AB$43,$AF$43,E43=$AB$44,$AF$44,E43=$AB$45,$AF$45,E43=$AB$46,$AF$46,E43=$AB$47,$AF$47,E43=$AB$48,$AF$48,E43=$AB$49,$AF$49,E43=$AB$50,$AF$50,E43=$AB$51,$AF$51,E43=$AB$52,$AF$52,E43=$AB$53,$AF$53,E43=$AB$54,$AF$54,E43=$AB$55,$AF$55,E43=$AB$56,$AF$56,E43=$AB$57,$AF$57,E43=$AB$58,$AF$58,E43=$AB$59,$AF$59,E43=$AB$60,$AF$60,E43=$AB$61,$AF$61,E43=$AB$62,$AF$62,E43=$AB$63,$AF$63,E43=$AB$64,$AF$64,E43=$AB$65,$AF$65,E43=$AB$66,$AF$66,TRUE,"0")</f>
        <v>B4 match BACK FT +1.5 goals. X AFTER  GOAL</v>
      </c>
      <c r="D43" s="270" t="str" cm="1">
        <f t="array" ref="D43">_xlfn.IFS(E43=$AB$42,$AD$42,E43=$AB$43,$AD$43,E43=$AB$44,$AD$44,E43=$AB$45,$AD$45,E43=$AB$46,$AD$46,E43=$AB$47,$AD$47,E43=$AB$48,$AD$48,E43=$AB$49,$AD$49,E43=$AB$50,$AD$50,E43=$AB$51,$AD$51,E43=$AB$52,$AD$52,E43=$AB$53,$AD$53,E43=$AB$54,$AD$54,E43=$AB$55,$AD$55,E43=$AB$56,$AD$56,E43=$AB$57,$AD$57,E43=$AB$58,$AD$58,E43=$AB$59,$AD$59,E43=$AB$60,$AD$60,E43=$AB$61,$AD$61,E43=$AB$62,$AD$62,E43=$AB$63,$AD$63,E43=$AB$64,$AD$64,E43=$AB$65,$AD$65,E43=$AB$66,$AD$66,TRUE,"0")</f>
        <v xml:space="preserve">BFM </v>
      </c>
      <c r="E43" s="163" t="s">
        <v>406</v>
      </c>
      <c r="F43" s="2" t="s">
        <v>119</v>
      </c>
      <c r="G43" s="2" t="s">
        <v>120</v>
      </c>
      <c r="H43" s="3">
        <v>45294.760416666664</v>
      </c>
      <c r="I43" s="2" t="s">
        <v>122</v>
      </c>
      <c r="J43" s="2" t="s">
        <v>123</v>
      </c>
      <c r="K43" s="2">
        <v>1.26</v>
      </c>
      <c r="L43" s="2">
        <v>16.5</v>
      </c>
      <c r="M43" s="2">
        <v>2.88</v>
      </c>
      <c r="N43" s="2">
        <v>4.9000000000000004</v>
      </c>
      <c r="O43" s="2"/>
      <c r="P43" s="11"/>
      <c r="Q43" s="2" t="s">
        <v>95</v>
      </c>
      <c r="R43" s="14" t="s">
        <v>221</v>
      </c>
      <c r="S43" s="13" t="s">
        <v>214</v>
      </c>
      <c r="T43" s="188">
        <f t="shared" si="1"/>
        <v>33.986799027988269</v>
      </c>
      <c r="U43" s="8">
        <f t="shared" si="2"/>
        <v>6.1176238250378878</v>
      </c>
      <c r="V43" s="234">
        <f t="shared" si="5"/>
        <v>685.85360438480325</v>
      </c>
      <c r="W43" s="15">
        <v>25</v>
      </c>
      <c r="X43" s="8">
        <f t="shared" si="3"/>
        <v>4.5</v>
      </c>
      <c r="Y43" s="233">
        <f t="shared" si="4"/>
        <v>659.5</v>
      </c>
      <c r="Z43">
        <v>72</v>
      </c>
      <c r="AA43" s="35">
        <v>1.39</v>
      </c>
      <c r="AB43" s="2" t="s">
        <v>35</v>
      </c>
      <c r="AC43" s="281">
        <f>AD6</f>
        <v>1</v>
      </c>
      <c r="AD43" s="7" t="s">
        <v>925</v>
      </c>
      <c r="AE43" s="160">
        <f>AK44</f>
        <v>538</v>
      </c>
      <c r="AF43" s="160" t="s">
        <v>924</v>
      </c>
      <c r="AG43" s="7"/>
      <c r="AH43" s="160"/>
      <c r="AI43" s="29"/>
      <c r="AJ43" s="274" t="s">
        <v>899</v>
      </c>
      <c r="AK43" s="30">
        <f>SUM(AG28)</f>
        <v>21</v>
      </c>
      <c r="AL43" s="31">
        <f>AK43/AK44</f>
        <v>3.9033457249070633E-2</v>
      </c>
    </row>
    <row r="44" spans="1:39" ht="15.75" thickBot="1">
      <c r="A44" s="156" t="e" cm="1">
        <f t="array" aca="1" ref="A44" ca="1">_xlfn.IFS(E44=$AB$42,$AC$42,E44=$AB$43,$AC$43,E44=$AB$44,$AC$44,E44=$AB$45,$AC$45,E44=$AB$46,$AC$46,E44=$AB$47,$AC$47,E44=$AB$48,$AC$48,E44=$AB$49,$AC$49,E44=$AB$50,$AC$50,E44=$AB$51,$AC$51,E44=$AB$52,$AC$52,E44=$AB$53,$AC$53,E44=$AB$54,$AC$54,E44=$AB$55,$AC$55,E44=$AB$56,$AC$56,E44=$AB$57,$AC$57,E44=$AB$58,$AC$58,E44=$AB$59,$AC$59,E44=$AB$60,$AC$60,E44=$AB$61,$AC$61,E44=$AB$62,$AC$62,E44=$AB$63,$AC$63,E44=$AB$64,$AC$64,E44=$AB$65,$AC$65,E44=$AB$66,$AC$66,TRUE,"0")</f>
        <v>#NAME?</v>
      </c>
      <c r="C44" s="161" t="str" cm="1">
        <f t="array" ref="C44">_xlfn.IFS(E44=$AB$42,$AF$42,E44=$AB$43,$AF$43,E44=$AB$44,$AF$44,E44=$AB$45,$AF$45,E44=$AB$46,$AF$46,E44=$AB$47,$AF$47,E44=$AB$48,$AF$48,E44=$AB$49,$AF$49,E44=$AB$50,$AF$50,E44=$AB$51,$AF$51,E44=$AB$52,$AF$52,E44=$AB$53,$AF$53,E44=$AB$54,$AF$54,E44=$AB$55,$AF$55,E44=$AB$56,$AF$56,E44=$AB$57,$AF$57,E44=$AB$58,$AF$58,E44=$AB$59,$AF$59,E44=$AB$60,$AF$60,E44=$AB$61,$AF$61,E44=$AB$62,$AF$62,E44=$AB$63,$AF$63,E44=$AB$64,$AF$64,E44=$AB$65,$AF$65,E44=$AB$66,$AF$66,TRUE,"0")</f>
        <v>40 mins Back ANother Goal</v>
      </c>
      <c r="D44" s="270" t="str" cm="1">
        <f t="array" ref="D44">_xlfn.IFS(E44=$AB$42,$AD$42,E44=$AB$43,$AD$43,E44=$AB$44,$AD$44,E44=$AB$45,$AD$45,E44=$AB$46,$AD$46,E44=$AB$47,$AD$47,E44=$AB$48,$AD$48,E44=$AB$49,$AD$49,E44=$AB$50,$AD$50,E44=$AB$51,$AD$51,E44=$AB$52,$AD$52,E44=$AB$53,$AD$53,E44=$AB$54,$AD$54,E44=$AB$55,$AD$55,E44=$AB$56,$AD$56,E44=$AB$57,$AD$57,E44=$AB$58,$AD$58,E44=$AB$59,$AD$59,E44=$AB$60,$AD$60,E44=$AB$61,$AD$61,E44=$AB$62,$AD$62,E44=$AB$63,$AD$63,E44=$AB$64,$AD$64,E44=$AB$65,$AD$65,E44=$AB$66,$AD$66,TRUE,"0")</f>
        <v xml:space="preserve">  BANG</v>
      </c>
      <c r="E44" s="163" t="s">
        <v>43</v>
      </c>
      <c r="F44" s="2" t="s">
        <v>119</v>
      </c>
      <c r="G44" s="2" t="s">
        <v>120</v>
      </c>
      <c r="H44" s="3">
        <v>45294.760416666664</v>
      </c>
      <c r="I44" s="2" t="s">
        <v>122</v>
      </c>
      <c r="J44" s="2" t="s">
        <v>123</v>
      </c>
      <c r="K44" s="2">
        <v>67</v>
      </c>
      <c r="L44" s="2">
        <v>67</v>
      </c>
      <c r="M44" s="2">
        <v>60</v>
      </c>
      <c r="N44" s="2">
        <v>1.7</v>
      </c>
      <c r="O44" s="2"/>
      <c r="P44" s="11"/>
      <c r="Q44" s="2" t="s">
        <v>95</v>
      </c>
      <c r="R44" s="13" t="s">
        <v>221</v>
      </c>
      <c r="S44" s="13" t="s">
        <v>214</v>
      </c>
      <c r="T44" s="188">
        <f t="shared" si="1"/>
        <v>34.292680219240161</v>
      </c>
      <c r="U44" s="8">
        <f t="shared" si="2"/>
        <v>6.1726824394632285</v>
      </c>
      <c r="V44" s="234">
        <f t="shared" si="5"/>
        <v>692.02628682426644</v>
      </c>
      <c r="W44" s="15">
        <v>25</v>
      </c>
      <c r="X44" s="8">
        <f t="shared" si="3"/>
        <v>4.5</v>
      </c>
      <c r="Y44" s="233">
        <f t="shared" si="4"/>
        <v>664</v>
      </c>
      <c r="Z44">
        <v>74</v>
      </c>
      <c r="AA44" s="35">
        <v>1.35</v>
      </c>
      <c r="AB44" s="2" t="s">
        <v>10</v>
      </c>
      <c r="AC44" s="281">
        <f>AD10</f>
        <v>0.95628415300546443</v>
      </c>
      <c r="AD44" s="7" t="s">
        <v>925</v>
      </c>
      <c r="AE44" s="160">
        <f>AK44</f>
        <v>538</v>
      </c>
      <c r="AF44" s="160" t="s">
        <v>924</v>
      </c>
      <c r="AG44" s="7"/>
      <c r="AH44" s="160"/>
      <c r="AI44" s="29"/>
      <c r="AJ44" s="28">
        <f>AF29</f>
        <v>49439.903647719104</v>
      </c>
      <c r="AK44" s="248">
        <f>SUM(AK42:AK43)</f>
        <v>538</v>
      </c>
      <c r="AL44" s="232">
        <f>SUM(AJ44/AK44)</f>
        <v>91.89573168721023</v>
      </c>
    </row>
    <row r="45" spans="1:39" ht="15.75" thickBot="1">
      <c r="A45" s="156" t="e" cm="1">
        <f t="array" aca="1" ref="A45" ca="1">_xlfn.IFS(E45=$AB$42,$AC$42,E45=$AB$43,$AC$43,E45=$AB$44,$AC$44,E45=$AB$45,$AC$45,E45=$AB$46,$AC$46,E45=$AB$47,$AC$47,E45=$AB$48,$AC$48,E45=$AB$49,$AC$49,E45=$AB$50,$AC$50,E45=$AB$51,$AC$51,E45=$AB$52,$AC$52,E45=$AB$53,$AC$53,E45=$AB$54,$AC$54,E45=$AB$55,$AC$55,E45=$AB$56,$AC$56,E45=$AB$57,$AC$57,E45=$AB$58,$AC$58,E45=$AB$59,$AC$59,E45=$AB$60,$AC$60,E45=$AB$61,$AC$61,E45=$AB$62,$AC$62,E45=$AB$63,$AC$63,E45=$AB$64,$AC$64,E45=$AB$65,$AC$65,E45=$AB$66,$AC$66,TRUE,"0")</f>
        <v>#NAME?</v>
      </c>
      <c r="C45" s="161" t="str" cm="1">
        <f t="array" ref="C45">_xlfn.IFS(E45=$AB$42,$AF$42,E45=$AB$43,$AF$43,E45=$AB$44,$AF$44,E45=$AB$45,$AF$45,E45=$AB$46,$AF$46,E45=$AB$47,$AF$47,E45=$AB$48,$AF$48,E45=$AB$49,$AF$49,E45=$AB$50,$AF$50,E45=$AB$51,$AF$51,E45=$AB$52,$AF$52,E45=$AB$53,$AF$53,E45=$AB$54,$AF$54,E45=$AB$55,$AF$55,E45=$AB$56,$AF$56,E45=$AB$57,$AF$57,E45=$AB$58,$AF$58,E45=$AB$59,$AF$59,E45=$AB$60,$AF$60,E45=$AB$61,$AF$61,E45=$AB$62,$AF$62,E45=$AB$63,$AF$63,E45=$AB$64,$AF$64,E45=$AB$65,$AF$65,E45=$AB$66,$AF$66,TRUE,"0")</f>
        <v>40 mins Back ANother Goal</v>
      </c>
      <c r="D45" s="270" t="str" cm="1">
        <f t="array" ref="D45">_xlfn.IFS(E45=$AB$42,$AD$42,E45=$AB$43,$AD$43,E45=$AB$44,$AD$44,E45=$AB$45,$AD$45,E45=$AB$46,$AD$46,E45=$AB$47,$AD$47,E45=$AB$48,$AD$48,E45=$AB$49,$AD$49,E45=$AB$50,$AD$50,E45=$AB$51,$AD$51,E45=$AB$52,$AD$52,E45=$AB$53,$AD$53,E45=$AB$54,$AD$54,E45=$AB$55,$AD$55,E45=$AB$56,$AD$56,E45=$AB$57,$AD$57,E45=$AB$58,$AD$58,E45=$AB$59,$AD$59,E45=$AB$60,$AD$60,E45=$AB$61,$AD$61,E45=$AB$62,$AD$62,E45=$AB$63,$AD$63,E45=$AB$64,$AD$64,E45=$AB$65,$AD$65,E45=$AB$66,$AD$66,TRUE,"0")</f>
        <v xml:space="preserve">  BANG</v>
      </c>
      <c r="E45" s="163" t="s">
        <v>43</v>
      </c>
      <c r="F45" s="2" t="s">
        <v>44</v>
      </c>
      <c r="G45" s="2" t="s">
        <v>45</v>
      </c>
      <c r="H45" s="3">
        <v>45295.364583333336</v>
      </c>
      <c r="I45" s="2" t="s">
        <v>124</v>
      </c>
      <c r="J45" s="2" t="s">
        <v>47</v>
      </c>
      <c r="K45" s="2">
        <v>67</v>
      </c>
      <c r="L45" s="2">
        <v>67</v>
      </c>
      <c r="M45" s="2">
        <v>62</v>
      </c>
      <c r="N45" s="2">
        <v>1.8</v>
      </c>
      <c r="O45" s="2"/>
      <c r="P45" s="11"/>
      <c r="Q45" s="2" t="s">
        <v>95</v>
      </c>
      <c r="R45" s="14" t="s">
        <v>216</v>
      </c>
      <c r="S45" s="13" t="s">
        <v>210</v>
      </c>
      <c r="T45" s="188">
        <f t="shared" si="1"/>
        <v>34.601314341213325</v>
      </c>
      <c r="U45" s="8">
        <f t="shared" si="2"/>
        <v>6.2282365814183986</v>
      </c>
      <c r="V45" s="234">
        <f t="shared" si="5"/>
        <v>698.25452340568484</v>
      </c>
      <c r="W45" s="15">
        <v>25</v>
      </c>
      <c r="X45" s="8">
        <f t="shared" si="3"/>
        <v>4.5</v>
      </c>
      <c r="Y45" s="233">
        <f t="shared" si="4"/>
        <v>668.5</v>
      </c>
      <c r="Z45">
        <v>76</v>
      </c>
      <c r="AA45" s="35">
        <v>1.31</v>
      </c>
      <c r="AB45" s="2" t="s">
        <v>43</v>
      </c>
      <c r="AC45" s="282">
        <f>AD14</f>
        <v>0.95945945945945943</v>
      </c>
      <c r="AD45" s="7" t="s">
        <v>925</v>
      </c>
      <c r="AE45" s="160">
        <f>AK44</f>
        <v>538</v>
      </c>
      <c r="AF45" s="160" t="s">
        <v>924</v>
      </c>
      <c r="AG45" s="7"/>
      <c r="AH45" s="160"/>
      <c r="AI45" s="29"/>
      <c r="AJ45" s="275">
        <f>AF30</f>
        <v>1801.5</v>
      </c>
      <c r="AK45" s="251"/>
      <c r="AL45" s="209"/>
    </row>
    <row r="46" spans="1:39" ht="15.75" thickBot="1">
      <c r="A46" s="156" t="e" cm="1">
        <f t="array" aca="1" ref="A46" ca="1">_xlfn.IFS(E46=$AB$42,$AC$42,E46=$AB$43,$AC$43,E46=$AB$44,$AC$44,E46=$AB$45,$AC$45,E46=$AB$46,$AC$46,E46=$AB$47,$AC$47,E46=$AB$48,$AC$48,E46=$AB$49,$AC$49,E46=$AB$50,$AC$50,E46=$AB$51,$AC$51,E46=$AB$52,$AC$52,E46=$AB$53,$AC$53,E46=$AB$54,$AC$54,E46=$AB$55,$AC$55,E46=$AB$56,$AC$56,E46=$AB$57,$AC$57,E46=$AB$58,$AC$58,E46=$AB$59,$AC$59,E46=$AB$60,$AC$60,E46=$AB$61,$AC$61,E46=$AB$62,$AC$62,E46=$AB$63,$AC$63,E46=$AB$64,$AC$64,E46=$AB$65,$AC$65,E46=$AB$66,$AC$66,TRUE,"0")</f>
        <v>#NAME?</v>
      </c>
      <c r="C46" s="161" t="str" cm="1">
        <f t="array" ref="C46">_xlfn.IFS(E46=$AB$42,$AF$42,E46=$AB$43,$AF$43,E46=$AB$44,$AF$44,E46=$AB$45,$AF$45,E46=$AB$46,$AF$46,E46=$AB$47,$AF$47,E46=$AB$48,$AF$48,E46=$AB$49,$AF$49,E46=$AB$50,$AF$50,E46=$AB$51,$AF$51,E46=$AB$52,$AF$52,E46=$AB$53,$AF$53,E46=$AB$54,$AF$54,E46=$AB$55,$AF$55,E46=$AB$56,$AF$56,E46=$AB$57,$AF$57,E46=$AB$58,$AF$58,E46=$AB$59,$AF$59,E46=$AB$60,$AF$60,E46=$AB$61,$AF$61,E46=$AB$62,$AF$62,E46=$AB$63,$AF$63,E46=$AB$64,$AF$64,E46=$AB$65,$AF$65,E46=$AB$66,$AF$66,TRUE,"0")</f>
        <v>B4 Match, lay HT 0-0 or BACK H1 +0.5 GOALS</v>
      </c>
      <c r="D46" s="270" t="str" cm="1">
        <f t="array" ref="D46">_xlfn.IFS(E46=$AB$42,$AD$42,E46=$AB$43,$AD$43,E46=$AB$44,$AD$44,E46=$AB$45,$AD$45,E46=$AB$46,$AD$46,E46=$AB$47,$AD$47,E46=$AB$48,$AD$48,E46=$AB$49,$AD$49,E46=$AB$50,$AD$50,E46=$AB$51,$AD$51,E46=$AB$52,$AD$52,E46=$AB$53,$AD$53,E46=$AB$54,$AD$54,E46=$AB$55,$AD$55,E46=$AB$56,$AD$56,E46=$AB$57,$AD$57,E46=$AB$58,$AD$58,E46=$AB$59,$AD$59,E46=$AB$60,$AD$60,E46=$AB$61,$AD$61,E46=$AB$62,$AD$62,E46=$AB$63,$AD$63,E46=$AB$64,$AD$64,E46=$AB$65,$AD$65,E46=$AB$66,$AD$66,TRUE,"0")</f>
        <v xml:space="preserve">BFM </v>
      </c>
      <c r="E46" s="163" t="s">
        <v>432</v>
      </c>
      <c r="F46" s="2" t="s">
        <v>44</v>
      </c>
      <c r="G46" s="2" t="s">
        <v>45</v>
      </c>
      <c r="H46" s="3">
        <v>45295.364583333336</v>
      </c>
      <c r="I46" s="2" t="s">
        <v>124</v>
      </c>
      <c r="J46" s="2" t="s">
        <v>47</v>
      </c>
      <c r="K46" s="2">
        <v>85</v>
      </c>
      <c r="L46" s="2">
        <v>23</v>
      </c>
      <c r="M46" s="2">
        <v>40</v>
      </c>
      <c r="N46" s="2"/>
      <c r="O46" s="2"/>
      <c r="P46" s="11"/>
      <c r="Q46" s="2" t="s">
        <v>95</v>
      </c>
      <c r="R46" s="14" t="s">
        <v>216</v>
      </c>
      <c r="S46" s="13" t="s">
        <v>210</v>
      </c>
      <c r="T46" s="188">
        <f t="shared" si="1"/>
        <v>34.912726170284245</v>
      </c>
      <c r="U46" s="8">
        <f t="shared" ref="U46:U109" si="6">IF(Q46="won",T46*0.18,-T46)</f>
        <v>6.2842907106511641</v>
      </c>
      <c r="V46" s="234">
        <f t="shared" si="5"/>
        <v>704.53881411633597</v>
      </c>
      <c r="W46" s="15">
        <v>25</v>
      </c>
      <c r="X46" s="8">
        <f t="shared" si="3"/>
        <v>4.5</v>
      </c>
      <c r="Y46" s="233">
        <f t="shared" si="4"/>
        <v>673</v>
      </c>
      <c r="Z46">
        <v>78</v>
      </c>
      <c r="AA46" s="35">
        <v>1.28</v>
      </c>
      <c r="AB46" s="2" t="s">
        <v>515</v>
      </c>
      <c r="AC46" s="281">
        <v>0.95454545454545459</v>
      </c>
      <c r="AD46" s="7" t="s">
        <v>925</v>
      </c>
      <c r="AE46" s="160">
        <f>AK44</f>
        <v>538</v>
      </c>
      <c r="AF46" s="160" t="s">
        <v>924</v>
      </c>
      <c r="AG46" s="7"/>
      <c r="AH46" s="160"/>
      <c r="AI46" s="29"/>
    </row>
    <row r="47" spans="1:39" ht="15.75" thickBot="1">
      <c r="A47" s="156" t="e" cm="1">
        <f t="array" aca="1" ref="A47" ca="1">_xlfn.IFS(E47=$AB$42,$AC$42,E47=$AB$43,$AC$43,E47=$AB$44,$AC$44,E47=$AB$45,$AC$45,E47=$AB$46,$AC$46,E47=$AB$47,$AC$47,E47=$AB$48,$AC$48,E47=$AB$49,$AC$49,E47=$AB$50,$AC$50,E47=$AB$51,$AC$51,E47=$AB$52,$AC$52,E47=$AB$53,$AC$53,E47=$AB$54,$AC$54,E47=$AB$55,$AC$55,E47=$AB$56,$AC$56,E47=$AB$57,$AC$57,E47=$AB$58,$AC$58,E47=$AB$59,$AC$59,E47=$AB$60,$AC$60,E47=$AB$61,$AC$61,E47=$AB$62,$AC$62,E47=$AB$63,$AC$63,E47=$AB$64,$AC$64,E47=$AB$65,$AC$65,E47=$AB$66,$AC$66,TRUE,"0")</f>
        <v>#NAME?</v>
      </c>
      <c r="C47" s="161" t="str" cm="1">
        <f t="array" ref="C47">_xlfn.IFS(E47=$AB$42,$AF$42,E47=$AB$43,$AF$43,E47=$AB$44,$AF$44,E47=$AB$45,$AF$45,E47=$AB$46,$AF$46,E47=$AB$47,$AF$47,E47=$AB$48,$AF$48,E47=$AB$49,$AF$49,E47=$AB$50,$AF$50,E47=$AB$51,$AF$51,E47=$AB$52,$AF$52,E47=$AB$53,$AF$53,E47=$AB$54,$AF$54,E47=$AB$55,$AF$55,E47=$AB$56,$AF$56,E47=$AB$57,$AF$57,E47=$AB$58,$AF$58,E47=$AB$59,$AF$59,E47=$AB$60,$AF$60,E47=$AB$61,$AF$61,E47=$AB$62,$AF$62,E47=$AB$63,$AF$63,E47=$AB$64,$AF$64,E47=$AB$65,$AF$65,E47=$AB$66,$AF$66,TRUE,"0")</f>
        <v>if 0-0, BACK+ 0.5 GOALS  @ 1.15+odds.  or @ 40 mins</v>
      </c>
      <c r="D47" s="270" t="str" cm="1">
        <f t="array" ref="D47">_xlfn.IFS(E47=$AB$42,$AD$42,E47=$AB$43,$AD$43,E47=$AB$44,$AD$44,E47=$AB$45,$AD$45,E47=$AB$46,$AD$46,E47=$AB$47,$AD$47,E47=$AB$48,$AD$48,E47=$AB$49,$AD$49,E47=$AB$50,$AD$50,E47=$AB$51,$AD$51,E47=$AB$52,$AD$52,E47=$AB$53,$AD$53,E47=$AB$54,$AD$54,E47=$AB$55,$AD$55,E47=$AB$56,$AD$56,E47=$AB$57,$AD$57,E47=$AB$58,$AD$58,E47=$AB$59,$AD$59,E47=$AB$60,$AD$60,E47=$AB$61,$AD$61,E47=$AB$62,$AD$62,E47=$AB$63,$AD$63,E47=$AB$64,$AD$64,E47=$AB$65,$AD$65,E47=$AB$66,$AD$66,TRUE,"0")</f>
        <v>IP</v>
      </c>
      <c r="E47" s="163" t="s">
        <v>270</v>
      </c>
      <c r="F47" s="2" t="s">
        <v>58</v>
      </c>
      <c r="G47" s="2" t="s">
        <v>59</v>
      </c>
      <c r="H47" s="3">
        <v>45296.78125</v>
      </c>
      <c r="I47" s="2" t="s">
        <v>125</v>
      </c>
      <c r="J47" s="2" t="s">
        <v>105</v>
      </c>
      <c r="K47" s="2">
        <v>65</v>
      </c>
      <c r="L47" s="2">
        <v>0</v>
      </c>
      <c r="M47" s="2">
        <v>20</v>
      </c>
      <c r="N47" s="2"/>
      <c r="O47" s="2"/>
      <c r="P47" s="11"/>
      <c r="Q47" s="2" t="s">
        <v>95</v>
      </c>
      <c r="R47" s="14" t="s">
        <v>220</v>
      </c>
      <c r="S47" s="13" t="s">
        <v>197</v>
      </c>
      <c r="T47" s="188">
        <f t="shared" si="1"/>
        <v>35.226940705816801</v>
      </c>
      <c r="U47" s="8">
        <f t="shared" si="6"/>
        <v>6.3408493270470236</v>
      </c>
      <c r="V47" s="234">
        <f t="shared" si="5"/>
        <v>710.87966344338304</v>
      </c>
      <c r="W47" s="15">
        <v>25</v>
      </c>
      <c r="X47" s="8">
        <f t="shared" si="3"/>
        <v>4.5</v>
      </c>
      <c r="Y47" s="233">
        <f t="shared" si="4"/>
        <v>677.5</v>
      </c>
      <c r="Z47">
        <v>80</v>
      </c>
      <c r="AA47" s="35">
        <v>1.25</v>
      </c>
      <c r="AB47" s="2" t="s">
        <v>519</v>
      </c>
      <c r="AC47" s="281">
        <f>AD26</f>
        <v>1</v>
      </c>
      <c r="AD47" s="7" t="s">
        <v>925</v>
      </c>
      <c r="AE47" s="160">
        <f>AK44</f>
        <v>538</v>
      </c>
      <c r="AF47" s="160" t="s">
        <v>924</v>
      </c>
      <c r="AG47" s="7"/>
      <c r="AH47" s="160"/>
      <c r="AI47" s="29"/>
      <c r="AJ47" s="274" t="s">
        <v>900</v>
      </c>
      <c r="AK47" s="30">
        <f>SUM(AG18,AG23,AK18,AK22,)</f>
        <v>557</v>
      </c>
      <c r="AL47" s="151">
        <f>AK47/AK49</f>
        <v>0.96701388888888884</v>
      </c>
      <c r="AM47" t="s">
        <v>903</v>
      </c>
    </row>
    <row r="48" spans="1:39" ht="15.75" thickBot="1">
      <c r="A48" s="156" t="e" cm="1">
        <f t="array" aca="1" ref="A48" ca="1">_xlfn.IFS(E48=$AB$42,$AC$42,E48=$AB$43,$AC$43,E48=$AB$44,$AC$44,E48=$AB$45,$AC$45,E48=$AB$46,$AC$46,E48=$AB$47,$AC$47,E48=$AB$48,$AC$48,E48=$AB$49,$AC$49,E48=$AB$50,$AC$50,E48=$AB$51,$AC$51,E48=$AB$52,$AC$52,E48=$AB$53,$AC$53,E48=$AB$54,$AC$54,E48=$AB$55,$AC$55,E48=$AB$56,$AC$56,E48=$AB$57,$AC$57,E48=$AB$58,$AC$58,E48=$AB$59,$AC$59,E48=$AB$60,$AC$60,E48=$AB$61,$AC$61,E48=$AB$62,$AC$62,E48=$AB$63,$AC$63,E48=$AB$64,$AC$64,E48=$AB$65,$AC$65,E48=$AB$66,$AC$66,TRUE,"0")</f>
        <v>#NAME?</v>
      </c>
      <c r="C48" s="161" t="str" cm="1">
        <f t="array" ref="C48">_xlfn.IFS(E48=$AB$42,$AF$42,E48=$AB$43,$AF$43,E48=$AB$44,$AF$44,E48=$AB$45,$AF$45,E48=$AB$46,$AF$46,E48=$AB$47,$AF$47,E48=$AB$48,$AF$48,E48=$AB$49,$AF$49,E48=$AB$50,$AF$50,E48=$AB$51,$AF$51,E48=$AB$52,$AF$52,E48=$AB$53,$AF$53,E48=$AB$54,$AF$54,E48=$AB$55,$AF$55,E48=$AB$56,$AF$56,E48=$AB$57,$AF$57,E48=$AB$58,$AF$58,E48=$AB$59,$AF$59,E48=$AB$60,$AF$60,E48=$AB$61,$AF$61,E48=$AB$62,$AF$62,E48=$AB$63,$AF$63,E48=$AB$64,$AF$64,E48=$AB$65,$AF$65,E48=$AB$66,$AF$66,TRUE,"0")</f>
        <v>40 mins Back ANother Goal</v>
      </c>
      <c r="D48" s="270" t="str" cm="1">
        <f t="array" ref="D48">_xlfn.IFS(E48=$AB$42,$AD$42,E48=$AB$43,$AD$43,E48=$AB$44,$AD$44,E48=$AB$45,$AD$45,E48=$AB$46,$AD$46,E48=$AB$47,$AD$47,E48=$AB$48,$AD$48,E48=$AB$49,$AD$49,E48=$AB$50,$AD$50,E48=$AB$51,$AD$51,E48=$AB$52,$AD$52,E48=$AB$53,$AD$53,E48=$AB$54,$AD$54,E48=$AB$55,$AD$55,E48=$AB$56,$AD$56,E48=$AB$57,$AD$57,E48=$AB$58,$AD$58,E48=$AB$59,$AD$59,E48=$AB$60,$AD$60,E48=$AB$61,$AD$61,E48=$AB$62,$AD$62,E48=$AB$63,$AD$63,E48=$AB$64,$AD$64,E48=$AB$65,$AD$65,E48=$AB$66,$AD$66,TRUE,"0")</f>
        <v xml:space="preserve">  BANG</v>
      </c>
      <c r="E48" s="163" t="s">
        <v>43</v>
      </c>
      <c r="F48" s="2" t="s">
        <v>44</v>
      </c>
      <c r="G48" s="2" t="s">
        <v>45</v>
      </c>
      <c r="H48" s="3">
        <v>45297.447916666664</v>
      </c>
      <c r="I48" s="2" t="s">
        <v>131</v>
      </c>
      <c r="J48" s="2" t="s">
        <v>132</v>
      </c>
      <c r="K48" s="2">
        <v>70</v>
      </c>
      <c r="L48" s="2">
        <v>80</v>
      </c>
      <c r="M48" s="2">
        <v>61</v>
      </c>
      <c r="N48" s="2">
        <v>2.2999999999999998</v>
      </c>
      <c r="O48" s="2"/>
      <c r="P48" s="11"/>
      <c r="Q48" s="2" t="s">
        <v>95</v>
      </c>
      <c r="R48" s="14" t="s">
        <v>216</v>
      </c>
      <c r="S48" s="13" t="s">
        <v>213</v>
      </c>
      <c r="T48" s="188">
        <f t="shared" si="1"/>
        <v>35.543983172169156</v>
      </c>
      <c r="U48" s="8">
        <f t="shared" si="6"/>
        <v>6.3979169709904475</v>
      </c>
      <c r="V48" s="234">
        <f t="shared" ref="V48:V66" si="7">SUM(V47,U48)</f>
        <v>717.27758041437346</v>
      </c>
      <c r="W48" s="15">
        <v>25</v>
      </c>
      <c r="X48" s="8">
        <f t="shared" si="3"/>
        <v>4.5</v>
      </c>
      <c r="Y48" s="233">
        <f t="shared" si="4"/>
        <v>682</v>
      </c>
      <c r="Z48">
        <v>82</v>
      </c>
      <c r="AA48" s="35">
        <v>1.21</v>
      </c>
      <c r="AB48" s="2" t="s">
        <v>522</v>
      </c>
      <c r="AC48" s="281">
        <f>AD30</f>
        <v>1</v>
      </c>
      <c r="AD48" s="7" t="s">
        <v>925</v>
      </c>
      <c r="AE48" s="160">
        <f>AK44</f>
        <v>538</v>
      </c>
      <c r="AF48" s="160" t="s">
        <v>924</v>
      </c>
      <c r="AG48" s="7"/>
      <c r="AH48" s="160"/>
      <c r="AI48" s="29"/>
      <c r="AJ48" s="274" t="s">
        <v>900</v>
      </c>
      <c r="AK48" s="30">
        <f>SUM(AG19,AG24,AK19,AK23,)</f>
        <v>19</v>
      </c>
      <c r="AL48" s="31">
        <f>AK48/AK49</f>
        <v>3.2986111111111112E-2</v>
      </c>
    </row>
    <row r="49" spans="1:39" ht="15.75" thickBot="1">
      <c r="A49" s="156" t="e" cm="1">
        <f t="array" aca="1" ref="A49" ca="1">_xlfn.IFS(E49=$AB$42,$AC$42,E49=$AB$43,$AC$43,E49=$AB$44,$AC$44,E49=$AB$45,$AC$45,E49=$AB$46,$AC$46,E49=$AB$47,$AC$47,E49=$AB$48,$AC$48,E49=$AB$49,$AC$49,E49=$AB$50,$AC$50,E49=$AB$51,$AC$51,E49=$AB$52,$AC$52,E49=$AB$53,$AC$53,E49=$AB$54,$AC$54,E49=$AB$55,$AC$55,E49=$AB$56,$AC$56,E49=$AB$57,$AC$57,E49=$AB$58,$AC$58,E49=$AB$59,$AC$59,E49=$AB$60,$AC$60,E49=$AB$61,$AC$61,E49=$AB$62,$AC$62,E49=$AB$63,$AC$63,E49=$AB$64,$AC$64,E49=$AB$65,$AC$65,E49=$AB$66,$AC$66,TRUE,"0")</f>
        <v>#NAME?</v>
      </c>
      <c r="C49" s="161" t="str" cm="1">
        <f t="array" ref="C49">_xlfn.IFS(E49=$AB$42,$AF$42,E49=$AB$43,$AF$43,E49=$AB$44,$AF$44,E49=$AB$45,$AF$45,E49=$AB$46,$AF$46,E49=$AB$47,$AF$47,E49=$AB$48,$AF$48,E49=$AB$49,$AF$49,E49=$AB$50,$AF$50,E49=$AB$51,$AF$51,E49=$AB$52,$AF$52,E49=$AB$53,$AF$53,E49=$AB$54,$AF$54,E49=$AB$55,$AF$55,E49=$AB$56,$AF$56,E49=$AB$57,$AF$57,E49=$AB$58,$AF$58,E49=$AB$59,$AF$59,E49=$AB$60,$AF$60,E49=$AB$61,$AF$61,E49=$AB$62,$AF$62,E49=$AB$63,$AF$63,E49=$AB$64,$AF$64,E49=$AB$65,$AF$65,E49=$AB$66,$AF$66,TRUE,"0")</f>
        <v>40 mins Back ANother Goal</v>
      </c>
      <c r="D49" s="270" t="str" cm="1">
        <f t="array" ref="D49">_xlfn.IFS(E49=$AB$42,$AD$42,E49=$AB$43,$AD$43,E49=$AB$44,$AD$44,E49=$AB$45,$AD$45,E49=$AB$46,$AD$46,E49=$AB$47,$AD$47,E49=$AB$48,$AD$48,E49=$AB$49,$AD$49,E49=$AB$50,$AD$50,E49=$AB$51,$AD$51,E49=$AB$52,$AD$52,E49=$AB$53,$AD$53,E49=$AB$54,$AD$54,E49=$AB$55,$AD$55,E49=$AB$56,$AD$56,E49=$AB$57,$AD$57,E49=$AB$58,$AD$58,E49=$AB$59,$AD$59,E49=$AB$60,$AD$60,E49=$AB$61,$AD$61,E49=$AB$62,$AD$62,E49=$AB$63,$AD$63,E49=$AB$64,$AD$64,E49=$AB$65,$AD$65,E49=$AB$66,$AD$66,TRUE,"0")</f>
        <v xml:space="preserve">  BANG</v>
      </c>
      <c r="E49" s="163" t="s">
        <v>10</v>
      </c>
      <c r="F49" s="2" t="s">
        <v>13</v>
      </c>
      <c r="G49" s="2" t="s">
        <v>11</v>
      </c>
      <c r="H49" s="3">
        <v>45297.625</v>
      </c>
      <c r="I49" s="2" t="s">
        <v>138</v>
      </c>
      <c r="J49" s="2" t="s">
        <v>139</v>
      </c>
      <c r="K49" s="2">
        <v>2.06</v>
      </c>
      <c r="L49" s="2">
        <v>94</v>
      </c>
      <c r="M49" s="2">
        <v>67</v>
      </c>
      <c r="N49" s="2">
        <v>22</v>
      </c>
      <c r="O49" s="2">
        <v>63</v>
      </c>
      <c r="P49" s="11">
        <v>18</v>
      </c>
      <c r="Q49" s="2" t="s">
        <v>95</v>
      </c>
      <c r="R49" s="14" t="s">
        <v>220</v>
      </c>
      <c r="S49" s="13" t="s">
        <v>210</v>
      </c>
      <c r="T49" s="188">
        <f t="shared" si="1"/>
        <v>35.863879020718677</v>
      </c>
      <c r="U49" s="8">
        <f t="shared" si="6"/>
        <v>6.4554982237293617</v>
      </c>
      <c r="V49" s="234">
        <f t="shared" si="7"/>
        <v>723.73307863810282</v>
      </c>
      <c r="W49" s="15">
        <v>25</v>
      </c>
      <c r="X49" s="8">
        <f t="shared" si="3"/>
        <v>4.5</v>
      </c>
      <c r="Y49" s="233">
        <f t="shared" si="4"/>
        <v>686.5</v>
      </c>
      <c r="Z49">
        <v>84</v>
      </c>
      <c r="AA49" s="35">
        <v>1.19</v>
      </c>
      <c r="AB49" s="2" t="s">
        <v>177</v>
      </c>
      <c r="AC49" s="283">
        <f>AH2</f>
        <v>0.9285714285714286</v>
      </c>
      <c r="AD49" s="7" t="s">
        <v>927</v>
      </c>
      <c r="AE49" s="160">
        <f>AK49</f>
        <v>576</v>
      </c>
      <c r="AF49" s="160" t="s">
        <v>919</v>
      </c>
      <c r="AG49" s="7"/>
      <c r="AH49" s="160"/>
      <c r="AI49" s="29"/>
      <c r="AJ49" s="28">
        <f>SUM(AF20,AF25,AJ20,AJ24,)</f>
        <v>67173.883902425092</v>
      </c>
      <c r="AK49" s="248">
        <f>SUM(AK47:AK48)</f>
        <v>576</v>
      </c>
      <c r="AL49" s="232">
        <f>SUM(AJ49/AK49)</f>
        <v>116.62132621948801</v>
      </c>
    </row>
    <row r="50" spans="1:39" ht="15.75" thickBot="1">
      <c r="A50" s="156" t="e" cm="1">
        <f t="array" aca="1" ref="A50" ca="1">_xlfn.IFS(E50=$AB$42,$AC$42,E50=$AB$43,$AC$43,E50=$AB$44,$AC$44,E50=$AB$45,$AC$45,E50=$AB$46,$AC$46,E50=$AB$47,$AC$47,E50=$AB$48,$AC$48,E50=$AB$49,$AC$49,E50=$AB$50,$AC$50,E50=$AB$51,$AC$51,E50=$AB$52,$AC$52,E50=$AB$53,$AC$53,E50=$AB$54,$AC$54,E50=$AB$55,$AC$55,E50=$AB$56,$AC$56,E50=$AB$57,$AC$57,E50=$AB$58,$AC$58,E50=$AB$59,$AC$59,E50=$AB$60,$AC$60,E50=$AB$61,$AC$61,E50=$AB$62,$AC$62,E50=$AB$63,$AC$63,E50=$AB$64,$AC$64,E50=$AB$65,$AC$65,E50=$AB$66,$AC$66,TRUE,"0")</f>
        <v>#NAME?</v>
      </c>
      <c r="C50" s="161" t="str" cm="1">
        <f t="array" ref="C50">_xlfn.IFS(E50=$AB$42,$AF$42,E50=$AB$43,$AF$43,E50=$AB$44,$AF$44,E50=$AB$45,$AF$45,E50=$AB$46,$AF$46,E50=$AB$47,$AF$47,E50=$AB$48,$AF$48,E50=$AB$49,$AF$49,E50=$AB$50,$AF$50,E50=$AB$51,$AF$51,E50=$AB$52,$AF$52,E50=$AB$53,$AF$53,E50=$AB$54,$AF$54,E50=$AB$55,$AF$55,E50=$AB$56,$AF$56,E50=$AB$57,$AF$57,E50=$AB$58,$AF$58,E50=$AB$59,$AF$59,E50=$AB$60,$AF$60,E50=$AB$61,$AF$61,E50=$AB$62,$AF$62,E50=$AB$63,$AF$63,E50=$AB$64,$AF$64,E50=$AB$65,$AF$65,E50=$AB$66,$AF$66,TRUE,"0")</f>
        <v>B4 match BACK FT +1.5 goals. X AFTER  GOAL</v>
      </c>
      <c r="D50" s="270" t="str" cm="1">
        <f t="array" ref="D50">_xlfn.IFS(E50=$AB$42,$AD$42,E50=$AB$43,$AD$43,E50=$AB$44,$AD$44,E50=$AB$45,$AD$45,E50=$AB$46,$AD$46,E50=$AB$47,$AD$47,E50=$AB$48,$AD$48,E50=$AB$49,$AD$49,E50=$AB$50,$AD$50,E50=$AB$51,$AD$51,E50=$AB$52,$AD$52,E50=$AB$53,$AD$53,E50=$AB$54,$AD$54,E50=$AB$55,$AD$55,E50=$AB$56,$AD$56,E50=$AB$57,$AD$57,E50=$AB$58,$AD$58,E50=$AB$59,$AD$59,E50=$AB$60,$AD$60,E50=$AB$61,$AD$61,E50=$AB$62,$AD$62,E50=$AB$63,$AD$63,E50=$AB$64,$AD$64,E50=$AB$65,$AD$65,E50=$AB$66,$AD$66,TRUE,"0")</f>
        <v xml:space="preserve">BFM </v>
      </c>
      <c r="E50" s="163" t="s">
        <v>406</v>
      </c>
      <c r="F50" s="2" t="s">
        <v>13</v>
      </c>
      <c r="G50" s="2" t="s">
        <v>11</v>
      </c>
      <c r="H50" s="3">
        <v>45297.625</v>
      </c>
      <c r="I50" s="2" t="s">
        <v>140</v>
      </c>
      <c r="J50" s="2" t="s">
        <v>104</v>
      </c>
      <c r="K50" s="2">
        <v>1.25</v>
      </c>
      <c r="L50" s="2">
        <v>16</v>
      </c>
      <c r="M50" s="2">
        <v>2.83</v>
      </c>
      <c r="N50" s="2">
        <v>3.85</v>
      </c>
      <c r="O50" s="2"/>
      <c r="P50" s="11"/>
      <c r="Q50" s="2" t="s">
        <v>95</v>
      </c>
      <c r="R50" s="14" t="s">
        <v>221</v>
      </c>
      <c r="S50" s="13" t="s">
        <v>214</v>
      </c>
      <c r="T50" s="188">
        <f t="shared" si="1"/>
        <v>36.186653931905141</v>
      </c>
      <c r="U50" s="8">
        <f t="shared" si="6"/>
        <v>6.5135977077429255</v>
      </c>
      <c r="V50" s="234">
        <f t="shared" si="7"/>
        <v>730.2466763458458</v>
      </c>
      <c r="W50" s="15">
        <v>25</v>
      </c>
      <c r="X50" s="8">
        <f t="shared" si="3"/>
        <v>4.5</v>
      </c>
      <c r="Y50" s="233">
        <f t="shared" si="4"/>
        <v>691</v>
      </c>
      <c r="Z50">
        <v>86</v>
      </c>
      <c r="AA50" s="35">
        <v>1.17</v>
      </c>
      <c r="AB50" s="2" t="s">
        <v>432</v>
      </c>
      <c r="AC50" s="283">
        <f>AH6</f>
        <v>0.92500000000000004</v>
      </c>
      <c r="AD50" s="7" t="s">
        <v>927</v>
      </c>
      <c r="AE50" s="160">
        <f>AK49</f>
        <v>576</v>
      </c>
      <c r="AF50" s="160" t="s">
        <v>918</v>
      </c>
      <c r="AG50" s="7"/>
      <c r="AH50" s="160"/>
      <c r="AI50" s="29"/>
      <c r="AJ50" s="276">
        <f>SUM(AF21,AF26,AJ21,AJ25,)</f>
        <v>2027</v>
      </c>
      <c r="AK50" s="251"/>
      <c r="AL50" s="209"/>
    </row>
    <row r="51" spans="1:39" ht="15.75" thickBot="1">
      <c r="A51" s="156" t="e" cm="1">
        <f t="array" aca="1" ref="A51" ca="1">_xlfn.IFS(E51=$AB$42,$AC$42,E51=$AB$43,$AC$43,E51=$AB$44,$AC$44,E51=$AB$45,$AC$45,E51=$AB$46,$AC$46,E51=$AB$47,$AC$47,E51=$AB$48,$AC$48,E51=$AB$49,$AC$49,E51=$AB$50,$AC$50,E51=$AB$51,$AC$51,E51=$AB$52,$AC$52,E51=$AB$53,$AC$53,E51=$AB$54,$AC$54,E51=$AB$55,$AC$55,E51=$AB$56,$AC$56,E51=$AB$57,$AC$57,E51=$AB$58,$AC$58,E51=$AB$59,$AC$59,E51=$AB$60,$AC$60,E51=$AB$61,$AC$61,E51=$AB$62,$AC$62,E51=$AB$63,$AC$63,E51=$AB$64,$AC$64,E51=$AB$65,$AC$65,E51=$AB$66,$AC$66,TRUE,"0")</f>
        <v>#NAME?</v>
      </c>
      <c r="C51" s="161" t="str" cm="1">
        <f t="array" ref="C51">_xlfn.IFS(E51=$AB$42,$AF$42,E51=$AB$43,$AF$43,E51=$AB$44,$AF$44,E51=$AB$45,$AF$45,E51=$AB$46,$AF$46,E51=$AB$47,$AF$47,E51=$AB$48,$AF$48,E51=$AB$49,$AF$49,E51=$AB$50,$AF$50,E51=$AB$51,$AF$51,E51=$AB$52,$AF$52,E51=$AB$53,$AF$53,E51=$AB$54,$AF$54,E51=$AB$55,$AF$55,E51=$AB$56,$AF$56,E51=$AB$57,$AF$57,E51=$AB$58,$AF$58,E51=$AB$59,$AF$59,E51=$AB$60,$AF$60,E51=$AB$61,$AF$61,E51=$AB$62,$AF$62,E51=$AB$63,$AF$63,E51=$AB$64,$AF$64,E51=$AB$65,$AF$65,E51=$AB$66,$AF$66,TRUE,"0")</f>
        <v>if 0-0, BACK+ 0.5 GOALS  @ 1.15+odds.  or @ 40 mins</v>
      </c>
      <c r="D51" s="270" t="str" cm="1">
        <f t="array" ref="D51">_xlfn.IFS(E51=$AB$42,$AD$42,E51=$AB$43,$AD$43,E51=$AB$44,$AD$44,E51=$AB$45,$AD$45,E51=$AB$46,$AD$46,E51=$AB$47,$AD$47,E51=$AB$48,$AD$48,E51=$AB$49,$AD$49,E51=$AB$50,$AD$50,E51=$AB$51,$AD$51,E51=$AB$52,$AD$52,E51=$AB$53,$AD$53,E51=$AB$54,$AD$54,E51=$AB$55,$AD$55,E51=$AB$56,$AD$56,E51=$AB$57,$AD$57,E51=$AB$58,$AD$58,E51=$AB$59,$AD$59,E51=$AB$60,$AD$60,E51=$AB$61,$AD$61,E51=$AB$62,$AD$62,E51=$AB$63,$AD$63,E51=$AB$64,$AD$64,E51=$AB$65,$AD$65,E51=$AB$66,$AD$66,TRUE,"0")</f>
        <v>IP</v>
      </c>
      <c r="E51" s="163" t="s">
        <v>270</v>
      </c>
      <c r="F51" s="2" t="s">
        <v>44</v>
      </c>
      <c r="G51" s="2" t="s">
        <v>45</v>
      </c>
      <c r="H51" s="3">
        <v>45298.25</v>
      </c>
      <c r="I51" s="2" t="s">
        <v>53</v>
      </c>
      <c r="J51" s="2" t="s">
        <v>126</v>
      </c>
      <c r="K51" s="2">
        <v>62</v>
      </c>
      <c r="L51" s="2">
        <v>0</v>
      </c>
      <c r="M51" s="2">
        <v>20</v>
      </c>
      <c r="N51" s="2"/>
      <c r="O51" s="2"/>
      <c r="P51" s="11"/>
      <c r="Q51" s="2" t="s">
        <v>95</v>
      </c>
      <c r="R51" s="14" t="s">
        <v>214</v>
      </c>
      <c r="S51" s="13" t="s">
        <v>223</v>
      </c>
      <c r="T51" s="188">
        <f t="shared" si="1"/>
        <v>36.512333817292294</v>
      </c>
      <c r="U51" s="8">
        <f t="shared" si="6"/>
        <v>6.5722200871126129</v>
      </c>
      <c r="V51" s="234">
        <f t="shared" si="7"/>
        <v>736.81889643295847</v>
      </c>
      <c r="W51" s="15">
        <v>25</v>
      </c>
      <c r="X51" s="8">
        <f t="shared" si="3"/>
        <v>4.5</v>
      </c>
      <c r="Y51" s="233">
        <f t="shared" si="4"/>
        <v>695.5</v>
      </c>
      <c r="Z51">
        <v>88</v>
      </c>
      <c r="AA51" s="35">
        <v>1.1299999999999999</v>
      </c>
      <c r="AB51" s="2" t="s">
        <v>448</v>
      </c>
      <c r="AC51" s="283">
        <f>AH10</f>
        <v>0.98076923076923073</v>
      </c>
      <c r="AD51" s="7" t="s">
        <v>927</v>
      </c>
      <c r="AE51" s="160">
        <f>AK49</f>
        <v>576</v>
      </c>
      <c r="AF51" s="160" t="s">
        <v>918</v>
      </c>
      <c r="AG51" s="7"/>
      <c r="AH51" s="160"/>
      <c r="AI51" s="29"/>
    </row>
    <row r="52" spans="1:39" ht="15.75" thickBot="1">
      <c r="A52" s="156" t="e" cm="1">
        <f t="array" aca="1" ref="A52" ca="1">_xlfn.IFS(E52=$AB$42,$AC$42,E52=$AB$43,$AC$43,E52=$AB$44,$AC$44,E52=$AB$45,$AC$45,E52=$AB$46,$AC$46,E52=$AB$47,$AC$47,E52=$AB$48,$AC$48,E52=$AB$49,$AC$49,E52=$AB$50,$AC$50,E52=$AB$51,$AC$51,E52=$AB$52,$AC$52,E52=$AB$53,$AC$53,E52=$AB$54,$AC$54,E52=$AB$55,$AC$55,E52=$AB$56,$AC$56,E52=$AB$57,$AC$57,E52=$AB$58,$AC$58,E52=$AB$59,$AC$59,E52=$AB$60,$AC$60,E52=$AB$61,$AC$61,E52=$AB$62,$AC$62,E52=$AB$63,$AC$63,E52=$AB$64,$AC$64,E52=$AB$65,$AC$65,E52=$AB$66,$AC$66,TRUE,"0")</f>
        <v>#NAME?</v>
      </c>
      <c r="C52" s="161" t="str" cm="1">
        <f t="array" ref="C52">_xlfn.IFS(E52=$AB$42,$AF$42,E52=$AB$43,$AF$43,E52=$AB$44,$AF$44,E52=$AB$45,$AF$45,E52=$AB$46,$AF$46,E52=$AB$47,$AF$47,E52=$AB$48,$AF$48,E52=$AB$49,$AF$49,E52=$AB$50,$AF$50,E52=$AB$51,$AF$51,E52=$AB$52,$AF$52,E52=$AB$53,$AF$53,E52=$AB$54,$AF$54,E52=$AB$55,$AF$55,E52=$AB$56,$AF$56,E52=$AB$57,$AF$57,E52=$AB$58,$AF$58,E52=$AB$59,$AF$59,E52=$AB$60,$AF$60,E52=$AB$61,$AF$61,E52=$AB$62,$AF$62,E52=$AB$63,$AF$63,E52=$AB$64,$AF$64,E52=$AB$65,$AF$65,E52=$AB$66,$AF$66,TRUE,"0")</f>
        <v>if 0-0, BACK+ 0.5 GOALS  @ 1.15+odds.  or @ 40 mins</v>
      </c>
      <c r="D52" s="270" t="str" cm="1">
        <f t="array" ref="D52">_xlfn.IFS(E52=$AB$42,$AD$42,E52=$AB$43,$AD$43,E52=$AB$44,$AD$44,E52=$AB$45,$AD$45,E52=$AB$46,$AD$46,E52=$AB$47,$AD$47,E52=$AB$48,$AD$48,E52=$AB$49,$AD$49,E52=$AB$50,$AD$50,E52=$AB$51,$AD$51,E52=$AB$52,$AD$52,E52=$AB$53,$AD$53,E52=$AB$54,$AD$54,E52=$AB$55,$AD$55,E52=$AB$56,$AD$56,E52=$AB$57,$AD$57,E52=$AB$58,$AD$58,E52=$AB$59,$AD$59,E52=$AB$60,$AD$60,E52=$AB$61,$AD$61,E52=$AB$62,$AD$62,E52=$AB$63,$AD$63,E52=$AB$64,$AD$64,E52=$AB$65,$AD$65,E52=$AB$66,$AD$66,TRUE,"0")</f>
        <v>IP</v>
      </c>
      <c r="E52" s="163" t="s">
        <v>270</v>
      </c>
      <c r="F52" s="2" t="s">
        <v>133</v>
      </c>
      <c r="G52" s="2" t="s">
        <v>78</v>
      </c>
      <c r="H52" s="3">
        <v>45298.541666666664</v>
      </c>
      <c r="I52" s="2" t="s">
        <v>134</v>
      </c>
      <c r="J52" s="2" t="s">
        <v>135</v>
      </c>
      <c r="K52" s="2">
        <v>59</v>
      </c>
      <c r="L52" s="2">
        <v>0</v>
      </c>
      <c r="M52" s="2">
        <v>20</v>
      </c>
      <c r="N52" s="2"/>
      <c r="O52" s="2"/>
      <c r="P52" s="11"/>
      <c r="Q52" s="2" t="s">
        <v>95</v>
      </c>
      <c r="R52" s="13" t="s">
        <v>193</v>
      </c>
      <c r="S52" s="13" t="s">
        <v>223</v>
      </c>
      <c r="T52" s="188">
        <f t="shared" si="1"/>
        <v>36.840944821647923</v>
      </c>
      <c r="U52" s="8">
        <f t="shared" si="6"/>
        <v>6.6313700678966256</v>
      </c>
      <c r="V52" s="234">
        <f t="shared" si="7"/>
        <v>743.45026650085515</v>
      </c>
      <c r="W52" s="15">
        <v>25</v>
      </c>
      <c r="X52" s="8">
        <f t="shared" si="3"/>
        <v>4.5</v>
      </c>
      <c r="Y52" s="233">
        <f t="shared" si="4"/>
        <v>700</v>
      </c>
      <c r="Z52">
        <v>90</v>
      </c>
      <c r="AA52" s="35">
        <v>1.1100000000000001</v>
      </c>
      <c r="AB52" s="2" t="s">
        <v>458</v>
      </c>
      <c r="AC52" s="283">
        <f>AH14</f>
        <v>0.97499999999999998</v>
      </c>
      <c r="AD52" s="7" t="s">
        <v>927</v>
      </c>
      <c r="AE52" s="160">
        <f>AK49</f>
        <v>576</v>
      </c>
      <c r="AF52" s="160" t="s">
        <v>875</v>
      </c>
      <c r="AG52" s="7"/>
      <c r="AH52" s="160"/>
      <c r="AI52" s="29"/>
      <c r="AJ52" s="274" t="s">
        <v>901</v>
      </c>
      <c r="AK52" s="30">
        <f>SUM(AK14,AK26,AG31)</f>
        <v>609</v>
      </c>
      <c r="AL52" s="151">
        <f>AK52/AK54</f>
        <v>0.96820349761526237</v>
      </c>
      <c r="AM52" t="s">
        <v>904</v>
      </c>
    </row>
    <row r="53" spans="1:39" ht="15.75" thickBot="1">
      <c r="A53" s="156" t="e" cm="1">
        <f t="array" aca="1" ref="A53" ca="1">_xlfn.IFS(E53=$AB$42,$AC$42,E53=$AB$43,$AC$43,E53=$AB$44,$AC$44,E53=$AB$45,$AC$45,E53=$AB$46,$AC$46,E53=$AB$47,$AC$47,E53=$AB$48,$AC$48,E53=$AB$49,$AC$49,E53=$AB$50,$AC$50,E53=$AB$51,$AC$51,E53=$AB$52,$AC$52,E53=$AB$53,$AC$53,E53=$AB$54,$AC$54,E53=$AB$55,$AC$55,E53=$AB$56,$AC$56,E53=$AB$57,$AC$57,E53=$AB$58,$AC$58,E53=$AB$59,$AC$59,E53=$AB$60,$AC$60,E53=$AB$61,$AC$61,E53=$AB$62,$AC$62,E53=$AB$63,$AC$63,E53=$AB$64,$AC$64,E53=$AB$65,$AC$65,E53=$AB$66,$AC$66,TRUE,"0")</f>
        <v>#NAME?</v>
      </c>
      <c r="C53" s="161" t="str" cm="1">
        <f t="array" ref="C53">_xlfn.IFS(E53=$AB$42,$AF$42,E53=$AB$43,$AF$43,E53=$AB$44,$AF$44,E53=$AB$45,$AF$45,E53=$AB$46,$AF$46,E53=$AB$47,$AF$47,E53=$AB$48,$AF$48,E53=$AB$49,$AF$49,E53=$AB$50,$AF$50,E53=$AB$51,$AF$51,E53=$AB$52,$AF$52,E53=$AB$53,$AF$53,E53=$AB$54,$AF$54,E53=$AB$55,$AF$55,E53=$AB$56,$AF$56,E53=$AB$57,$AF$57,E53=$AB$58,$AF$58,E53=$AB$59,$AF$59,E53=$AB$60,$AF$60,E53=$AB$61,$AF$61,E53=$AB$62,$AF$62,E53=$AB$63,$AF$63,E53=$AB$64,$AF$64,E53=$AB$65,$AF$65,E53=$AB$66,$AF$66,TRUE,"0")</f>
        <v>B4 match BACK FT +1.5 goals. X AFTER  GOAL</v>
      </c>
      <c r="D53" s="270" t="str" cm="1">
        <f t="array" ref="D53">_xlfn.IFS(E53=$AB$42,$AD$42,E53=$AB$43,$AD$43,E53=$AB$44,$AD$44,E53=$AB$45,$AD$45,E53=$AB$46,$AD$46,E53=$AB$47,$AD$47,E53=$AB$48,$AD$48,E53=$AB$49,$AD$49,E53=$AB$50,$AD$50,E53=$AB$51,$AD$51,E53=$AB$52,$AD$52,E53=$AB$53,$AD$53,E53=$AB$54,$AD$54,E53=$AB$55,$AD$55,E53=$AB$56,$AD$56,E53=$AB$57,$AD$57,E53=$AB$58,$AD$58,E53=$AB$59,$AD$59,E53=$AB$60,$AD$60,E53=$AB$61,$AD$61,E53=$AB$62,$AD$62,E53=$AB$63,$AD$63,E53=$AB$64,$AD$64,E53=$AB$65,$AD$65,E53=$AB$66,$AD$66,TRUE,"0")</f>
        <v xml:space="preserve">BFM </v>
      </c>
      <c r="E53" s="163" t="s">
        <v>406</v>
      </c>
      <c r="F53" s="2" t="s">
        <v>80</v>
      </c>
      <c r="G53" s="2" t="s">
        <v>81</v>
      </c>
      <c r="H53" s="3">
        <v>45298.666666666664</v>
      </c>
      <c r="I53" s="2" t="s">
        <v>144</v>
      </c>
      <c r="J53" s="2" t="s">
        <v>82</v>
      </c>
      <c r="K53" s="2">
        <v>1.34</v>
      </c>
      <c r="L53" s="2">
        <v>11</v>
      </c>
      <c r="M53" s="2">
        <v>2.94</v>
      </c>
      <c r="N53" s="2">
        <v>5.4</v>
      </c>
      <c r="O53" s="2"/>
      <c r="P53" s="11"/>
      <c r="Q53" s="2" t="s">
        <v>95</v>
      </c>
      <c r="R53" s="14" t="s">
        <v>221</v>
      </c>
      <c r="S53" s="13" t="s">
        <v>207</v>
      </c>
      <c r="T53" s="188">
        <f t="shared" si="1"/>
        <v>37.172513325042758</v>
      </c>
      <c r="U53" s="8">
        <f t="shared" si="6"/>
        <v>6.6910523985076962</v>
      </c>
      <c r="V53" s="234">
        <f t="shared" si="7"/>
        <v>750.14131889936289</v>
      </c>
      <c r="W53" s="15">
        <v>25</v>
      </c>
      <c r="X53" s="8">
        <f t="shared" si="3"/>
        <v>4.5</v>
      </c>
      <c r="Y53" s="233">
        <f t="shared" si="4"/>
        <v>704.5</v>
      </c>
      <c r="Z53">
        <v>92</v>
      </c>
      <c r="AA53" s="35">
        <v>1.0900000000000001</v>
      </c>
      <c r="AB53" s="2" t="s">
        <v>406</v>
      </c>
      <c r="AC53" s="284">
        <f>AH23</f>
        <v>0.97435897435897434</v>
      </c>
      <c r="AD53" s="7" t="s">
        <v>927</v>
      </c>
      <c r="AE53" s="160">
        <f>AK49</f>
        <v>576</v>
      </c>
      <c r="AF53" s="160" t="s">
        <v>874</v>
      </c>
      <c r="AG53" s="7"/>
      <c r="AH53" s="160"/>
      <c r="AI53" s="29"/>
      <c r="AJ53" s="274" t="s">
        <v>901</v>
      </c>
      <c r="AK53" s="30">
        <f>SUM(AK15,AK27,AG32)</f>
        <v>20</v>
      </c>
      <c r="AL53" s="31">
        <f>AK53/AK54</f>
        <v>3.1796502384737677E-2</v>
      </c>
    </row>
    <row r="54" spans="1:39" ht="15.75" thickBot="1">
      <c r="A54" s="156" t="e" cm="1">
        <f t="array" aca="1" ref="A54" ca="1">_xlfn.IFS(E54=$AB$42,$AC$42,E54=$AB$43,$AC$43,E54=$AB$44,$AC$44,E54=$AB$45,$AC$45,E54=$AB$46,$AC$46,E54=$AB$47,$AC$47,E54=$AB$48,$AC$48,E54=$AB$49,$AC$49,E54=$AB$50,$AC$50,E54=$AB$51,$AC$51,E54=$AB$52,$AC$52,E54=$AB$53,$AC$53,E54=$AB$54,$AC$54,E54=$AB$55,$AC$55,E54=$AB$56,$AC$56,E54=$AB$57,$AC$57,E54=$AB$58,$AC$58,E54=$AB$59,$AC$59,E54=$AB$60,$AC$60,E54=$AB$61,$AC$61,E54=$AB$62,$AC$62,E54=$AB$63,$AC$63,E54=$AB$64,$AC$64,E54=$AB$65,$AC$65,E54=$AB$66,$AC$66,TRUE,"0")</f>
        <v>#NAME?</v>
      </c>
      <c r="C54" s="161" t="str" cm="1">
        <f t="array" ref="C54">_xlfn.IFS(E54=$AB$42,$AF$42,E54=$AB$43,$AF$43,E54=$AB$44,$AF$44,E54=$AB$45,$AF$45,E54=$AB$46,$AF$46,E54=$AB$47,$AF$47,E54=$AB$48,$AF$48,E54=$AB$49,$AF$49,E54=$AB$50,$AF$50,E54=$AB$51,$AF$51,E54=$AB$52,$AF$52,E54=$AB$53,$AF$53,E54=$AB$54,$AF$54,E54=$AB$55,$AF$55,E54=$AB$56,$AF$56,E54=$AB$57,$AF$57,E54=$AB$58,$AF$58,E54=$AB$59,$AF$59,E54=$AB$60,$AF$60,E54=$AB$61,$AF$61,E54=$AB$62,$AF$62,E54=$AB$63,$AF$63,E54=$AB$64,$AF$64,E54=$AB$65,$AF$65,E54=$AB$66,$AF$66,TRUE,"0")</f>
        <v>if 0-0, BACK+ 0.5 GOALS  @ 1.15+odds.  or @ 40 mins</v>
      </c>
      <c r="D54" s="270" t="str" cm="1">
        <f t="array" ref="D54">_xlfn.IFS(E54=$AB$42,$AD$42,E54=$AB$43,$AD$43,E54=$AB$44,$AD$44,E54=$AB$45,$AD$45,E54=$AB$46,$AD$46,E54=$AB$47,$AD$47,E54=$AB$48,$AD$48,E54=$AB$49,$AD$49,E54=$AB$50,$AD$50,E54=$AB$51,$AD$51,E54=$AB$52,$AD$52,E54=$AB$53,$AD$53,E54=$AB$54,$AD$54,E54=$AB$55,$AD$55,E54=$AB$56,$AD$56,E54=$AB$57,$AD$57,E54=$AB$58,$AD$58,E54=$AB$59,$AD$59,E54=$AB$60,$AD$60,E54=$AB$61,$AD$61,E54=$AB$62,$AD$62,E54=$AB$63,$AD$63,E54=$AB$64,$AD$64,E54=$AB$65,$AD$65,E54=$AB$66,$AD$66,TRUE,"0")</f>
        <v>IP</v>
      </c>
      <c r="E54" s="163" t="s">
        <v>270</v>
      </c>
      <c r="F54" s="2" t="s">
        <v>133</v>
      </c>
      <c r="G54" s="2" t="s">
        <v>78</v>
      </c>
      <c r="H54" s="3">
        <v>45298.729166666664</v>
      </c>
      <c r="I54" s="2" t="s">
        <v>136</v>
      </c>
      <c r="J54" s="2" t="s">
        <v>137</v>
      </c>
      <c r="K54" s="2">
        <v>59</v>
      </c>
      <c r="L54" s="2">
        <v>0</v>
      </c>
      <c r="M54" s="2">
        <v>20</v>
      </c>
      <c r="N54" s="2"/>
      <c r="O54" s="2"/>
      <c r="P54" s="11"/>
      <c r="Q54" s="2" t="s">
        <v>95</v>
      </c>
      <c r="R54" s="13" t="s">
        <v>221</v>
      </c>
      <c r="S54" s="13" t="s">
        <v>222</v>
      </c>
      <c r="T54" s="188">
        <f t="shared" si="1"/>
        <v>37.507065944968147</v>
      </c>
      <c r="U54" s="8">
        <f t="shared" si="6"/>
        <v>6.751271870094266</v>
      </c>
      <c r="V54" s="234">
        <f t="shared" si="7"/>
        <v>756.89259076945712</v>
      </c>
      <c r="W54" s="15">
        <v>25</v>
      </c>
      <c r="X54" s="8">
        <f t="shared" si="3"/>
        <v>4.5</v>
      </c>
      <c r="Y54" s="233">
        <f t="shared" si="4"/>
        <v>709</v>
      </c>
      <c r="Z54">
        <v>94</v>
      </c>
      <c r="AA54" s="35">
        <v>1.06</v>
      </c>
      <c r="AB54" s="2" t="s">
        <v>498</v>
      </c>
      <c r="AC54" s="281">
        <f>AL2</f>
        <v>0.967741935483871</v>
      </c>
      <c r="AD54" s="7" t="s">
        <v>926</v>
      </c>
      <c r="AE54" s="160">
        <f>AK54</f>
        <v>629</v>
      </c>
      <c r="AF54" s="160" t="s">
        <v>922</v>
      </c>
      <c r="AG54" s="7"/>
      <c r="AH54" s="160"/>
      <c r="AI54" s="29"/>
      <c r="AJ54" s="28">
        <f>SUM(AJ28,AF33,AJ16)</f>
        <v>65021.871859771541</v>
      </c>
      <c r="AK54" s="248">
        <f>SUM(AK52:AK53)</f>
        <v>629</v>
      </c>
      <c r="AL54" s="232">
        <f>SUM(AJ54/AK54)</f>
        <v>103.37340518246668</v>
      </c>
    </row>
    <row r="55" spans="1:39" ht="15.75" thickBot="1">
      <c r="A55" s="156" t="e" cm="1">
        <f t="array" aca="1" ref="A55" ca="1">_xlfn.IFS(E55=$AB$42,$AC$42,E55=$AB$43,$AC$43,E55=$AB$44,$AC$44,E55=$AB$45,$AC$45,E55=$AB$46,$AC$46,E55=$AB$47,$AC$47,E55=$AB$48,$AC$48,E55=$AB$49,$AC$49,E55=$AB$50,$AC$50,E55=$AB$51,$AC$51,E55=$AB$52,$AC$52,E55=$AB$53,$AC$53,E55=$AB$54,$AC$54,E55=$AB$55,$AC$55,E55=$AB$56,$AC$56,E55=$AB$57,$AC$57,E55=$AB$58,$AC$58,E55=$AB$59,$AC$59,E55=$AB$60,$AC$60,E55=$AB$61,$AC$61,E55=$AB$62,$AC$62,E55=$AB$63,$AC$63,E55=$AB$64,$AC$64,E55=$AB$65,$AC$65,E55=$AB$66,$AC$66,TRUE,"0")</f>
        <v>#NAME?</v>
      </c>
      <c r="C55" s="161" t="str" cm="1">
        <f t="array" ref="C55">_xlfn.IFS(E55=$AB$42,$AF$42,E55=$AB$43,$AF$43,E55=$AB$44,$AF$44,E55=$AB$45,$AF$45,E55=$AB$46,$AF$46,E55=$AB$47,$AF$47,E55=$AB$48,$AF$48,E55=$AB$49,$AF$49,E55=$AB$50,$AF$50,E55=$AB$51,$AF$51,E55=$AB$52,$AF$52,E55=$AB$53,$AF$53,E55=$AB$54,$AF$54,E55=$AB$55,$AF$55,E55=$AB$56,$AF$56,E55=$AB$57,$AF$57,E55=$AB$58,$AF$58,E55=$AB$59,$AF$59,E55=$AB$60,$AF$60,E55=$AB$61,$AF$61,E55=$AB$62,$AF$62,E55=$AB$63,$AF$63,E55=$AB$64,$AF$64,E55=$AB$65,$AF$65,E55=$AB$66,$AF$66,TRUE,"0")</f>
        <v>if 0-0, BACK+ 0.5 GOALS  @ 1.15+odds.  or @ 40 mins</v>
      </c>
      <c r="D55" s="270" t="str" cm="1">
        <f t="array" ref="D55">_xlfn.IFS(E55=$AB$42,$AD$42,E55=$AB$43,$AD$43,E55=$AB$44,$AD$44,E55=$AB$45,$AD$45,E55=$AB$46,$AD$46,E55=$AB$47,$AD$47,E55=$AB$48,$AD$48,E55=$AB$49,$AD$49,E55=$AB$50,$AD$50,E55=$AB$51,$AD$51,E55=$AB$52,$AD$52,E55=$AB$53,$AD$53,E55=$AB$54,$AD$54,E55=$AB$55,$AD$55,E55=$AB$56,$AD$56,E55=$AB$57,$AD$57,E55=$AB$58,$AD$58,E55=$AB$59,$AD$59,E55=$AB$60,$AD$60,E55=$AB$61,$AD$61,E55=$AB$62,$AD$62,E55=$AB$63,$AD$63,E55=$AB$64,$AD$64,E55=$AB$65,$AD$65,E55=$AB$66,$AD$66,TRUE,"0")</f>
        <v>IP</v>
      </c>
      <c r="E55" s="163" t="s">
        <v>270</v>
      </c>
      <c r="F55" s="2" t="s">
        <v>58</v>
      </c>
      <c r="G55" s="2" t="s">
        <v>59</v>
      </c>
      <c r="H55" s="3">
        <v>45298.75</v>
      </c>
      <c r="I55" s="2" t="s">
        <v>127</v>
      </c>
      <c r="J55" s="2" t="s">
        <v>128</v>
      </c>
      <c r="K55" s="2">
        <v>65</v>
      </c>
      <c r="L55" s="2">
        <v>0</v>
      </c>
      <c r="M55" s="2">
        <v>20</v>
      </c>
      <c r="N55" s="2"/>
      <c r="O55" s="2"/>
      <c r="P55" s="11"/>
      <c r="Q55" s="2" t="s">
        <v>95</v>
      </c>
      <c r="R55" s="14" t="s">
        <v>221</v>
      </c>
      <c r="S55" s="13" t="s">
        <v>220</v>
      </c>
      <c r="T55" s="188">
        <f t="shared" si="1"/>
        <v>37.844629538472859</v>
      </c>
      <c r="U55" s="8">
        <f t="shared" si="6"/>
        <v>6.8120333169251142</v>
      </c>
      <c r="V55" s="234">
        <f t="shared" si="7"/>
        <v>763.70462408638218</v>
      </c>
      <c r="W55" s="15">
        <v>25</v>
      </c>
      <c r="X55" s="8">
        <f t="shared" si="3"/>
        <v>4.5</v>
      </c>
      <c r="Y55" s="233">
        <f t="shared" si="4"/>
        <v>713.5</v>
      </c>
      <c r="Z55">
        <v>96</v>
      </c>
      <c r="AA55" s="35">
        <v>1.04</v>
      </c>
      <c r="AB55" s="2" t="s">
        <v>473</v>
      </c>
      <c r="AC55" s="281">
        <f>AL6</f>
        <v>0.97619047619047616</v>
      </c>
      <c r="AD55" s="7" t="s">
        <v>926</v>
      </c>
      <c r="AE55" s="160">
        <f>AK54</f>
        <v>629</v>
      </c>
      <c r="AF55" s="160" t="s">
        <v>921</v>
      </c>
      <c r="AG55" s="7"/>
      <c r="AH55" s="160"/>
      <c r="AI55" s="29"/>
      <c r="AJ55" s="276">
        <f>SUM(AJ29,AF34,AJ17)</f>
        <v>2240.5</v>
      </c>
      <c r="AK55" s="251"/>
      <c r="AL55" s="209"/>
    </row>
    <row r="56" spans="1:39" ht="15.75" thickBot="1">
      <c r="A56" s="156" t="e" cm="1">
        <f t="array" aca="1" ref="A56" ca="1">_xlfn.IFS(E56=$AB$42,$AC$42,E56=$AB$43,$AC$43,E56=$AB$44,$AC$44,E56=$AB$45,$AC$45,E56=$AB$46,$AC$46,E56=$AB$47,$AC$47,E56=$AB$48,$AC$48,E56=$AB$49,$AC$49,E56=$AB$50,$AC$50,E56=$AB$51,$AC$51,E56=$AB$52,$AC$52,E56=$AB$53,$AC$53,E56=$AB$54,$AC$54,E56=$AB$55,$AC$55,E56=$AB$56,$AC$56,E56=$AB$57,$AC$57,E56=$AB$58,$AC$58,E56=$AB$59,$AC$59,E56=$AB$60,$AC$60,E56=$AB$61,$AC$61,E56=$AB$62,$AC$62,E56=$AB$63,$AC$63,E56=$AB$64,$AC$64,E56=$AB$65,$AC$65,E56=$AB$66,$AC$66,TRUE,"0")</f>
        <v>#NAME?</v>
      </c>
      <c r="C56" s="161" t="str" cm="1">
        <f t="array" ref="C56">_xlfn.IFS(E56=$AB$42,$AF$42,E56=$AB$43,$AF$43,E56=$AB$44,$AF$44,E56=$AB$45,$AF$45,E56=$AB$46,$AF$46,E56=$AB$47,$AF$47,E56=$AB$48,$AF$48,E56=$AB$49,$AF$49,E56=$AB$50,$AF$50,E56=$AB$51,$AF$51,E56=$AB$52,$AF$52,E56=$AB$53,$AF$53,E56=$AB$54,$AF$54,E56=$AB$55,$AF$55,E56=$AB$56,$AF$56,E56=$AB$57,$AF$57,E56=$AB$58,$AF$58,E56=$AB$59,$AF$59,E56=$AB$60,$AF$60,E56=$AB$61,$AF$61,E56=$AB$62,$AF$62,E56=$AB$63,$AF$63,E56=$AB$64,$AF$64,E56=$AB$65,$AF$65,E56=$AB$66,$AF$66,TRUE,"0")</f>
        <v>if 0-0, BACK+ 0.5 GOALS  @ 1.15+odds.  or @ 40 mins</v>
      </c>
      <c r="D56" s="270" t="str" cm="1">
        <f t="array" ref="D56">_xlfn.IFS(E56=$AB$42,$AD$42,E56=$AB$43,$AD$43,E56=$AB$44,$AD$44,E56=$AB$45,$AD$45,E56=$AB$46,$AD$46,E56=$AB$47,$AD$47,E56=$AB$48,$AD$48,E56=$AB$49,$AD$49,E56=$AB$50,$AD$50,E56=$AB$51,$AD$51,E56=$AB$52,$AD$52,E56=$AB$53,$AD$53,E56=$AB$54,$AD$54,E56=$AB$55,$AD$55,E56=$AB$56,$AD$56,E56=$AB$57,$AD$57,E56=$AB$58,$AD$58,E56=$AB$59,$AD$59,E56=$AB$60,$AD$60,E56=$AB$61,$AD$61,E56=$AB$62,$AD$62,E56=$AB$63,$AD$63,E56=$AB$64,$AD$64,E56=$AB$65,$AD$65,E56=$AB$66,$AD$66,TRUE,"0")</f>
        <v>IP</v>
      </c>
      <c r="E56" s="163" t="s">
        <v>270</v>
      </c>
      <c r="F56" s="2" t="s">
        <v>44</v>
      </c>
      <c r="G56" s="2" t="s">
        <v>45</v>
      </c>
      <c r="H56" s="3">
        <v>45299.364583333336</v>
      </c>
      <c r="I56" s="2" t="s">
        <v>124</v>
      </c>
      <c r="J56" s="2" t="s">
        <v>143</v>
      </c>
      <c r="K56" s="2">
        <v>61</v>
      </c>
      <c r="L56" s="2">
        <v>0</v>
      </c>
      <c r="M56" s="2">
        <v>20</v>
      </c>
      <c r="N56" s="2"/>
      <c r="O56" s="2"/>
      <c r="P56" s="11"/>
      <c r="Q56" s="2" t="s">
        <v>95</v>
      </c>
      <c r="R56" s="14" t="s">
        <v>216</v>
      </c>
      <c r="S56" s="13" t="s">
        <v>216</v>
      </c>
      <c r="T56" s="188">
        <f t="shared" si="1"/>
        <v>38.185231204319109</v>
      </c>
      <c r="U56" s="8">
        <f t="shared" si="6"/>
        <v>6.8733416167774397</v>
      </c>
      <c r="V56" s="234">
        <f t="shared" si="7"/>
        <v>770.57796570315963</v>
      </c>
      <c r="W56" s="15">
        <v>25</v>
      </c>
      <c r="X56" s="8">
        <f t="shared" si="3"/>
        <v>4.5</v>
      </c>
      <c r="Y56" s="233">
        <f t="shared" si="4"/>
        <v>718</v>
      </c>
      <c r="Z56">
        <v>98</v>
      </c>
      <c r="AA56" s="35">
        <v>1.02</v>
      </c>
      <c r="AB56" s="2" t="s">
        <v>474</v>
      </c>
      <c r="AC56" s="281">
        <f>AL10</f>
        <v>1</v>
      </c>
      <c r="AD56" s="7" t="s">
        <v>926</v>
      </c>
      <c r="AE56" s="160">
        <f>AK54</f>
        <v>629</v>
      </c>
      <c r="AF56" s="160" t="s">
        <v>920</v>
      </c>
      <c r="AG56" s="7"/>
      <c r="AH56" s="160"/>
      <c r="AI56" s="29"/>
    </row>
    <row r="57" spans="1:39" ht="15.75" thickBot="1">
      <c r="A57" s="156" t="e" cm="1">
        <f t="array" aca="1" ref="A57" ca="1">_xlfn.IFS(E57=$AB$42,$AC$42,E57=$AB$43,$AC$43,E57=$AB$44,$AC$44,E57=$AB$45,$AC$45,E57=$AB$46,$AC$46,E57=$AB$47,$AC$47,E57=$AB$48,$AC$48,E57=$AB$49,$AC$49,E57=$AB$50,$AC$50,E57=$AB$51,$AC$51,E57=$AB$52,$AC$52,E57=$AB$53,$AC$53,E57=$AB$54,$AC$54,E57=$AB$55,$AC$55,E57=$AB$56,$AC$56,E57=$AB$57,$AC$57,E57=$AB$58,$AC$58,E57=$AB$59,$AC$59,E57=$AB$60,$AC$60,E57=$AB$61,$AC$61,E57=$AB$62,$AC$62,E57=$AB$63,$AC$63,E57=$AB$64,$AC$64,E57=$AB$65,$AC$65,E57=$AB$66,$AC$66,TRUE,"0")</f>
        <v>#NAME?</v>
      </c>
      <c r="C57" s="161" t="str" cm="1">
        <f t="array" ref="C57">_xlfn.IFS(E57=$AB$42,$AF$42,E57=$AB$43,$AF$43,E57=$AB$44,$AF$44,E57=$AB$45,$AF$45,E57=$AB$46,$AF$46,E57=$AB$47,$AF$47,E57=$AB$48,$AF$48,E57=$AB$49,$AF$49,E57=$AB$50,$AF$50,E57=$AB$51,$AF$51,E57=$AB$52,$AF$52,E57=$AB$53,$AF$53,E57=$AB$54,$AF$54,E57=$AB$55,$AF$55,E57=$AB$56,$AF$56,E57=$AB$57,$AF$57,E57=$AB$58,$AF$58,E57=$AB$59,$AF$59,E57=$AB$60,$AF$60,E57=$AB$61,$AF$61,E57=$AB$62,$AF$62,E57=$AB$63,$AF$63,E57=$AB$64,$AF$64,E57=$AB$65,$AF$65,E57=$AB$66,$AF$66,TRUE,"0")</f>
        <v>40 mins Back ANother Goal</v>
      </c>
      <c r="D57" s="270" t="str" cm="1">
        <f t="array" ref="D57">_xlfn.IFS(E57=$AB$42,$AD$42,E57=$AB$43,$AD$43,E57=$AB$44,$AD$44,E57=$AB$45,$AD$45,E57=$AB$46,$AD$46,E57=$AB$47,$AD$47,E57=$AB$48,$AD$48,E57=$AB$49,$AD$49,E57=$AB$50,$AD$50,E57=$AB$51,$AD$51,E57=$AB$52,$AD$52,E57=$AB$53,$AD$53,E57=$AB$54,$AD$54,E57=$AB$55,$AD$55,E57=$AB$56,$AD$56,E57=$AB$57,$AD$57,E57=$AB$58,$AD$58,E57=$AB$59,$AD$59,E57=$AB$60,$AD$60,E57=$AB$61,$AD$61,E57=$AB$62,$AD$62,E57=$AB$63,$AD$63,E57=$AB$64,$AD$64,E57=$AB$65,$AD$65,E57=$AB$66,$AD$66,TRUE,"0")</f>
        <v xml:space="preserve">  BANG</v>
      </c>
      <c r="E57" s="163" t="s">
        <v>35</v>
      </c>
      <c r="F57" s="2" t="s">
        <v>6</v>
      </c>
      <c r="G57" s="2" t="s">
        <v>40</v>
      </c>
      <c r="H57" s="3">
        <v>45301.822916666664</v>
      </c>
      <c r="I57" s="2" t="s">
        <v>41</v>
      </c>
      <c r="J57" s="2" t="s">
        <v>93</v>
      </c>
      <c r="K57" s="2">
        <v>71</v>
      </c>
      <c r="L57" s="2">
        <v>95</v>
      </c>
      <c r="M57" s="2">
        <v>85</v>
      </c>
      <c r="N57" s="2">
        <v>45</v>
      </c>
      <c r="O57" s="2">
        <v>20</v>
      </c>
      <c r="Q57" s="2" t="s">
        <v>95</v>
      </c>
      <c r="R57" s="13" t="s">
        <v>194</v>
      </c>
      <c r="S57" s="13" t="s">
        <v>195</v>
      </c>
      <c r="T57" s="188">
        <f t="shared" si="1"/>
        <v>38.528898285157986</v>
      </c>
      <c r="U57" s="8">
        <f t="shared" si="6"/>
        <v>6.9352016913284373</v>
      </c>
      <c r="V57" s="234">
        <f t="shared" si="7"/>
        <v>777.51316739448805</v>
      </c>
      <c r="W57" s="15">
        <v>25</v>
      </c>
      <c r="X57" s="8">
        <f t="shared" si="3"/>
        <v>4.5</v>
      </c>
      <c r="Y57" s="233">
        <f t="shared" si="4"/>
        <v>722.5</v>
      </c>
      <c r="AB57" s="2" t="s">
        <v>623</v>
      </c>
      <c r="AC57" s="281">
        <f>AL18</f>
        <v>0.97706422018348627</v>
      </c>
      <c r="AD57" s="7" t="s">
        <v>927</v>
      </c>
      <c r="AE57" s="160">
        <f>AK49</f>
        <v>576</v>
      </c>
      <c r="AF57" s="160" t="s">
        <v>874</v>
      </c>
      <c r="AG57" s="7"/>
      <c r="AH57" s="160"/>
      <c r="AI57" s="29"/>
      <c r="AJ57" s="277">
        <f>SUM(AJ44,AJ49,AJ54)</f>
        <v>181635.65940991574</v>
      </c>
      <c r="AK57" s="258">
        <f>SUM(AK42,AK47,AK52)</f>
        <v>1683</v>
      </c>
      <c r="AL57" s="259">
        <f t="shared" ref="AL57" si="8">AK57/AK59</f>
        <v>0.96557659208261615</v>
      </c>
    </row>
    <row r="58" spans="1:39" ht="15.75" thickBot="1">
      <c r="A58" s="156" t="e" cm="1">
        <f t="array" aca="1" ref="A58" ca="1">_xlfn.IFS(E58=$AB$42,$AC$42,E58=$AB$43,$AC$43,E58=$AB$44,$AC$44,E58=$AB$45,$AC$45,E58=$AB$46,$AC$46,E58=$AB$47,$AC$47,E58=$AB$48,$AC$48,E58=$AB$49,$AC$49,E58=$AB$50,$AC$50,E58=$AB$51,$AC$51,E58=$AB$52,$AC$52,E58=$AB$53,$AC$53,E58=$AB$54,$AC$54,E58=$AB$55,$AC$55,E58=$AB$56,$AC$56,E58=$AB$57,$AC$57,E58=$AB$58,$AC$58,E58=$AB$59,$AC$59,E58=$AB$60,$AC$60,E58=$AB$61,$AC$61,E58=$AB$62,$AC$62,E58=$AB$63,$AC$63,E58=$AB$64,$AC$64,E58=$AB$65,$AC$65,E58=$AB$66,$AC$66,TRUE,"0")</f>
        <v>#NAME?</v>
      </c>
      <c r="C58" s="161" t="str" cm="1">
        <f t="array" ref="C58">_xlfn.IFS(E58=$AB$42,$AF$42,E58=$AB$43,$AF$43,E58=$AB$44,$AF$44,E58=$AB$45,$AF$45,E58=$AB$46,$AF$46,E58=$AB$47,$AF$47,E58=$AB$48,$AF$48,E58=$AB$49,$AF$49,E58=$AB$50,$AF$50,E58=$AB$51,$AF$51,E58=$AB$52,$AF$52,E58=$AB$53,$AF$53,E58=$AB$54,$AF$54,E58=$AB$55,$AF$55,E58=$AB$56,$AF$56,E58=$AB$57,$AF$57,E58=$AB$58,$AF$58,E58=$AB$59,$AF$59,E58=$AB$60,$AF$60,E58=$AB$61,$AF$61,E58=$AB$62,$AF$62,E58=$AB$63,$AF$63,E58=$AB$64,$AF$64,E58=$AB$65,$AF$65,E58=$AB$66,$AF$66,TRUE,"0")</f>
        <v>B4 Match, lay HT 0-0 or BACK H1 +0.5 GOALS</v>
      </c>
      <c r="D58" s="270" t="str" cm="1">
        <f t="array" ref="D58">_xlfn.IFS(E58=$AB$42,$AD$42,E58=$AB$43,$AD$43,E58=$AB$44,$AD$44,E58=$AB$45,$AD$45,E58=$AB$46,$AD$46,E58=$AB$47,$AD$47,E58=$AB$48,$AD$48,E58=$AB$49,$AD$49,E58=$AB$50,$AD$50,E58=$AB$51,$AD$51,E58=$AB$52,$AD$52,E58=$AB$53,$AD$53,E58=$AB$54,$AD$54,E58=$AB$55,$AD$55,E58=$AB$56,$AD$56,E58=$AB$57,$AD$57,E58=$AB$58,$AD$58,E58=$AB$59,$AD$59,E58=$AB$60,$AD$60,E58=$AB$61,$AD$61,E58=$AB$62,$AD$62,E58=$AB$63,$AD$63,E58=$AB$64,$AD$64,E58=$AB$65,$AD$65,E58=$AB$66,$AD$66,TRUE,"0")</f>
        <v xml:space="preserve">BFM </v>
      </c>
      <c r="E58" s="163" t="s">
        <v>432</v>
      </c>
      <c r="F58" s="2" t="s">
        <v>145</v>
      </c>
      <c r="G58" s="2" t="s">
        <v>146</v>
      </c>
      <c r="H58" s="3">
        <v>45303.770833333336</v>
      </c>
      <c r="I58" s="2" t="s">
        <v>147</v>
      </c>
      <c r="J58" s="2" t="s">
        <v>148</v>
      </c>
      <c r="K58" s="2">
        <v>100</v>
      </c>
      <c r="L58" s="2">
        <v>16</v>
      </c>
      <c r="M58" s="2">
        <v>56</v>
      </c>
      <c r="N58" s="2"/>
      <c r="O58" s="2"/>
      <c r="Q58" s="2" t="s">
        <v>95</v>
      </c>
      <c r="R58" s="14" t="s">
        <v>214</v>
      </c>
      <c r="S58" s="13" t="s">
        <v>214</v>
      </c>
      <c r="T58" s="188">
        <f t="shared" si="1"/>
        <v>38.875658369724405</v>
      </c>
      <c r="U58" s="8">
        <f t="shared" si="6"/>
        <v>6.9976185065503929</v>
      </c>
      <c r="V58" s="234">
        <f t="shared" si="7"/>
        <v>784.51078590103839</v>
      </c>
      <c r="W58" s="15">
        <v>25</v>
      </c>
      <c r="X58" s="8">
        <f t="shared" si="3"/>
        <v>4.5</v>
      </c>
      <c r="Y58" s="233">
        <f t="shared" si="4"/>
        <v>727</v>
      </c>
      <c r="AB58" s="2" t="s">
        <v>506</v>
      </c>
      <c r="AC58" s="281">
        <f>AL22</f>
        <v>0.967741935483871</v>
      </c>
      <c r="AD58" s="7" t="s">
        <v>927</v>
      </c>
      <c r="AE58" s="160">
        <f>AK49</f>
        <v>576</v>
      </c>
      <c r="AF58" s="160" t="s">
        <v>874</v>
      </c>
      <c r="AG58" s="7"/>
      <c r="AH58" s="160"/>
      <c r="AI58" s="29"/>
      <c r="AJ58" s="278">
        <f>SUM(AJ45,AJ50,AJ55)</f>
        <v>6069</v>
      </c>
      <c r="AK58" s="260">
        <f>SUM(AK43,AK48,AK53)</f>
        <v>60</v>
      </c>
      <c r="AL58" s="259">
        <f>SUM(AK58/AK59)</f>
        <v>3.4423407917383818E-2</v>
      </c>
    </row>
    <row r="59" spans="1:39" ht="15.75" thickBot="1">
      <c r="A59" s="156" t="e" cm="1">
        <f t="array" aca="1" ref="A59" ca="1">_xlfn.IFS(E59=$AB$42,$AC$42,E59=$AB$43,$AC$43,E59=$AB$44,$AC$44,E59=$AB$45,$AC$45,E59=$AB$46,$AC$46,E59=$AB$47,$AC$47,E59=$AB$48,$AC$48,E59=$AB$49,$AC$49,E59=$AB$50,$AC$50,E59=$AB$51,$AC$51,E59=$AB$52,$AC$52,E59=$AB$53,$AC$53,E59=$AB$54,$AC$54,E59=$AB$55,$AC$55,E59=$AB$56,$AC$56,E59=$AB$57,$AC$57,E59=$AB$58,$AC$58,E59=$AB$59,$AC$59,E59=$AB$60,$AC$60,E59=$AB$61,$AC$61,E59=$AB$62,$AC$62,E59=$AB$63,$AC$63,E59=$AB$64,$AC$64,E59=$AB$65,$AC$65,E59=$AB$66,$AC$66,TRUE,"0")</f>
        <v>#NAME?</v>
      </c>
      <c r="C59" s="161" t="str" cm="1">
        <f t="array" ref="C59">_xlfn.IFS(E59=$AB$42,$AF$42,E59=$AB$43,$AF$43,E59=$AB$44,$AF$44,E59=$AB$45,$AF$45,E59=$AB$46,$AF$46,E59=$AB$47,$AF$47,E59=$AB$48,$AF$48,E59=$AB$49,$AF$49,E59=$AB$50,$AF$50,E59=$AB$51,$AF$51,E59=$AB$52,$AF$52,E59=$AB$53,$AF$53,E59=$AB$54,$AF$54,E59=$AB$55,$AF$55,E59=$AB$56,$AF$56,E59=$AB$57,$AF$57,E59=$AB$58,$AF$58,E59=$AB$59,$AF$59,E59=$AB$60,$AF$60,E59=$AB$61,$AF$61,E59=$AB$62,$AF$62,E59=$AB$63,$AF$63,E59=$AB$64,$AF$64,E59=$AB$65,$AF$65,E59=$AB$66,$AF$66,TRUE,"0")</f>
        <v>if 0-0, BACK+ 0.5 GOALS  @ 1.15+odds.  or @ 40 mins</v>
      </c>
      <c r="D59" s="270" t="str" cm="1">
        <f t="array" ref="D59">_xlfn.IFS(E59=$AB$42,$AD$42,E59=$AB$43,$AD$43,E59=$AB$44,$AD$44,E59=$AB$45,$AD$45,E59=$AB$46,$AD$46,E59=$AB$47,$AD$47,E59=$AB$48,$AD$48,E59=$AB$49,$AD$49,E59=$AB$50,$AD$50,E59=$AB$51,$AD$51,E59=$AB$52,$AD$52,E59=$AB$53,$AD$53,E59=$AB$54,$AD$54,E59=$AB$55,$AD$55,E59=$AB$56,$AD$56,E59=$AB$57,$AD$57,E59=$AB$58,$AD$58,E59=$AB$59,$AD$59,E59=$AB$60,$AD$60,E59=$AB$61,$AD$61,E59=$AB$62,$AD$62,E59=$AB$63,$AD$63,E59=$AB$64,$AD$64,E59=$AB$65,$AD$65,E59=$AB$66,$AD$66,TRUE,"0")</f>
        <v>IP</v>
      </c>
      <c r="E59" s="163" t="s">
        <v>270</v>
      </c>
      <c r="F59" s="2" t="s">
        <v>149</v>
      </c>
      <c r="G59" s="2" t="s">
        <v>150</v>
      </c>
      <c r="H59" s="3">
        <v>45303.791666666664</v>
      </c>
      <c r="I59" s="2" t="s">
        <v>151</v>
      </c>
      <c r="J59" s="2" t="s">
        <v>152</v>
      </c>
      <c r="K59" s="2">
        <v>59</v>
      </c>
      <c r="L59" s="2">
        <v>0</v>
      </c>
      <c r="M59" s="2">
        <v>20</v>
      </c>
      <c r="N59" s="2"/>
      <c r="O59" s="2"/>
      <c r="P59" s="11"/>
      <c r="Q59" s="2" t="s">
        <v>95</v>
      </c>
      <c r="R59" s="14" t="s">
        <v>207</v>
      </c>
      <c r="S59" s="13" t="s">
        <v>208</v>
      </c>
      <c r="T59" s="188">
        <f t="shared" si="1"/>
        <v>39.225539295051924</v>
      </c>
      <c r="U59" s="8">
        <f t="shared" si="6"/>
        <v>7.0605970731093457</v>
      </c>
      <c r="V59" s="234">
        <f t="shared" si="7"/>
        <v>791.5713829741477</v>
      </c>
      <c r="W59" s="15">
        <v>25</v>
      </c>
      <c r="X59" s="8">
        <f t="shared" si="3"/>
        <v>4.5</v>
      </c>
      <c r="Y59" s="233">
        <f t="shared" si="4"/>
        <v>731.5</v>
      </c>
      <c r="AB59" s="2" t="s">
        <v>514</v>
      </c>
      <c r="AC59" s="281">
        <f>AL26</f>
        <v>0.92307692307692313</v>
      </c>
      <c r="AD59" s="7" t="s">
        <v>926</v>
      </c>
      <c r="AE59" s="160">
        <f>AK54</f>
        <v>629</v>
      </c>
      <c r="AF59" s="160" t="s">
        <v>923</v>
      </c>
      <c r="AG59" s="7"/>
      <c r="AH59" s="160"/>
      <c r="AI59" s="29"/>
      <c r="AJ59" s="279"/>
      <c r="AK59" s="261">
        <f>SUM(AK44,AK49,AK54)</f>
        <v>1743</v>
      </c>
      <c r="AL59" s="262"/>
    </row>
    <row r="60" spans="1:39">
      <c r="A60" s="156" t="e" cm="1">
        <f t="array" aca="1" ref="A60" ca="1">_xlfn.IFS(E60=$AB$42,$AC$42,E60=$AB$43,$AC$43,E60=$AB$44,$AC$44,E60=$AB$45,$AC$45,E60=$AB$46,$AC$46,E60=$AB$47,$AC$47,E60=$AB$48,$AC$48,E60=$AB$49,$AC$49,E60=$AB$50,$AC$50,E60=$AB$51,$AC$51,E60=$AB$52,$AC$52,E60=$AB$53,$AC$53,E60=$AB$54,$AC$54,E60=$AB$55,$AC$55,E60=$AB$56,$AC$56,E60=$AB$57,$AC$57,E60=$AB$58,$AC$58,E60=$AB$59,$AC$59,E60=$AB$60,$AC$60,E60=$AB$61,$AC$61,E60=$AB$62,$AC$62,E60=$AB$63,$AC$63,E60=$AB$64,$AC$64,E60=$AB$65,$AC$65,E60=$AB$66,$AC$66,TRUE,"0")</f>
        <v>#NAME?</v>
      </c>
      <c r="C60" s="161" t="str" cm="1">
        <f t="array" ref="C60">_xlfn.IFS(E60=$AB$42,$AF$42,E60=$AB$43,$AF$43,E60=$AB$44,$AF$44,E60=$AB$45,$AF$45,E60=$AB$46,$AF$46,E60=$AB$47,$AF$47,E60=$AB$48,$AF$48,E60=$AB$49,$AF$49,E60=$AB$50,$AF$50,E60=$AB$51,$AF$51,E60=$AB$52,$AF$52,E60=$AB$53,$AF$53,E60=$AB$54,$AF$54,E60=$AB$55,$AF$55,E60=$AB$56,$AF$56,E60=$AB$57,$AF$57,E60=$AB$58,$AF$58,E60=$AB$59,$AF$59,E60=$AB$60,$AF$60,E60=$AB$61,$AF$61,E60=$AB$62,$AF$62,E60=$AB$63,$AF$63,E60=$AB$64,$AF$64,E60=$AB$65,$AF$65,E60=$AB$66,$AF$66,TRUE,"0")</f>
        <v>if 0-0, BACK+ 0.5 GOALS  @ 1.15+odds.  or @ 40 mins</v>
      </c>
      <c r="D60" s="270" t="str" cm="1">
        <f t="array" ref="D60">_xlfn.IFS(E60=$AB$42,$AD$42,E60=$AB$43,$AD$43,E60=$AB$44,$AD$44,E60=$AB$45,$AD$45,E60=$AB$46,$AD$46,E60=$AB$47,$AD$47,E60=$AB$48,$AD$48,E60=$AB$49,$AD$49,E60=$AB$50,$AD$50,E60=$AB$51,$AD$51,E60=$AB$52,$AD$52,E60=$AB$53,$AD$53,E60=$AB$54,$AD$54,E60=$AB$55,$AD$55,E60=$AB$56,$AD$56,E60=$AB$57,$AD$57,E60=$AB$58,$AD$58,E60=$AB$59,$AD$59,E60=$AB$60,$AD$60,E60=$AB$61,$AD$61,E60=$AB$62,$AD$62,E60=$AB$63,$AD$63,E60=$AB$64,$AD$64,E60=$AB$65,$AD$65,E60=$AB$66,$AD$66,TRUE,"0")</f>
        <v>IP</v>
      </c>
      <c r="E60" s="163" t="s">
        <v>270</v>
      </c>
      <c r="F60" s="2" t="s">
        <v>149</v>
      </c>
      <c r="G60" s="2" t="s">
        <v>153</v>
      </c>
      <c r="H60" s="3">
        <v>45303.791666666664</v>
      </c>
      <c r="I60" s="2" t="s">
        <v>154</v>
      </c>
      <c r="J60" s="2" t="s">
        <v>155</v>
      </c>
      <c r="K60" s="2">
        <v>60</v>
      </c>
      <c r="L60" s="2">
        <v>0</v>
      </c>
      <c r="M60" s="2">
        <v>20</v>
      </c>
      <c r="N60" s="2"/>
      <c r="O60" s="2"/>
      <c r="P60" s="11"/>
      <c r="Q60" s="2" t="s">
        <v>95</v>
      </c>
      <c r="R60" s="14" t="s">
        <v>193</v>
      </c>
      <c r="S60" s="13" t="s">
        <v>223</v>
      </c>
      <c r="T60" s="188">
        <f t="shared" si="1"/>
        <v>39.578569148707388</v>
      </c>
      <c r="U60" s="8">
        <f t="shared" si="6"/>
        <v>7.1241424467673298</v>
      </c>
      <c r="V60" s="234">
        <f t="shared" si="7"/>
        <v>798.69552542091503</v>
      </c>
      <c r="W60" s="15">
        <v>25</v>
      </c>
      <c r="X60" s="8">
        <f t="shared" si="3"/>
        <v>4.5</v>
      </c>
      <c r="Y60" s="233">
        <f t="shared" si="4"/>
        <v>736</v>
      </c>
      <c r="AB60" s="2" t="s">
        <v>19</v>
      </c>
      <c r="AC60" s="285">
        <f>AH31</f>
        <v>0.96698113207547165</v>
      </c>
      <c r="AD60" s="7" t="s">
        <v>926</v>
      </c>
      <c r="AE60" s="160">
        <f>AK54</f>
        <v>629</v>
      </c>
      <c r="AF60" s="160" t="s">
        <v>929</v>
      </c>
      <c r="AG60" s="7"/>
      <c r="AH60" s="160"/>
      <c r="AI60" s="29"/>
    </row>
    <row r="61" spans="1:39">
      <c r="A61" s="156" t="e" cm="1">
        <f t="array" aca="1" ref="A61" ca="1">_xlfn.IFS(E61=$AB$42,$AC$42,E61=$AB$43,$AC$43,E61=$AB$44,$AC$44,E61=$AB$45,$AC$45,E61=$AB$46,$AC$46,E61=$AB$47,$AC$47,E61=$AB$48,$AC$48,E61=$AB$49,$AC$49,E61=$AB$50,$AC$50,E61=$AB$51,$AC$51,E61=$AB$52,$AC$52,E61=$AB$53,$AC$53,E61=$AB$54,$AC$54,E61=$AB$55,$AC$55,E61=$AB$56,$AC$56,E61=$AB$57,$AC$57,E61=$AB$58,$AC$58,E61=$AB$59,$AC$59,E61=$AB$60,$AC$60,E61=$AB$61,$AC$61,E61=$AB$62,$AC$62,E61=$AB$63,$AC$63,E61=$AB$64,$AC$64,E61=$AB$65,$AC$65,E61=$AB$66,$AC$66,TRUE,"0")</f>
        <v>#NAME?</v>
      </c>
      <c r="C61" s="161" t="str" cm="1">
        <f t="array" ref="C61">_xlfn.IFS(E61=$AB$42,$AF$42,E61=$AB$43,$AF$43,E61=$AB$44,$AF$44,E61=$AB$45,$AF$45,E61=$AB$46,$AF$46,E61=$AB$47,$AF$47,E61=$AB$48,$AF$48,E61=$AB$49,$AF$49,E61=$AB$50,$AF$50,E61=$AB$51,$AF$51,E61=$AB$52,$AF$52,E61=$AB$53,$AF$53,E61=$AB$54,$AF$54,E61=$AB$55,$AF$55,E61=$AB$56,$AF$56,E61=$AB$57,$AF$57,E61=$AB$58,$AF$58,E61=$AB$59,$AF$59,E61=$AB$60,$AF$60,E61=$AB$61,$AF$61,E61=$AB$62,$AF$62,E61=$AB$63,$AF$63,E61=$AB$64,$AF$64,E61=$AB$65,$AF$65,E61=$AB$66,$AF$66,TRUE,"0")</f>
        <v>if 0-0, BACK+ 0.5 GOALS  @ 1.15+odds.  or @ 40 mins</v>
      </c>
      <c r="D61" s="270" t="str" cm="1">
        <f t="array" ref="D61">_xlfn.IFS(E61=$AB$42,$AD$42,E61=$AB$43,$AD$43,E61=$AB$44,$AD$44,E61=$AB$45,$AD$45,E61=$AB$46,$AD$46,E61=$AB$47,$AD$47,E61=$AB$48,$AD$48,E61=$AB$49,$AD$49,E61=$AB$50,$AD$50,E61=$AB$51,$AD$51,E61=$AB$52,$AD$52,E61=$AB$53,$AD$53,E61=$AB$54,$AD$54,E61=$AB$55,$AD$55,E61=$AB$56,$AD$56,E61=$AB$57,$AD$57,E61=$AB$58,$AD$58,E61=$AB$59,$AD$59,E61=$AB$60,$AD$60,E61=$AB$61,$AD$61,E61=$AB$62,$AD$62,E61=$AB$63,$AD$63,E61=$AB$64,$AD$64,E61=$AB$65,$AD$65,E61=$AB$66,$AD$66,TRUE,"0")</f>
        <v>IP</v>
      </c>
      <c r="E61" s="163" t="s">
        <v>270</v>
      </c>
      <c r="F61" s="2" t="s">
        <v>77</v>
      </c>
      <c r="G61" s="2" t="s">
        <v>156</v>
      </c>
      <c r="H61" s="3">
        <v>45303.8125</v>
      </c>
      <c r="I61" s="2" t="s">
        <v>157</v>
      </c>
      <c r="J61" s="2" t="s">
        <v>158</v>
      </c>
      <c r="K61" s="2">
        <v>63</v>
      </c>
      <c r="L61" s="2">
        <v>0</v>
      </c>
      <c r="M61" s="2">
        <v>20</v>
      </c>
      <c r="N61" s="2"/>
      <c r="O61" s="2"/>
      <c r="P61" s="11"/>
      <c r="Q61" s="2" t="s">
        <v>95</v>
      </c>
      <c r="R61" s="14" t="s">
        <v>214</v>
      </c>
      <c r="S61" s="13" t="s">
        <v>207</v>
      </c>
      <c r="T61" s="188">
        <f t="shared" si="1"/>
        <v>39.934776271045756</v>
      </c>
      <c r="U61" s="8">
        <f t="shared" si="6"/>
        <v>7.1882597287882355</v>
      </c>
      <c r="V61" s="234">
        <f t="shared" si="7"/>
        <v>805.88378514970327</v>
      </c>
      <c r="W61" s="15">
        <v>25</v>
      </c>
      <c r="X61" s="8">
        <f t="shared" si="3"/>
        <v>4.5</v>
      </c>
      <c r="Y61" s="233">
        <f t="shared" si="4"/>
        <v>740.5</v>
      </c>
      <c r="AB61" s="2" t="s">
        <v>270</v>
      </c>
      <c r="AC61" s="285">
        <f>AH31</f>
        <v>0.96698113207547165</v>
      </c>
      <c r="AD61" s="7" t="s">
        <v>926</v>
      </c>
      <c r="AE61" s="160">
        <f>AK54</f>
        <v>629</v>
      </c>
      <c r="AF61" s="160" t="s">
        <v>929</v>
      </c>
      <c r="AG61" s="7"/>
      <c r="AH61" s="160"/>
      <c r="AI61" s="29"/>
    </row>
    <row r="62" spans="1:39">
      <c r="A62" s="156" t="e" cm="1">
        <f t="array" aca="1" ref="A62" ca="1">_xlfn.IFS(E62=$AB$42,$AC$42,E62=$AB$43,$AC$43,E62=$AB$44,$AC$44,E62=$AB$45,$AC$45,E62=$AB$46,$AC$46,E62=$AB$47,$AC$47,E62=$AB$48,$AC$48,E62=$AB$49,$AC$49,E62=$AB$50,$AC$50,E62=$AB$51,$AC$51,E62=$AB$52,$AC$52,E62=$AB$53,$AC$53,E62=$AB$54,$AC$54,E62=$AB$55,$AC$55,E62=$AB$56,$AC$56,E62=$AB$57,$AC$57,E62=$AB$58,$AC$58,E62=$AB$59,$AC$59,E62=$AB$60,$AC$60,E62=$AB$61,$AC$61,E62=$AB$62,$AC$62,E62=$AB$63,$AC$63,E62=$AB$64,$AC$64,E62=$AB$65,$AC$65,E62=$AB$66,$AC$66,TRUE,"0")</f>
        <v>#NAME?</v>
      </c>
      <c r="C62" s="161" t="str" cm="1">
        <f t="array" ref="C62">_xlfn.IFS(E62=$AB$42,$AF$42,E62=$AB$43,$AF$43,E62=$AB$44,$AF$44,E62=$AB$45,$AF$45,E62=$AB$46,$AF$46,E62=$AB$47,$AF$47,E62=$AB$48,$AF$48,E62=$AB$49,$AF$49,E62=$AB$50,$AF$50,E62=$AB$51,$AF$51,E62=$AB$52,$AF$52,E62=$AB$53,$AF$53,E62=$AB$54,$AF$54,E62=$AB$55,$AF$55,E62=$AB$56,$AF$56,E62=$AB$57,$AF$57,E62=$AB$58,$AF$58,E62=$AB$59,$AF$59,E62=$AB$60,$AF$60,E62=$AB$61,$AF$61,E62=$AB$62,$AF$62,E62=$AB$63,$AF$63,E62=$AB$64,$AF$64,E62=$AB$65,$AF$65,E62=$AB$66,$AF$66,TRUE,"0")</f>
        <v>B4 Match, lay HT 0-0 or BACK H1 +0.5 GOALS</v>
      </c>
      <c r="D62" s="270" t="str" cm="1">
        <f t="array" ref="D62">_xlfn.IFS(E62=$AB$42,$AD$42,E62=$AB$43,$AD$43,E62=$AB$44,$AD$44,E62=$AB$45,$AD$45,E62=$AB$46,$AD$46,E62=$AB$47,$AD$47,E62=$AB$48,$AD$48,E62=$AB$49,$AD$49,E62=$AB$50,$AD$50,E62=$AB$51,$AD$51,E62=$AB$52,$AD$52,E62=$AB$53,$AD$53,E62=$AB$54,$AD$54,E62=$AB$55,$AD$55,E62=$AB$56,$AD$56,E62=$AB$57,$AD$57,E62=$AB$58,$AD$58,E62=$AB$59,$AD$59,E62=$AB$60,$AD$60,E62=$AB$61,$AD$61,E62=$AB$62,$AD$62,E62=$AB$63,$AD$63,E62=$AB$64,$AD$64,E62=$AB$65,$AD$65,E62=$AB$66,$AD$66,TRUE,"0")</f>
        <v xml:space="preserve">BFM </v>
      </c>
      <c r="E62" s="163" t="s">
        <v>432</v>
      </c>
      <c r="F62" s="2" t="s">
        <v>77</v>
      </c>
      <c r="G62" s="2" t="s">
        <v>156</v>
      </c>
      <c r="H62" s="3">
        <v>45303.8125</v>
      </c>
      <c r="I62" s="2" t="s">
        <v>157</v>
      </c>
      <c r="J62" s="2" t="s">
        <v>158</v>
      </c>
      <c r="K62" s="2">
        <v>85</v>
      </c>
      <c r="L62" s="2">
        <v>24</v>
      </c>
      <c r="M62" s="2">
        <v>50</v>
      </c>
      <c r="N62" s="2"/>
      <c r="O62" s="2"/>
      <c r="P62" s="11"/>
      <c r="Q62" s="2" t="s">
        <v>95</v>
      </c>
      <c r="R62" s="14" t="s">
        <v>214</v>
      </c>
      <c r="S62" s="13" t="s">
        <v>207</v>
      </c>
      <c r="T62" s="188">
        <f t="shared" si="1"/>
        <v>40.294189257485165</v>
      </c>
      <c r="U62" s="8">
        <f t="shared" si="6"/>
        <v>7.2529540663473293</v>
      </c>
      <c r="V62" s="234">
        <f t="shared" si="7"/>
        <v>813.13673921605061</v>
      </c>
      <c r="W62" s="15">
        <v>25</v>
      </c>
      <c r="X62" s="8">
        <f t="shared" si="3"/>
        <v>4.5</v>
      </c>
      <c r="Y62" s="233">
        <f t="shared" si="4"/>
        <v>745</v>
      </c>
      <c r="AB62" s="2" t="s">
        <v>726</v>
      </c>
      <c r="AC62" s="286">
        <f>AD34</f>
        <v>0.94078947368421051</v>
      </c>
      <c r="AD62" s="7" t="s">
        <v>925</v>
      </c>
      <c r="AE62" s="160">
        <f>AK44</f>
        <v>538</v>
      </c>
      <c r="AF62" s="160" t="s">
        <v>928</v>
      </c>
      <c r="AG62" s="7"/>
      <c r="AH62" s="160"/>
      <c r="AI62" s="29"/>
    </row>
    <row r="63" spans="1:39">
      <c r="A63" s="156" t="e" cm="1">
        <f t="array" aca="1" ref="A63" ca="1">_xlfn.IFS(E63=$AB$42,$AC$42,E63=$AB$43,$AC$43,E63=$AB$44,$AC$44,E63=$AB$45,$AC$45,E63=$AB$46,$AC$46,E63=$AB$47,$AC$47,E63=$AB$48,$AC$48,E63=$AB$49,$AC$49,E63=$AB$50,$AC$50,E63=$AB$51,$AC$51,E63=$AB$52,$AC$52,E63=$AB$53,$AC$53,E63=$AB$54,$AC$54,E63=$AB$55,$AC$55,E63=$AB$56,$AC$56,E63=$AB$57,$AC$57,E63=$AB$58,$AC$58,E63=$AB$59,$AC$59,E63=$AB$60,$AC$60,E63=$AB$61,$AC$61,E63=$AB$62,$AC$62,E63=$AB$63,$AC$63,E63=$AB$64,$AC$64,E63=$AB$65,$AC$65,E63=$AB$66,$AC$66,TRUE,"0")</f>
        <v>#NAME?</v>
      </c>
      <c r="C63" s="161" t="str" cm="1">
        <f t="array" ref="C63">_xlfn.IFS(E63=$AB$42,$AF$42,E63=$AB$43,$AF$43,E63=$AB$44,$AF$44,E63=$AB$45,$AF$45,E63=$AB$46,$AF$46,E63=$AB$47,$AF$47,E63=$AB$48,$AF$48,E63=$AB$49,$AF$49,E63=$AB$50,$AF$50,E63=$AB$51,$AF$51,E63=$AB$52,$AF$52,E63=$AB$53,$AF$53,E63=$AB$54,$AF$54,E63=$AB$55,$AF$55,E63=$AB$56,$AF$56,E63=$AB$57,$AF$57,E63=$AB$58,$AF$58,E63=$AB$59,$AF$59,E63=$AB$60,$AF$60,E63=$AB$61,$AF$61,E63=$AB$62,$AF$62,E63=$AB$63,$AF$63,E63=$AB$64,$AF$64,E63=$AB$65,$AF$65,E63=$AB$66,$AF$66,TRUE,"0")</f>
        <v>if 0-0, BACK+ 0.5 GOALS  @ 1.15+odds.  or @ 40 mins</v>
      </c>
      <c r="D63" s="270" t="str" cm="1">
        <f t="array" ref="D63">_xlfn.IFS(E63=$AB$42,$AD$42,E63=$AB$43,$AD$43,E63=$AB$44,$AD$44,E63=$AB$45,$AD$45,E63=$AB$46,$AD$46,E63=$AB$47,$AD$47,E63=$AB$48,$AD$48,E63=$AB$49,$AD$49,E63=$AB$50,$AD$50,E63=$AB$51,$AD$51,E63=$AB$52,$AD$52,E63=$AB$53,$AD$53,E63=$AB$54,$AD$54,E63=$AB$55,$AD$55,E63=$AB$56,$AD$56,E63=$AB$57,$AD$57,E63=$AB$58,$AD$58,E63=$AB$59,$AD$59,E63=$AB$60,$AD$60,E63=$AB$61,$AD$61,E63=$AB$62,$AD$62,E63=$AB$63,$AD$63,E63=$AB$64,$AD$64,E63=$AB$65,$AD$65,E63=$AB$66,$AD$66,TRUE,"0")</f>
        <v>IP</v>
      </c>
      <c r="E63" s="163" t="s">
        <v>270</v>
      </c>
      <c r="F63" s="2" t="s">
        <v>6</v>
      </c>
      <c r="G63" s="2" t="s">
        <v>62</v>
      </c>
      <c r="H63" s="3">
        <v>45303.822916666664</v>
      </c>
      <c r="I63" s="2" t="s">
        <v>103</v>
      </c>
      <c r="J63" s="2" t="s">
        <v>86</v>
      </c>
      <c r="K63" s="2">
        <v>64</v>
      </c>
      <c r="L63" s="2">
        <v>0</v>
      </c>
      <c r="M63" s="2">
        <v>20</v>
      </c>
      <c r="N63" s="2"/>
      <c r="O63" s="2"/>
      <c r="P63" s="11"/>
      <c r="Q63" s="2" t="s">
        <v>95</v>
      </c>
      <c r="R63" s="14" t="s">
        <v>214</v>
      </c>
      <c r="S63" s="13" t="s">
        <v>216</v>
      </c>
      <c r="T63" s="188">
        <f t="shared" si="1"/>
        <v>40.656836960802536</v>
      </c>
      <c r="U63" s="8">
        <f t="shared" si="6"/>
        <v>7.3182306529444565</v>
      </c>
      <c r="V63" s="234">
        <f t="shared" si="7"/>
        <v>820.45496986899502</v>
      </c>
      <c r="W63" s="15">
        <v>25</v>
      </c>
      <c r="X63" s="8">
        <f t="shared" si="3"/>
        <v>4.5</v>
      </c>
      <c r="Y63" s="233">
        <f t="shared" si="4"/>
        <v>749.5</v>
      </c>
      <c r="AB63" s="160" t="s">
        <v>876</v>
      </c>
      <c r="AC63" s="285">
        <f>AD38</f>
        <v>1</v>
      </c>
      <c r="AD63" s="7" t="s">
        <v>925</v>
      </c>
      <c r="AE63" s="160">
        <f>AK44</f>
        <v>538</v>
      </c>
      <c r="AF63" s="160" t="s">
        <v>924</v>
      </c>
      <c r="AG63" s="7"/>
      <c r="AH63" s="160"/>
      <c r="AI63" s="29"/>
    </row>
    <row r="64" spans="1:39">
      <c r="A64" s="156" t="e" cm="1">
        <f t="array" aca="1" ref="A64" ca="1">_xlfn.IFS(E64=$AB$42,$AC$42,E64=$AB$43,$AC$43,E64=$AB$44,$AC$44,E64=$AB$45,$AC$45,E64=$AB$46,$AC$46,E64=$AB$47,$AC$47,E64=$AB$48,$AC$48,E64=$AB$49,$AC$49,E64=$AB$50,$AC$50,E64=$AB$51,$AC$51,E64=$AB$52,$AC$52,E64=$AB$53,$AC$53,E64=$AB$54,$AC$54,E64=$AB$55,$AC$55,E64=$AB$56,$AC$56,E64=$AB$57,$AC$57,E64=$AB$58,$AC$58,E64=$AB$59,$AC$59,E64=$AB$60,$AC$60,E64=$AB$61,$AC$61,E64=$AB$62,$AC$62,E64=$AB$63,$AC$63,E64=$AB$64,$AC$64,E64=$AB$65,$AC$65,E64=$AB$66,$AC$66,TRUE,"0")</f>
        <v>#NAME?</v>
      </c>
      <c r="C64" s="161" t="str" cm="1">
        <f t="array" ref="C64">_xlfn.IFS(E64=$AB$42,$AF$42,E64=$AB$43,$AF$43,E64=$AB$44,$AF$44,E64=$AB$45,$AF$45,E64=$AB$46,$AF$46,E64=$AB$47,$AF$47,E64=$AB$48,$AF$48,E64=$AB$49,$AF$49,E64=$AB$50,$AF$50,E64=$AB$51,$AF$51,E64=$AB$52,$AF$52,E64=$AB$53,$AF$53,E64=$AB$54,$AF$54,E64=$AB$55,$AF$55,E64=$AB$56,$AF$56,E64=$AB$57,$AF$57,E64=$AB$58,$AF$58,E64=$AB$59,$AF$59,E64=$AB$60,$AF$60,E64=$AB$61,$AF$61,E64=$AB$62,$AF$62,E64=$AB$63,$AF$63,E64=$AB$64,$AF$64,E64=$AB$65,$AF$65,E64=$AB$66,$AF$66,TRUE,"0")</f>
        <v>B4 Match, lay HT 0-0 or BACK H1 +0.5 GOALS</v>
      </c>
      <c r="D64" s="270" t="str" cm="1">
        <f t="array" ref="D64">_xlfn.IFS(E64=$AB$42,$AD$42,E64=$AB$43,$AD$43,E64=$AB$44,$AD$44,E64=$AB$45,$AD$45,E64=$AB$46,$AD$46,E64=$AB$47,$AD$47,E64=$AB$48,$AD$48,E64=$AB$49,$AD$49,E64=$AB$50,$AD$50,E64=$AB$51,$AD$51,E64=$AB$52,$AD$52,E64=$AB$53,$AD$53,E64=$AB$54,$AD$54,E64=$AB$55,$AD$55,E64=$AB$56,$AD$56,E64=$AB$57,$AD$57,E64=$AB$58,$AD$58,E64=$AB$59,$AD$59,E64=$AB$60,$AD$60,E64=$AB$61,$AD$61,E64=$AB$62,$AD$62,E64=$AB$63,$AD$63,E64=$AB$64,$AD$64,E64=$AB$65,$AD$65,E64=$AB$66,$AD$66,TRUE,"0")</f>
        <v xml:space="preserve">BFM </v>
      </c>
      <c r="E64" s="163" t="s">
        <v>432</v>
      </c>
      <c r="F64" s="2" t="s">
        <v>145</v>
      </c>
      <c r="G64" s="2" t="s">
        <v>190</v>
      </c>
      <c r="H64" s="3">
        <v>45303.833333333336</v>
      </c>
      <c r="I64" s="2" t="s">
        <v>191</v>
      </c>
      <c r="J64" s="2" t="s">
        <v>192</v>
      </c>
      <c r="K64" s="2">
        <v>85</v>
      </c>
      <c r="L64" s="2">
        <v>24</v>
      </c>
      <c r="M64" s="2">
        <v>50</v>
      </c>
      <c r="N64" s="2"/>
      <c r="O64" s="2"/>
      <c r="P64" s="11"/>
      <c r="Q64" s="2" t="s">
        <v>95</v>
      </c>
      <c r="R64" s="14" t="s">
        <v>214</v>
      </c>
      <c r="S64" s="13" t="s">
        <v>216</v>
      </c>
      <c r="T64" s="188">
        <f t="shared" si="1"/>
        <v>41.022748493449754</v>
      </c>
      <c r="U64" s="8">
        <f t="shared" si="6"/>
        <v>7.3840947288209557</v>
      </c>
      <c r="V64" s="234">
        <f t="shared" si="7"/>
        <v>827.83906459781599</v>
      </c>
      <c r="W64" s="15">
        <v>25</v>
      </c>
      <c r="X64" s="8">
        <f t="shared" si="3"/>
        <v>4.5</v>
      </c>
      <c r="Y64" s="233">
        <f t="shared" si="4"/>
        <v>754</v>
      </c>
      <c r="AB64" s="160" t="s">
        <v>877</v>
      </c>
      <c r="AC64" s="285">
        <f>AH38</f>
        <v>1</v>
      </c>
      <c r="AD64" s="7" t="s">
        <v>925</v>
      </c>
      <c r="AE64" s="160">
        <f>AK44</f>
        <v>538</v>
      </c>
      <c r="AF64" s="160" t="s">
        <v>924</v>
      </c>
      <c r="AG64" s="7"/>
      <c r="AH64" s="160"/>
      <c r="AI64" s="29"/>
    </row>
    <row r="65" spans="1:35">
      <c r="A65" s="156" t="e" cm="1">
        <f t="array" aca="1" ref="A65" ca="1">_xlfn.IFS(E65=$AB$42,$AC$42,E65=$AB$43,$AC$43,E65=$AB$44,$AC$44,E65=$AB$45,$AC$45,E65=$AB$46,$AC$46,E65=$AB$47,$AC$47,E65=$AB$48,$AC$48,E65=$AB$49,$AC$49,E65=$AB$50,$AC$50,E65=$AB$51,$AC$51,E65=$AB$52,$AC$52,E65=$AB$53,$AC$53,E65=$AB$54,$AC$54,E65=$AB$55,$AC$55,E65=$AB$56,$AC$56,E65=$AB$57,$AC$57,E65=$AB$58,$AC$58,E65=$AB$59,$AC$59,E65=$AB$60,$AC$60,E65=$AB$61,$AC$61,E65=$AB$62,$AC$62,E65=$AB$63,$AC$63,E65=$AB$64,$AC$64,E65=$AB$65,$AC$65,E65=$AB$66,$AC$66,TRUE,"0")</f>
        <v>#NAME?</v>
      </c>
      <c r="C65" s="161" t="str" cm="1">
        <f t="array" ref="C65">_xlfn.IFS(E65=$AB$42,$AF$42,E65=$AB$43,$AF$43,E65=$AB$44,$AF$44,E65=$AB$45,$AF$45,E65=$AB$46,$AF$46,E65=$AB$47,$AF$47,E65=$AB$48,$AF$48,E65=$AB$49,$AF$49,E65=$AB$50,$AF$50,E65=$AB$51,$AF$51,E65=$AB$52,$AF$52,E65=$AB$53,$AF$53,E65=$AB$54,$AF$54,E65=$AB$55,$AF$55,E65=$AB$56,$AF$56,E65=$AB$57,$AF$57,E65=$AB$58,$AF$58,E65=$AB$59,$AF$59,E65=$AB$60,$AF$60,E65=$AB$61,$AF$61,E65=$AB$62,$AF$62,E65=$AB$63,$AF$63,E65=$AB$64,$AF$64,E65=$AB$65,$AF$65,E65=$AB$66,$AF$66,TRUE,"0")</f>
        <v>B4 Match, lay HT 0-0 or BACK H1 +0.5 GOALS</v>
      </c>
      <c r="D65" s="270" t="str" cm="1">
        <f t="array" ref="D65">_xlfn.IFS(E65=$AB$42,$AD$42,E65=$AB$43,$AD$43,E65=$AB$44,$AD$44,E65=$AB$45,$AD$45,E65=$AB$46,$AD$46,E65=$AB$47,$AD$47,E65=$AB$48,$AD$48,E65=$AB$49,$AD$49,E65=$AB$50,$AD$50,E65=$AB$51,$AD$51,E65=$AB$52,$AD$52,E65=$AB$53,$AD$53,E65=$AB$54,$AD$54,E65=$AB$55,$AD$55,E65=$AB$56,$AD$56,E65=$AB$57,$AD$57,E65=$AB$58,$AD$58,E65=$AB$59,$AD$59,E65=$AB$60,$AD$60,E65=$AB$61,$AD$61,E65=$AB$62,$AD$62,E65=$AB$63,$AD$63,E65=$AB$64,$AD$64,E65=$AB$65,$AD$65,E65=$AB$66,$AD$66,TRUE,"0")</f>
        <v xml:space="preserve">BFM </v>
      </c>
      <c r="E65" s="163" t="s">
        <v>432</v>
      </c>
      <c r="F65" s="2" t="s">
        <v>44</v>
      </c>
      <c r="G65" s="2" t="s">
        <v>45</v>
      </c>
      <c r="H65" s="3">
        <v>45304.375</v>
      </c>
      <c r="I65" s="2" t="s">
        <v>124</v>
      </c>
      <c r="J65" s="2" t="s">
        <v>46</v>
      </c>
      <c r="K65" s="2">
        <v>90</v>
      </c>
      <c r="L65" s="2">
        <v>24</v>
      </c>
      <c r="M65" s="2">
        <v>53</v>
      </c>
      <c r="N65" s="2"/>
      <c r="O65" s="2"/>
      <c r="P65" s="11"/>
      <c r="Q65" s="2" t="s">
        <v>95</v>
      </c>
      <c r="R65" s="14" t="s">
        <v>215</v>
      </c>
      <c r="S65" s="13" t="s">
        <v>212</v>
      </c>
      <c r="T65" s="188">
        <f t="shared" si="1"/>
        <v>41.391953229890802</v>
      </c>
      <c r="U65" s="8">
        <f t="shared" si="6"/>
        <v>7.4505515813803438</v>
      </c>
      <c r="V65" s="234">
        <f t="shared" si="7"/>
        <v>835.28961617919629</v>
      </c>
      <c r="W65" s="15">
        <v>25</v>
      </c>
      <c r="X65" s="8">
        <f t="shared" si="3"/>
        <v>4.5</v>
      </c>
      <c r="Y65" s="233">
        <f t="shared" si="4"/>
        <v>758.5</v>
      </c>
      <c r="AB65" s="160" t="s">
        <v>885</v>
      </c>
      <c r="AC65" s="285">
        <f>AL38</f>
        <v>1</v>
      </c>
      <c r="AD65" s="7" t="s">
        <v>925</v>
      </c>
      <c r="AE65" s="160">
        <f>AK44</f>
        <v>538</v>
      </c>
      <c r="AF65" s="160" t="s">
        <v>924</v>
      </c>
      <c r="AG65" s="7"/>
      <c r="AH65" s="160"/>
      <c r="AI65" s="29"/>
    </row>
    <row r="66" spans="1:35">
      <c r="A66" s="156" t="e" cm="1">
        <f t="array" aca="1" ref="A66" ca="1">_xlfn.IFS(E66=$AB$42,$AC$42,E66=$AB$43,$AC$43,E66=$AB$44,$AC$44,E66=$AB$45,$AC$45,E66=$AB$46,$AC$46,E66=$AB$47,$AC$47,E66=$AB$48,$AC$48,E66=$AB$49,$AC$49,E66=$AB$50,$AC$50,E66=$AB$51,$AC$51,E66=$AB$52,$AC$52,E66=$AB$53,$AC$53,E66=$AB$54,$AC$54,E66=$AB$55,$AC$55,E66=$AB$56,$AC$56,E66=$AB$57,$AC$57,E66=$AB$58,$AC$58,E66=$AB$59,$AC$59,E66=$AB$60,$AC$60,E66=$AB$61,$AC$61,E66=$AB$62,$AC$62,E66=$AB$63,$AC$63,E66=$AB$64,$AC$64,E66=$AB$65,$AC$65,E66=$AB$66,$AC$66,TRUE,"0")</f>
        <v>#NAME?</v>
      </c>
      <c r="C66" s="161" t="str" cm="1">
        <f t="array" ref="C66">_xlfn.IFS(E66=$AB$42,$AF$42,E66=$AB$43,$AF$43,E66=$AB$44,$AF$44,E66=$AB$45,$AF$45,E66=$AB$46,$AF$46,E66=$AB$47,$AF$47,E66=$AB$48,$AF$48,E66=$AB$49,$AF$49,E66=$AB$50,$AF$50,E66=$AB$51,$AF$51,E66=$AB$52,$AF$52,E66=$AB$53,$AF$53,E66=$AB$54,$AF$54,E66=$AB$55,$AF$55,E66=$AB$56,$AF$56,E66=$AB$57,$AF$57,E66=$AB$58,$AF$58,E66=$AB$59,$AF$59,E66=$AB$60,$AF$60,E66=$AB$61,$AF$61,E66=$AB$62,$AF$62,E66=$AB$63,$AF$63,E66=$AB$64,$AF$64,E66=$AB$65,$AF$65,E66=$AB$66,$AF$66,TRUE,"0")</f>
        <v>B4 match BACK FT +1.5 goals. X AFTER  GOAL</v>
      </c>
      <c r="D66" s="270" t="str" cm="1">
        <f t="array" ref="D66">_xlfn.IFS(E66=$AB$42,$AD$42,E66=$AB$43,$AD$43,E66=$AB$44,$AD$44,E66=$AB$45,$AD$45,E66=$AB$46,$AD$46,E66=$AB$47,$AD$47,E66=$AB$48,$AD$48,E66=$AB$49,$AD$49,E66=$AB$50,$AD$50,E66=$AB$51,$AD$51,E66=$AB$52,$AD$52,E66=$AB$53,$AD$53,E66=$AB$54,$AD$54,E66=$AB$55,$AD$55,E66=$AB$56,$AD$56,E66=$AB$57,$AD$57,E66=$AB$58,$AD$58,E66=$AB$59,$AD$59,E66=$AB$60,$AD$60,E66=$AB$61,$AD$61,E66=$AB$62,$AD$62,E66=$AB$63,$AD$63,E66=$AB$64,$AD$64,E66=$AB$65,$AD$65,E66=$AB$66,$AD$66,TRUE,"0")</f>
        <v xml:space="preserve">BFM </v>
      </c>
      <c r="E66" s="163" t="s">
        <v>406</v>
      </c>
      <c r="F66" s="2" t="s">
        <v>20</v>
      </c>
      <c r="G66" s="2" t="s">
        <v>21</v>
      </c>
      <c r="H66" s="3">
        <v>45304.583333333336</v>
      </c>
      <c r="I66" s="2" t="s">
        <v>22</v>
      </c>
      <c r="J66" s="2" t="s">
        <v>110</v>
      </c>
      <c r="K66" s="2">
        <v>1.35</v>
      </c>
      <c r="L66" s="2">
        <v>11.5</v>
      </c>
      <c r="M66" s="2">
        <v>2.72</v>
      </c>
      <c r="N66" s="2">
        <v>4.7</v>
      </c>
      <c r="O66" s="2"/>
      <c r="P66" s="11"/>
      <c r="Q66" s="2" t="s">
        <v>95</v>
      </c>
      <c r="R66" s="14" t="s">
        <v>216</v>
      </c>
      <c r="S66" s="13" t="s">
        <v>222</v>
      </c>
      <c r="T66" s="188">
        <f t="shared" si="1"/>
        <v>41.764480808959817</v>
      </c>
      <c r="U66" s="8">
        <f t="shared" si="6"/>
        <v>7.5176065456127672</v>
      </c>
      <c r="V66" s="234">
        <f t="shared" si="7"/>
        <v>842.80722272480909</v>
      </c>
      <c r="W66" s="15">
        <v>25</v>
      </c>
      <c r="X66" s="8">
        <f t="shared" si="3"/>
        <v>4.5</v>
      </c>
      <c r="Y66" s="233">
        <f t="shared" si="4"/>
        <v>763</v>
      </c>
      <c r="AB66" s="2" t="s">
        <v>909</v>
      </c>
      <c r="AC66" s="285">
        <f>AL34</f>
        <v>1</v>
      </c>
      <c r="AD66" s="7" t="s">
        <v>927</v>
      </c>
      <c r="AE66" s="160">
        <f>AK49</f>
        <v>576</v>
      </c>
      <c r="AF66" s="160" t="s">
        <v>918</v>
      </c>
      <c r="AG66" s="7"/>
      <c r="AH66" s="160"/>
      <c r="AI66" s="29"/>
    </row>
    <row r="67" spans="1:35">
      <c r="A67" s="156" t="e" cm="1">
        <f t="array" aca="1" ref="A67" ca="1">_xlfn.IFS(E67=$AB$42,$AC$42,E67=$AB$43,$AC$43,E67=$AB$44,$AC$44,E67=$AB$45,$AC$45,E67=$AB$46,$AC$46,E67=$AB$47,$AC$47,E67=$AB$48,$AC$48,E67=$AB$49,$AC$49,E67=$AB$50,$AC$50,E67=$AB$51,$AC$51,E67=$AB$52,$AC$52,E67=$AB$53,$AC$53,E67=$AB$54,$AC$54,E67=$AB$55,$AC$55,E67=$AB$56,$AC$56,E67=$AB$57,$AC$57,E67=$AB$58,$AC$58,E67=$AB$59,$AC$59,E67=$AB$60,$AC$60,E67=$AB$61,$AC$61,E67=$AB$62,$AC$62,E67=$AB$63,$AC$63,E67=$AB$64,$AC$64,E67=$AB$65,$AC$65,E67=$AB$66,$AC$66,TRUE,"0")</f>
        <v>#NAME?</v>
      </c>
      <c r="C67" s="161" t="str" cm="1">
        <f t="array" ref="C67">_xlfn.IFS(E67=$AB$42,$AF$42,E67=$AB$43,$AF$43,E67=$AB$44,$AF$44,E67=$AB$45,$AF$45,E67=$AB$46,$AF$46,E67=$AB$47,$AF$47,E67=$AB$48,$AF$48,E67=$AB$49,$AF$49,E67=$AB$50,$AF$50,E67=$AB$51,$AF$51,E67=$AB$52,$AF$52,E67=$AB$53,$AF$53,E67=$AB$54,$AF$54,E67=$AB$55,$AF$55,E67=$AB$56,$AF$56,E67=$AB$57,$AF$57,E67=$AB$58,$AF$58,E67=$AB$59,$AF$59,E67=$AB$60,$AF$60,E67=$AB$61,$AF$61,E67=$AB$62,$AF$62,E67=$AB$63,$AF$63,E67=$AB$64,$AF$64,E67=$AB$65,$AF$65,E67=$AB$66,$AF$66,TRUE,"0")</f>
        <v>if 0-0, BACK+ 0.5 GOALS  @ 1.15+odds.  or @ 40 mins</v>
      </c>
      <c r="D67" s="270" t="str" cm="1">
        <f t="array" ref="D67">_xlfn.IFS(E67=$AB$42,$AD$42,E67=$AB$43,$AD$43,E67=$AB$44,$AD$44,E67=$AB$45,$AD$45,E67=$AB$46,$AD$46,E67=$AB$47,$AD$47,E67=$AB$48,$AD$48,E67=$AB$49,$AD$49,E67=$AB$50,$AD$50,E67=$AB$51,$AD$51,E67=$AB$52,$AD$52,E67=$AB$53,$AD$53,E67=$AB$54,$AD$54,E67=$AB$55,$AD$55,E67=$AB$56,$AD$56,E67=$AB$57,$AD$57,E67=$AB$58,$AD$58,E67=$AB$59,$AD$59,E67=$AB$60,$AD$60,E67=$AB$61,$AD$61,E67=$AB$62,$AD$62,E67=$AB$63,$AD$63,E67=$AB$64,$AD$64,E67=$AB$65,$AD$65,E67=$AB$66,$AD$66,TRUE,"0")</f>
        <v>IP</v>
      </c>
      <c r="E67" s="163" t="s">
        <v>270</v>
      </c>
      <c r="F67" s="2" t="s">
        <v>77</v>
      </c>
      <c r="G67" s="2" t="s">
        <v>156</v>
      </c>
      <c r="H67" s="3">
        <v>45304.604166666664</v>
      </c>
      <c r="I67" s="2" t="s">
        <v>160</v>
      </c>
      <c r="J67" s="2" t="s">
        <v>161</v>
      </c>
      <c r="K67" s="2">
        <v>63</v>
      </c>
      <c r="L67" s="2">
        <v>0</v>
      </c>
      <c r="M67" s="2">
        <v>20</v>
      </c>
      <c r="N67" s="2"/>
      <c r="O67" s="2"/>
      <c r="P67" s="11"/>
      <c r="Q67" s="2" t="s">
        <v>95</v>
      </c>
      <c r="R67" s="14" t="s">
        <v>193</v>
      </c>
      <c r="S67" s="13" t="s">
        <v>216</v>
      </c>
      <c r="T67" s="188">
        <f t="shared" ref="T67:T130" si="9">SUM(V66*0.05)</f>
        <v>42.140361136240458</v>
      </c>
      <c r="U67" s="8">
        <f t="shared" si="6"/>
        <v>7.5852650045232819</v>
      </c>
      <c r="V67" s="234">
        <f t="shared" ref="V67:V74" si="10">SUM(V66,U67)</f>
        <v>850.3924877293324</v>
      </c>
      <c r="W67" s="15">
        <v>25</v>
      </c>
      <c r="X67" s="8">
        <f t="shared" ref="X67:X130" si="11">IF(Q67="won",W67*0.18,-W67)</f>
        <v>4.5</v>
      </c>
      <c r="Y67" s="233">
        <f t="shared" ref="Y67:Y130" si="12">SUM(Y66,X67)</f>
        <v>767.5</v>
      </c>
      <c r="AB67" s="2"/>
      <c r="AC67" s="7"/>
      <c r="AD67" s="160"/>
      <c r="AE67" s="160"/>
      <c r="AF67" s="160"/>
      <c r="AG67" s="7"/>
      <c r="AH67" s="160"/>
      <c r="AI67" s="29"/>
    </row>
    <row r="68" spans="1:35">
      <c r="A68" s="156" t="e" cm="1">
        <f t="array" aca="1" ref="A68" ca="1">_xlfn.IFS(E68=$AB$42,$AC$42,E68=$AB$43,$AC$43,E68=$AB$44,$AC$44,E68=$AB$45,$AC$45,E68=$AB$46,$AC$46,E68=$AB$47,$AC$47,E68=$AB$48,$AC$48,E68=$AB$49,$AC$49,E68=$AB$50,$AC$50,E68=$AB$51,$AC$51,E68=$AB$52,$AC$52,E68=$AB$53,$AC$53,E68=$AB$54,$AC$54,E68=$AB$55,$AC$55,E68=$AB$56,$AC$56,E68=$AB$57,$AC$57,E68=$AB$58,$AC$58,E68=$AB$59,$AC$59,E68=$AB$60,$AC$60,E68=$AB$61,$AC$61,E68=$AB$62,$AC$62,E68=$AB$63,$AC$63,E68=$AB$64,$AC$64,E68=$AB$65,$AC$65,E68=$AB$66,$AC$66,TRUE,"0")</f>
        <v>#NAME?</v>
      </c>
      <c r="C68" s="161" t="str" cm="1">
        <f t="array" ref="C68">_xlfn.IFS(E68=$AB$42,$AF$42,E68=$AB$43,$AF$43,E68=$AB$44,$AF$44,E68=$AB$45,$AF$45,E68=$AB$46,$AF$46,E68=$AB$47,$AF$47,E68=$AB$48,$AF$48,E68=$AB$49,$AF$49,E68=$AB$50,$AF$50,E68=$AB$51,$AF$51,E68=$AB$52,$AF$52,E68=$AB$53,$AF$53,E68=$AB$54,$AF$54,E68=$AB$55,$AF$55,E68=$AB$56,$AF$56,E68=$AB$57,$AF$57,E68=$AB$58,$AF$58,E68=$AB$59,$AF$59,E68=$AB$60,$AF$60,E68=$AB$61,$AF$61,E68=$AB$62,$AF$62,E68=$AB$63,$AF$63,E68=$AB$64,$AF$64,E68=$AB$65,$AF$65,E68=$AB$66,$AF$66,TRUE,"0")</f>
        <v>B4 Match, lay HT 0-0 or BACK H1 +0.5 GOALS</v>
      </c>
      <c r="D68" s="270" t="str" cm="1">
        <f t="array" ref="D68">_xlfn.IFS(E68=$AB$42,$AD$42,E68=$AB$43,$AD$43,E68=$AB$44,$AD$44,E68=$AB$45,$AD$45,E68=$AB$46,$AD$46,E68=$AB$47,$AD$47,E68=$AB$48,$AD$48,E68=$AB$49,$AD$49,E68=$AB$50,$AD$50,E68=$AB$51,$AD$51,E68=$AB$52,$AD$52,E68=$AB$53,$AD$53,E68=$AB$54,$AD$54,E68=$AB$55,$AD$55,E68=$AB$56,$AD$56,E68=$AB$57,$AD$57,E68=$AB$58,$AD$58,E68=$AB$59,$AD$59,E68=$AB$60,$AD$60,E68=$AB$61,$AD$61,E68=$AB$62,$AD$62,E68=$AB$63,$AD$63,E68=$AB$64,$AD$64,E68=$AB$65,$AD$65,E68=$AB$66,$AD$66,TRUE,"0")</f>
        <v xml:space="preserve">BFM </v>
      </c>
      <c r="E68" s="163" t="s">
        <v>432</v>
      </c>
      <c r="F68" s="2" t="s">
        <v>77</v>
      </c>
      <c r="G68" s="2" t="s">
        <v>156</v>
      </c>
      <c r="H68" s="3">
        <v>45304.604166666664</v>
      </c>
      <c r="I68" s="2" t="s">
        <v>181</v>
      </c>
      <c r="J68" s="2" t="s">
        <v>182</v>
      </c>
      <c r="K68" s="2">
        <v>83</v>
      </c>
      <c r="L68" s="2">
        <v>25</v>
      </c>
      <c r="M68" s="2">
        <v>45</v>
      </c>
      <c r="N68" s="2"/>
      <c r="O68" s="2"/>
      <c r="P68" s="11"/>
      <c r="Q68" s="2" t="s">
        <v>95</v>
      </c>
      <c r="R68" s="14" t="s">
        <v>193</v>
      </c>
      <c r="S68" s="13" t="s">
        <v>193</v>
      </c>
      <c r="T68" s="188">
        <f t="shared" si="9"/>
        <v>42.519624386466624</v>
      </c>
      <c r="U68" s="8">
        <f t="shared" si="6"/>
        <v>7.653532389563992</v>
      </c>
      <c r="V68" s="234">
        <f t="shared" si="10"/>
        <v>858.04602011889642</v>
      </c>
      <c r="W68" s="15">
        <v>25</v>
      </c>
      <c r="X68" s="8">
        <f t="shared" si="11"/>
        <v>4.5</v>
      </c>
      <c r="Y68" s="233">
        <f t="shared" si="12"/>
        <v>772</v>
      </c>
    </row>
    <row r="69" spans="1:35">
      <c r="A69" s="156" t="e" cm="1">
        <f t="array" aca="1" ref="A69" ca="1">_xlfn.IFS(E69=$AB$42,$AC$42,E69=$AB$43,$AC$43,E69=$AB$44,$AC$44,E69=$AB$45,$AC$45,E69=$AB$46,$AC$46,E69=$AB$47,$AC$47,E69=$AB$48,$AC$48,E69=$AB$49,$AC$49,E69=$AB$50,$AC$50,E69=$AB$51,$AC$51,E69=$AB$52,$AC$52,E69=$AB$53,$AC$53,E69=$AB$54,$AC$54,E69=$AB$55,$AC$55,E69=$AB$56,$AC$56,E69=$AB$57,$AC$57,E69=$AB$58,$AC$58,E69=$AB$59,$AC$59,E69=$AB$60,$AC$60,E69=$AB$61,$AC$61,E69=$AB$62,$AC$62,E69=$AB$63,$AC$63,E69=$AB$64,$AC$64,E69=$AB$65,$AC$65,E69=$AB$66,$AC$66,TRUE,"0")</f>
        <v>#NAME?</v>
      </c>
      <c r="C69" s="161" t="str" cm="1">
        <f t="array" ref="C69">_xlfn.IFS(E69=$AB$42,$AF$42,E69=$AB$43,$AF$43,E69=$AB$44,$AF$44,E69=$AB$45,$AF$45,E69=$AB$46,$AF$46,E69=$AB$47,$AF$47,E69=$AB$48,$AF$48,E69=$AB$49,$AF$49,E69=$AB$50,$AF$50,E69=$AB$51,$AF$51,E69=$AB$52,$AF$52,E69=$AB$53,$AF$53,E69=$AB$54,$AF$54,E69=$AB$55,$AF$55,E69=$AB$56,$AF$56,E69=$AB$57,$AF$57,E69=$AB$58,$AF$58,E69=$AB$59,$AF$59,E69=$AB$60,$AF$60,E69=$AB$61,$AF$61,E69=$AB$62,$AF$62,E69=$AB$63,$AF$63,E69=$AB$64,$AF$64,E69=$AB$65,$AF$65,E69=$AB$66,$AF$66,TRUE,"0")</f>
        <v>B4 Match, lay HT 0-0 or BACK H1 +0.5 GOALS</v>
      </c>
      <c r="D69" s="270" t="str" cm="1">
        <f t="array" ref="D69">_xlfn.IFS(E69=$AB$42,$AD$42,E69=$AB$43,$AD$43,E69=$AB$44,$AD$44,E69=$AB$45,$AD$45,E69=$AB$46,$AD$46,E69=$AB$47,$AD$47,E69=$AB$48,$AD$48,E69=$AB$49,$AD$49,E69=$AB$50,$AD$50,E69=$AB$51,$AD$51,E69=$AB$52,$AD$52,E69=$AB$53,$AD$53,E69=$AB$54,$AD$54,E69=$AB$55,$AD$55,E69=$AB$56,$AD$56,E69=$AB$57,$AD$57,E69=$AB$58,$AD$58,E69=$AB$59,$AD$59,E69=$AB$60,$AD$60,E69=$AB$61,$AD$61,E69=$AB$62,$AD$62,E69=$AB$63,$AD$63,E69=$AB$64,$AD$64,E69=$AB$65,$AD$65,E69=$AB$66,$AD$66,TRUE,"0")</f>
        <v xml:space="preserve">BFM </v>
      </c>
      <c r="E69" s="163" t="s">
        <v>432</v>
      </c>
      <c r="F69" s="2" t="s">
        <v>6</v>
      </c>
      <c r="G69" s="2" t="s">
        <v>183</v>
      </c>
      <c r="H69" s="3">
        <v>45304.625</v>
      </c>
      <c r="I69" s="2" t="s">
        <v>184</v>
      </c>
      <c r="J69" s="2" t="s">
        <v>185</v>
      </c>
      <c r="K69" s="2">
        <v>95</v>
      </c>
      <c r="L69" s="2">
        <v>19</v>
      </c>
      <c r="M69" s="2">
        <v>50</v>
      </c>
      <c r="N69" s="2"/>
      <c r="O69" s="2"/>
      <c r="P69" s="11"/>
      <c r="Q69" s="2" t="s">
        <v>95</v>
      </c>
      <c r="R69" s="14" t="s">
        <v>216</v>
      </c>
      <c r="S69" s="13" t="s">
        <v>211</v>
      </c>
      <c r="T69" s="188">
        <f t="shared" si="9"/>
        <v>42.902301005944821</v>
      </c>
      <c r="U69" s="8">
        <f t="shared" si="6"/>
        <v>7.7224141810700679</v>
      </c>
      <c r="V69" s="234">
        <f t="shared" si="10"/>
        <v>865.76843429996654</v>
      </c>
      <c r="W69" s="15">
        <v>25</v>
      </c>
      <c r="X69" s="8">
        <f t="shared" si="11"/>
        <v>4.5</v>
      </c>
      <c r="Y69" s="233">
        <f t="shared" si="12"/>
        <v>776.5</v>
      </c>
    </row>
    <row r="70" spans="1:35">
      <c r="A70" s="156" t="e" cm="1">
        <f t="array" aca="1" ref="A70" ca="1">_xlfn.IFS(E70=$AB$42,$AC$42,E70=$AB$43,$AC$43,E70=$AB$44,$AC$44,E70=$AB$45,$AC$45,E70=$AB$46,$AC$46,E70=$AB$47,$AC$47,E70=$AB$48,$AC$48,E70=$AB$49,$AC$49,E70=$AB$50,$AC$50,E70=$AB$51,$AC$51,E70=$AB$52,$AC$52,E70=$AB$53,$AC$53,E70=$AB$54,$AC$54,E70=$AB$55,$AC$55,E70=$AB$56,$AC$56,E70=$AB$57,$AC$57,E70=$AB$58,$AC$58,E70=$AB$59,$AC$59,E70=$AB$60,$AC$60,E70=$AB$61,$AC$61,E70=$AB$62,$AC$62,E70=$AB$63,$AC$63,E70=$AB$64,$AC$64,E70=$AB$65,$AC$65,E70=$AB$66,$AC$66,TRUE,"0")</f>
        <v>#NAME?</v>
      </c>
      <c r="C70" s="161" t="str" cm="1">
        <f t="array" ref="C70">_xlfn.IFS(E70=$AB$42,$AF$42,E70=$AB$43,$AF$43,E70=$AB$44,$AF$44,E70=$AB$45,$AF$45,E70=$AB$46,$AF$46,E70=$AB$47,$AF$47,E70=$AB$48,$AF$48,E70=$AB$49,$AF$49,E70=$AB$50,$AF$50,E70=$AB$51,$AF$51,E70=$AB$52,$AF$52,E70=$AB$53,$AF$53,E70=$AB$54,$AF$54,E70=$AB$55,$AF$55,E70=$AB$56,$AF$56,E70=$AB$57,$AF$57,E70=$AB$58,$AF$58,E70=$AB$59,$AF$59,E70=$AB$60,$AF$60,E70=$AB$61,$AF$61,E70=$AB$62,$AF$62,E70=$AB$63,$AF$63,E70=$AB$64,$AF$64,E70=$AB$65,$AF$65,E70=$AB$66,$AF$66,TRUE,"0")</f>
        <v>40 mins Back ANother Goal</v>
      </c>
      <c r="D70" s="270" t="str" cm="1">
        <f t="array" ref="D70">_xlfn.IFS(E70=$AB$42,$AD$42,E70=$AB$43,$AD$43,E70=$AB$44,$AD$44,E70=$AB$45,$AD$45,E70=$AB$46,$AD$46,E70=$AB$47,$AD$47,E70=$AB$48,$AD$48,E70=$AB$49,$AD$49,E70=$AB$50,$AD$50,E70=$AB$51,$AD$51,E70=$AB$52,$AD$52,E70=$AB$53,$AD$53,E70=$AB$54,$AD$54,E70=$AB$55,$AD$55,E70=$AB$56,$AD$56,E70=$AB$57,$AD$57,E70=$AB$58,$AD$58,E70=$AB$59,$AD$59,E70=$AB$60,$AD$60,E70=$AB$61,$AD$61,E70=$AB$62,$AD$62,E70=$AB$63,$AD$63,E70=$AB$64,$AD$64,E70=$AB$65,$AD$65,E70=$AB$66,$AD$66,TRUE,"0")</f>
        <v xml:space="preserve">  BANG</v>
      </c>
      <c r="E70" s="163" t="s">
        <v>10</v>
      </c>
      <c r="F70" s="2" t="s">
        <v>6</v>
      </c>
      <c r="G70" s="2" t="s">
        <v>11</v>
      </c>
      <c r="H70" s="3">
        <v>45304.625</v>
      </c>
      <c r="I70" s="2" t="s">
        <v>198</v>
      </c>
      <c r="J70" s="2" t="s">
        <v>199</v>
      </c>
      <c r="K70" s="2">
        <v>2.0499999999999998</v>
      </c>
      <c r="L70" s="2">
        <v>95</v>
      </c>
      <c r="M70" s="2">
        <v>65</v>
      </c>
      <c r="N70" s="2">
        <v>20</v>
      </c>
      <c r="O70" s="2">
        <v>67</v>
      </c>
      <c r="P70" s="11">
        <v>20</v>
      </c>
      <c r="Q70" s="2" t="s">
        <v>95</v>
      </c>
      <c r="R70" s="14" t="s">
        <v>214</v>
      </c>
      <c r="S70" s="13" t="s">
        <v>220</v>
      </c>
      <c r="T70" s="188">
        <f t="shared" si="9"/>
        <v>43.288421714998329</v>
      </c>
      <c r="U70" s="8">
        <f t="shared" si="6"/>
        <v>7.791915908699699</v>
      </c>
      <c r="V70" s="234">
        <f t="shared" si="10"/>
        <v>873.56035020866625</v>
      </c>
      <c r="W70" s="15">
        <v>25</v>
      </c>
      <c r="X70" s="8">
        <f t="shared" si="11"/>
        <v>4.5</v>
      </c>
      <c r="Y70" s="233">
        <f t="shared" si="12"/>
        <v>781</v>
      </c>
    </row>
    <row r="71" spans="1:35">
      <c r="A71" s="156" t="e" cm="1">
        <f t="array" aca="1" ref="A71" ca="1">_xlfn.IFS(E71=$AB$42,$AC$42,E71=$AB$43,$AC$43,E71=$AB$44,$AC$44,E71=$AB$45,$AC$45,E71=$AB$46,$AC$46,E71=$AB$47,$AC$47,E71=$AB$48,$AC$48,E71=$AB$49,$AC$49,E71=$AB$50,$AC$50,E71=$AB$51,$AC$51,E71=$AB$52,$AC$52,E71=$AB$53,$AC$53,E71=$AB$54,$AC$54,E71=$AB$55,$AC$55,E71=$AB$56,$AC$56,E71=$AB$57,$AC$57,E71=$AB$58,$AC$58,E71=$AB$59,$AC$59,E71=$AB$60,$AC$60,E71=$AB$61,$AC$61,E71=$AB$62,$AC$62,E71=$AB$63,$AC$63,E71=$AB$64,$AC$64,E71=$AB$65,$AC$65,E71=$AB$66,$AC$66,TRUE,"0")</f>
        <v>#NAME?</v>
      </c>
      <c r="C71" s="161" t="str" cm="1">
        <f t="array" ref="C71">_xlfn.IFS(E71=$AB$42,$AF$42,E71=$AB$43,$AF$43,E71=$AB$44,$AF$44,E71=$AB$45,$AF$45,E71=$AB$46,$AF$46,E71=$AB$47,$AF$47,E71=$AB$48,$AF$48,E71=$AB$49,$AF$49,E71=$AB$50,$AF$50,E71=$AB$51,$AF$51,E71=$AB$52,$AF$52,E71=$AB$53,$AF$53,E71=$AB$54,$AF$54,E71=$AB$55,$AF$55,E71=$AB$56,$AF$56,E71=$AB$57,$AF$57,E71=$AB$58,$AF$58,E71=$AB$59,$AF$59,E71=$AB$60,$AF$60,E71=$AB$61,$AF$61,E71=$AB$62,$AF$62,E71=$AB$63,$AF$63,E71=$AB$64,$AF$64,E71=$AB$65,$AF$65,E71=$AB$66,$AF$66,TRUE,"0")</f>
        <v>B4 Match, lay HT 0-0 or BACK H1 +0.5 GOALS</v>
      </c>
      <c r="D71" s="270" t="str" cm="1">
        <f t="array" ref="D71">_xlfn.IFS(E71=$AB$42,$AD$42,E71=$AB$43,$AD$43,E71=$AB$44,$AD$44,E71=$AB$45,$AD$45,E71=$AB$46,$AD$46,E71=$AB$47,$AD$47,E71=$AB$48,$AD$48,E71=$AB$49,$AD$49,E71=$AB$50,$AD$50,E71=$AB$51,$AD$51,E71=$AB$52,$AD$52,E71=$AB$53,$AD$53,E71=$AB$54,$AD$54,E71=$AB$55,$AD$55,E71=$AB$56,$AD$56,E71=$AB$57,$AD$57,E71=$AB$58,$AD$58,E71=$AB$59,$AD$59,E71=$AB$60,$AD$60,E71=$AB$61,$AD$61,E71=$AB$62,$AD$62,E71=$AB$63,$AD$63,E71=$AB$64,$AD$64,E71=$AB$65,$AD$65,E71=$AB$66,$AD$66,TRUE,"0")</f>
        <v xml:space="preserve">BFM </v>
      </c>
      <c r="E71" s="163" t="s">
        <v>432</v>
      </c>
      <c r="F71" s="2" t="s">
        <v>31</v>
      </c>
      <c r="G71" s="2" t="s">
        <v>32</v>
      </c>
      <c r="H71" s="3">
        <v>45304.625</v>
      </c>
      <c r="I71" s="2" t="s">
        <v>34</v>
      </c>
      <c r="J71" s="2" t="s">
        <v>186</v>
      </c>
      <c r="K71" s="2">
        <v>95</v>
      </c>
      <c r="L71" s="2">
        <v>23</v>
      </c>
      <c r="M71" s="2">
        <v>50</v>
      </c>
      <c r="N71" s="2"/>
      <c r="O71" s="2"/>
      <c r="P71" s="11"/>
      <c r="Q71" s="2" t="s">
        <v>95</v>
      </c>
      <c r="R71" s="14" t="s">
        <v>193</v>
      </c>
      <c r="S71" s="13" t="s">
        <v>217</v>
      </c>
      <c r="T71" s="188">
        <f t="shared" si="9"/>
        <v>43.678017510433314</v>
      </c>
      <c r="U71" s="8">
        <f t="shared" si="6"/>
        <v>7.8620431518779963</v>
      </c>
      <c r="V71" s="234">
        <f t="shared" si="10"/>
        <v>881.42239336054422</v>
      </c>
      <c r="W71" s="15">
        <v>25</v>
      </c>
      <c r="X71" s="8">
        <f t="shared" si="11"/>
        <v>4.5</v>
      </c>
      <c r="Y71" s="233">
        <f t="shared" si="12"/>
        <v>785.5</v>
      </c>
    </row>
    <row r="72" spans="1:35">
      <c r="A72" s="156" t="e" cm="1">
        <f t="array" aca="1" ref="A72" ca="1">_xlfn.IFS(E72=$AB$42,$AC$42,E72=$AB$43,$AC$43,E72=$AB$44,$AC$44,E72=$AB$45,$AC$45,E72=$AB$46,$AC$46,E72=$AB$47,$AC$47,E72=$AB$48,$AC$48,E72=$AB$49,$AC$49,E72=$AB$50,$AC$50,E72=$AB$51,$AC$51,E72=$AB$52,$AC$52,E72=$AB$53,$AC$53,E72=$AB$54,$AC$54,E72=$AB$55,$AC$55,E72=$AB$56,$AC$56,E72=$AB$57,$AC$57,E72=$AB$58,$AC$58,E72=$AB$59,$AC$59,E72=$AB$60,$AC$60,E72=$AB$61,$AC$61,E72=$AB$62,$AC$62,E72=$AB$63,$AC$63,E72=$AB$64,$AC$64,E72=$AB$65,$AC$65,E72=$AB$66,$AC$66,TRUE,"0")</f>
        <v>#NAME?</v>
      </c>
      <c r="C72" s="161" t="str" cm="1">
        <f t="array" ref="C72">_xlfn.IFS(E72=$AB$42,$AF$42,E72=$AB$43,$AF$43,E72=$AB$44,$AF$44,E72=$AB$45,$AF$45,E72=$AB$46,$AF$46,E72=$AB$47,$AF$47,E72=$AB$48,$AF$48,E72=$AB$49,$AF$49,E72=$AB$50,$AF$50,E72=$AB$51,$AF$51,E72=$AB$52,$AF$52,E72=$AB$53,$AF$53,E72=$AB$54,$AF$54,E72=$AB$55,$AF$55,E72=$AB$56,$AF$56,E72=$AB$57,$AF$57,E72=$AB$58,$AF$58,E72=$AB$59,$AF$59,E72=$AB$60,$AF$60,E72=$AB$61,$AF$61,E72=$AB$62,$AF$62,E72=$AB$63,$AF$63,E72=$AB$64,$AF$64,E72=$AB$65,$AF$65,E72=$AB$66,$AF$66,TRUE,"0")</f>
        <v>if 0-0, BACK+ 0.5 GOALS  @ 1.15+odds.  or @ 40 mins</v>
      </c>
      <c r="D72" s="270" t="str" cm="1">
        <f t="array" ref="D72">_xlfn.IFS(E72=$AB$42,$AD$42,E72=$AB$43,$AD$43,E72=$AB$44,$AD$44,E72=$AB$45,$AD$45,E72=$AB$46,$AD$46,E72=$AB$47,$AD$47,E72=$AB$48,$AD$48,E72=$AB$49,$AD$49,E72=$AB$50,$AD$50,E72=$AB$51,$AD$51,E72=$AB$52,$AD$52,E72=$AB$53,$AD$53,E72=$AB$54,$AD$54,E72=$AB$55,$AD$55,E72=$AB$56,$AD$56,E72=$AB$57,$AD$57,E72=$AB$58,$AD$58,E72=$AB$59,$AD$59,E72=$AB$60,$AD$60,E72=$AB$61,$AD$61,E72=$AB$62,$AD$62,E72=$AB$63,$AD$63,E72=$AB$64,$AD$64,E72=$AB$65,$AD$65,E72=$AB$66,$AD$66,TRUE,"0")</f>
        <v>IP</v>
      </c>
      <c r="E72" s="163" t="s">
        <v>270</v>
      </c>
      <c r="F72" s="2" t="s">
        <v>6</v>
      </c>
      <c r="G72" s="2" t="s">
        <v>11</v>
      </c>
      <c r="H72" s="3">
        <v>45304.625</v>
      </c>
      <c r="I72" s="2" t="s">
        <v>162</v>
      </c>
      <c r="J72" s="2" t="s">
        <v>12</v>
      </c>
      <c r="K72" s="2">
        <v>60</v>
      </c>
      <c r="L72" s="2">
        <v>0</v>
      </c>
      <c r="M72" s="2">
        <v>20</v>
      </c>
      <c r="N72" s="2"/>
      <c r="O72" s="2"/>
      <c r="P72" s="11"/>
      <c r="Q72" s="2" t="s">
        <v>95</v>
      </c>
      <c r="R72" s="14" t="s">
        <v>193</v>
      </c>
      <c r="S72" s="13" t="s">
        <v>223</v>
      </c>
      <c r="T72" s="188">
        <f t="shared" si="9"/>
        <v>44.071119668027215</v>
      </c>
      <c r="U72" s="8">
        <f t="shared" si="6"/>
        <v>7.9328015402448981</v>
      </c>
      <c r="V72" s="234">
        <f t="shared" si="10"/>
        <v>889.35519490078912</v>
      </c>
      <c r="W72" s="15">
        <v>25</v>
      </c>
      <c r="X72" s="8">
        <f t="shared" si="11"/>
        <v>4.5</v>
      </c>
      <c r="Y72" s="233">
        <f t="shared" si="12"/>
        <v>790</v>
      </c>
    </row>
    <row r="73" spans="1:35">
      <c r="A73" s="156" t="e" cm="1">
        <f t="array" aca="1" ref="A73" ca="1">_xlfn.IFS(E73=$AB$42,$AC$42,E73=$AB$43,$AC$43,E73=$AB$44,$AC$44,E73=$AB$45,$AC$45,E73=$AB$46,$AC$46,E73=$AB$47,$AC$47,E73=$AB$48,$AC$48,E73=$AB$49,$AC$49,E73=$AB$50,$AC$50,E73=$AB$51,$AC$51,E73=$AB$52,$AC$52,E73=$AB$53,$AC$53,E73=$AB$54,$AC$54,E73=$AB$55,$AC$55,E73=$AB$56,$AC$56,E73=$AB$57,$AC$57,E73=$AB$58,$AC$58,E73=$AB$59,$AC$59,E73=$AB$60,$AC$60,E73=$AB$61,$AC$61,E73=$AB$62,$AC$62,E73=$AB$63,$AC$63,E73=$AB$64,$AC$64,E73=$AB$65,$AC$65,E73=$AB$66,$AC$66,TRUE,"0")</f>
        <v>#NAME?</v>
      </c>
      <c r="C73" s="161" t="str" cm="1">
        <f t="array" ref="C73">_xlfn.IFS(E73=$AB$42,$AF$42,E73=$AB$43,$AF$43,E73=$AB$44,$AF$44,E73=$AB$45,$AF$45,E73=$AB$46,$AF$46,E73=$AB$47,$AF$47,E73=$AB$48,$AF$48,E73=$AB$49,$AF$49,E73=$AB$50,$AF$50,E73=$AB$51,$AF$51,E73=$AB$52,$AF$52,E73=$AB$53,$AF$53,E73=$AB$54,$AF$54,E73=$AB$55,$AF$55,E73=$AB$56,$AF$56,E73=$AB$57,$AF$57,E73=$AB$58,$AF$58,E73=$AB$59,$AF$59,E73=$AB$60,$AF$60,E73=$AB$61,$AF$61,E73=$AB$62,$AF$62,E73=$AB$63,$AF$63,E73=$AB$64,$AF$64,E73=$AB$65,$AF$65,E73=$AB$66,$AF$66,TRUE,"0")</f>
        <v>if 0-0, BACK+ 0.5 GOALS  @ 1.15+odds.  or @ 40 mins</v>
      </c>
      <c r="D73" s="270" t="str" cm="1">
        <f t="array" ref="D73">_xlfn.IFS(E73=$AB$42,$AD$42,E73=$AB$43,$AD$43,E73=$AB$44,$AD$44,E73=$AB$45,$AD$45,E73=$AB$46,$AD$46,E73=$AB$47,$AD$47,E73=$AB$48,$AD$48,E73=$AB$49,$AD$49,E73=$AB$50,$AD$50,E73=$AB$51,$AD$51,E73=$AB$52,$AD$52,E73=$AB$53,$AD$53,E73=$AB$54,$AD$54,E73=$AB$55,$AD$55,E73=$AB$56,$AD$56,E73=$AB$57,$AD$57,E73=$AB$58,$AD$58,E73=$AB$59,$AD$59,E73=$AB$60,$AD$60,E73=$AB$61,$AD$61,E73=$AB$62,$AD$62,E73=$AB$63,$AD$63,E73=$AB$64,$AD$64,E73=$AB$65,$AD$65,E73=$AB$66,$AD$66,TRUE,"0")</f>
        <v>IP</v>
      </c>
      <c r="E73" s="163" t="s">
        <v>270</v>
      </c>
      <c r="F73" s="2" t="s">
        <v>6</v>
      </c>
      <c r="G73" s="2" t="s">
        <v>7</v>
      </c>
      <c r="H73" s="3">
        <v>45304.625</v>
      </c>
      <c r="I73" s="2" t="s">
        <v>141</v>
      </c>
      <c r="J73" s="2" t="s">
        <v>163</v>
      </c>
      <c r="K73" s="2">
        <v>60</v>
      </c>
      <c r="L73" s="2">
        <v>0</v>
      </c>
      <c r="M73" s="2">
        <v>20</v>
      </c>
      <c r="N73" s="2"/>
      <c r="O73" s="2"/>
      <c r="P73" s="11"/>
      <c r="Q73" s="2" t="s">
        <v>95</v>
      </c>
      <c r="R73" s="14" t="s">
        <v>216</v>
      </c>
      <c r="S73" s="13" t="s">
        <v>222</v>
      </c>
      <c r="T73" s="188">
        <f t="shared" si="9"/>
        <v>44.467759745039459</v>
      </c>
      <c r="U73" s="8">
        <f t="shared" si="6"/>
        <v>8.0041967541071024</v>
      </c>
      <c r="V73" s="234">
        <f>SUM(V72,U73)</f>
        <v>897.35939165489617</v>
      </c>
      <c r="W73" s="15">
        <v>25</v>
      </c>
      <c r="X73" s="8">
        <f t="shared" si="11"/>
        <v>4.5</v>
      </c>
      <c r="Y73" s="233">
        <f t="shared" si="12"/>
        <v>794.5</v>
      </c>
    </row>
    <row r="74" spans="1:35">
      <c r="A74" s="156" t="e" cm="1">
        <f t="array" aca="1" ref="A74" ca="1">_xlfn.IFS(E74=$AB$42,$AC$42,E74=$AB$43,$AC$43,E74=$AB$44,$AC$44,E74=$AB$45,$AC$45,E74=$AB$46,$AC$46,E74=$AB$47,$AC$47,E74=$AB$48,$AC$48,E74=$AB$49,$AC$49,E74=$AB$50,$AC$50,E74=$AB$51,$AC$51,E74=$AB$52,$AC$52,E74=$AB$53,$AC$53,E74=$AB$54,$AC$54,E74=$AB$55,$AC$55,E74=$AB$56,$AC$56,E74=$AB$57,$AC$57,E74=$AB$58,$AC$58,E74=$AB$59,$AC$59,E74=$AB$60,$AC$60,E74=$AB$61,$AC$61,E74=$AB$62,$AC$62,E74=$AB$63,$AC$63,E74=$AB$64,$AC$64,E74=$AB$65,$AC$65,E74=$AB$66,$AC$66,TRUE,"0")</f>
        <v>#NAME?</v>
      </c>
      <c r="C74" s="161" t="str" cm="1">
        <f t="array" ref="C74">_xlfn.IFS(E74=$AB$42,$AF$42,E74=$AB$43,$AF$43,E74=$AB$44,$AF$44,E74=$AB$45,$AF$45,E74=$AB$46,$AF$46,E74=$AB$47,$AF$47,E74=$AB$48,$AF$48,E74=$AB$49,$AF$49,E74=$AB$50,$AF$50,E74=$AB$51,$AF$51,E74=$AB$52,$AF$52,E74=$AB$53,$AF$53,E74=$AB$54,$AF$54,E74=$AB$55,$AF$55,E74=$AB$56,$AF$56,E74=$AB$57,$AF$57,E74=$AB$58,$AF$58,E74=$AB$59,$AF$59,E74=$AB$60,$AF$60,E74=$AB$61,$AF$61,E74=$AB$62,$AF$62,E74=$AB$63,$AF$63,E74=$AB$64,$AF$64,E74=$AB$65,$AF$65,E74=$AB$66,$AF$66,TRUE,"0")</f>
        <v>40 mins Back ANother Goal</v>
      </c>
      <c r="D74" s="270" t="str" cm="1">
        <f t="array" ref="D74">_xlfn.IFS(E74=$AB$42,$AD$42,E74=$AB$43,$AD$43,E74=$AB$44,$AD$44,E74=$AB$45,$AD$45,E74=$AB$46,$AD$46,E74=$AB$47,$AD$47,E74=$AB$48,$AD$48,E74=$AB$49,$AD$49,E74=$AB$50,$AD$50,E74=$AB$51,$AD$51,E74=$AB$52,$AD$52,E74=$AB$53,$AD$53,E74=$AB$54,$AD$54,E74=$AB$55,$AD$55,E74=$AB$56,$AD$56,E74=$AB$57,$AD$57,E74=$AB$58,$AD$58,E74=$AB$59,$AD$59,E74=$AB$60,$AD$60,E74=$AB$61,$AD$61,E74=$AB$62,$AD$62,E74=$AB$63,$AD$63,E74=$AB$64,$AD$64,E74=$AB$65,$AD$65,E74=$AB$66,$AD$66,TRUE,"0")</f>
        <v xml:space="preserve">  BANG</v>
      </c>
      <c r="E74" s="163" t="s">
        <v>10</v>
      </c>
      <c r="F74" s="2" t="s">
        <v>6</v>
      </c>
      <c r="G74" s="2" t="s">
        <v>7</v>
      </c>
      <c r="H74" s="3">
        <v>45304.625</v>
      </c>
      <c r="I74" s="2" t="s">
        <v>113</v>
      </c>
      <c r="J74" s="2" t="s">
        <v>8</v>
      </c>
      <c r="K74" s="2">
        <v>2</v>
      </c>
      <c r="L74" s="2">
        <v>90</v>
      </c>
      <c r="M74" s="2">
        <v>65</v>
      </c>
      <c r="N74" s="2">
        <v>20</v>
      </c>
      <c r="O74" s="2">
        <v>66</v>
      </c>
      <c r="P74" s="11">
        <v>20</v>
      </c>
      <c r="Q74" s="2" t="s">
        <v>95</v>
      </c>
      <c r="R74" s="14" t="s">
        <v>210</v>
      </c>
      <c r="S74" s="13" t="s">
        <v>224</v>
      </c>
      <c r="T74" s="188">
        <f t="shared" si="9"/>
        <v>44.867969582744813</v>
      </c>
      <c r="U74" s="8">
        <f t="shared" si="6"/>
        <v>8.0762345248940655</v>
      </c>
      <c r="V74" s="234">
        <f t="shared" si="10"/>
        <v>905.43562617979023</v>
      </c>
      <c r="W74" s="15">
        <v>25</v>
      </c>
      <c r="X74" s="8">
        <f t="shared" si="11"/>
        <v>4.5</v>
      </c>
      <c r="Y74" s="233">
        <f t="shared" si="12"/>
        <v>799</v>
      </c>
    </row>
    <row r="75" spans="1:35">
      <c r="A75" s="156" t="e" cm="1">
        <f t="array" aca="1" ref="A75" ca="1">_xlfn.IFS(E75=$AB$42,$AC$42,E75=$AB$43,$AC$43,E75=$AB$44,$AC$44,E75=$AB$45,$AC$45,E75=$AB$46,$AC$46,E75=$AB$47,$AC$47,E75=$AB$48,$AC$48,E75=$AB$49,$AC$49,E75=$AB$50,$AC$50,E75=$AB$51,$AC$51,E75=$AB$52,$AC$52,E75=$AB$53,$AC$53,E75=$AB$54,$AC$54,E75=$AB$55,$AC$55,E75=$AB$56,$AC$56,E75=$AB$57,$AC$57,E75=$AB$58,$AC$58,E75=$AB$59,$AC$59,E75=$AB$60,$AC$60,E75=$AB$61,$AC$61,E75=$AB$62,$AC$62,E75=$AB$63,$AC$63,E75=$AB$64,$AC$64,E75=$AB$65,$AC$65,E75=$AB$66,$AC$66,TRUE,"0")</f>
        <v>#NAME?</v>
      </c>
      <c r="C75" s="161" t="str" cm="1">
        <f t="array" ref="C75">_xlfn.IFS(E75=$AB$42,$AF$42,E75=$AB$43,$AF$43,E75=$AB$44,$AF$44,E75=$AB$45,$AF$45,E75=$AB$46,$AF$46,E75=$AB$47,$AF$47,E75=$AB$48,$AF$48,E75=$AB$49,$AF$49,E75=$AB$50,$AF$50,E75=$AB$51,$AF$51,E75=$AB$52,$AF$52,E75=$AB$53,$AF$53,E75=$AB$54,$AF$54,E75=$AB$55,$AF$55,E75=$AB$56,$AF$56,E75=$AB$57,$AF$57,E75=$AB$58,$AF$58,E75=$AB$59,$AF$59,E75=$AB$60,$AF$60,E75=$AB$61,$AF$61,E75=$AB$62,$AF$62,E75=$AB$63,$AF$63,E75=$AB$64,$AF$64,E75=$AB$65,$AF$65,E75=$AB$66,$AF$66,TRUE,"0")</f>
        <v>40 mins Back ANother Goal</v>
      </c>
      <c r="D75" s="270" t="str" cm="1">
        <f t="array" ref="D75">_xlfn.IFS(E75=$AB$42,$AD$42,E75=$AB$43,$AD$43,E75=$AB$44,$AD$44,E75=$AB$45,$AD$45,E75=$AB$46,$AD$46,E75=$AB$47,$AD$47,E75=$AB$48,$AD$48,E75=$AB$49,$AD$49,E75=$AB$50,$AD$50,E75=$AB$51,$AD$51,E75=$AB$52,$AD$52,E75=$AB$53,$AD$53,E75=$AB$54,$AD$54,E75=$AB$55,$AD$55,E75=$AB$56,$AD$56,E75=$AB$57,$AD$57,E75=$AB$58,$AD$58,E75=$AB$59,$AD$59,E75=$AB$60,$AD$60,E75=$AB$61,$AD$61,E75=$AB$62,$AD$62,E75=$AB$63,$AD$63,E75=$AB$64,$AD$64,E75=$AB$65,$AD$65,E75=$AB$66,$AD$66,TRUE,"0")</f>
        <v xml:space="preserve">  BANG</v>
      </c>
      <c r="E75" s="163" t="s">
        <v>43</v>
      </c>
      <c r="F75" s="2" t="s">
        <v>6</v>
      </c>
      <c r="G75" s="2" t="s">
        <v>14</v>
      </c>
      <c r="H75" s="3">
        <v>45304.625</v>
      </c>
      <c r="I75" s="2" t="s">
        <v>200</v>
      </c>
      <c r="J75" s="2" t="s">
        <v>201</v>
      </c>
      <c r="K75" s="2">
        <v>67</v>
      </c>
      <c r="L75" s="2">
        <v>67</v>
      </c>
      <c r="M75" s="2">
        <v>58</v>
      </c>
      <c r="N75" s="2">
        <v>1.75</v>
      </c>
      <c r="O75" s="2">
        <v>1.5</v>
      </c>
      <c r="P75" s="11"/>
      <c r="Q75" s="2" t="s">
        <v>95</v>
      </c>
      <c r="R75" s="13" t="s">
        <v>221</v>
      </c>
      <c r="S75" s="13" t="s">
        <v>220</v>
      </c>
      <c r="T75" s="188">
        <f t="shared" si="9"/>
        <v>45.271781308989517</v>
      </c>
      <c r="U75" s="8">
        <f t="shared" si="6"/>
        <v>8.1489206356181132</v>
      </c>
      <c r="V75" s="234">
        <f t="shared" ref="V75:V106" si="13">SUM(V74,U75)</f>
        <v>913.58454681540832</v>
      </c>
      <c r="W75" s="15">
        <v>25</v>
      </c>
      <c r="X75" s="8">
        <f t="shared" si="11"/>
        <v>4.5</v>
      </c>
      <c r="Y75" s="233">
        <f t="shared" si="12"/>
        <v>803.5</v>
      </c>
    </row>
    <row r="76" spans="1:35">
      <c r="A76" s="156" t="e" cm="1">
        <f t="array" aca="1" ref="A76" ca="1">_xlfn.IFS(E76=$AB$42,$AC$42,E76=$AB$43,$AC$43,E76=$AB$44,$AC$44,E76=$AB$45,$AC$45,E76=$AB$46,$AC$46,E76=$AB$47,$AC$47,E76=$AB$48,$AC$48,E76=$AB$49,$AC$49,E76=$AB$50,$AC$50,E76=$AB$51,$AC$51,E76=$AB$52,$AC$52,E76=$AB$53,$AC$53,E76=$AB$54,$AC$54,E76=$AB$55,$AC$55,E76=$AB$56,$AC$56,E76=$AB$57,$AC$57,E76=$AB$58,$AC$58,E76=$AB$59,$AC$59,E76=$AB$60,$AC$60,E76=$AB$61,$AC$61,E76=$AB$62,$AC$62,E76=$AB$63,$AC$63,E76=$AB$64,$AC$64,E76=$AB$65,$AC$65,E76=$AB$66,$AC$66,TRUE,"0")</f>
        <v>#NAME?</v>
      </c>
      <c r="C76" s="161" t="str" cm="1">
        <f t="array" ref="C76">_xlfn.IFS(E76=$AB$42,$AF$42,E76=$AB$43,$AF$43,E76=$AB$44,$AF$44,E76=$AB$45,$AF$45,E76=$AB$46,$AF$46,E76=$AB$47,$AF$47,E76=$AB$48,$AF$48,E76=$AB$49,$AF$49,E76=$AB$50,$AF$50,E76=$AB$51,$AF$51,E76=$AB$52,$AF$52,E76=$AB$53,$AF$53,E76=$AB$54,$AF$54,E76=$AB$55,$AF$55,E76=$AB$56,$AF$56,E76=$AB$57,$AF$57,E76=$AB$58,$AF$58,E76=$AB$59,$AF$59,E76=$AB$60,$AF$60,E76=$AB$61,$AF$61,E76=$AB$62,$AF$62,E76=$AB$63,$AF$63,E76=$AB$64,$AF$64,E76=$AB$65,$AF$65,E76=$AB$66,$AF$66,TRUE,"0")</f>
        <v>if 0-0, BACK+ 0.5 GOALS  @ 1.15+odds.  or @ 40 mins</v>
      </c>
      <c r="D76" s="270" t="str" cm="1">
        <f t="array" ref="D76">_xlfn.IFS(E76=$AB$42,$AD$42,E76=$AB$43,$AD$43,E76=$AB$44,$AD$44,E76=$AB$45,$AD$45,E76=$AB$46,$AD$46,E76=$AB$47,$AD$47,E76=$AB$48,$AD$48,E76=$AB$49,$AD$49,E76=$AB$50,$AD$50,E76=$AB$51,$AD$51,E76=$AB$52,$AD$52,E76=$AB$53,$AD$53,E76=$AB$54,$AD$54,E76=$AB$55,$AD$55,E76=$AB$56,$AD$56,E76=$AB$57,$AD$57,E76=$AB$58,$AD$58,E76=$AB$59,$AD$59,E76=$AB$60,$AD$60,E76=$AB$61,$AD$61,E76=$AB$62,$AD$62,E76=$AB$63,$AD$63,E76=$AB$64,$AD$64,E76=$AB$65,$AD$65,E76=$AB$66,$AD$66,TRUE,"0")</f>
        <v>IP</v>
      </c>
      <c r="E76" s="163" t="s">
        <v>270</v>
      </c>
      <c r="F76" s="2" t="s">
        <v>13</v>
      </c>
      <c r="G76" s="2" t="s">
        <v>14</v>
      </c>
      <c r="H76" s="3">
        <v>45304.625</v>
      </c>
      <c r="I76" s="2" t="s">
        <v>29</v>
      </c>
      <c r="J76" s="2" t="s">
        <v>118</v>
      </c>
      <c r="K76" s="2">
        <v>62</v>
      </c>
      <c r="L76" s="2">
        <v>0</v>
      </c>
      <c r="M76" s="2">
        <v>20</v>
      </c>
      <c r="N76" s="2"/>
      <c r="O76" s="2"/>
      <c r="P76" s="11"/>
      <c r="Q76" s="2" t="s">
        <v>95</v>
      </c>
      <c r="R76" s="14" t="s">
        <v>216</v>
      </c>
      <c r="S76" s="13" t="s">
        <v>223</v>
      </c>
      <c r="T76" s="188">
        <f t="shared" si="9"/>
        <v>45.679227340770417</v>
      </c>
      <c r="U76" s="8">
        <f t="shared" si="6"/>
        <v>8.222260921338675</v>
      </c>
      <c r="V76" s="234">
        <f t="shared" si="13"/>
        <v>921.80680773674703</v>
      </c>
      <c r="W76" s="15">
        <v>25</v>
      </c>
      <c r="X76" s="8">
        <f t="shared" si="11"/>
        <v>4.5</v>
      </c>
      <c r="Y76" s="233">
        <f t="shared" si="12"/>
        <v>808</v>
      </c>
    </row>
    <row r="77" spans="1:35">
      <c r="A77" s="156" t="e" cm="1">
        <f t="array" aca="1" ref="A77" ca="1">_xlfn.IFS(E77=$AB$42,$AC$42,E77=$AB$43,$AC$43,E77=$AB$44,$AC$44,E77=$AB$45,$AC$45,E77=$AB$46,$AC$46,E77=$AB$47,$AC$47,E77=$AB$48,$AC$48,E77=$AB$49,$AC$49,E77=$AB$50,$AC$50,E77=$AB$51,$AC$51,E77=$AB$52,$AC$52,E77=$AB$53,$AC$53,E77=$AB$54,$AC$54,E77=$AB$55,$AC$55,E77=$AB$56,$AC$56,E77=$AB$57,$AC$57,E77=$AB$58,$AC$58,E77=$AB$59,$AC$59,E77=$AB$60,$AC$60,E77=$AB$61,$AC$61,E77=$AB$62,$AC$62,E77=$AB$63,$AC$63,E77=$AB$64,$AC$64,E77=$AB$65,$AC$65,E77=$AB$66,$AC$66,TRUE,"0")</f>
        <v>#NAME?</v>
      </c>
      <c r="C77" s="161" t="str" cm="1">
        <f t="array" ref="C77">_xlfn.IFS(E77=$AB$42,$AF$42,E77=$AB$43,$AF$43,E77=$AB$44,$AF$44,E77=$AB$45,$AF$45,E77=$AB$46,$AF$46,E77=$AB$47,$AF$47,E77=$AB$48,$AF$48,E77=$AB$49,$AF$49,E77=$AB$50,$AF$50,E77=$AB$51,$AF$51,E77=$AB$52,$AF$52,E77=$AB$53,$AF$53,E77=$AB$54,$AF$54,E77=$AB$55,$AF$55,E77=$AB$56,$AF$56,E77=$AB$57,$AF$57,E77=$AB$58,$AF$58,E77=$AB$59,$AF$59,E77=$AB$60,$AF$60,E77=$AB$61,$AF$61,E77=$AB$62,$AF$62,E77=$AB$63,$AF$63,E77=$AB$64,$AF$64,E77=$AB$65,$AF$65,E77=$AB$66,$AF$66,TRUE,"0")</f>
        <v>B4 Match, lay HT 0-0 or BACK H1 +0.5 GOALS</v>
      </c>
      <c r="D77" s="270" t="str" cm="1">
        <f t="array" ref="D77">_xlfn.IFS(E77=$AB$42,$AD$42,E77=$AB$43,$AD$43,E77=$AB$44,$AD$44,E77=$AB$45,$AD$45,E77=$AB$46,$AD$46,E77=$AB$47,$AD$47,E77=$AB$48,$AD$48,E77=$AB$49,$AD$49,E77=$AB$50,$AD$50,E77=$AB$51,$AD$51,E77=$AB$52,$AD$52,E77=$AB$53,$AD$53,E77=$AB$54,$AD$54,E77=$AB$55,$AD$55,E77=$AB$56,$AD$56,E77=$AB$57,$AD$57,E77=$AB$58,$AD$58,E77=$AB$59,$AD$59,E77=$AB$60,$AD$60,E77=$AB$61,$AD$61,E77=$AB$62,$AD$62,E77=$AB$63,$AD$63,E77=$AB$64,$AD$64,E77=$AB$65,$AD$65,E77=$AB$66,$AD$66,TRUE,"0")</f>
        <v xml:space="preserve">BFM </v>
      </c>
      <c r="E77" s="163" t="s">
        <v>432</v>
      </c>
      <c r="F77" s="2" t="s">
        <v>6</v>
      </c>
      <c r="G77" s="2" t="s">
        <v>7</v>
      </c>
      <c r="H77" s="3">
        <v>45304.625</v>
      </c>
      <c r="I77" s="2" t="s">
        <v>18</v>
      </c>
      <c r="J77" s="2" t="s">
        <v>114</v>
      </c>
      <c r="K77" s="2">
        <v>10</v>
      </c>
      <c r="L77" s="2">
        <v>10</v>
      </c>
      <c r="M77" s="2">
        <v>26</v>
      </c>
      <c r="N77" s="2">
        <v>15</v>
      </c>
      <c r="O77" s="2">
        <v>80</v>
      </c>
      <c r="P77" s="11">
        <v>4.4000000000000004</v>
      </c>
      <c r="Q77" s="2" t="s">
        <v>95</v>
      </c>
      <c r="R77" s="14" t="s">
        <v>216</v>
      </c>
      <c r="S77" s="13" t="s">
        <v>215</v>
      </c>
      <c r="T77" s="188">
        <f t="shared" si="9"/>
        <v>46.090340386837354</v>
      </c>
      <c r="U77" s="8">
        <f t="shared" si="6"/>
        <v>8.2962612696307243</v>
      </c>
      <c r="V77" s="234">
        <f t="shared" si="13"/>
        <v>930.10306900637772</v>
      </c>
      <c r="W77" s="15">
        <v>25</v>
      </c>
      <c r="X77" s="8">
        <f t="shared" si="11"/>
        <v>4.5</v>
      </c>
      <c r="Y77" s="233">
        <f t="shared" si="12"/>
        <v>812.5</v>
      </c>
    </row>
    <row r="78" spans="1:35">
      <c r="A78" s="156" t="e" cm="1">
        <f t="array" aca="1" ref="A78" ca="1">_xlfn.IFS(E78=$AB$42,$AC$42,E78=$AB$43,$AC$43,E78=$AB$44,$AC$44,E78=$AB$45,$AC$45,E78=$AB$46,$AC$46,E78=$AB$47,$AC$47,E78=$AB$48,$AC$48,E78=$AB$49,$AC$49,E78=$AB$50,$AC$50,E78=$AB$51,$AC$51,E78=$AB$52,$AC$52,E78=$AB$53,$AC$53,E78=$AB$54,$AC$54,E78=$AB$55,$AC$55,E78=$AB$56,$AC$56,E78=$AB$57,$AC$57,E78=$AB$58,$AC$58,E78=$AB$59,$AC$59,E78=$AB$60,$AC$60,E78=$AB$61,$AC$61,E78=$AB$62,$AC$62,E78=$AB$63,$AC$63,E78=$AB$64,$AC$64,E78=$AB$65,$AC$65,E78=$AB$66,$AC$66,TRUE,"0")</f>
        <v>#NAME?</v>
      </c>
      <c r="C78" s="161" t="str" cm="1">
        <f t="array" ref="C78">_xlfn.IFS(E78=$AB$42,$AF$42,E78=$AB$43,$AF$43,E78=$AB$44,$AF$44,E78=$AB$45,$AF$45,E78=$AB$46,$AF$46,E78=$AB$47,$AF$47,E78=$AB$48,$AF$48,E78=$AB$49,$AF$49,E78=$AB$50,$AF$50,E78=$AB$51,$AF$51,E78=$AB$52,$AF$52,E78=$AB$53,$AF$53,E78=$AB$54,$AF$54,E78=$AB$55,$AF$55,E78=$AB$56,$AF$56,E78=$AB$57,$AF$57,E78=$AB$58,$AF$58,E78=$AB$59,$AF$59,E78=$AB$60,$AF$60,E78=$AB$61,$AF$61,E78=$AB$62,$AF$62,E78=$AB$63,$AF$63,E78=$AB$64,$AF$64,E78=$AB$65,$AF$65,E78=$AB$66,$AF$66,TRUE,"0")</f>
        <v>if 0-0, BACK+ 0.5 GOALS  @ 1.15+odds.  or @ 40 mins</v>
      </c>
      <c r="D78" s="270" t="str" cm="1">
        <f t="array" ref="D78">_xlfn.IFS(E78=$AB$42,$AD$42,E78=$AB$43,$AD$43,E78=$AB$44,$AD$44,E78=$AB$45,$AD$45,E78=$AB$46,$AD$46,E78=$AB$47,$AD$47,E78=$AB$48,$AD$48,E78=$AB$49,$AD$49,E78=$AB$50,$AD$50,E78=$AB$51,$AD$51,E78=$AB$52,$AD$52,E78=$AB$53,$AD$53,E78=$AB$54,$AD$54,E78=$AB$55,$AD$55,E78=$AB$56,$AD$56,E78=$AB$57,$AD$57,E78=$AB$58,$AD$58,E78=$AB$59,$AD$59,E78=$AB$60,$AD$60,E78=$AB$61,$AD$61,E78=$AB$62,$AD$62,E78=$AB$63,$AD$63,E78=$AB$64,$AD$64,E78=$AB$65,$AD$65,E78=$AB$66,$AD$66,TRUE,"0")</f>
        <v>IP</v>
      </c>
      <c r="E78" s="163" t="s">
        <v>270</v>
      </c>
      <c r="F78" s="2" t="s">
        <v>6</v>
      </c>
      <c r="G78" s="2" t="s">
        <v>62</v>
      </c>
      <c r="H78" s="3">
        <v>45304.729166666664</v>
      </c>
      <c r="I78" s="2" t="s">
        <v>164</v>
      </c>
      <c r="J78" s="2" t="s">
        <v>72</v>
      </c>
      <c r="K78" s="2">
        <v>63</v>
      </c>
      <c r="L78" s="2">
        <v>0</v>
      </c>
      <c r="M78" s="2">
        <v>20</v>
      </c>
      <c r="N78" s="2"/>
      <c r="O78" s="2"/>
      <c r="P78" s="11"/>
      <c r="Q78" s="2" t="s">
        <v>95</v>
      </c>
      <c r="R78" s="14" t="s">
        <v>222</v>
      </c>
      <c r="S78" s="13" t="s">
        <v>213</v>
      </c>
      <c r="T78" s="188">
        <f t="shared" si="9"/>
        <v>46.505153450318886</v>
      </c>
      <c r="U78" s="8">
        <f t="shared" si="6"/>
        <v>8.3709276210573993</v>
      </c>
      <c r="V78" s="234">
        <f t="shared" si="13"/>
        <v>938.4739966274351</v>
      </c>
      <c r="W78" s="15">
        <v>25</v>
      </c>
      <c r="X78" s="8">
        <f t="shared" si="11"/>
        <v>4.5</v>
      </c>
      <c r="Y78" s="233">
        <f t="shared" si="12"/>
        <v>817</v>
      </c>
    </row>
    <row r="79" spans="1:35">
      <c r="A79" s="156" t="e" cm="1">
        <f t="array" aca="1" ref="A79" ca="1">_xlfn.IFS(E79=$AB$42,$AC$42,E79=$AB$43,$AC$43,E79=$AB$44,$AC$44,E79=$AB$45,$AC$45,E79=$AB$46,$AC$46,E79=$AB$47,$AC$47,E79=$AB$48,$AC$48,E79=$AB$49,$AC$49,E79=$AB$50,$AC$50,E79=$AB$51,$AC$51,E79=$AB$52,$AC$52,E79=$AB$53,$AC$53,E79=$AB$54,$AC$54,E79=$AB$55,$AC$55,E79=$AB$56,$AC$56,E79=$AB$57,$AC$57,E79=$AB$58,$AC$58,E79=$AB$59,$AC$59,E79=$AB$60,$AC$60,E79=$AB$61,$AC$61,E79=$AB$62,$AC$62,E79=$AB$63,$AC$63,E79=$AB$64,$AC$64,E79=$AB$65,$AC$65,E79=$AB$66,$AC$66,TRUE,"0")</f>
        <v>#NAME?</v>
      </c>
      <c r="C79" s="161" t="str" cm="1">
        <f t="array" ref="C79">_xlfn.IFS(E79=$AB$42,$AF$42,E79=$AB$43,$AF$43,E79=$AB$44,$AF$44,E79=$AB$45,$AF$45,E79=$AB$46,$AF$46,E79=$AB$47,$AF$47,E79=$AB$48,$AF$48,E79=$AB$49,$AF$49,E79=$AB$50,$AF$50,E79=$AB$51,$AF$51,E79=$AB$52,$AF$52,E79=$AB$53,$AF$53,E79=$AB$54,$AF$54,E79=$AB$55,$AF$55,E79=$AB$56,$AF$56,E79=$AB$57,$AF$57,E79=$AB$58,$AF$58,E79=$AB$59,$AF$59,E79=$AB$60,$AF$60,E79=$AB$61,$AF$61,E79=$AB$62,$AF$62,E79=$AB$63,$AF$63,E79=$AB$64,$AF$64,E79=$AB$65,$AF$65,E79=$AB$66,$AF$66,TRUE,"0")</f>
        <v>if 0-0, BACK+ 0.5 GOALS  @ 1.15+odds.  or @ 40 mins</v>
      </c>
      <c r="D79" s="270" t="str" cm="1">
        <f t="array" ref="D79">_xlfn.IFS(E79=$AB$42,$AD$42,E79=$AB$43,$AD$43,E79=$AB$44,$AD$44,E79=$AB$45,$AD$45,E79=$AB$46,$AD$46,E79=$AB$47,$AD$47,E79=$AB$48,$AD$48,E79=$AB$49,$AD$49,E79=$AB$50,$AD$50,E79=$AB$51,$AD$51,E79=$AB$52,$AD$52,E79=$AB$53,$AD$53,E79=$AB$54,$AD$54,E79=$AB$55,$AD$55,E79=$AB$56,$AD$56,E79=$AB$57,$AD$57,E79=$AB$58,$AD$58,E79=$AB$59,$AD$59,E79=$AB$60,$AD$60,E79=$AB$61,$AD$61,E79=$AB$62,$AD$62,E79=$AB$63,$AD$63,E79=$AB$64,$AD$64,E79=$AB$65,$AD$65,E79=$AB$66,$AD$66,TRUE,"0")</f>
        <v>IP</v>
      </c>
      <c r="E79" s="163" t="s">
        <v>270</v>
      </c>
      <c r="F79" s="2" t="s">
        <v>58</v>
      </c>
      <c r="G79" s="2" t="s">
        <v>59</v>
      </c>
      <c r="H79" s="3">
        <v>45304.75</v>
      </c>
      <c r="I79" s="2" t="s">
        <v>165</v>
      </c>
      <c r="J79" s="2" t="s">
        <v>125</v>
      </c>
      <c r="K79" s="2">
        <v>59</v>
      </c>
      <c r="L79" s="2">
        <v>0</v>
      </c>
      <c r="M79" s="2">
        <v>20</v>
      </c>
      <c r="N79" s="2"/>
      <c r="O79" s="2"/>
      <c r="P79" s="11"/>
      <c r="Q79" s="2" t="s">
        <v>95</v>
      </c>
      <c r="R79" s="14" t="s">
        <v>193</v>
      </c>
      <c r="S79" s="13" t="s">
        <v>218</v>
      </c>
      <c r="T79" s="188">
        <f t="shared" si="9"/>
        <v>46.923699831371756</v>
      </c>
      <c r="U79" s="8">
        <f t="shared" si="6"/>
        <v>8.446265969646916</v>
      </c>
      <c r="V79" s="234">
        <f t="shared" si="13"/>
        <v>946.920262597082</v>
      </c>
      <c r="W79" s="15">
        <v>25</v>
      </c>
      <c r="X79" s="8">
        <f t="shared" si="11"/>
        <v>4.5</v>
      </c>
      <c r="Y79" s="233">
        <f t="shared" si="12"/>
        <v>821.5</v>
      </c>
    </row>
    <row r="80" spans="1:35">
      <c r="A80" s="156" t="e" cm="1">
        <f t="array" aca="1" ref="A80" ca="1">_xlfn.IFS(E80=$AB$42,$AC$42,E80=$AB$43,$AC$43,E80=$AB$44,$AC$44,E80=$AB$45,$AC$45,E80=$AB$46,$AC$46,E80=$AB$47,$AC$47,E80=$AB$48,$AC$48,E80=$AB$49,$AC$49,E80=$AB$50,$AC$50,E80=$AB$51,$AC$51,E80=$AB$52,$AC$52,E80=$AB$53,$AC$53,E80=$AB$54,$AC$54,E80=$AB$55,$AC$55,E80=$AB$56,$AC$56,E80=$AB$57,$AC$57,E80=$AB$58,$AC$58,E80=$AB$59,$AC$59,E80=$AB$60,$AC$60,E80=$AB$61,$AC$61,E80=$AB$62,$AC$62,E80=$AB$63,$AC$63,E80=$AB$64,$AC$64,E80=$AB$65,$AC$65,E80=$AB$66,$AC$66,TRUE,"0")</f>
        <v>#NAME?</v>
      </c>
      <c r="C80" s="161" t="str" cm="1">
        <f t="array" ref="C80">_xlfn.IFS(E80=$AB$42,$AF$42,E80=$AB$43,$AF$43,E80=$AB$44,$AF$44,E80=$AB$45,$AF$45,E80=$AB$46,$AF$46,E80=$AB$47,$AF$47,E80=$AB$48,$AF$48,E80=$AB$49,$AF$49,E80=$AB$50,$AF$50,E80=$AB$51,$AF$51,E80=$AB$52,$AF$52,E80=$AB$53,$AF$53,E80=$AB$54,$AF$54,E80=$AB$55,$AF$55,E80=$AB$56,$AF$56,E80=$AB$57,$AF$57,E80=$AB$58,$AF$58,E80=$AB$59,$AF$59,E80=$AB$60,$AF$60,E80=$AB$61,$AF$61,E80=$AB$62,$AF$62,E80=$AB$63,$AF$63,E80=$AB$64,$AF$64,E80=$AB$65,$AF$65,E80=$AB$66,$AF$66,TRUE,"0")</f>
        <v>B4 match BACK FT +1.5 goals. X AFTER  GOAL</v>
      </c>
      <c r="D80" s="270" t="str" cm="1">
        <f t="array" ref="D80">_xlfn.IFS(E80=$AB$42,$AD$42,E80=$AB$43,$AD$43,E80=$AB$44,$AD$44,E80=$AB$45,$AD$45,E80=$AB$46,$AD$46,E80=$AB$47,$AD$47,E80=$AB$48,$AD$48,E80=$AB$49,$AD$49,E80=$AB$50,$AD$50,E80=$AB$51,$AD$51,E80=$AB$52,$AD$52,E80=$AB$53,$AD$53,E80=$AB$54,$AD$54,E80=$AB$55,$AD$55,E80=$AB$56,$AD$56,E80=$AB$57,$AD$57,E80=$AB$58,$AD$58,E80=$AB$59,$AD$59,E80=$AB$60,$AD$60,E80=$AB$61,$AD$61,E80=$AB$62,$AD$62,E80=$AB$63,$AD$63,E80=$AB$64,$AD$64,E80=$AB$65,$AD$65,E80=$AB$66,$AD$66,TRUE,"0")</f>
        <v xml:space="preserve">BFM </v>
      </c>
      <c r="E80" s="163" t="s">
        <v>406</v>
      </c>
      <c r="F80" s="2" t="s">
        <v>145</v>
      </c>
      <c r="G80" s="2" t="s">
        <v>190</v>
      </c>
      <c r="H80" s="3">
        <v>45305.5</v>
      </c>
      <c r="I80" s="2" t="s">
        <v>226</v>
      </c>
      <c r="J80" s="2" t="s">
        <v>227</v>
      </c>
      <c r="K80" s="2">
        <v>1.29</v>
      </c>
      <c r="L80" s="2">
        <v>13.5</v>
      </c>
      <c r="M80" s="2">
        <v>2.5</v>
      </c>
      <c r="N80" s="2">
        <v>5.0999999999999996</v>
      </c>
      <c r="O80" s="2"/>
      <c r="P80" s="11"/>
      <c r="Q80" s="2" t="s">
        <v>95</v>
      </c>
      <c r="R80" s="14" t="s">
        <v>214</v>
      </c>
      <c r="S80" s="13" t="s">
        <v>207</v>
      </c>
      <c r="T80" s="188">
        <f t="shared" si="9"/>
        <v>47.3460131298541</v>
      </c>
      <c r="U80" s="8">
        <f t="shared" si="6"/>
        <v>8.522282363373737</v>
      </c>
      <c r="V80" s="234">
        <f t="shared" si="13"/>
        <v>955.44254496045573</v>
      </c>
      <c r="W80" s="15">
        <v>25</v>
      </c>
      <c r="X80" s="8">
        <f t="shared" si="11"/>
        <v>4.5</v>
      </c>
      <c r="Y80" s="233">
        <f t="shared" si="12"/>
        <v>826</v>
      </c>
    </row>
    <row r="81" spans="1:25">
      <c r="A81" s="156" t="e" cm="1">
        <f t="array" aca="1" ref="A81" ca="1">_xlfn.IFS(E81=$AB$42,$AC$42,E81=$AB$43,$AC$43,E81=$AB$44,$AC$44,E81=$AB$45,$AC$45,E81=$AB$46,$AC$46,E81=$AB$47,$AC$47,E81=$AB$48,$AC$48,E81=$AB$49,$AC$49,E81=$AB$50,$AC$50,E81=$AB$51,$AC$51,E81=$AB$52,$AC$52,E81=$AB$53,$AC$53,E81=$AB$54,$AC$54,E81=$AB$55,$AC$55,E81=$AB$56,$AC$56,E81=$AB$57,$AC$57,E81=$AB$58,$AC$58,E81=$AB$59,$AC$59,E81=$AB$60,$AC$60,E81=$AB$61,$AC$61,E81=$AB$62,$AC$62,E81=$AB$63,$AC$63,E81=$AB$64,$AC$64,E81=$AB$65,$AC$65,E81=$AB$66,$AC$66,TRUE,"0")</f>
        <v>#NAME?</v>
      </c>
      <c r="C81" s="161" t="str" cm="1">
        <f t="array" ref="C81">_xlfn.IFS(E81=$AB$42,$AF$42,E81=$AB$43,$AF$43,E81=$AB$44,$AF$44,E81=$AB$45,$AF$45,E81=$AB$46,$AF$46,E81=$AB$47,$AF$47,E81=$AB$48,$AF$48,E81=$AB$49,$AF$49,E81=$AB$50,$AF$50,E81=$AB$51,$AF$51,E81=$AB$52,$AF$52,E81=$AB$53,$AF$53,E81=$AB$54,$AF$54,E81=$AB$55,$AF$55,E81=$AB$56,$AF$56,E81=$AB$57,$AF$57,E81=$AB$58,$AF$58,E81=$AB$59,$AF$59,E81=$AB$60,$AF$60,E81=$AB$61,$AF$61,E81=$AB$62,$AF$62,E81=$AB$63,$AF$63,E81=$AB$64,$AF$64,E81=$AB$65,$AF$65,E81=$AB$66,$AF$66,TRUE,"0")</f>
        <v>if 0-0, BACK+ 0.5 GOALS  @ 1.15+odds.  or @ 40 mins</v>
      </c>
      <c r="D81" s="270" t="str" cm="1">
        <f t="array" ref="D81">_xlfn.IFS(E81=$AB$42,$AD$42,E81=$AB$43,$AD$43,E81=$AB$44,$AD$44,E81=$AB$45,$AD$45,E81=$AB$46,$AD$46,E81=$AB$47,$AD$47,E81=$AB$48,$AD$48,E81=$AB$49,$AD$49,E81=$AB$50,$AD$50,E81=$AB$51,$AD$51,E81=$AB$52,$AD$52,E81=$AB$53,$AD$53,E81=$AB$54,$AD$54,E81=$AB$55,$AD$55,E81=$AB$56,$AD$56,E81=$AB$57,$AD$57,E81=$AB$58,$AD$58,E81=$AB$59,$AD$59,E81=$AB$60,$AD$60,E81=$AB$61,$AD$61,E81=$AB$62,$AD$62,E81=$AB$63,$AD$63,E81=$AB$64,$AD$64,E81=$AB$65,$AD$65,E81=$AB$66,$AD$66,TRUE,"0")</f>
        <v>IP</v>
      </c>
      <c r="E81" s="163" t="s">
        <v>270</v>
      </c>
      <c r="F81" s="2" t="s">
        <v>6</v>
      </c>
      <c r="G81" s="2" t="s">
        <v>62</v>
      </c>
      <c r="H81" s="3">
        <v>45305.583333333336</v>
      </c>
      <c r="I81" s="2" t="s">
        <v>71</v>
      </c>
      <c r="J81" s="2" t="s">
        <v>102</v>
      </c>
      <c r="K81" s="2">
        <v>59</v>
      </c>
      <c r="L81" s="2">
        <v>0</v>
      </c>
      <c r="M81" s="2">
        <v>20</v>
      </c>
      <c r="N81" s="2"/>
      <c r="O81" s="2"/>
      <c r="P81" s="11"/>
      <c r="Q81" s="2" t="s">
        <v>96</v>
      </c>
      <c r="R81" s="14" t="s">
        <v>221</v>
      </c>
      <c r="S81" s="13" t="s">
        <v>221</v>
      </c>
      <c r="T81" s="188">
        <f t="shared" si="9"/>
        <v>47.772127248022791</v>
      </c>
      <c r="U81" s="8">
        <f t="shared" si="6"/>
        <v>-47.772127248022791</v>
      </c>
      <c r="V81" s="234">
        <f t="shared" si="13"/>
        <v>907.67041771243294</v>
      </c>
      <c r="W81" s="15">
        <v>25</v>
      </c>
      <c r="X81" s="8">
        <f t="shared" si="11"/>
        <v>-25</v>
      </c>
      <c r="Y81" s="233">
        <f t="shared" si="12"/>
        <v>801</v>
      </c>
    </row>
    <row r="82" spans="1:25">
      <c r="A82" s="156" t="e" cm="1">
        <f t="array" aca="1" ref="A82" ca="1">_xlfn.IFS(E82=$AB$42,$AC$42,E82=$AB$43,$AC$43,E82=$AB$44,$AC$44,E82=$AB$45,$AC$45,E82=$AB$46,$AC$46,E82=$AB$47,$AC$47,E82=$AB$48,$AC$48,E82=$AB$49,$AC$49,E82=$AB$50,$AC$50,E82=$AB$51,$AC$51,E82=$AB$52,$AC$52,E82=$AB$53,$AC$53,E82=$AB$54,$AC$54,E82=$AB$55,$AC$55,E82=$AB$56,$AC$56,E82=$AB$57,$AC$57,E82=$AB$58,$AC$58,E82=$AB$59,$AC$59,E82=$AB$60,$AC$60,E82=$AB$61,$AC$61,E82=$AB$62,$AC$62,E82=$AB$63,$AC$63,E82=$AB$64,$AC$64,E82=$AB$65,$AC$65,E82=$AB$66,$AC$66,TRUE,"0")</f>
        <v>#NAME?</v>
      </c>
      <c r="C82" s="161" t="str" cm="1">
        <f t="array" ref="C82">_xlfn.IFS(E82=$AB$42,$AF$42,E82=$AB$43,$AF$43,E82=$AB$44,$AF$44,E82=$AB$45,$AF$45,E82=$AB$46,$AF$46,E82=$AB$47,$AF$47,E82=$AB$48,$AF$48,E82=$AB$49,$AF$49,E82=$AB$50,$AF$50,E82=$AB$51,$AF$51,E82=$AB$52,$AF$52,E82=$AB$53,$AF$53,E82=$AB$54,$AF$54,E82=$AB$55,$AF$55,E82=$AB$56,$AF$56,E82=$AB$57,$AF$57,E82=$AB$58,$AF$58,E82=$AB$59,$AF$59,E82=$AB$60,$AF$60,E82=$AB$61,$AF$61,E82=$AB$62,$AF$62,E82=$AB$63,$AF$63,E82=$AB$64,$AF$64,E82=$AB$65,$AF$65,E82=$AB$66,$AF$66,TRUE,"0")</f>
        <v>if 0-0, BACK+ 0.5 GOALS  @ 1.15+odds.  or @ 40 mins</v>
      </c>
      <c r="D82" s="270" t="str" cm="1">
        <f t="array" ref="D82">_xlfn.IFS(E82=$AB$42,$AD$42,E82=$AB$43,$AD$43,E82=$AB$44,$AD$44,E82=$AB$45,$AD$45,E82=$AB$46,$AD$46,E82=$AB$47,$AD$47,E82=$AB$48,$AD$48,E82=$AB$49,$AD$49,E82=$AB$50,$AD$50,E82=$AB$51,$AD$51,E82=$AB$52,$AD$52,E82=$AB$53,$AD$53,E82=$AB$54,$AD$54,E82=$AB$55,$AD$55,E82=$AB$56,$AD$56,E82=$AB$57,$AD$57,E82=$AB$58,$AD$58,E82=$AB$59,$AD$59,E82=$AB$60,$AD$60,E82=$AB$61,$AD$61,E82=$AB$62,$AD$62,E82=$AB$63,$AD$63,E82=$AB$64,$AD$64,E82=$AB$65,$AD$65,E82=$AB$66,$AD$66,TRUE,"0")</f>
        <v>IP</v>
      </c>
      <c r="E82" s="163" t="s">
        <v>270</v>
      </c>
      <c r="F82" s="2" t="s">
        <v>77</v>
      </c>
      <c r="G82" s="2" t="s">
        <v>156</v>
      </c>
      <c r="H82" s="3">
        <v>45305.6875</v>
      </c>
      <c r="I82" s="2" t="s">
        <v>167</v>
      </c>
      <c r="J82" s="2" t="s">
        <v>168</v>
      </c>
      <c r="K82" s="2">
        <v>59</v>
      </c>
      <c r="L82" s="2">
        <v>0</v>
      </c>
      <c r="M82" s="2">
        <v>20</v>
      </c>
      <c r="N82" s="2"/>
      <c r="O82" s="2"/>
      <c r="P82" s="11"/>
      <c r="Q82" s="2" t="s">
        <v>95</v>
      </c>
      <c r="R82" s="14" t="s">
        <v>220</v>
      </c>
      <c r="S82" s="13" t="s">
        <v>215</v>
      </c>
      <c r="T82" s="188">
        <f t="shared" si="9"/>
        <v>45.38352088562165</v>
      </c>
      <c r="U82" s="8">
        <f t="shared" si="6"/>
        <v>8.1690337594118958</v>
      </c>
      <c r="V82" s="234">
        <f t="shared" si="13"/>
        <v>915.83945147184488</v>
      </c>
      <c r="W82" s="15">
        <v>25</v>
      </c>
      <c r="X82" s="8">
        <f t="shared" si="11"/>
        <v>4.5</v>
      </c>
      <c r="Y82" s="233">
        <f t="shared" si="12"/>
        <v>805.5</v>
      </c>
    </row>
    <row r="83" spans="1:25">
      <c r="A83" s="156" t="e" cm="1">
        <f t="array" aca="1" ref="A83" ca="1">_xlfn.IFS(E83=$AB$42,$AC$42,E83=$AB$43,$AC$43,E83=$AB$44,$AC$44,E83=$AB$45,$AC$45,E83=$AB$46,$AC$46,E83=$AB$47,$AC$47,E83=$AB$48,$AC$48,E83=$AB$49,$AC$49,E83=$AB$50,$AC$50,E83=$AB$51,$AC$51,E83=$AB$52,$AC$52,E83=$AB$53,$AC$53,E83=$AB$54,$AC$54,E83=$AB$55,$AC$55,E83=$AB$56,$AC$56,E83=$AB$57,$AC$57,E83=$AB$58,$AC$58,E83=$AB$59,$AC$59,E83=$AB$60,$AC$60,E83=$AB$61,$AC$61,E83=$AB$62,$AC$62,E83=$AB$63,$AC$63,E83=$AB$64,$AC$64,E83=$AB$65,$AC$65,E83=$AB$66,$AC$66,TRUE,"0")</f>
        <v>#NAME?</v>
      </c>
      <c r="C83" s="161" t="str" cm="1">
        <f t="array" ref="C83">_xlfn.IFS(E83=$AB$42,$AF$42,E83=$AB$43,$AF$43,E83=$AB$44,$AF$44,E83=$AB$45,$AF$45,E83=$AB$46,$AF$46,E83=$AB$47,$AF$47,E83=$AB$48,$AF$48,E83=$AB$49,$AF$49,E83=$AB$50,$AF$50,E83=$AB$51,$AF$51,E83=$AB$52,$AF$52,E83=$AB$53,$AF$53,E83=$AB$54,$AF$54,E83=$AB$55,$AF$55,E83=$AB$56,$AF$56,E83=$AB$57,$AF$57,E83=$AB$58,$AF$58,E83=$AB$59,$AF$59,E83=$AB$60,$AF$60,E83=$AB$61,$AF$61,E83=$AB$62,$AF$62,E83=$AB$63,$AF$63,E83=$AB$64,$AF$64,E83=$AB$65,$AF$65,E83=$AB$66,$AF$66,TRUE,"0")</f>
        <v>if 0-0, BACK+ 0.5 GOALS  @ 1.15+odds.  or @ 40 mins</v>
      </c>
      <c r="D83" s="270" t="str" cm="1">
        <f t="array" ref="D83">_xlfn.IFS(E83=$AB$42,$AD$42,E83=$AB$43,$AD$43,E83=$AB$44,$AD$44,E83=$AB$45,$AD$45,E83=$AB$46,$AD$46,E83=$AB$47,$AD$47,E83=$AB$48,$AD$48,E83=$AB$49,$AD$49,E83=$AB$50,$AD$50,E83=$AB$51,$AD$51,E83=$AB$52,$AD$52,E83=$AB$53,$AD$53,E83=$AB$54,$AD$54,E83=$AB$55,$AD$55,E83=$AB$56,$AD$56,E83=$AB$57,$AD$57,E83=$AB$58,$AD$58,E83=$AB$59,$AD$59,E83=$AB$60,$AD$60,E83=$AB$61,$AD$61,E83=$AB$62,$AD$62,E83=$AB$63,$AD$63,E83=$AB$64,$AD$64,E83=$AB$65,$AD$65,E83=$AB$66,$AD$66,TRUE,"0")</f>
        <v>IP</v>
      </c>
      <c r="E83" s="163" t="s">
        <v>270</v>
      </c>
      <c r="F83" s="2" t="s">
        <v>67</v>
      </c>
      <c r="G83" s="2" t="s">
        <v>169</v>
      </c>
      <c r="H83" s="3">
        <v>45305.760416666664</v>
      </c>
      <c r="I83" s="2" t="s">
        <v>170</v>
      </c>
      <c r="J83" s="2" t="s">
        <v>171</v>
      </c>
      <c r="K83" s="2">
        <v>63</v>
      </c>
      <c r="L83" s="2">
        <v>0</v>
      </c>
      <c r="M83" s="2">
        <v>20</v>
      </c>
      <c r="N83" s="2"/>
      <c r="O83" s="2"/>
      <c r="P83" s="11"/>
      <c r="Q83" s="2" t="s">
        <v>95</v>
      </c>
      <c r="R83" s="14" t="s">
        <v>214</v>
      </c>
      <c r="S83" s="13" t="s">
        <v>209</v>
      </c>
      <c r="T83" s="188">
        <f t="shared" si="9"/>
        <v>45.791972573592247</v>
      </c>
      <c r="U83" s="8">
        <f t="shared" si="6"/>
        <v>8.2425550632466038</v>
      </c>
      <c r="V83" s="234">
        <f t="shared" si="13"/>
        <v>924.08200653509152</v>
      </c>
      <c r="W83" s="15">
        <v>25</v>
      </c>
      <c r="X83" s="8">
        <f t="shared" si="11"/>
        <v>4.5</v>
      </c>
      <c r="Y83" s="233">
        <f t="shared" si="12"/>
        <v>810</v>
      </c>
    </row>
    <row r="84" spans="1:25">
      <c r="A84" s="156" t="e" cm="1">
        <f t="array" aca="1" ref="A84" ca="1">_xlfn.IFS(E84=$AB$42,$AC$42,E84=$AB$43,$AC$43,E84=$AB$44,$AC$44,E84=$AB$45,$AC$45,E84=$AB$46,$AC$46,E84=$AB$47,$AC$47,E84=$AB$48,$AC$48,E84=$AB$49,$AC$49,E84=$AB$50,$AC$50,E84=$AB$51,$AC$51,E84=$AB$52,$AC$52,E84=$AB$53,$AC$53,E84=$AB$54,$AC$54,E84=$AB$55,$AC$55,E84=$AB$56,$AC$56,E84=$AB$57,$AC$57,E84=$AB$58,$AC$58,E84=$AB$59,$AC$59,E84=$AB$60,$AC$60,E84=$AB$61,$AC$61,E84=$AB$62,$AC$62,E84=$AB$63,$AC$63,E84=$AB$64,$AC$64,E84=$AB$65,$AC$65,E84=$AB$66,$AC$66,TRUE,"0")</f>
        <v>#NAME?</v>
      </c>
      <c r="C84" s="161" t="str" cm="1">
        <f t="array" ref="C84">_xlfn.IFS(E84=$AB$42,$AF$42,E84=$AB$43,$AF$43,E84=$AB$44,$AF$44,E84=$AB$45,$AF$45,E84=$AB$46,$AF$46,E84=$AB$47,$AF$47,E84=$AB$48,$AF$48,E84=$AB$49,$AF$49,E84=$AB$50,$AF$50,E84=$AB$51,$AF$51,E84=$AB$52,$AF$52,E84=$AB$53,$AF$53,E84=$AB$54,$AF$54,E84=$AB$55,$AF$55,E84=$AB$56,$AF$56,E84=$AB$57,$AF$57,E84=$AB$58,$AF$58,E84=$AB$59,$AF$59,E84=$AB$60,$AF$60,E84=$AB$61,$AF$61,E84=$AB$62,$AF$62,E84=$AB$63,$AF$63,E84=$AB$64,$AF$64,E84=$AB$65,$AF$65,E84=$AB$66,$AF$66,TRUE,"0")</f>
        <v>if 0-0, BACK+ 0.5 GOALS  @ 1.15+odds.  or @ 40 mins</v>
      </c>
      <c r="D84" s="270" t="str" cm="1">
        <f t="array" ref="D84">_xlfn.IFS(E84=$AB$42,$AD$42,E84=$AB$43,$AD$43,E84=$AB$44,$AD$44,E84=$AB$45,$AD$45,E84=$AB$46,$AD$46,E84=$AB$47,$AD$47,E84=$AB$48,$AD$48,E84=$AB$49,$AD$49,E84=$AB$50,$AD$50,E84=$AB$51,$AD$51,E84=$AB$52,$AD$52,E84=$AB$53,$AD$53,E84=$AB$54,$AD$54,E84=$AB$55,$AD$55,E84=$AB$56,$AD$56,E84=$AB$57,$AD$57,E84=$AB$58,$AD$58,E84=$AB$59,$AD$59,E84=$AB$60,$AD$60,E84=$AB$61,$AD$61,E84=$AB$62,$AD$62,E84=$AB$63,$AD$63,E84=$AB$64,$AD$64,E84=$AB$65,$AD$65,E84=$AB$66,$AD$66,TRUE,"0")</f>
        <v>IP</v>
      </c>
      <c r="E84" s="163" t="s">
        <v>270</v>
      </c>
      <c r="F84" s="2" t="s">
        <v>58</v>
      </c>
      <c r="G84" s="2" t="s">
        <v>59</v>
      </c>
      <c r="H84" s="3">
        <v>45305.854166666664</v>
      </c>
      <c r="I84" s="2" t="s">
        <v>172</v>
      </c>
      <c r="J84" s="2" t="s">
        <v>112</v>
      </c>
      <c r="K84" s="2">
        <v>66</v>
      </c>
      <c r="L84" s="2">
        <v>0</v>
      </c>
      <c r="M84" s="2">
        <v>20</v>
      </c>
      <c r="N84" s="2"/>
      <c r="O84" s="2"/>
      <c r="P84" s="11"/>
      <c r="Q84" s="2" t="s">
        <v>95</v>
      </c>
      <c r="R84" s="14" t="s">
        <v>214</v>
      </c>
      <c r="S84" s="13" t="s">
        <v>220</v>
      </c>
      <c r="T84" s="188">
        <f t="shared" si="9"/>
        <v>46.204100326754578</v>
      </c>
      <c r="U84" s="8">
        <f t="shared" si="6"/>
        <v>8.3167380588158242</v>
      </c>
      <c r="V84" s="234">
        <f t="shared" si="13"/>
        <v>932.3987445939074</v>
      </c>
      <c r="W84" s="15">
        <v>25</v>
      </c>
      <c r="X84" s="8">
        <f t="shared" si="11"/>
        <v>4.5</v>
      </c>
      <c r="Y84" s="233">
        <f t="shared" si="12"/>
        <v>814.5</v>
      </c>
    </row>
    <row r="85" spans="1:25">
      <c r="A85" s="156" t="e" cm="1">
        <f t="array" aca="1" ref="A85" ca="1">_xlfn.IFS(E85=$AB$42,$AC$42,E85=$AB$43,$AC$43,E85=$AB$44,$AC$44,E85=$AB$45,$AC$45,E85=$AB$46,$AC$46,E85=$AB$47,$AC$47,E85=$AB$48,$AC$48,E85=$AB$49,$AC$49,E85=$AB$50,$AC$50,E85=$AB$51,$AC$51,E85=$AB$52,$AC$52,E85=$AB$53,$AC$53,E85=$AB$54,$AC$54,E85=$AB$55,$AC$55,E85=$AB$56,$AC$56,E85=$AB$57,$AC$57,E85=$AB$58,$AC$58,E85=$AB$59,$AC$59,E85=$AB$60,$AC$60,E85=$AB$61,$AC$61,E85=$AB$62,$AC$62,E85=$AB$63,$AC$63,E85=$AB$64,$AC$64,E85=$AB$65,$AC$65,E85=$AB$66,$AC$66,TRUE,"0")</f>
        <v>#NAME?</v>
      </c>
      <c r="C85" s="161" t="str" cm="1">
        <f t="array" ref="C85">_xlfn.IFS(E85=$AB$42,$AF$42,E85=$AB$43,$AF$43,E85=$AB$44,$AF$44,E85=$AB$45,$AF$45,E85=$AB$46,$AF$46,E85=$AB$47,$AF$47,E85=$AB$48,$AF$48,E85=$AB$49,$AF$49,E85=$AB$50,$AF$50,E85=$AB$51,$AF$51,E85=$AB$52,$AF$52,E85=$AB$53,$AF$53,E85=$AB$54,$AF$54,E85=$AB$55,$AF$55,E85=$AB$56,$AF$56,E85=$AB$57,$AF$57,E85=$AB$58,$AF$58,E85=$AB$59,$AF$59,E85=$AB$60,$AF$60,E85=$AB$61,$AF$61,E85=$AB$62,$AF$62,E85=$AB$63,$AF$63,E85=$AB$64,$AF$64,E85=$AB$65,$AF$65,E85=$AB$66,$AF$66,TRUE,"0")</f>
        <v>40 mins Back ANother Goal</v>
      </c>
      <c r="D85" s="270" t="str" cm="1">
        <f t="array" ref="D85">_xlfn.IFS(E85=$AB$42,$AD$42,E85=$AB$43,$AD$43,E85=$AB$44,$AD$44,E85=$AB$45,$AD$45,E85=$AB$46,$AD$46,E85=$AB$47,$AD$47,E85=$AB$48,$AD$48,E85=$AB$49,$AD$49,E85=$AB$50,$AD$50,E85=$AB$51,$AD$51,E85=$AB$52,$AD$52,E85=$AB$53,$AD$53,E85=$AB$54,$AD$54,E85=$AB$55,$AD$55,E85=$AB$56,$AD$56,E85=$AB$57,$AD$57,E85=$AB$58,$AD$58,E85=$AB$59,$AD$59,E85=$AB$60,$AD$60,E85=$AB$61,$AD$61,E85=$AB$62,$AD$62,E85=$AB$63,$AD$63,E85=$AB$64,$AD$64,E85=$AB$65,$AD$65,E85=$AB$66,$AD$66,TRUE,"0")</f>
        <v xml:space="preserve">  BANG</v>
      </c>
      <c r="E85" s="163" t="s">
        <v>28</v>
      </c>
      <c r="F85" s="2" t="s">
        <v>173</v>
      </c>
      <c r="G85" s="2" t="s">
        <v>174</v>
      </c>
      <c r="H85" s="3">
        <v>45305.916666666664</v>
      </c>
      <c r="I85" s="2" t="s">
        <v>175</v>
      </c>
      <c r="J85" s="2" t="s">
        <v>176</v>
      </c>
      <c r="K85" s="2">
        <v>1.95</v>
      </c>
      <c r="L85" s="2">
        <v>4.54</v>
      </c>
      <c r="M85" s="2">
        <v>63</v>
      </c>
      <c r="N85" s="2">
        <v>0</v>
      </c>
      <c r="O85" s="2">
        <v>20</v>
      </c>
      <c r="P85" s="11"/>
      <c r="Q85" s="2" t="s">
        <v>95</v>
      </c>
      <c r="R85" s="14" t="s">
        <v>221</v>
      </c>
      <c r="S85" s="13" t="s">
        <v>214</v>
      </c>
      <c r="T85" s="188">
        <f t="shared" si="9"/>
        <v>46.619937229695374</v>
      </c>
      <c r="U85" s="8">
        <f t="shared" si="6"/>
        <v>8.3915887013451673</v>
      </c>
      <c r="V85" s="234">
        <f t="shared" si="13"/>
        <v>940.79033329525259</v>
      </c>
      <c r="W85" s="15">
        <v>25</v>
      </c>
      <c r="X85" s="8">
        <f t="shared" si="11"/>
        <v>4.5</v>
      </c>
      <c r="Y85" s="233">
        <f t="shared" si="12"/>
        <v>819</v>
      </c>
    </row>
    <row r="86" spans="1:25">
      <c r="A86" s="156" t="e" cm="1">
        <f t="array" aca="1" ref="A86" ca="1">_xlfn.IFS(E86=$AB$42,$AC$42,E86=$AB$43,$AC$43,E86=$AB$44,$AC$44,E86=$AB$45,$AC$45,E86=$AB$46,$AC$46,E86=$AB$47,$AC$47,E86=$AB$48,$AC$48,E86=$AB$49,$AC$49,E86=$AB$50,$AC$50,E86=$AB$51,$AC$51,E86=$AB$52,$AC$52,E86=$AB$53,$AC$53,E86=$AB$54,$AC$54,E86=$AB$55,$AC$55,E86=$AB$56,$AC$56,E86=$AB$57,$AC$57,E86=$AB$58,$AC$58,E86=$AB$59,$AC$59,E86=$AB$60,$AC$60,E86=$AB$61,$AC$61,E86=$AB$62,$AC$62,E86=$AB$63,$AC$63,E86=$AB$64,$AC$64,E86=$AB$65,$AC$65,E86=$AB$66,$AC$66,TRUE,"0")</f>
        <v>#NAME?</v>
      </c>
      <c r="C86" s="161" t="str" cm="1">
        <f t="array" ref="C86">_xlfn.IFS(E86=$AB$42,$AF$42,E86=$AB$43,$AF$43,E86=$AB$44,$AF$44,E86=$AB$45,$AF$45,E86=$AB$46,$AF$46,E86=$AB$47,$AF$47,E86=$AB$48,$AF$48,E86=$AB$49,$AF$49,E86=$AB$50,$AF$50,E86=$AB$51,$AF$51,E86=$AB$52,$AF$52,E86=$AB$53,$AF$53,E86=$AB$54,$AF$54,E86=$AB$55,$AF$55,E86=$AB$56,$AF$56,E86=$AB$57,$AF$57,E86=$AB$58,$AF$58,E86=$AB$59,$AF$59,E86=$AB$60,$AF$60,E86=$AB$61,$AF$61,E86=$AB$62,$AF$62,E86=$AB$63,$AF$63,E86=$AB$64,$AF$64,E86=$AB$65,$AF$65,E86=$AB$66,$AF$66,TRUE,"0")</f>
        <v>B4 match BACK FT +1.5 goals. X AFTER  GOAL</v>
      </c>
      <c r="D86" s="270" t="str" cm="1">
        <f t="array" ref="D86">_xlfn.IFS(E86=$AB$42,$AD$42,E86=$AB$43,$AD$43,E86=$AB$44,$AD$44,E86=$AB$45,$AD$45,E86=$AB$46,$AD$46,E86=$AB$47,$AD$47,E86=$AB$48,$AD$48,E86=$AB$49,$AD$49,E86=$AB$50,$AD$50,E86=$AB$51,$AD$51,E86=$AB$52,$AD$52,E86=$AB$53,$AD$53,E86=$AB$54,$AD$54,E86=$AB$55,$AD$55,E86=$AB$56,$AD$56,E86=$AB$57,$AD$57,E86=$AB$58,$AD$58,E86=$AB$59,$AD$59,E86=$AB$60,$AD$60,E86=$AB$61,$AD$61,E86=$AB$62,$AD$62,E86=$AB$63,$AD$63,E86=$AB$64,$AD$64,E86=$AB$65,$AD$65,E86=$AB$66,$AD$66,TRUE,"0")</f>
        <v xml:space="preserve">BFM </v>
      </c>
      <c r="E86" s="163" t="s">
        <v>406</v>
      </c>
      <c r="F86" s="2" t="s">
        <v>80</v>
      </c>
      <c r="G86" s="2" t="s">
        <v>81</v>
      </c>
      <c r="H86" s="3">
        <v>45306.708333333336</v>
      </c>
      <c r="I86" s="2" t="s">
        <v>144</v>
      </c>
      <c r="J86" s="2" t="s">
        <v>83</v>
      </c>
      <c r="K86" s="2">
        <v>1.27</v>
      </c>
      <c r="L86" s="2">
        <v>13</v>
      </c>
      <c r="M86" s="2">
        <v>3.17</v>
      </c>
      <c r="N86" s="2">
        <v>3.4</v>
      </c>
      <c r="O86" s="2"/>
      <c r="P86" s="11"/>
      <c r="Q86" s="2" t="s">
        <v>95</v>
      </c>
      <c r="R86" s="14" t="s">
        <v>214</v>
      </c>
      <c r="S86" s="13" t="s">
        <v>222</v>
      </c>
      <c r="T86" s="188">
        <f t="shared" si="9"/>
        <v>47.03951666476263</v>
      </c>
      <c r="U86" s="8">
        <f t="shared" si="6"/>
        <v>8.4671129996572727</v>
      </c>
      <c r="V86" s="234">
        <f t="shared" si="13"/>
        <v>949.25744629490987</v>
      </c>
      <c r="W86" s="15">
        <v>25</v>
      </c>
      <c r="X86" s="8">
        <f t="shared" si="11"/>
        <v>4.5</v>
      </c>
      <c r="Y86" s="233">
        <f t="shared" si="12"/>
        <v>823.5</v>
      </c>
    </row>
    <row r="87" spans="1:25">
      <c r="A87" s="156" t="e" cm="1">
        <f t="array" aca="1" ref="A87" ca="1">_xlfn.IFS(E87=$AB$42,$AC$42,E87=$AB$43,$AC$43,E87=$AB$44,$AC$44,E87=$AB$45,$AC$45,E87=$AB$46,$AC$46,E87=$AB$47,$AC$47,E87=$AB$48,$AC$48,E87=$AB$49,$AC$49,E87=$AB$50,$AC$50,E87=$AB$51,$AC$51,E87=$AB$52,$AC$52,E87=$AB$53,$AC$53,E87=$AB$54,$AC$54,E87=$AB$55,$AC$55,E87=$AB$56,$AC$56,E87=$AB$57,$AC$57,E87=$AB$58,$AC$58,E87=$AB$59,$AC$59,E87=$AB$60,$AC$60,E87=$AB$61,$AC$61,E87=$AB$62,$AC$62,E87=$AB$63,$AC$63,E87=$AB$64,$AC$64,E87=$AB$65,$AC$65,E87=$AB$66,$AC$66,TRUE,"0")</f>
        <v>#NAME?</v>
      </c>
      <c r="C87" s="161" t="str" cm="1">
        <f t="array" ref="C87">_xlfn.IFS(E87=$AB$42,$AF$42,E87=$AB$43,$AF$43,E87=$AB$44,$AF$44,E87=$AB$45,$AF$45,E87=$AB$46,$AF$46,E87=$AB$47,$AF$47,E87=$AB$48,$AF$48,E87=$AB$49,$AF$49,E87=$AB$50,$AF$50,E87=$AB$51,$AF$51,E87=$AB$52,$AF$52,E87=$AB$53,$AF$53,E87=$AB$54,$AF$54,E87=$AB$55,$AF$55,E87=$AB$56,$AF$56,E87=$AB$57,$AF$57,E87=$AB$58,$AF$58,E87=$AB$59,$AF$59,E87=$AB$60,$AF$60,E87=$AB$61,$AF$61,E87=$AB$62,$AF$62,E87=$AB$63,$AF$63,E87=$AB$64,$AF$64,E87=$AB$65,$AF$65,E87=$AB$66,$AF$66,TRUE,"0")</f>
        <v>B4 match BACK FT +1.5 goals. X AFTER  GOAL</v>
      </c>
      <c r="D87" s="270" t="str" cm="1">
        <f t="array" ref="D87">_xlfn.IFS(E87=$AB$42,$AD$42,E87=$AB$43,$AD$43,E87=$AB$44,$AD$44,E87=$AB$45,$AD$45,E87=$AB$46,$AD$46,E87=$AB$47,$AD$47,E87=$AB$48,$AD$48,E87=$AB$49,$AD$49,E87=$AB$50,$AD$50,E87=$AB$51,$AD$51,E87=$AB$52,$AD$52,E87=$AB$53,$AD$53,E87=$AB$54,$AD$54,E87=$AB$55,$AD$55,E87=$AB$56,$AD$56,E87=$AB$57,$AD$57,E87=$AB$58,$AD$58,E87=$AB$59,$AD$59,E87=$AB$60,$AD$60,E87=$AB$61,$AD$61,E87=$AB$62,$AD$62,E87=$AB$63,$AD$63,E87=$AB$64,$AD$64,E87=$AB$65,$AD$65,E87=$AB$66,$AD$66,TRUE,"0")</f>
        <v xml:space="preserve">BFM </v>
      </c>
      <c r="E87" s="163" t="s">
        <v>406</v>
      </c>
      <c r="F87" s="2" t="s">
        <v>6</v>
      </c>
      <c r="G87" s="2" t="s">
        <v>11</v>
      </c>
      <c r="H87" s="3">
        <v>45306.833333333336</v>
      </c>
      <c r="I87" s="2" t="s">
        <v>231</v>
      </c>
      <c r="J87" s="2" t="s">
        <v>232</v>
      </c>
      <c r="K87" s="2">
        <v>1.3</v>
      </c>
      <c r="L87" s="2">
        <v>14.5</v>
      </c>
      <c r="M87" s="2">
        <v>2.4500000000000002</v>
      </c>
      <c r="N87" s="2">
        <v>4.9000000000000004</v>
      </c>
      <c r="O87" s="2"/>
      <c r="P87" s="11"/>
      <c r="Q87" s="2" t="s">
        <v>95</v>
      </c>
      <c r="R87" s="14" t="s">
        <v>214</v>
      </c>
      <c r="S87" s="13" t="s">
        <v>209</v>
      </c>
      <c r="T87" s="188">
        <f t="shared" si="9"/>
        <v>47.462872314745496</v>
      </c>
      <c r="U87" s="8">
        <f t="shared" si="6"/>
        <v>8.5433170166541892</v>
      </c>
      <c r="V87" s="234">
        <f t="shared" si="13"/>
        <v>957.80076331156408</v>
      </c>
      <c r="W87" s="15">
        <v>25</v>
      </c>
      <c r="X87" s="8">
        <f t="shared" si="11"/>
        <v>4.5</v>
      </c>
      <c r="Y87" s="233">
        <f t="shared" si="12"/>
        <v>828</v>
      </c>
    </row>
    <row r="88" spans="1:25">
      <c r="A88" s="156" t="e" cm="1">
        <f t="array" aca="1" ref="A88" ca="1">_xlfn.IFS(E88=$AB$42,$AC$42,E88=$AB$43,$AC$43,E88=$AB$44,$AC$44,E88=$AB$45,$AC$45,E88=$AB$46,$AC$46,E88=$AB$47,$AC$47,E88=$AB$48,$AC$48,E88=$AB$49,$AC$49,E88=$AB$50,$AC$50,E88=$AB$51,$AC$51,E88=$AB$52,$AC$52,E88=$AB$53,$AC$53,E88=$AB$54,$AC$54,E88=$AB$55,$AC$55,E88=$AB$56,$AC$56,E88=$AB$57,$AC$57,E88=$AB$58,$AC$58,E88=$AB$59,$AC$59,E88=$AB$60,$AC$60,E88=$AB$61,$AC$61,E88=$AB$62,$AC$62,E88=$AB$63,$AC$63,E88=$AB$64,$AC$64,E88=$AB$65,$AC$65,E88=$AB$66,$AC$66,TRUE,"0")</f>
        <v>#NAME?</v>
      </c>
      <c r="C88" s="161" t="str" cm="1">
        <f t="array" ref="C88">_xlfn.IFS(E88=$AB$42,$AF$42,E88=$AB$43,$AF$43,E88=$AB$44,$AF$44,E88=$AB$45,$AF$45,E88=$AB$46,$AF$46,E88=$AB$47,$AF$47,E88=$AB$48,$AF$48,E88=$AB$49,$AF$49,E88=$AB$50,$AF$50,E88=$AB$51,$AF$51,E88=$AB$52,$AF$52,E88=$AB$53,$AF$53,E88=$AB$54,$AF$54,E88=$AB$55,$AF$55,E88=$AB$56,$AF$56,E88=$AB$57,$AF$57,E88=$AB$58,$AF$58,E88=$AB$59,$AF$59,E88=$AB$60,$AF$60,E88=$AB$61,$AF$61,E88=$AB$62,$AF$62,E88=$AB$63,$AF$63,E88=$AB$64,$AF$64,E88=$AB$65,$AF$65,E88=$AB$66,$AF$66,TRUE,"0")</f>
        <v>if 0-0, BACK+ 0.5 GOALS  @ 1.15+odds.  or @ 40 mins</v>
      </c>
      <c r="D88" s="270" t="str" cm="1">
        <f t="array" ref="D88">_xlfn.IFS(E88=$AB$42,$AD$42,E88=$AB$43,$AD$43,E88=$AB$44,$AD$44,E88=$AB$45,$AD$45,E88=$AB$46,$AD$46,E88=$AB$47,$AD$47,E88=$AB$48,$AD$48,E88=$AB$49,$AD$49,E88=$AB$50,$AD$50,E88=$AB$51,$AD$51,E88=$AB$52,$AD$52,E88=$AB$53,$AD$53,E88=$AB$54,$AD$54,E88=$AB$55,$AD$55,E88=$AB$56,$AD$56,E88=$AB$57,$AD$57,E88=$AB$58,$AD$58,E88=$AB$59,$AD$59,E88=$AB$60,$AD$60,E88=$AB$61,$AD$61,E88=$AB$62,$AD$62,E88=$AB$63,$AD$63,E88=$AB$64,$AD$64,E88=$AB$65,$AD$65,E88=$AB$66,$AD$66,TRUE,"0")</f>
        <v>IP</v>
      </c>
      <c r="E88" s="163" t="s">
        <v>270</v>
      </c>
      <c r="F88" s="2" t="s">
        <v>58</v>
      </c>
      <c r="G88" s="2" t="s">
        <v>59</v>
      </c>
      <c r="H88" s="3">
        <v>45306.84375</v>
      </c>
      <c r="I88" s="2" t="s">
        <v>142</v>
      </c>
      <c r="J88" s="2" t="s">
        <v>76</v>
      </c>
      <c r="K88" s="2">
        <v>61</v>
      </c>
      <c r="L88" s="2">
        <v>0</v>
      </c>
      <c r="M88" s="2">
        <v>20</v>
      </c>
      <c r="N88" s="2"/>
      <c r="O88" s="2"/>
      <c r="P88" s="11"/>
      <c r="Q88" s="2" t="s">
        <v>95</v>
      </c>
      <c r="R88" s="14" t="s">
        <v>216</v>
      </c>
      <c r="S88" s="13" t="s">
        <v>222</v>
      </c>
      <c r="T88" s="188">
        <f t="shared" si="9"/>
        <v>47.890038165578204</v>
      </c>
      <c r="U88" s="8">
        <f t="shared" si="6"/>
        <v>8.6202068698040772</v>
      </c>
      <c r="V88" s="234">
        <f t="shared" si="13"/>
        <v>966.42097018136815</v>
      </c>
      <c r="W88" s="15">
        <v>25</v>
      </c>
      <c r="X88" s="8">
        <f t="shared" si="11"/>
        <v>4.5</v>
      </c>
      <c r="Y88" s="233">
        <f t="shared" si="12"/>
        <v>832.5</v>
      </c>
    </row>
    <row r="89" spans="1:25">
      <c r="A89" s="156" t="e" cm="1">
        <f t="array" aca="1" ref="A89" ca="1">_xlfn.IFS(E89=$AB$42,$AC$42,E89=$AB$43,$AC$43,E89=$AB$44,$AC$44,E89=$AB$45,$AC$45,E89=$AB$46,$AC$46,E89=$AB$47,$AC$47,E89=$AB$48,$AC$48,E89=$AB$49,$AC$49,E89=$AB$50,$AC$50,E89=$AB$51,$AC$51,E89=$AB$52,$AC$52,E89=$AB$53,$AC$53,E89=$AB$54,$AC$54,E89=$AB$55,$AC$55,E89=$AB$56,$AC$56,E89=$AB$57,$AC$57,E89=$AB$58,$AC$58,E89=$AB$59,$AC$59,E89=$AB$60,$AC$60,E89=$AB$61,$AC$61,E89=$AB$62,$AC$62,E89=$AB$63,$AC$63,E89=$AB$64,$AC$64,E89=$AB$65,$AC$65,E89=$AB$66,$AC$66,TRUE,"0")</f>
        <v>#NAME?</v>
      </c>
      <c r="C89" s="161" t="str" cm="1">
        <f t="array" ref="C89">_xlfn.IFS(E89=$AB$42,$AF$42,E89=$AB$43,$AF$43,E89=$AB$44,$AF$44,E89=$AB$45,$AF$45,E89=$AB$46,$AF$46,E89=$AB$47,$AF$47,E89=$AB$48,$AF$48,E89=$AB$49,$AF$49,E89=$AB$50,$AF$50,E89=$AB$51,$AF$51,E89=$AB$52,$AF$52,E89=$AB$53,$AF$53,E89=$AB$54,$AF$54,E89=$AB$55,$AF$55,E89=$AB$56,$AF$56,E89=$AB$57,$AF$57,E89=$AB$58,$AF$58,E89=$AB$59,$AF$59,E89=$AB$60,$AF$60,E89=$AB$61,$AF$61,E89=$AB$62,$AF$62,E89=$AB$63,$AF$63,E89=$AB$64,$AF$64,E89=$AB$65,$AF$65,E89=$AB$66,$AF$66,TRUE,"0")</f>
        <v>40 mins Back ANother Goal</v>
      </c>
      <c r="D89" s="270" t="str" cm="1">
        <f t="array" ref="D89">_xlfn.IFS(E89=$AB$42,$AD$42,E89=$AB$43,$AD$43,E89=$AB$44,$AD$44,E89=$AB$45,$AD$45,E89=$AB$46,$AD$46,E89=$AB$47,$AD$47,E89=$AB$48,$AD$48,E89=$AB$49,$AD$49,E89=$AB$50,$AD$50,E89=$AB$51,$AD$51,E89=$AB$52,$AD$52,E89=$AB$53,$AD$53,E89=$AB$54,$AD$54,E89=$AB$55,$AD$55,E89=$AB$56,$AD$56,E89=$AB$57,$AD$57,E89=$AB$58,$AD$58,E89=$AB$59,$AD$59,E89=$AB$60,$AD$60,E89=$AB$61,$AD$61,E89=$AB$62,$AD$62,E89=$AB$63,$AD$63,E89=$AB$64,$AD$64,E89=$AB$65,$AD$65,E89=$AB$66,$AD$66,TRUE,"0")</f>
        <v xml:space="preserve">  BANG</v>
      </c>
      <c r="E89" s="163" t="s">
        <v>35</v>
      </c>
      <c r="F89" s="2" t="s">
        <v>6</v>
      </c>
      <c r="G89" s="2" t="s">
        <v>40</v>
      </c>
      <c r="H89" s="3">
        <v>45307.822916666664</v>
      </c>
      <c r="I89" s="2" t="s">
        <v>41</v>
      </c>
      <c r="J89" s="2" t="s">
        <v>189</v>
      </c>
      <c r="K89" s="2">
        <v>71</v>
      </c>
      <c r="L89" s="2">
        <v>90</v>
      </c>
      <c r="M89" s="2">
        <v>75</v>
      </c>
      <c r="N89" s="2">
        <v>40</v>
      </c>
      <c r="O89" s="2">
        <v>20</v>
      </c>
      <c r="P89" s="11"/>
      <c r="Q89" s="2" t="s">
        <v>95</v>
      </c>
      <c r="R89" s="14" t="s">
        <v>216</v>
      </c>
      <c r="S89" s="13" t="s">
        <v>222</v>
      </c>
      <c r="T89" s="188">
        <f t="shared" si="9"/>
        <v>48.321048509068412</v>
      </c>
      <c r="U89" s="8">
        <f t="shared" si="6"/>
        <v>8.697788731632313</v>
      </c>
      <c r="V89" s="234">
        <f t="shared" si="13"/>
        <v>975.11875891300042</v>
      </c>
      <c r="W89" s="15">
        <v>25</v>
      </c>
      <c r="X89" s="8">
        <f t="shared" si="11"/>
        <v>4.5</v>
      </c>
      <c r="Y89" s="233">
        <f t="shared" si="12"/>
        <v>837</v>
      </c>
    </row>
    <row r="90" spans="1:25">
      <c r="A90" s="156" t="e" cm="1">
        <f t="array" aca="1" ref="A90" ca="1">_xlfn.IFS(E90=$AB$42,$AC$42,E90=$AB$43,$AC$43,E90=$AB$44,$AC$44,E90=$AB$45,$AC$45,E90=$AB$46,$AC$46,E90=$AB$47,$AC$47,E90=$AB$48,$AC$48,E90=$AB$49,$AC$49,E90=$AB$50,$AC$50,E90=$AB$51,$AC$51,E90=$AB$52,$AC$52,E90=$AB$53,$AC$53,E90=$AB$54,$AC$54,E90=$AB$55,$AC$55,E90=$AB$56,$AC$56,E90=$AB$57,$AC$57,E90=$AB$58,$AC$58,E90=$AB$59,$AC$59,E90=$AB$60,$AC$60,E90=$AB$61,$AC$61,E90=$AB$62,$AC$62,E90=$AB$63,$AC$63,E90=$AB$64,$AC$64,E90=$AB$65,$AC$65,E90=$AB$66,$AC$66,TRUE,"0")</f>
        <v>#NAME?</v>
      </c>
      <c r="C90" s="161" t="str" cm="1">
        <f t="array" ref="C90">_xlfn.IFS(E90=$AB$42,$AF$42,E90=$AB$43,$AF$43,E90=$AB$44,$AF$44,E90=$AB$45,$AF$45,E90=$AB$46,$AF$46,E90=$AB$47,$AF$47,E90=$AB$48,$AF$48,E90=$AB$49,$AF$49,E90=$AB$50,$AF$50,E90=$AB$51,$AF$51,E90=$AB$52,$AF$52,E90=$AB$53,$AF$53,E90=$AB$54,$AF$54,E90=$AB$55,$AF$55,E90=$AB$56,$AF$56,E90=$AB$57,$AF$57,E90=$AB$58,$AF$58,E90=$AB$59,$AF$59,E90=$AB$60,$AF$60,E90=$AB$61,$AF$61,E90=$AB$62,$AF$62,E90=$AB$63,$AF$63,E90=$AB$64,$AF$64,E90=$AB$65,$AF$65,E90=$AB$66,$AF$66,TRUE,"0")</f>
        <v>40 mins Back ANother Goal</v>
      </c>
      <c r="D90" s="270" t="str" cm="1">
        <f t="array" ref="D90">_xlfn.IFS(E90=$AB$42,$AD$42,E90=$AB$43,$AD$43,E90=$AB$44,$AD$44,E90=$AB$45,$AD$45,E90=$AB$46,$AD$46,E90=$AB$47,$AD$47,E90=$AB$48,$AD$48,E90=$AB$49,$AD$49,E90=$AB$50,$AD$50,E90=$AB$51,$AD$51,E90=$AB$52,$AD$52,E90=$AB$53,$AD$53,E90=$AB$54,$AD$54,E90=$AB$55,$AD$55,E90=$AB$56,$AD$56,E90=$AB$57,$AD$57,E90=$AB$58,$AD$58,E90=$AB$59,$AD$59,E90=$AB$60,$AD$60,E90=$AB$61,$AD$61,E90=$AB$62,$AD$62,E90=$AB$63,$AD$63,E90=$AB$64,$AD$64,E90=$AB$65,$AD$65,E90=$AB$66,$AD$66,TRUE,"0")</f>
        <v xml:space="preserve">  BANG</v>
      </c>
      <c r="E90" s="163" t="s">
        <v>28</v>
      </c>
      <c r="F90" s="2" t="s">
        <v>159</v>
      </c>
      <c r="G90" s="2" t="s">
        <v>228</v>
      </c>
      <c r="H90" s="3">
        <v>45309.128472222219</v>
      </c>
      <c r="I90" s="2" t="s">
        <v>229</v>
      </c>
      <c r="J90" s="2" t="s">
        <v>230</v>
      </c>
      <c r="K90" s="2">
        <v>2.2999999999999998</v>
      </c>
      <c r="L90" s="2">
        <v>5.07</v>
      </c>
      <c r="M90" s="2">
        <v>63</v>
      </c>
      <c r="N90" s="2">
        <v>0</v>
      </c>
      <c r="O90" s="2">
        <v>20</v>
      </c>
      <c r="P90" s="11"/>
      <c r="Q90" s="2" t="s">
        <v>95</v>
      </c>
      <c r="R90" s="14" t="s">
        <v>221</v>
      </c>
      <c r="S90" s="13" t="s">
        <v>216</v>
      </c>
      <c r="T90" s="188">
        <f t="shared" si="9"/>
        <v>48.755937945650025</v>
      </c>
      <c r="U90" s="8">
        <f t="shared" si="6"/>
        <v>8.7760688302170049</v>
      </c>
      <c r="V90" s="234">
        <f t="shared" si="13"/>
        <v>983.89482774321743</v>
      </c>
      <c r="W90" s="15">
        <v>25</v>
      </c>
      <c r="X90" s="8">
        <f t="shared" si="11"/>
        <v>4.5</v>
      </c>
      <c r="Y90" s="233">
        <f t="shared" si="12"/>
        <v>841.5</v>
      </c>
    </row>
    <row r="91" spans="1:25">
      <c r="A91" s="156" t="e" cm="1">
        <f t="array" aca="1" ref="A91" ca="1">_xlfn.IFS(E91=$AB$42,$AC$42,E91=$AB$43,$AC$43,E91=$AB$44,$AC$44,E91=$AB$45,$AC$45,E91=$AB$46,$AC$46,E91=$AB$47,$AC$47,E91=$AB$48,$AC$48,E91=$AB$49,$AC$49,E91=$AB$50,$AC$50,E91=$AB$51,$AC$51,E91=$AB$52,$AC$52,E91=$AB$53,$AC$53,E91=$AB$54,$AC$54,E91=$AB$55,$AC$55,E91=$AB$56,$AC$56,E91=$AB$57,$AC$57,E91=$AB$58,$AC$58,E91=$AB$59,$AC$59,E91=$AB$60,$AC$60,E91=$AB$61,$AC$61,E91=$AB$62,$AC$62,E91=$AB$63,$AC$63,E91=$AB$64,$AC$64,E91=$AB$65,$AC$65,E91=$AB$66,$AC$66,TRUE,"0")</f>
        <v>#NAME?</v>
      </c>
      <c r="C91" s="161" t="str" cm="1">
        <f t="array" ref="C91">_xlfn.IFS(E91=$AB$42,$AF$42,E91=$AB$43,$AF$43,E91=$AB$44,$AF$44,E91=$AB$45,$AF$45,E91=$AB$46,$AF$46,E91=$AB$47,$AF$47,E91=$AB$48,$AF$48,E91=$AB$49,$AF$49,E91=$AB$50,$AF$50,E91=$AB$51,$AF$51,E91=$AB$52,$AF$52,E91=$AB$53,$AF$53,E91=$AB$54,$AF$54,E91=$AB$55,$AF$55,E91=$AB$56,$AF$56,E91=$AB$57,$AF$57,E91=$AB$58,$AF$58,E91=$AB$59,$AF$59,E91=$AB$60,$AF$60,E91=$AB$61,$AF$61,E91=$AB$62,$AF$62,E91=$AB$63,$AF$63,E91=$AB$64,$AF$64,E91=$AB$65,$AF$65,E91=$AB$66,$AF$66,TRUE,"0")</f>
        <v>if 0-0, BACK+ 0.5 GOALS  @ 1.15+odds.  or @ 40 mins</v>
      </c>
      <c r="D91" s="270" t="str" cm="1">
        <f t="array" ref="D91">_xlfn.IFS(E91=$AB$42,$AD$42,E91=$AB$43,$AD$43,E91=$AB$44,$AD$44,E91=$AB$45,$AD$45,E91=$AB$46,$AD$46,E91=$AB$47,$AD$47,E91=$AB$48,$AD$48,E91=$AB$49,$AD$49,E91=$AB$50,$AD$50,E91=$AB$51,$AD$51,E91=$AB$52,$AD$52,E91=$AB$53,$AD$53,E91=$AB$54,$AD$54,E91=$AB$55,$AD$55,E91=$AB$56,$AD$56,E91=$AB$57,$AD$57,E91=$AB$58,$AD$58,E91=$AB$59,$AD$59,E91=$AB$60,$AD$60,E91=$AB$61,$AD$61,E91=$AB$62,$AD$62,E91=$AB$63,$AD$63,E91=$AB$64,$AD$64,E91=$AB$65,$AD$65,E91=$AB$66,$AD$66,TRUE,"0")</f>
        <v>IP</v>
      </c>
      <c r="E91" s="163" t="s">
        <v>270</v>
      </c>
      <c r="F91" s="2" t="s">
        <v>44</v>
      </c>
      <c r="G91" s="2" t="s">
        <v>45</v>
      </c>
      <c r="H91" s="3">
        <v>45309.364583333336</v>
      </c>
      <c r="I91" s="2" t="s">
        <v>233</v>
      </c>
      <c r="J91" s="2" t="s">
        <v>143</v>
      </c>
      <c r="K91" s="2">
        <v>61</v>
      </c>
      <c r="L91" s="2">
        <v>0</v>
      </c>
      <c r="M91" s="2">
        <v>20</v>
      </c>
      <c r="N91" s="2"/>
      <c r="O91" s="2"/>
      <c r="P91" s="11"/>
      <c r="Q91" s="2" t="s">
        <v>95</v>
      </c>
      <c r="R91" s="14" t="s">
        <v>193</v>
      </c>
      <c r="S91" s="13" t="s">
        <v>211</v>
      </c>
      <c r="T91" s="188">
        <f t="shared" si="9"/>
        <v>49.194741387160875</v>
      </c>
      <c r="U91" s="8">
        <f t="shared" si="6"/>
        <v>8.8550534496889579</v>
      </c>
      <c r="V91" s="234">
        <f t="shared" si="13"/>
        <v>992.7498811929064</v>
      </c>
      <c r="W91" s="15">
        <v>25</v>
      </c>
      <c r="X91" s="8">
        <f t="shared" si="11"/>
        <v>4.5</v>
      </c>
      <c r="Y91" s="233">
        <f t="shared" si="12"/>
        <v>846</v>
      </c>
    </row>
    <row r="92" spans="1:25">
      <c r="A92" s="156" t="e" cm="1">
        <f t="array" aca="1" ref="A92" ca="1">_xlfn.IFS(E92=$AB$42,$AC$42,E92=$AB$43,$AC$43,E92=$AB$44,$AC$44,E92=$AB$45,$AC$45,E92=$AB$46,$AC$46,E92=$AB$47,$AC$47,E92=$AB$48,$AC$48,E92=$AB$49,$AC$49,E92=$AB$50,$AC$50,E92=$AB$51,$AC$51,E92=$AB$52,$AC$52,E92=$AB$53,$AC$53,E92=$AB$54,$AC$54,E92=$AB$55,$AC$55,E92=$AB$56,$AC$56,E92=$AB$57,$AC$57,E92=$AB$58,$AC$58,E92=$AB$59,$AC$59,E92=$AB$60,$AC$60,E92=$AB$61,$AC$61,E92=$AB$62,$AC$62,E92=$AB$63,$AC$63,E92=$AB$64,$AC$64,E92=$AB$65,$AC$65,E92=$AB$66,$AC$66,TRUE,"0")</f>
        <v>#NAME?</v>
      </c>
      <c r="C92" s="161" t="str" cm="1">
        <f t="array" ref="C92">_xlfn.IFS(E92=$AB$42,$AF$42,E92=$AB$43,$AF$43,E92=$AB$44,$AF$44,E92=$AB$45,$AF$45,E92=$AB$46,$AF$46,E92=$AB$47,$AF$47,E92=$AB$48,$AF$48,E92=$AB$49,$AF$49,E92=$AB$50,$AF$50,E92=$AB$51,$AF$51,E92=$AB$52,$AF$52,E92=$AB$53,$AF$53,E92=$AB$54,$AF$54,E92=$AB$55,$AF$55,E92=$AB$56,$AF$56,E92=$AB$57,$AF$57,E92=$AB$58,$AF$58,E92=$AB$59,$AF$59,E92=$AB$60,$AF$60,E92=$AB$61,$AF$61,E92=$AB$62,$AF$62,E92=$AB$63,$AF$63,E92=$AB$64,$AF$64,E92=$AB$65,$AF$65,E92=$AB$66,$AF$66,TRUE,"0")</f>
        <v>B4 match BACK FT +1.5 goals. X AFTER  GOAL</v>
      </c>
      <c r="D92" s="270" t="str" cm="1">
        <f t="array" ref="D92">_xlfn.IFS(E92=$AB$42,$AD$42,E92=$AB$43,$AD$43,E92=$AB$44,$AD$44,E92=$AB$45,$AD$45,E92=$AB$46,$AD$46,E92=$AB$47,$AD$47,E92=$AB$48,$AD$48,E92=$AB$49,$AD$49,E92=$AB$50,$AD$50,E92=$AB$51,$AD$51,E92=$AB$52,$AD$52,E92=$AB$53,$AD$53,E92=$AB$54,$AD$54,E92=$AB$55,$AD$55,E92=$AB$56,$AD$56,E92=$AB$57,$AD$57,E92=$AB$58,$AD$58,E92=$AB$59,$AD$59,E92=$AB$60,$AD$60,E92=$AB$61,$AD$61,E92=$AB$62,$AD$62,E92=$AB$63,$AD$63,E92=$AB$64,$AD$64,E92=$AB$65,$AD$65,E92=$AB$66,$AD$66,TRUE,"0")</f>
        <v xml:space="preserve">BFM </v>
      </c>
      <c r="E92" s="163" t="s">
        <v>406</v>
      </c>
      <c r="F92" s="2" t="s">
        <v>6</v>
      </c>
      <c r="G92" s="2" t="s">
        <v>62</v>
      </c>
      <c r="H92" s="3">
        <v>45311.520833333336</v>
      </c>
      <c r="I92" s="2" t="s">
        <v>73</v>
      </c>
      <c r="J92" s="2" t="s">
        <v>66</v>
      </c>
      <c r="K92" s="2">
        <v>1.3</v>
      </c>
      <c r="L92" s="2">
        <v>13.5</v>
      </c>
      <c r="M92" s="2">
        <v>2.9</v>
      </c>
      <c r="N92" s="2">
        <v>5.4</v>
      </c>
      <c r="O92" s="2"/>
      <c r="P92" s="11"/>
      <c r="Q92" s="2" t="s">
        <v>95</v>
      </c>
      <c r="R92" s="14" t="s">
        <v>220</v>
      </c>
      <c r="S92" s="13" t="s">
        <v>195</v>
      </c>
      <c r="T92" s="188">
        <f t="shared" si="9"/>
        <v>49.63749405964532</v>
      </c>
      <c r="U92" s="8">
        <f t="shared" si="6"/>
        <v>8.9347489307361574</v>
      </c>
      <c r="V92" s="234">
        <f t="shared" si="13"/>
        <v>1001.6846301236426</v>
      </c>
      <c r="W92" s="15">
        <v>25</v>
      </c>
      <c r="X92" s="8">
        <f t="shared" si="11"/>
        <v>4.5</v>
      </c>
      <c r="Y92" s="233">
        <f t="shared" si="12"/>
        <v>850.5</v>
      </c>
    </row>
    <row r="93" spans="1:25">
      <c r="A93" s="156" t="e" cm="1">
        <f t="array" aca="1" ref="A93" ca="1">_xlfn.IFS(E93=$AB$42,$AC$42,E93=$AB$43,$AC$43,E93=$AB$44,$AC$44,E93=$AB$45,$AC$45,E93=$AB$46,$AC$46,E93=$AB$47,$AC$47,E93=$AB$48,$AC$48,E93=$AB$49,$AC$49,E93=$AB$50,$AC$50,E93=$AB$51,$AC$51,E93=$AB$52,$AC$52,E93=$AB$53,$AC$53,E93=$AB$54,$AC$54,E93=$AB$55,$AC$55,E93=$AB$56,$AC$56,E93=$AB$57,$AC$57,E93=$AB$58,$AC$58,E93=$AB$59,$AC$59,E93=$AB$60,$AC$60,E93=$AB$61,$AC$61,E93=$AB$62,$AC$62,E93=$AB$63,$AC$63,E93=$AB$64,$AC$64,E93=$AB$65,$AC$65,E93=$AB$66,$AC$66,TRUE,"0")</f>
        <v>#NAME?</v>
      </c>
      <c r="C93" s="161" t="str" cm="1">
        <f t="array" ref="C93">_xlfn.IFS(E93=$AB$42,$AF$42,E93=$AB$43,$AF$43,E93=$AB$44,$AF$44,E93=$AB$45,$AF$45,E93=$AB$46,$AF$46,E93=$AB$47,$AF$47,E93=$AB$48,$AF$48,E93=$AB$49,$AF$49,E93=$AB$50,$AF$50,E93=$AB$51,$AF$51,E93=$AB$52,$AF$52,E93=$AB$53,$AF$53,E93=$AB$54,$AF$54,E93=$AB$55,$AF$55,E93=$AB$56,$AF$56,E93=$AB$57,$AF$57,E93=$AB$58,$AF$58,E93=$AB$59,$AF$59,E93=$AB$60,$AF$60,E93=$AB$61,$AF$61,E93=$AB$62,$AF$62,E93=$AB$63,$AF$63,E93=$AB$64,$AF$64,E93=$AB$65,$AF$65,E93=$AB$66,$AF$66,TRUE,"0")</f>
        <v>if 0-0, BACK+ 0.5 GOALS  @ 1.15+odds.  or @ 40 mins</v>
      </c>
      <c r="D93" s="270" t="str" cm="1">
        <f t="array" ref="D93">_xlfn.IFS(E93=$AB$42,$AD$42,E93=$AB$43,$AD$43,E93=$AB$44,$AD$44,E93=$AB$45,$AD$45,E93=$AB$46,$AD$46,E93=$AB$47,$AD$47,E93=$AB$48,$AD$48,E93=$AB$49,$AD$49,E93=$AB$50,$AD$50,E93=$AB$51,$AD$51,E93=$AB$52,$AD$52,E93=$AB$53,$AD$53,E93=$AB$54,$AD$54,E93=$AB$55,$AD$55,E93=$AB$56,$AD$56,E93=$AB$57,$AD$57,E93=$AB$58,$AD$58,E93=$AB$59,$AD$59,E93=$AB$60,$AD$60,E93=$AB$61,$AD$61,E93=$AB$62,$AD$62,E93=$AB$63,$AD$63,E93=$AB$64,$AD$64,E93=$AB$65,$AD$65,E93=$AB$66,$AD$66,TRUE,"0")</f>
        <v>IP</v>
      </c>
      <c r="E93" s="163" t="s">
        <v>270</v>
      </c>
      <c r="F93" s="2" t="s">
        <v>6</v>
      </c>
      <c r="G93" s="2" t="s">
        <v>62</v>
      </c>
      <c r="H93" s="3">
        <v>45311.520833333336</v>
      </c>
      <c r="I93" s="2" t="s">
        <v>73</v>
      </c>
      <c r="J93" s="2" t="s">
        <v>66</v>
      </c>
      <c r="K93" s="2">
        <v>62</v>
      </c>
      <c r="L93" s="2">
        <v>0</v>
      </c>
      <c r="M93" s="2">
        <v>20</v>
      </c>
      <c r="N93" s="2"/>
      <c r="O93" s="2"/>
      <c r="P93" s="11"/>
      <c r="Q93" s="2" t="s">
        <v>95</v>
      </c>
      <c r="R93" s="14" t="s">
        <v>220</v>
      </c>
      <c r="S93" s="13" t="s">
        <v>195</v>
      </c>
      <c r="T93" s="188">
        <f t="shared" si="9"/>
        <v>50.084231506182135</v>
      </c>
      <c r="U93" s="8">
        <f t="shared" si="6"/>
        <v>9.015161671112784</v>
      </c>
      <c r="V93" s="234">
        <f t="shared" si="13"/>
        <v>1010.6997917947554</v>
      </c>
      <c r="W93" s="15">
        <v>25</v>
      </c>
      <c r="X93" s="8">
        <f t="shared" si="11"/>
        <v>4.5</v>
      </c>
      <c r="Y93" s="233">
        <f t="shared" si="12"/>
        <v>855</v>
      </c>
    </row>
    <row r="94" spans="1:25">
      <c r="A94" s="156" t="e" cm="1">
        <f t="array" aca="1" ref="A94" ca="1">_xlfn.IFS(E94=$AB$42,$AC$42,E94=$AB$43,$AC$43,E94=$AB$44,$AC$44,E94=$AB$45,$AC$45,E94=$AB$46,$AC$46,E94=$AB$47,$AC$47,E94=$AB$48,$AC$48,E94=$AB$49,$AC$49,E94=$AB$50,$AC$50,E94=$AB$51,$AC$51,E94=$AB$52,$AC$52,E94=$AB$53,$AC$53,E94=$AB$54,$AC$54,E94=$AB$55,$AC$55,E94=$AB$56,$AC$56,E94=$AB$57,$AC$57,E94=$AB$58,$AC$58,E94=$AB$59,$AC$59,E94=$AB$60,$AC$60,E94=$AB$61,$AC$61,E94=$AB$62,$AC$62,E94=$AB$63,$AC$63,E94=$AB$64,$AC$64,E94=$AB$65,$AC$65,E94=$AB$66,$AC$66,TRUE,"0")</f>
        <v>#NAME?</v>
      </c>
      <c r="C94" s="161" t="str" cm="1">
        <f t="array" ref="C94">_xlfn.IFS(E94=$AB$42,$AF$42,E94=$AB$43,$AF$43,E94=$AB$44,$AF$44,E94=$AB$45,$AF$45,E94=$AB$46,$AF$46,E94=$AB$47,$AF$47,E94=$AB$48,$AF$48,E94=$AB$49,$AF$49,E94=$AB$50,$AF$50,E94=$AB$51,$AF$51,E94=$AB$52,$AF$52,E94=$AB$53,$AF$53,E94=$AB$54,$AF$54,E94=$AB$55,$AF$55,E94=$AB$56,$AF$56,E94=$AB$57,$AF$57,E94=$AB$58,$AF$58,E94=$AB$59,$AF$59,E94=$AB$60,$AF$60,E94=$AB$61,$AF$61,E94=$AB$62,$AF$62,E94=$AB$63,$AF$63,E94=$AB$64,$AF$64,E94=$AB$65,$AF$65,E94=$AB$66,$AF$66,TRUE,"0")</f>
        <v>40 mins Back ANother Goal</v>
      </c>
      <c r="D94" s="270" t="str" cm="1">
        <f t="array" ref="D94">_xlfn.IFS(E94=$AB$42,$AD$42,E94=$AB$43,$AD$43,E94=$AB$44,$AD$44,E94=$AB$45,$AD$45,E94=$AB$46,$AD$46,E94=$AB$47,$AD$47,E94=$AB$48,$AD$48,E94=$AB$49,$AD$49,E94=$AB$50,$AD$50,E94=$AB$51,$AD$51,E94=$AB$52,$AD$52,E94=$AB$53,$AD$53,E94=$AB$54,$AD$54,E94=$AB$55,$AD$55,E94=$AB$56,$AD$56,E94=$AB$57,$AD$57,E94=$AB$58,$AD$58,E94=$AB$59,$AD$59,E94=$AB$60,$AD$60,E94=$AB$61,$AD$61,E94=$AB$62,$AD$62,E94=$AB$63,$AD$63,E94=$AB$64,$AD$64,E94=$AB$65,$AD$65,E94=$AB$66,$AD$66,TRUE,"0")</f>
        <v xml:space="preserve">  BANG</v>
      </c>
      <c r="E94" s="163" t="s">
        <v>10</v>
      </c>
      <c r="F94" s="2" t="s">
        <v>77</v>
      </c>
      <c r="G94" s="2" t="s">
        <v>251</v>
      </c>
      <c r="H94" s="3">
        <v>45311.541666666664</v>
      </c>
      <c r="I94" s="2" t="s">
        <v>258</v>
      </c>
      <c r="J94" s="2" t="s">
        <v>259</v>
      </c>
      <c r="K94" s="2">
        <v>1.78</v>
      </c>
      <c r="L94" s="2">
        <v>89</v>
      </c>
      <c r="M94" s="2">
        <v>61</v>
      </c>
      <c r="N94" s="2">
        <v>22</v>
      </c>
      <c r="O94" s="2">
        <v>64</v>
      </c>
      <c r="P94" s="11">
        <v>18</v>
      </c>
      <c r="Q94" s="2" t="s">
        <v>95</v>
      </c>
      <c r="R94" s="14" t="s">
        <v>221</v>
      </c>
      <c r="S94" s="13" t="s">
        <v>222</v>
      </c>
      <c r="T94" s="188">
        <f t="shared" si="9"/>
        <v>50.534989589737769</v>
      </c>
      <c r="U94" s="8">
        <f t="shared" si="6"/>
        <v>9.0962981261527975</v>
      </c>
      <c r="V94" s="234">
        <f t="shared" si="13"/>
        <v>1019.7960899209081</v>
      </c>
      <c r="W94" s="15">
        <v>25</v>
      </c>
      <c r="X94" s="8">
        <f t="shared" si="11"/>
        <v>4.5</v>
      </c>
      <c r="Y94" s="233">
        <f t="shared" si="12"/>
        <v>859.5</v>
      </c>
    </row>
    <row r="95" spans="1:25">
      <c r="A95" s="156" t="e" cm="1">
        <f t="array" aca="1" ref="A95" ca="1">_xlfn.IFS(E95=$AB$42,$AC$42,E95=$AB$43,$AC$43,E95=$AB$44,$AC$44,E95=$AB$45,$AC$45,E95=$AB$46,$AC$46,E95=$AB$47,$AC$47,E95=$AB$48,$AC$48,E95=$AB$49,$AC$49,E95=$AB$50,$AC$50,E95=$AB$51,$AC$51,E95=$AB$52,$AC$52,E95=$AB$53,$AC$53,E95=$AB$54,$AC$54,E95=$AB$55,$AC$55,E95=$AB$56,$AC$56,E95=$AB$57,$AC$57,E95=$AB$58,$AC$58,E95=$AB$59,$AC$59,E95=$AB$60,$AC$60,E95=$AB$61,$AC$61,E95=$AB$62,$AC$62,E95=$AB$63,$AC$63,E95=$AB$64,$AC$64,E95=$AB$65,$AC$65,E95=$AB$66,$AC$66,TRUE,"0")</f>
        <v>#NAME?</v>
      </c>
      <c r="C95" s="161" t="str" cm="1">
        <f t="array" ref="C95">_xlfn.IFS(E95=$AB$42,$AF$42,E95=$AB$43,$AF$43,E95=$AB$44,$AF$44,E95=$AB$45,$AF$45,E95=$AB$46,$AF$46,E95=$AB$47,$AF$47,E95=$AB$48,$AF$48,E95=$AB$49,$AF$49,E95=$AB$50,$AF$50,E95=$AB$51,$AF$51,E95=$AB$52,$AF$52,E95=$AB$53,$AF$53,E95=$AB$54,$AF$54,E95=$AB$55,$AF$55,E95=$AB$56,$AF$56,E95=$AB$57,$AF$57,E95=$AB$58,$AF$58,E95=$AB$59,$AF$59,E95=$AB$60,$AF$60,E95=$AB$61,$AF$61,E95=$AB$62,$AF$62,E95=$AB$63,$AF$63,E95=$AB$64,$AF$64,E95=$AB$65,$AF$65,E95=$AB$66,$AF$66,TRUE,"0")</f>
        <v>if 0-0, BACK+ 0.5 GOALS  @ 1.15+odds.  or @ 40 mins</v>
      </c>
      <c r="D95" s="270" t="str" cm="1">
        <f t="array" ref="D95">_xlfn.IFS(E95=$AB$42,$AD$42,E95=$AB$43,$AD$43,E95=$AB$44,$AD$44,E95=$AB$45,$AD$45,E95=$AB$46,$AD$46,E95=$AB$47,$AD$47,E95=$AB$48,$AD$48,E95=$AB$49,$AD$49,E95=$AB$50,$AD$50,E95=$AB$51,$AD$51,E95=$AB$52,$AD$52,E95=$AB$53,$AD$53,E95=$AB$54,$AD$54,E95=$AB$55,$AD$55,E95=$AB$56,$AD$56,E95=$AB$57,$AD$57,E95=$AB$58,$AD$58,E95=$AB$59,$AD$59,E95=$AB$60,$AD$60,E95=$AB$61,$AD$61,E95=$AB$62,$AD$62,E95=$AB$63,$AD$63,E95=$AB$64,$AD$64,E95=$AB$65,$AD$65,E95=$AB$66,$AD$66,TRUE,"0")</f>
        <v>IP</v>
      </c>
      <c r="E95" s="163" t="s">
        <v>270</v>
      </c>
      <c r="F95" s="2" t="s">
        <v>77</v>
      </c>
      <c r="G95" s="2" t="s">
        <v>156</v>
      </c>
      <c r="H95" s="3">
        <v>45311.604166666664</v>
      </c>
      <c r="I95" s="2" t="s">
        <v>239</v>
      </c>
      <c r="J95" s="2" t="s">
        <v>168</v>
      </c>
      <c r="K95" s="2">
        <v>63</v>
      </c>
      <c r="L95" s="2">
        <v>0</v>
      </c>
      <c r="M95" s="2">
        <v>20</v>
      </c>
      <c r="N95" s="2"/>
      <c r="O95" s="2"/>
      <c r="P95" s="11"/>
      <c r="Q95" s="2" t="s">
        <v>95</v>
      </c>
      <c r="R95" s="14" t="s">
        <v>221</v>
      </c>
      <c r="S95" s="13" t="s">
        <v>214</v>
      </c>
      <c r="T95" s="188">
        <f t="shared" si="9"/>
        <v>50.989804496045409</v>
      </c>
      <c r="U95" s="8">
        <f t="shared" si="6"/>
        <v>9.1781648092881731</v>
      </c>
      <c r="V95" s="234">
        <f t="shared" si="13"/>
        <v>1028.9742547301962</v>
      </c>
      <c r="W95" s="15">
        <v>25</v>
      </c>
      <c r="X95" s="8">
        <f t="shared" si="11"/>
        <v>4.5</v>
      </c>
      <c r="Y95" s="233">
        <f t="shared" si="12"/>
        <v>864</v>
      </c>
    </row>
    <row r="96" spans="1:25">
      <c r="A96" s="156" t="e" cm="1">
        <f t="array" aca="1" ref="A96" ca="1">_xlfn.IFS(E96=$AB$42,$AC$42,E96=$AB$43,$AC$43,E96=$AB$44,$AC$44,E96=$AB$45,$AC$45,E96=$AB$46,$AC$46,E96=$AB$47,$AC$47,E96=$AB$48,$AC$48,E96=$AB$49,$AC$49,E96=$AB$50,$AC$50,E96=$AB$51,$AC$51,E96=$AB$52,$AC$52,E96=$AB$53,$AC$53,E96=$AB$54,$AC$54,E96=$AB$55,$AC$55,E96=$AB$56,$AC$56,E96=$AB$57,$AC$57,E96=$AB$58,$AC$58,E96=$AB$59,$AC$59,E96=$AB$60,$AC$60,E96=$AB$61,$AC$61,E96=$AB$62,$AC$62,E96=$AB$63,$AC$63,E96=$AB$64,$AC$64,E96=$AB$65,$AC$65,E96=$AB$66,$AC$66,TRUE,"0")</f>
        <v>#NAME?</v>
      </c>
      <c r="C96" s="161" t="str" cm="1">
        <f t="array" ref="C96">_xlfn.IFS(E96=$AB$42,$AF$42,E96=$AB$43,$AF$43,E96=$AB$44,$AF$44,E96=$AB$45,$AF$45,E96=$AB$46,$AF$46,E96=$AB$47,$AF$47,E96=$AB$48,$AF$48,E96=$AB$49,$AF$49,E96=$AB$50,$AF$50,E96=$AB$51,$AF$51,E96=$AB$52,$AF$52,E96=$AB$53,$AF$53,E96=$AB$54,$AF$54,E96=$AB$55,$AF$55,E96=$AB$56,$AF$56,E96=$AB$57,$AF$57,E96=$AB$58,$AF$58,E96=$AB$59,$AF$59,E96=$AB$60,$AF$60,E96=$AB$61,$AF$61,E96=$AB$62,$AF$62,E96=$AB$63,$AF$63,E96=$AB$64,$AF$64,E96=$AB$65,$AF$65,E96=$AB$66,$AF$66,TRUE,"0")</f>
        <v>40 mins Back ANother Goal</v>
      </c>
      <c r="D96" s="270" t="str" cm="1">
        <f t="array" ref="D96">_xlfn.IFS(E96=$AB$42,$AD$42,E96=$AB$43,$AD$43,E96=$AB$44,$AD$44,E96=$AB$45,$AD$45,E96=$AB$46,$AD$46,E96=$AB$47,$AD$47,E96=$AB$48,$AD$48,E96=$AB$49,$AD$49,E96=$AB$50,$AD$50,E96=$AB$51,$AD$51,E96=$AB$52,$AD$52,E96=$AB$53,$AD$53,E96=$AB$54,$AD$54,E96=$AB$55,$AD$55,E96=$AB$56,$AD$56,E96=$AB$57,$AD$57,E96=$AB$58,$AD$58,E96=$AB$59,$AD$59,E96=$AB$60,$AD$60,E96=$AB$61,$AD$61,E96=$AB$62,$AD$62,E96=$AB$63,$AD$63,E96=$AB$64,$AD$64,E96=$AB$65,$AD$65,E96=$AB$66,$AD$66,TRUE,"0")</f>
        <v xml:space="preserve">  BANG</v>
      </c>
      <c r="E96" s="163" t="s">
        <v>10</v>
      </c>
      <c r="F96" s="2" t="s">
        <v>31</v>
      </c>
      <c r="G96" s="2" t="s">
        <v>32</v>
      </c>
      <c r="H96" s="3">
        <v>45311.625</v>
      </c>
      <c r="I96" s="2" t="s">
        <v>261</v>
      </c>
      <c r="J96" s="2" t="s">
        <v>34</v>
      </c>
      <c r="K96" s="2">
        <v>2.35</v>
      </c>
      <c r="L96" s="2">
        <v>95</v>
      </c>
      <c r="M96" s="2">
        <v>70</v>
      </c>
      <c r="N96" s="2">
        <v>55</v>
      </c>
      <c r="O96" s="2">
        <v>65</v>
      </c>
      <c r="P96" s="11">
        <v>20</v>
      </c>
      <c r="Q96" s="2" t="s">
        <v>95</v>
      </c>
      <c r="R96" s="14" t="s">
        <v>221</v>
      </c>
      <c r="S96" s="13" t="s">
        <v>217</v>
      </c>
      <c r="T96" s="188">
        <f t="shared" si="9"/>
        <v>51.448712736509812</v>
      </c>
      <c r="U96" s="8">
        <f t="shared" si="6"/>
        <v>9.2607682925717665</v>
      </c>
      <c r="V96" s="234">
        <f t="shared" si="13"/>
        <v>1038.235023022768</v>
      </c>
      <c r="W96" s="15">
        <v>25</v>
      </c>
      <c r="X96" s="8">
        <f t="shared" si="11"/>
        <v>4.5</v>
      </c>
      <c r="Y96" s="233">
        <f t="shared" si="12"/>
        <v>868.5</v>
      </c>
    </row>
    <row r="97" spans="1:25">
      <c r="A97" s="156" t="e" cm="1">
        <f t="array" aca="1" ref="A97" ca="1">_xlfn.IFS(E97=$AB$42,$AC$42,E97=$AB$43,$AC$43,E97=$AB$44,$AC$44,E97=$AB$45,$AC$45,E97=$AB$46,$AC$46,E97=$AB$47,$AC$47,E97=$AB$48,$AC$48,E97=$AB$49,$AC$49,E97=$AB$50,$AC$50,E97=$AB$51,$AC$51,E97=$AB$52,$AC$52,E97=$AB$53,$AC$53,E97=$AB$54,$AC$54,E97=$AB$55,$AC$55,E97=$AB$56,$AC$56,E97=$AB$57,$AC$57,E97=$AB$58,$AC$58,E97=$AB$59,$AC$59,E97=$AB$60,$AC$60,E97=$AB$61,$AC$61,E97=$AB$62,$AC$62,E97=$AB$63,$AC$63,E97=$AB$64,$AC$64,E97=$AB$65,$AC$65,E97=$AB$66,$AC$66,TRUE,"0")</f>
        <v>#NAME?</v>
      </c>
      <c r="C97" s="161" t="str" cm="1">
        <f t="array" ref="C97">_xlfn.IFS(E97=$AB$42,$AF$42,E97=$AB$43,$AF$43,E97=$AB$44,$AF$44,E97=$AB$45,$AF$45,E97=$AB$46,$AF$46,E97=$AB$47,$AF$47,E97=$AB$48,$AF$48,E97=$AB$49,$AF$49,E97=$AB$50,$AF$50,E97=$AB$51,$AF$51,E97=$AB$52,$AF$52,E97=$AB$53,$AF$53,E97=$AB$54,$AF$54,E97=$AB$55,$AF$55,E97=$AB$56,$AF$56,E97=$AB$57,$AF$57,E97=$AB$58,$AF$58,E97=$AB$59,$AF$59,E97=$AB$60,$AF$60,E97=$AB$61,$AF$61,E97=$AB$62,$AF$62,E97=$AB$63,$AF$63,E97=$AB$64,$AF$64,E97=$AB$65,$AF$65,E97=$AB$66,$AF$66,TRUE,"0")</f>
        <v>B4 match BACK FT +1.5 goals. X AFTER  GOAL</v>
      </c>
      <c r="D97" s="270" t="str" cm="1">
        <f t="array" ref="D97">_xlfn.IFS(E97=$AB$42,$AD$42,E97=$AB$43,$AD$43,E97=$AB$44,$AD$44,E97=$AB$45,$AD$45,E97=$AB$46,$AD$46,E97=$AB$47,$AD$47,E97=$AB$48,$AD$48,E97=$AB$49,$AD$49,E97=$AB$50,$AD$50,E97=$AB$51,$AD$51,E97=$AB$52,$AD$52,E97=$AB$53,$AD$53,E97=$AB$54,$AD$54,E97=$AB$55,$AD$55,E97=$AB$56,$AD$56,E97=$AB$57,$AD$57,E97=$AB$58,$AD$58,E97=$AB$59,$AD$59,E97=$AB$60,$AD$60,E97=$AB$61,$AD$61,E97=$AB$62,$AD$62,E97=$AB$63,$AD$63,E97=$AB$64,$AD$64,E97=$AB$65,$AD$65,E97=$AB$66,$AD$66,TRUE,"0")</f>
        <v xml:space="preserve">BFM </v>
      </c>
      <c r="E97" s="163" t="s">
        <v>406</v>
      </c>
      <c r="F97" s="2" t="s">
        <v>6</v>
      </c>
      <c r="G97" s="2" t="s">
        <v>14</v>
      </c>
      <c r="H97" s="3">
        <v>45311.625</v>
      </c>
      <c r="I97" s="2" t="s">
        <v>17</v>
      </c>
      <c r="J97" s="2" t="s">
        <v>262</v>
      </c>
      <c r="K97" s="2">
        <v>1.38</v>
      </c>
      <c r="L97" s="2">
        <v>11</v>
      </c>
      <c r="M97" s="2">
        <v>2.7</v>
      </c>
      <c r="N97" s="2">
        <v>5.7</v>
      </c>
      <c r="O97" s="2"/>
      <c r="P97" s="11"/>
      <c r="Q97" s="2" t="s">
        <v>95</v>
      </c>
      <c r="R97" s="14" t="s">
        <v>221</v>
      </c>
      <c r="S97" s="13" t="s">
        <v>216</v>
      </c>
      <c r="T97" s="188">
        <f t="shared" si="9"/>
        <v>51.911751151138404</v>
      </c>
      <c r="U97" s="8">
        <f t="shared" si="6"/>
        <v>9.3441152072049132</v>
      </c>
      <c r="V97" s="234">
        <f t="shared" si="13"/>
        <v>1047.5791382299728</v>
      </c>
      <c r="W97" s="15">
        <v>25</v>
      </c>
      <c r="X97" s="8">
        <f t="shared" si="11"/>
        <v>4.5</v>
      </c>
      <c r="Y97" s="233">
        <f t="shared" si="12"/>
        <v>873</v>
      </c>
    </row>
    <row r="98" spans="1:25">
      <c r="A98" s="156" t="e" cm="1">
        <f t="array" aca="1" ref="A98" ca="1">_xlfn.IFS(E98=$AB$42,$AC$42,E98=$AB$43,$AC$43,E98=$AB$44,$AC$44,E98=$AB$45,$AC$45,E98=$AB$46,$AC$46,E98=$AB$47,$AC$47,E98=$AB$48,$AC$48,E98=$AB$49,$AC$49,E98=$AB$50,$AC$50,E98=$AB$51,$AC$51,E98=$AB$52,$AC$52,E98=$AB$53,$AC$53,E98=$AB$54,$AC$54,E98=$AB$55,$AC$55,E98=$AB$56,$AC$56,E98=$AB$57,$AC$57,E98=$AB$58,$AC$58,E98=$AB$59,$AC$59,E98=$AB$60,$AC$60,E98=$AB$61,$AC$61,E98=$AB$62,$AC$62,E98=$AB$63,$AC$63,E98=$AB$64,$AC$64,E98=$AB$65,$AC$65,E98=$AB$66,$AC$66,TRUE,"0")</f>
        <v>#NAME?</v>
      </c>
      <c r="C98" s="161" t="str" cm="1">
        <f t="array" ref="C98">_xlfn.IFS(E98=$AB$42,$AF$42,E98=$AB$43,$AF$43,E98=$AB$44,$AF$44,E98=$AB$45,$AF$45,E98=$AB$46,$AF$46,E98=$AB$47,$AF$47,E98=$AB$48,$AF$48,E98=$AB$49,$AF$49,E98=$AB$50,$AF$50,E98=$AB$51,$AF$51,E98=$AB$52,$AF$52,E98=$AB$53,$AF$53,E98=$AB$54,$AF$54,E98=$AB$55,$AF$55,E98=$AB$56,$AF$56,E98=$AB$57,$AF$57,E98=$AB$58,$AF$58,E98=$AB$59,$AF$59,E98=$AB$60,$AF$60,E98=$AB$61,$AF$61,E98=$AB$62,$AF$62,E98=$AB$63,$AF$63,E98=$AB$64,$AF$64,E98=$AB$65,$AF$65,E98=$AB$66,$AF$66,TRUE,"0")</f>
        <v>B4 Match, lay HT 0-0 or BACK H1 +0.5 GOALS</v>
      </c>
      <c r="D98" s="270" t="str" cm="1">
        <f t="array" ref="D98">_xlfn.IFS(E98=$AB$42,$AD$42,E98=$AB$43,$AD$43,E98=$AB$44,$AD$44,E98=$AB$45,$AD$45,E98=$AB$46,$AD$46,E98=$AB$47,$AD$47,E98=$AB$48,$AD$48,E98=$AB$49,$AD$49,E98=$AB$50,$AD$50,E98=$AB$51,$AD$51,E98=$AB$52,$AD$52,E98=$AB$53,$AD$53,E98=$AB$54,$AD$54,E98=$AB$55,$AD$55,E98=$AB$56,$AD$56,E98=$AB$57,$AD$57,E98=$AB$58,$AD$58,E98=$AB$59,$AD$59,E98=$AB$60,$AD$60,E98=$AB$61,$AD$61,E98=$AB$62,$AD$62,E98=$AB$63,$AD$63,E98=$AB$64,$AD$64,E98=$AB$65,$AD$65,E98=$AB$66,$AD$66,TRUE,"0")</f>
        <v xml:space="preserve">BFM </v>
      </c>
      <c r="E98" s="163" t="s">
        <v>432</v>
      </c>
      <c r="F98" s="2" t="s">
        <v>6</v>
      </c>
      <c r="G98" s="2" t="s">
        <v>7</v>
      </c>
      <c r="H98" s="3">
        <v>45311.625</v>
      </c>
      <c r="I98" s="2" t="s">
        <v>54</v>
      </c>
      <c r="J98" s="2" t="s">
        <v>9</v>
      </c>
      <c r="K98" s="2">
        <v>10</v>
      </c>
      <c r="L98" s="2">
        <v>10</v>
      </c>
      <c r="M98" s="2">
        <v>26</v>
      </c>
      <c r="N98" s="2">
        <v>10</v>
      </c>
      <c r="O98" s="2">
        <v>70</v>
      </c>
      <c r="P98" s="11">
        <v>5</v>
      </c>
      <c r="Q98" s="2" t="s">
        <v>95</v>
      </c>
      <c r="R98" s="14" t="s">
        <v>214</v>
      </c>
      <c r="S98" s="13" t="s">
        <v>223</v>
      </c>
      <c r="T98" s="188">
        <f t="shared" si="9"/>
        <v>52.378956911498648</v>
      </c>
      <c r="U98" s="8">
        <f t="shared" si="6"/>
        <v>9.4282122440697567</v>
      </c>
      <c r="V98" s="234">
        <f t="shared" si="13"/>
        <v>1057.0073504740426</v>
      </c>
      <c r="W98" s="15">
        <v>25</v>
      </c>
      <c r="X98" s="8">
        <f t="shared" si="11"/>
        <v>4.5</v>
      </c>
      <c r="Y98" s="233">
        <f t="shared" si="12"/>
        <v>877.5</v>
      </c>
    </row>
    <row r="99" spans="1:25">
      <c r="A99" s="156" t="e" cm="1">
        <f t="array" aca="1" ref="A99" ca="1">_xlfn.IFS(E99=$AB$42,$AC$42,E99=$AB$43,$AC$43,E99=$AB$44,$AC$44,E99=$AB$45,$AC$45,E99=$AB$46,$AC$46,E99=$AB$47,$AC$47,E99=$AB$48,$AC$48,E99=$AB$49,$AC$49,E99=$AB$50,$AC$50,E99=$AB$51,$AC$51,E99=$AB$52,$AC$52,E99=$AB$53,$AC$53,E99=$AB$54,$AC$54,E99=$AB$55,$AC$55,E99=$AB$56,$AC$56,E99=$AB$57,$AC$57,E99=$AB$58,$AC$58,E99=$AB$59,$AC$59,E99=$AB$60,$AC$60,E99=$AB$61,$AC$61,E99=$AB$62,$AC$62,E99=$AB$63,$AC$63,E99=$AB$64,$AC$64,E99=$AB$65,$AC$65,E99=$AB$66,$AC$66,TRUE,"0")</f>
        <v>#NAME?</v>
      </c>
      <c r="C99" s="161" t="str" cm="1">
        <f t="array" ref="C99">_xlfn.IFS(E99=$AB$42,$AF$42,E99=$AB$43,$AF$43,E99=$AB$44,$AF$44,E99=$AB$45,$AF$45,E99=$AB$46,$AF$46,E99=$AB$47,$AF$47,E99=$AB$48,$AF$48,E99=$AB$49,$AF$49,E99=$AB$50,$AF$50,E99=$AB$51,$AF$51,E99=$AB$52,$AF$52,E99=$AB$53,$AF$53,E99=$AB$54,$AF$54,E99=$AB$55,$AF$55,E99=$AB$56,$AF$56,E99=$AB$57,$AF$57,E99=$AB$58,$AF$58,E99=$AB$59,$AF$59,E99=$AB$60,$AF$60,E99=$AB$61,$AF$61,E99=$AB$62,$AF$62,E99=$AB$63,$AF$63,E99=$AB$64,$AF$64,E99=$AB$65,$AF$65,E99=$AB$66,$AF$66,TRUE,"0")</f>
        <v>B4 match BACK FT +1.5 goals. X AFTER  GOAL</v>
      </c>
      <c r="D99" s="270" t="str" cm="1">
        <f t="array" ref="D99">_xlfn.IFS(E99=$AB$42,$AD$42,E99=$AB$43,$AD$43,E99=$AB$44,$AD$44,E99=$AB$45,$AD$45,E99=$AB$46,$AD$46,E99=$AB$47,$AD$47,E99=$AB$48,$AD$48,E99=$AB$49,$AD$49,E99=$AB$50,$AD$50,E99=$AB$51,$AD$51,E99=$AB$52,$AD$52,E99=$AB$53,$AD$53,E99=$AB$54,$AD$54,E99=$AB$55,$AD$55,E99=$AB$56,$AD$56,E99=$AB$57,$AD$57,E99=$AB$58,$AD$58,E99=$AB$59,$AD$59,E99=$AB$60,$AD$60,E99=$AB$61,$AD$61,E99=$AB$62,$AD$62,E99=$AB$63,$AD$63,E99=$AB$64,$AD$64,E99=$AB$65,$AD$65,E99=$AB$66,$AD$66,TRUE,"0")</f>
        <v xml:space="preserve">BFM </v>
      </c>
      <c r="E99" s="163" t="s">
        <v>406</v>
      </c>
      <c r="F99" s="2" t="s">
        <v>6</v>
      </c>
      <c r="G99" s="2" t="s">
        <v>11</v>
      </c>
      <c r="H99" s="3">
        <v>45311.625</v>
      </c>
      <c r="I99" s="2" t="s">
        <v>12</v>
      </c>
      <c r="J99" s="2" t="s">
        <v>263</v>
      </c>
      <c r="K99" s="2">
        <v>1.33</v>
      </c>
      <c r="L99" s="2">
        <v>12</v>
      </c>
      <c r="M99" s="2">
        <v>2.6</v>
      </c>
      <c r="N99" s="2">
        <v>5.5</v>
      </c>
      <c r="O99" s="2"/>
      <c r="P99" s="2"/>
      <c r="Q99" s="2" t="s">
        <v>95</v>
      </c>
      <c r="R99" s="14" t="s">
        <v>193</v>
      </c>
      <c r="S99" s="13" t="s">
        <v>222</v>
      </c>
      <c r="T99" s="188">
        <f t="shared" si="9"/>
        <v>52.850367523702133</v>
      </c>
      <c r="U99" s="8">
        <f t="shared" si="6"/>
        <v>9.513066154266383</v>
      </c>
      <c r="V99" s="234">
        <f t="shared" si="13"/>
        <v>1066.520416628309</v>
      </c>
      <c r="W99" s="15">
        <v>25</v>
      </c>
      <c r="X99" s="8">
        <f t="shared" si="11"/>
        <v>4.5</v>
      </c>
      <c r="Y99" s="233">
        <f t="shared" si="12"/>
        <v>882</v>
      </c>
    </row>
    <row r="100" spans="1:25">
      <c r="A100" s="156" t="e" cm="1">
        <f t="array" aca="1" ref="A100" ca="1">_xlfn.IFS(E100=$AB$42,$AC$42,E100=$AB$43,$AC$43,E100=$AB$44,$AC$44,E100=$AB$45,$AC$45,E100=$AB$46,$AC$46,E100=$AB$47,$AC$47,E100=$AB$48,$AC$48,E100=$AB$49,$AC$49,E100=$AB$50,$AC$50,E100=$AB$51,$AC$51,E100=$AB$52,$AC$52,E100=$AB$53,$AC$53,E100=$AB$54,$AC$54,E100=$AB$55,$AC$55,E100=$AB$56,$AC$56,E100=$AB$57,$AC$57,E100=$AB$58,$AC$58,E100=$AB$59,$AC$59,E100=$AB$60,$AC$60,E100=$AB$61,$AC$61,E100=$AB$62,$AC$62,E100=$AB$63,$AC$63,E100=$AB$64,$AC$64,E100=$AB$65,$AC$65,E100=$AB$66,$AC$66,TRUE,"0")</f>
        <v>#NAME?</v>
      </c>
      <c r="C100" s="161" t="str" cm="1">
        <f t="array" ref="C100">_xlfn.IFS(E100=$AB$42,$AF$42,E100=$AB$43,$AF$43,E100=$AB$44,$AF$44,E100=$AB$45,$AF$45,E100=$AB$46,$AF$46,E100=$AB$47,$AF$47,E100=$AB$48,$AF$48,E100=$AB$49,$AF$49,E100=$AB$50,$AF$50,E100=$AB$51,$AF$51,E100=$AB$52,$AF$52,E100=$AB$53,$AF$53,E100=$AB$54,$AF$54,E100=$AB$55,$AF$55,E100=$AB$56,$AF$56,E100=$AB$57,$AF$57,E100=$AB$58,$AF$58,E100=$AB$59,$AF$59,E100=$AB$60,$AF$60,E100=$AB$61,$AF$61,E100=$AB$62,$AF$62,E100=$AB$63,$AF$63,E100=$AB$64,$AF$64,E100=$AB$65,$AF$65,E100=$AB$66,$AF$66,TRUE,"0")</f>
        <v>if 0-0, BACK+ 0.5 GOALS  @ 1.15+odds.  or @ 40 mins</v>
      </c>
      <c r="D100" s="270" t="str" cm="1">
        <f t="array" ref="D100">_xlfn.IFS(E100=$AB$42,$AD$42,E100=$AB$43,$AD$43,E100=$AB$44,$AD$44,E100=$AB$45,$AD$45,E100=$AB$46,$AD$46,E100=$AB$47,$AD$47,E100=$AB$48,$AD$48,E100=$AB$49,$AD$49,E100=$AB$50,$AD$50,E100=$AB$51,$AD$51,E100=$AB$52,$AD$52,E100=$AB$53,$AD$53,E100=$AB$54,$AD$54,E100=$AB$55,$AD$55,E100=$AB$56,$AD$56,E100=$AB$57,$AD$57,E100=$AB$58,$AD$58,E100=$AB$59,$AD$59,E100=$AB$60,$AD$60,E100=$AB$61,$AD$61,E100=$AB$62,$AD$62,E100=$AB$63,$AD$63,E100=$AB$64,$AD$64,E100=$AB$65,$AD$65,E100=$AB$66,$AD$66,TRUE,"0")</f>
        <v>IP</v>
      </c>
      <c r="E100" s="163" t="s">
        <v>270</v>
      </c>
      <c r="F100" s="2" t="s">
        <v>58</v>
      </c>
      <c r="G100" s="2" t="s">
        <v>59</v>
      </c>
      <c r="H100" s="3">
        <v>45311.645833333336</v>
      </c>
      <c r="I100" s="2" t="s">
        <v>105</v>
      </c>
      <c r="J100" s="2" t="s">
        <v>76</v>
      </c>
      <c r="K100" s="2">
        <v>62</v>
      </c>
      <c r="L100" s="2">
        <v>0</v>
      </c>
      <c r="M100" s="2">
        <v>20</v>
      </c>
      <c r="N100" s="2"/>
      <c r="O100" s="2"/>
      <c r="P100" s="2"/>
      <c r="Q100" s="2" t="s">
        <v>95</v>
      </c>
      <c r="R100" s="14" t="s">
        <v>223</v>
      </c>
      <c r="S100" s="13" t="s">
        <v>223</v>
      </c>
      <c r="T100" s="188">
        <f t="shared" si="9"/>
        <v>53.326020831415455</v>
      </c>
      <c r="U100" s="8">
        <f t="shared" si="6"/>
        <v>9.5986837496547821</v>
      </c>
      <c r="V100" s="234">
        <f t="shared" si="13"/>
        <v>1076.1191003779638</v>
      </c>
      <c r="W100" s="15">
        <v>25</v>
      </c>
      <c r="X100" s="8">
        <f t="shared" si="11"/>
        <v>4.5</v>
      </c>
      <c r="Y100" s="233">
        <f t="shared" si="12"/>
        <v>886.5</v>
      </c>
    </row>
    <row r="101" spans="1:25">
      <c r="A101" s="156" t="e" cm="1">
        <f t="array" aca="1" ref="A101" ca="1">_xlfn.IFS(E101=$AB$42,$AC$42,E101=$AB$43,$AC$43,E101=$AB$44,$AC$44,E101=$AB$45,$AC$45,E101=$AB$46,$AC$46,E101=$AB$47,$AC$47,E101=$AB$48,$AC$48,E101=$AB$49,$AC$49,E101=$AB$50,$AC$50,E101=$AB$51,$AC$51,E101=$AB$52,$AC$52,E101=$AB$53,$AC$53,E101=$AB$54,$AC$54,E101=$AB$55,$AC$55,E101=$AB$56,$AC$56,E101=$AB$57,$AC$57,E101=$AB$58,$AC$58,E101=$AB$59,$AC$59,E101=$AB$60,$AC$60,E101=$AB$61,$AC$61,E101=$AB$62,$AC$62,E101=$AB$63,$AC$63,E101=$AB$64,$AC$64,E101=$AB$65,$AC$65,E101=$AB$66,$AC$66,TRUE,"0")</f>
        <v>#NAME?</v>
      </c>
      <c r="C101" s="161" t="str" cm="1">
        <f t="array" ref="C101">_xlfn.IFS(E101=$AB$42,$AF$42,E101=$AB$43,$AF$43,E101=$AB$44,$AF$44,E101=$AB$45,$AF$45,E101=$AB$46,$AF$46,E101=$AB$47,$AF$47,E101=$AB$48,$AF$48,E101=$AB$49,$AF$49,E101=$AB$50,$AF$50,E101=$AB$51,$AF$51,E101=$AB$52,$AF$52,E101=$AB$53,$AF$53,E101=$AB$54,$AF$54,E101=$AB$55,$AF$55,E101=$AB$56,$AF$56,E101=$AB$57,$AF$57,E101=$AB$58,$AF$58,E101=$AB$59,$AF$59,E101=$AB$60,$AF$60,E101=$AB$61,$AF$61,E101=$AB$62,$AF$62,E101=$AB$63,$AF$63,E101=$AB$64,$AF$64,E101=$AB$65,$AF$65,E101=$AB$66,$AF$66,TRUE,"0")</f>
        <v>if 0-0, BACK+ 0.5 GOALS  @ 1.15+odds.  or @ 40 mins</v>
      </c>
      <c r="D101" s="270" t="str" cm="1">
        <f t="array" ref="D101">_xlfn.IFS(E101=$AB$42,$AD$42,E101=$AB$43,$AD$43,E101=$AB$44,$AD$44,E101=$AB$45,$AD$45,E101=$AB$46,$AD$46,E101=$AB$47,$AD$47,E101=$AB$48,$AD$48,E101=$AB$49,$AD$49,E101=$AB$50,$AD$50,E101=$AB$51,$AD$51,E101=$AB$52,$AD$52,E101=$AB$53,$AD$53,E101=$AB$54,$AD$54,E101=$AB$55,$AD$55,E101=$AB$56,$AD$56,E101=$AB$57,$AD$57,E101=$AB$58,$AD$58,E101=$AB$59,$AD$59,E101=$AB$60,$AD$60,E101=$AB$61,$AD$61,E101=$AB$62,$AD$62,E101=$AB$63,$AD$63,E101=$AB$64,$AD$64,E101=$AB$65,$AD$65,E101=$AB$66,$AD$66,TRUE,"0")</f>
        <v>IP</v>
      </c>
      <c r="E101" s="163" t="s">
        <v>270</v>
      </c>
      <c r="F101" s="2" t="s">
        <v>149</v>
      </c>
      <c r="G101" s="2" t="s">
        <v>153</v>
      </c>
      <c r="H101" s="3">
        <v>45311.645833333336</v>
      </c>
      <c r="I101" s="2" t="s">
        <v>241</v>
      </c>
      <c r="J101" s="2" t="s">
        <v>242</v>
      </c>
      <c r="K101" s="2">
        <v>62</v>
      </c>
      <c r="L101" s="2">
        <v>0</v>
      </c>
      <c r="M101" s="2">
        <v>20</v>
      </c>
      <c r="N101" s="2"/>
      <c r="O101" s="2"/>
      <c r="P101" s="2"/>
      <c r="Q101" s="2" t="s">
        <v>95</v>
      </c>
      <c r="R101" s="14" t="s">
        <v>221</v>
      </c>
      <c r="S101" s="13" t="s">
        <v>214</v>
      </c>
      <c r="T101" s="188">
        <f t="shared" si="9"/>
        <v>53.805955018898196</v>
      </c>
      <c r="U101" s="8">
        <f t="shared" si="6"/>
        <v>9.6850719034016741</v>
      </c>
      <c r="V101" s="234">
        <f t="shared" si="13"/>
        <v>1085.8041722813655</v>
      </c>
      <c r="W101" s="15">
        <v>25</v>
      </c>
      <c r="X101" s="8">
        <f t="shared" si="11"/>
        <v>4.5</v>
      </c>
      <c r="Y101" s="233">
        <f t="shared" si="12"/>
        <v>891</v>
      </c>
    </row>
    <row r="102" spans="1:25">
      <c r="A102" s="156" t="e" cm="1">
        <f t="array" aca="1" ref="A102" ca="1">_xlfn.IFS(E102=$AB$42,$AC$42,E102=$AB$43,$AC$43,E102=$AB$44,$AC$44,E102=$AB$45,$AC$45,E102=$AB$46,$AC$46,E102=$AB$47,$AC$47,E102=$AB$48,$AC$48,E102=$AB$49,$AC$49,E102=$AB$50,$AC$50,E102=$AB$51,$AC$51,E102=$AB$52,$AC$52,E102=$AB$53,$AC$53,E102=$AB$54,$AC$54,E102=$AB$55,$AC$55,E102=$AB$56,$AC$56,E102=$AB$57,$AC$57,E102=$AB$58,$AC$58,E102=$AB$59,$AC$59,E102=$AB$60,$AC$60,E102=$AB$61,$AC$61,E102=$AB$62,$AC$62,E102=$AB$63,$AC$63,E102=$AB$64,$AC$64,E102=$AB$65,$AC$65,E102=$AB$66,$AC$66,TRUE,"0")</f>
        <v>#NAME?</v>
      </c>
      <c r="C102" s="161" t="str" cm="1">
        <f t="array" ref="C102">_xlfn.IFS(E102=$AB$42,$AF$42,E102=$AB$43,$AF$43,E102=$AB$44,$AF$44,E102=$AB$45,$AF$45,E102=$AB$46,$AF$46,E102=$AB$47,$AF$47,E102=$AB$48,$AF$48,E102=$AB$49,$AF$49,E102=$AB$50,$AF$50,E102=$AB$51,$AF$51,E102=$AB$52,$AF$52,E102=$AB$53,$AF$53,E102=$AB$54,$AF$54,E102=$AB$55,$AF$55,E102=$AB$56,$AF$56,E102=$AB$57,$AF$57,E102=$AB$58,$AF$58,E102=$AB$59,$AF$59,E102=$AB$60,$AF$60,E102=$AB$61,$AF$61,E102=$AB$62,$AF$62,E102=$AB$63,$AF$63,E102=$AB$64,$AF$64,E102=$AB$65,$AF$65,E102=$AB$66,$AF$66,TRUE,"0")</f>
        <v>if 0-0, BACK+ 0.5 GOALS  @ 1.15+odds.  or @ 40 mins</v>
      </c>
      <c r="D102" s="270" t="str" cm="1">
        <f t="array" ref="D102">_xlfn.IFS(E102=$AB$42,$AD$42,E102=$AB$43,$AD$43,E102=$AB$44,$AD$44,E102=$AB$45,$AD$45,E102=$AB$46,$AD$46,E102=$AB$47,$AD$47,E102=$AB$48,$AD$48,E102=$AB$49,$AD$49,E102=$AB$50,$AD$50,E102=$AB$51,$AD$51,E102=$AB$52,$AD$52,E102=$AB$53,$AD$53,E102=$AB$54,$AD$54,E102=$AB$55,$AD$55,E102=$AB$56,$AD$56,E102=$AB$57,$AD$57,E102=$AB$58,$AD$58,E102=$AB$59,$AD$59,E102=$AB$60,$AD$60,E102=$AB$61,$AD$61,E102=$AB$62,$AD$62,E102=$AB$63,$AD$63,E102=$AB$64,$AD$64,E102=$AB$65,$AD$65,E102=$AB$66,$AD$66,TRUE,"0")</f>
        <v>IP</v>
      </c>
      <c r="E102" s="163" t="s">
        <v>270</v>
      </c>
      <c r="F102" s="2" t="s">
        <v>80</v>
      </c>
      <c r="G102" s="2" t="s">
        <v>81</v>
      </c>
      <c r="H102" s="3">
        <v>45311.666666666664</v>
      </c>
      <c r="I102" s="2" t="s">
        <v>243</v>
      </c>
      <c r="J102" s="2" t="s">
        <v>129</v>
      </c>
      <c r="K102" s="2">
        <v>61</v>
      </c>
      <c r="L102" s="2">
        <v>0</v>
      </c>
      <c r="M102" s="2">
        <v>20</v>
      </c>
      <c r="N102" s="2"/>
      <c r="O102" s="2"/>
      <c r="P102" s="2"/>
      <c r="Q102" s="2" t="s">
        <v>95</v>
      </c>
      <c r="R102" s="14" t="s">
        <v>214</v>
      </c>
      <c r="S102" s="13" t="s">
        <v>194</v>
      </c>
      <c r="T102" s="188">
        <f t="shared" si="9"/>
        <v>54.290208614068277</v>
      </c>
      <c r="U102" s="8">
        <f t="shared" si="6"/>
        <v>9.7722375505322887</v>
      </c>
      <c r="V102" s="234">
        <f t="shared" si="13"/>
        <v>1095.5764098318978</v>
      </c>
      <c r="W102" s="15">
        <v>25</v>
      </c>
      <c r="X102" s="8">
        <f t="shared" si="11"/>
        <v>4.5</v>
      </c>
      <c r="Y102" s="233">
        <f t="shared" si="12"/>
        <v>895.5</v>
      </c>
    </row>
    <row r="103" spans="1:25">
      <c r="A103" s="156" t="e" cm="1">
        <f t="array" aca="1" ref="A103" ca="1">_xlfn.IFS(E103=$AB$42,$AC$42,E103=$AB$43,$AC$43,E103=$AB$44,$AC$44,E103=$AB$45,$AC$45,E103=$AB$46,$AC$46,E103=$AB$47,$AC$47,E103=$AB$48,$AC$48,E103=$AB$49,$AC$49,E103=$AB$50,$AC$50,E103=$AB$51,$AC$51,E103=$AB$52,$AC$52,E103=$AB$53,$AC$53,E103=$AB$54,$AC$54,E103=$AB$55,$AC$55,E103=$AB$56,$AC$56,E103=$AB$57,$AC$57,E103=$AB$58,$AC$58,E103=$AB$59,$AC$59,E103=$AB$60,$AC$60,E103=$AB$61,$AC$61,E103=$AB$62,$AC$62,E103=$AB$63,$AC$63,E103=$AB$64,$AC$64,E103=$AB$65,$AC$65,E103=$AB$66,$AC$66,TRUE,"0")</f>
        <v>#NAME?</v>
      </c>
      <c r="C103" s="161" t="str" cm="1">
        <f t="array" ref="C103">_xlfn.IFS(E103=$AB$42,$AF$42,E103=$AB$43,$AF$43,E103=$AB$44,$AF$44,E103=$AB$45,$AF$45,E103=$AB$46,$AF$46,E103=$AB$47,$AF$47,E103=$AB$48,$AF$48,E103=$AB$49,$AF$49,E103=$AB$50,$AF$50,E103=$AB$51,$AF$51,E103=$AB$52,$AF$52,E103=$AB$53,$AF$53,E103=$AB$54,$AF$54,E103=$AB$55,$AF$55,E103=$AB$56,$AF$56,E103=$AB$57,$AF$57,E103=$AB$58,$AF$58,E103=$AB$59,$AF$59,E103=$AB$60,$AF$60,E103=$AB$61,$AF$61,E103=$AB$62,$AF$62,E103=$AB$63,$AF$63,E103=$AB$64,$AF$64,E103=$AB$65,$AF$65,E103=$AB$66,$AF$66,TRUE,"0")</f>
        <v>B4 Match, lay HT 0-0 or BACK H1 +0.5 GOALS</v>
      </c>
      <c r="D103" s="270" t="str" cm="1">
        <f t="array" ref="D103">_xlfn.IFS(E103=$AB$42,$AD$42,E103=$AB$43,$AD$43,E103=$AB$44,$AD$44,E103=$AB$45,$AD$45,E103=$AB$46,$AD$46,E103=$AB$47,$AD$47,E103=$AB$48,$AD$48,E103=$AB$49,$AD$49,E103=$AB$50,$AD$50,E103=$AB$51,$AD$51,E103=$AB$52,$AD$52,E103=$AB$53,$AD$53,E103=$AB$54,$AD$54,E103=$AB$55,$AD$55,E103=$AB$56,$AD$56,E103=$AB$57,$AD$57,E103=$AB$58,$AD$58,E103=$AB$59,$AD$59,E103=$AB$60,$AD$60,E103=$AB$61,$AD$61,E103=$AB$62,$AD$62,E103=$AB$63,$AD$63,E103=$AB$64,$AD$64,E103=$AB$65,$AD$65,E103=$AB$66,$AD$66,TRUE,"0")</f>
        <v xml:space="preserve">BFM </v>
      </c>
      <c r="E103" s="163" t="s">
        <v>432</v>
      </c>
      <c r="F103" s="2" t="s">
        <v>6</v>
      </c>
      <c r="G103" s="2" t="s">
        <v>62</v>
      </c>
      <c r="H103" s="3">
        <v>45311.729166666664</v>
      </c>
      <c r="I103" s="2" t="s">
        <v>63</v>
      </c>
      <c r="J103" s="2" t="s">
        <v>264</v>
      </c>
      <c r="K103" s="2">
        <v>10</v>
      </c>
      <c r="L103" s="2">
        <v>10</v>
      </c>
      <c r="M103" s="2">
        <v>29</v>
      </c>
      <c r="N103" s="2">
        <v>20</v>
      </c>
      <c r="O103" s="2">
        <v>60</v>
      </c>
      <c r="P103" s="2">
        <v>3.9</v>
      </c>
      <c r="Q103" s="2" t="s">
        <v>95</v>
      </c>
      <c r="R103" s="14" t="s">
        <v>216</v>
      </c>
      <c r="S103" s="13" t="s">
        <v>209</v>
      </c>
      <c r="T103" s="188">
        <f t="shared" si="9"/>
        <v>54.778820491594892</v>
      </c>
      <c r="U103" s="8">
        <f t="shared" si="6"/>
        <v>9.8601876884870805</v>
      </c>
      <c r="V103" s="234">
        <f t="shared" si="13"/>
        <v>1105.4365975203848</v>
      </c>
      <c r="W103" s="15">
        <v>25</v>
      </c>
      <c r="X103" s="8">
        <f t="shared" si="11"/>
        <v>4.5</v>
      </c>
      <c r="Y103" s="233">
        <f t="shared" si="12"/>
        <v>900</v>
      </c>
    </row>
    <row r="104" spans="1:25">
      <c r="A104" s="156" t="e" cm="1">
        <f t="array" aca="1" ref="A104" ca="1">_xlfn.IFS(E104=$AB$42,$AC$42,E104=$AB$43,$AC$43,E104=$AB$44,$AC$44,E104=$AB$45,$AC$45,E104=$AB$46,$AC$46,E104=$AB$47,$AC$47,E104=$AB$48,$AC$48,E104=$AB$49,$AC$49,E104=$AB$50,$AC$50,E104=$AB$51,$AC$51,E104=$AB$52,$AC$52,E104=$AB$53,$AC$53,E104=$AB$54,$AC$54,E104=$AB$55,$AC$55,E104=$AB$56,$AC$56,E104=$AB$57,$AC$57,E104=$AB$58,$AC$58,E104=$AB$59,$AC$59,E104=$AB$60,$AC$60,E104=$AB$61,$AC$61,E104=$AB$62,$AC$62,E104=$AB$63,$AC$63,E104=$AB$64,$AC$64,E104=$AB$65,$AC$65,E104=$AB$66,$AC$66,TRUE,"0")</f>
        <v>#NAME?</v>
      </c>
      <c r="C104" s="161" t="str" cm="1">
        <f t="array" ref="C104">_xlfn.IFS(E104=$AB$42,$AF$42,E104=$AB$43,$AF$43,E104=$AB$44,$AF$44,E104=$AB$45,$AF$45,E104=$AB$46,$AF$46,E104=$AB$47,$AF$47,E104=$AB$48,$AF$48,E104=$AB$49,$AF$49,E104=$AB$50,$AF$50,E104=$AB$51,$AF$51,E104=$AB$52,$AF$52,E104=$AB$53,$AF$53,E104=$AB$54,$AF$54,E104=$AB$55,$AF$55,E104=$AB$56,$AF$56,E104=$AB$57,$AF$57,E104=$AB$58,$AF$58,E104=$AB$59,$AF$59,E104=$AB$60,$AF$60,E104=$AB$61,$AF$61,E104=$AB$62,$AF$62,E104=$AB$63,$AF$63,E104=$AB$64,$AF$64,E104=$AB$65,$AF$65,E104=$AB$66,$AF$66,TRUE,"0")</f>
        <v>if 0-0, BACK+ 0.5 GOALS  @ 1.15+odds.  or @ 40 mins</v>
      </c>
      <c r="D104" s="270" t="str" cm="1">
        <f t="array" ref="D104">_xlfn.IFS(E104=$AB$42,$AD$42,E104=$AB$43,$AD$43,E104=$AB$44,$AD$44,E104=$AB$45,$AD$45,E104=$AB$46,$AD$46,E104=$AB$47,$AD$47,E104=$AB$48,$AD$48,E104=$AB$49,$AD$49,E104=$AB$50,$AD$50,E104=$AB$51,$AD$51,E104=$AB$52,$AD$52,E104=$AB$53,$AD$53,E104=$AB$54,$AD$54,E104=$AB$55,$AD$55,E104=$AB$56,$AD$56,E104=$AB$57,$AD$57,E104=$AB$58,$AD$58,E104=$AB$59,$AD$59,E104=$AB$60,$AD$60,E104=$AB$61,$AD$61,E104=$AB$62,$AD$62,E104=$AB$63,$AD$63,E104=$AB$64,$AD$64,E104=$AB$65,$AD$65,E104=$AB$66,$AD$66,TRUE,"0")</f>
        <v>IP</v>
      </c>
      <c r="E104" s="163" t="s">
        <v>270</v>
      </c>
      <c r="F104" s="2" t="s">
        <v>149</v>
      </c>
      <c r="G104" s="2" t="s">
        <v>153</v>
      </c>
      <c r="H104" s="3">
        <v>45311.739583333336</v>
      </c>
      <c r="I104" s="2" t="s">
        <v>155</v>
      </c>
      <c r="J104" s="2" t="s">
        <v>244</v>
      </c>
      <c r="K104" s="2">
        <v>63</v>
      </c>
      <c r="L104" s="2">
        <v>0</v>
      </c>
      <c r="M104" s="2">
        <v>20</v>
      </c>
      <c r="N104" s="2"/>
      <c r="O104" s="2"/>
      <c r="P104" s="2"/>
      <c r="Q104" s="2" t="s">
        <v>95</v>
      </c>
      <c r="R104" s="14" t="s">
        <v>193</v>
      </c>
      <c r="S104" s="13" t="s">
        <v>216</v>
      </c>
      <c r="T104" s="188">
        <f t="shared" si="9"/>
        <v>55.27182987601924</v>
      </c>
      <c r="U104" s="8">
        <f t="shared" si="6"/>
        <v>9.9489293776834629</v>
      </c>
      <c r="V104" s="234">
        <f t="shared" si="13"/>
        <v>1115.3855268980683</v>
      </c>
      <c r="W104" s="15">
        <v>25</v>
      </c>
      <c r="X104" s="8">
        <f t="shared" si="11"/>
        <v>4.5</v>
      </c>
      <c r="Y104" s="233">
        <f t="shared" si="12"/>
        <v>904.5</v>
      </c>
    </row>
    <row r="105" spans="1:25">
      <c r="A105" s="156" t="e" cm="1">
        <f t="array" aca="1" ref="A105" ca="1">_xlfn.IFS(E105=$AB$42,$AC$42,E105=$AB$43,$AC$43,E105=$AB$44,$AC$44,E105=$AB$45,$AC$45,E105=$AB$46,$AC$46,E105=$AB$47,$AC$47,E105=$AB$48,$AC$48,E105=$AB$49,$AC$49,E105=$AB$50,$AC$50,E105=$AB$51,$AC$51,E105=$AB$52,$AC$52,E105=$AB$53,$AC$53,E105=$AB$54,$AC$54,E105=$AB$55,$AC$55,E105=$AB$56,$AC$56,E105=$AB$57,$AC$57,E105=$AB$58,$AC$58,E105=$AB$59,$AC$59,E105=$AB$60,$AC$60,E105=$AB$61,$AC$61,E105=$AB$62,$AC$62,E105=$AB$63,$AC$63,E105=$AB$64,$AC$64,E105=$AB$65,$AC$65,E105=$AB$66,$AC$66,TRUE,"0")</f>
        <v>#NAME?</v>
      </c>
      <c r="C105" s="161" t="str" cm="1">
        <f t="array" ref="C105">_xlfn.IFS(E105=$AB$42,$AF$42,E105=$AB$43,$AF$43,E105=$AB$44,$AF$44,E105=$AB$45,$AF$45,E105=$AB$46,$AF$46,E105=$AB$47,$AF$47,E105=$AB$48,$AF$48,E105=$AB$49,$AF$49,E105=$AB$50,$AF$50,E105=$AB$51,$AF$51,E105=$AB$52,$AF$52,E105=$AB$53,$AF$53,E105=$AB$54,$AF$54,E105=$AB$55,$AF$55,E105=$AB$56,$AF$56,E105=$AB$57,$AF$57,E105=$AB$58,$AF$58,E105=$AB$59,$AF$59,E105=$AB$60,$AF$60,E105=$AB$61,$AF$61,E105=$AB$62,$AF$62,E105=$AB$63,$AF$63,E105=$AB$64,$AF$64,E105=$AB$65,$AF$65,E105=$AB$66,$AF$66,TRUE,"0")</f>
        <v>if 0-0, BACK+ 0.5 GOALS  @ 1.15+odds.  or @ 40 mins</v>
      </c>
      <c r="D105" s="270" t="str" cm="1">
        <f t="array" ref="D105">_xlfn.IFS(E105=$AB$42,$AD$42,E105=$AB$43,$AD$43,E105=$AB$44,$AD$44,E105=$AB$45,$AD$45,E105=$AB$46,$AD$46,E105=$AB$47,$AD$47,E105=$AB$48,$AD$48,E105=$AB$49,$AD$49,E105=$AB$50,$AD$50,E105=$AB$51,$AD$51,E105=$AB$52,$AD$52,E105=$AB$53,$AD$53,E105=$AB$54,$AD$54,E105=$AB$55,$AD$55,E105=$AB$56,$AD$56,E105=$AB$57,$AD$57,E105=$AB$58,$AD$58,E105=$AB$59,$AD$59,E105=$AB$60,$AD$60,E105=$AB$61,$AD$61,E105=$AB$62,$AD$62,E105=$AB$63,$AD$63,E105=$AB$64,$AD$64,E105=$AB$65,$AD$65,E105=$AB$66,$AD$66,TRUE,"0")</f>
        <v>IP</v>
      </c>
      <c r="E105" s="163" t="s">
        <v>270</v>
      </c>
      <c r="F105" s="2" t="s">
        <v>149</v>
      </c>
      <c r="G105" s="2" t="s">
        <v>153</v>
      </c>
      <c r="H105" s="3">
        <v>45311.791666666664</v>
      </c>
      <c r="I105" s="2" t="s">
        <v>245</v>
      </c>
      <c r="J105" s="2" t="s">
        <v>205</v>
      </c>
      <c r="K105" s="2">
        <v>61</v>
      </c>
      <c r="L105" s="2">
        <v>0</v>
      </c>
      <c r="M105" s="2">
        <v>20</v>
      </c>
      <c r="N105" s="2"/>
      <c r="O105" s="2"/>
      <c r="P105" s="2"/>
      <c r="Q105" s="2" t="s">
        <v>95</v>
      </c>
      <c r="R105" s="14" t="s">
        <v>221</v>
      </c>
      <c r="S105" s="13" t="s">
        <v>210</v>
      </c>
      <c r="T105" s="188">
        <f t="shared" si="9"/>
        <v>55.769276344903417</v>
      </c>
      <c r="U105" s="8">
        <f t="shared" si="6"/>
        <v>10.038469742082615</v>
      </c>
      <c r="V105" s="234">
        <f t="shared" si="13"/>
        <v>1125.423996640151</v>
      </c>
      <c r="W105" s="15">
        <v>25</v>
      </c>
      <c r="X105" s="8">
        <f t="shared" si="11"/>
        <v>4.5</v>
      </c>
      <c r="Y105" s="233">
        <f t="shared" si="12"/>
        <v>909</v>
      </c>
    </row>
    <row r="106" spans="1:25">
      <c r="A106" s="156" t="e" cm="1">
        <f t="array" aca="1" ref="A106" ca="1">_xlfn.IFS(E106=$AB$42,$AC$42,E106=$AB$43,$AC$43,E106=$AB$44,$AC$44,E106=$AB$45,$AC$45,E106=$AB$46,$AC$46,E106=$AB$47,$AC$47,E106=$AB$48,$AC$48,E106=$AB$49,$AC$49,E106=$AB$50,$AC$50,E106=$AB$51,$AC$51,E106=$AB$52,$AC$52,E106=$AB$53,$AC$53,E106=$AB$54,$AC$54,E106=$AB$55,$AC$55,E106=$AB$56,$AC$56,E106=$AB$57,$AC$57,E106=$AB$58,$AC$58,E106=$AB$59,$AC$59,E106=$AB$60,$AC$60,E106=$AB$61,$AC$61,E106=$AB$62,$AC$62,E106=$AB$63,$AC$63,E106=$AB$64,$AC$64,E106=$AB$65,$AC$65,E106=$AB$66,$AC$66,TRUE,"0")</f>
        <v>#NAME?</v>
      </c>
      <c r="C106" s="161" t="str" cm="1">
        <f t="array" ref="C106">_xlfn.IFS(E106=$AB$42,$AF$42,E106=$AB$43,$AF$43,E106=$AB$44,$AF$44,E106=$AB$45,$AF$45,E106=$AB$46,$AF$46,E106=$AB$47,$AF$47,E106=$AB$48,$AF$48,E106=$AB$49,$AF$49,E106=$AB$50,$AF$50,E106=$AB$51,$AF$51,E106=$AB$52,$AF$52,E106=$AB$53,$AF$53,E106=$AB$54,$AF$54,E106=$AB$55,$AF$55,E106=$AB$56,$AF$56,E106=$AB$57,$AF$57,E106=$AB$58,$AF$58,E106=$AB$59,$AF$59,E106=$AB$60,$AF$60,E106=$AB$61,$AF$61,E106=$AB$62,$AF$62,E106=$AB$63,$AF$63,E106=$AB$64,$AF$64,E106=$AB$65,$AF$65,E106=$AB$66,$AF$66,TRUE,"0")</f>
        <v>if 0-0, BACK+ 0.5 GOALS  @ 1.15+odds.  or @ 40 mins</v>
      </c>
      <c r="D106" s="270" t="str" cm="1">
        <f t="array" ref="D106">_xlfn.IFS(E106=$AB$42,$AD$42,E106=$AB$43,$AD$43,E106=$AB$44,$AD$44,E106=$AB$45,$AD$45,E106=$AB$46,$AD$46,E106=$AB$47,$AD$47,E106=$AB$48,$AD$48,E106=$AB$49,$AD$49,E106=$AB$50,$AD$50,E106=$AB$51,$AD$51,E106=$AB$52,$AD$52,E106=$AB$53,$AD$53,E106=$AB$54,$AD$54,E106=$AB$55,$AD$55,E106=$AB$56,$AD$56,E106=$AB$57,$AD$57,E106=$AB$58,$AD$58,E106=$AB$59,$AD$59,E106=$AB$60,$AD$60,E106=$AB$61,$AD$61,E106=$AB$62,$AD$62,E106=$AB$63,$AD$63,E106=$AB$64,$AD$64,E106=$AB$65,$AD$65,E106=$AB$66,$AD$66,TRUE,"0")</f>
        <v>IP</v>
      </c>
      <c r="E106" s="163" t="s">
        <v>270</v>
      </c>
      <c r="F106" s="2" t="s">
        <v>77</v>
      </c>
      <c r="G106" s="2" t="s">
        <v>234</v>
      </c>
      <c r="H106" s="3">
        <v>45311.8125</v>
      </c>
      <c r="I106" s="2" t="s">
        <v>246</v>
      </c>
      <c r="J106" s="2" t="s">
        <v>247</v>
      </c>
      <c r="K106" s="2">
        <v>63</v>
      </c>
      <c r="L106" s="2">
        <v>0</v>
      </c>
      <c r="M106" s="2">
        <v>20</v>
      </c>
      <c r="N106" s="2"/>
      <c r="O106" s="2"/>
      <c r="P106" s="2"/>
      <c r="Q106" s="2" t="s">
        <v>95</v>
      </c>
      <c r="R106" s="14" t="s">
        <v>217</v>
      </c>
      <c r="S106" s="13" t="s">
        <v>217</v>
      </c>
      <c r="T106" s="188">
        <f t="shared" si="9"/>
        <v>56.271199832007554</v>
      </c>
      <c r="U106" s="8">
        <f t="shared" si="6"/>
        <v>10.128815969761359</v>
      </c>
      <c r="V106" s="234">
        <f t="shared" si="13"/>
        <v>1135.5528126099123</v>
      </c>
      <c r="W106" s="15">
        <v>25</v>
      </c>
      <c r="X106" s="8">
        <f t="shared" si="11"/>
        <v>4.5</v>
      </c>
      <c r="Y106" s="233">
        <f t="shared" si="12"/>
        <v>913.5</v>
      </c>
    </row>
    <row r="107" spans="1:25">
      <c r="A107" s="156" t="e" cm="1">
        <f t="array" aca="1" ref="A107" ca="1">_xlfn.IFS(E107=$AB$42,$AC$42,E107=$AB$43,$AC$43,E107=$AB$44,$AC$44,E107=$AB$45,$AC$45,E107=$AB$46,$AC$46,E107=$AB$47,$AC$47,E107=$AB$48,$AC$48,E107=$AB$49,$AC$49,E107=$AB$50,$AC$50,E107=$AB$51,$AC$51,E107=$AB$52,$AC$52,E107=$AB$53,$AC$53,E107=$AB$54,$AC$54,E107=$AB$55,$AC$55,E107=$AB$56,$AC$56,E107=$AB$57,$AC$57,E107=$AB$58,$AC$58,E107=$AB$59,$AC$59,E107=$AB$60,$AC$60,E107=$AB$61,$AC$61,E107=$AB$62,$AC$62,E107=$AB$63,$AC$63,E107=$AB$64,$AC$64,E107=$AB$65,$AC$65,E107=$AB$66,$AC$66,TRUE,"0")</f>
        <v>#NAME?</v>
      </c>
      <c r="C107" s="161" t="str" cm="1">
        <f t="array" ref="C107">_xlfn.IFS(E107=$AB$42,$AF$42,E107=$AB$43,$AF$43,E107=$AB$44,$AF$44,E107=$AB$45,$AF$45,E107=$AB$46,$AF$46,E107=$AB$47,$AF$47,E107=$AB$48,$AF$48,E107=$AB$49,$AF$49,E107=$AB$50,$AF$50,E107=$AB$51,$AF$51,E107=$AB$52,$AF$52,E107=$AB$53,$AF$53,E107=$AB$54,$AF$54,E107=$AB$55,$AF$55,E107=$AB$56,$AF$56,E107=$AB$57,$AF$57,E107=$AB$58,$AF$58,E107=$AB$59,$AF$59,E107=$AB$60,$AF$60,E107=$AB$61,$AF$61,E107=$AB$62,$AF$62,E107=$AB$63,$AF$63,E107=$AB$64,$AF$64,E107=$AB$65,$AF$65,E107=$AB$66,$AF$66,TRUE,"0")</f>
        <v>B4 match BACK FT +1.5 goals. X AFTER  GOAL</v>
      </c>
      <c r="D107" s="270" t="str" cm="1">
        <f t="array" ref="D107">_xlfn.IFS(E107=$AB$42,$AD$42,E107=$AB$43,$AD$43,E107=$AB$44,$AD$44,E107=$AB$45,$AD$45,E107=$AB$46,$AD$46,E107=$AB$47,$AD$47,E107=$AB$48,$AD$48,E107=$AB$49,$AD$49,E107=$AB$50,$AD$50,E107=$AB$51,$AD$51,E107=$AB$52,$AD$52,E107=$AB$53,$AD$53,E107=$AB$54,$AD$54,E107=$AB$55,$AD$55,E107=$AB$56,$AD$56,E107=$AB$57,$AD$57,E107=$AB$58,$AD$58,E107=$AB$59,$AD$59,E107=$AB$60,$AD$60,E107=$AB$61,$AD$61,E107=$AB$62,$AD$62,E107=$AB$63,$AD$63,E107=$AB$64,$AD$64,E107=$AB$65,$AD$65,E107=$AB$66,$AD$66,TRUE,"0")</f>
        <v xml:space="preserve">BFM </v>
      </c>
      <c r="E107" s="163" t="s">
        <v>406</v>
      </c>
      <c r="F107" s="2" t="s">
        <v>67</v>
      </c>
      <c r="G107" s="2" t="s">
        <v>68</v>
      </c>
      <c r="H107" s="3">
        <v>45311.822916666664</v>
      </c>
      <c r="I107" s="2" t="s">
        <v>265</v>
      </c>
      <c r="J107" s="2" t="s">
        <v>266</v>
      </c>
      <c r="K107" s="2">
        <v>1.26</v>
      </c>
      <c r="L107" s="2">
        <v>14</v>
      </c>
      <c r="M107" s="2">
        <v>3.05</v>
      </c>
      <c r="N107" s="2">
        <v>3.8</v>
      </c>
      <c r="O107" s="2"/>
      <c r="P107" s="2"/>
      <c r="Q107" s="2" t="s">
        <v>95</v>
      </c>
      <c r="R107" s="14" t="s">
        <v>214</v>
      </c>
      <c r="S107" s="13" t="s">
        <v>207</v>
      </c>
      <c r="T107" s="188">
        <f t="shared" si="9"/>
        <v>56.777640630495618</v>
      </c>
      <c r="U107" s="8">
        <f t="shared" si="6"/>
        <v>10.219975313489211</v>
      </c>
      <c r="V107" s="234">
        <f t="shared" ref="V107:V138" si="14">SUM(V106,U107)</f>
        <v>1145.7727879234014</v>
      </c>
      <c r="W107" s="15">
        <v>25</v>
      </c>
      <c r="X107" s="8">
        <f t="shared" si="11"/>
        <v>4.5</v>
      </c>
      <c r="Y107" s="233">
        <f t="shared" si="12"/>
        <v>918</v>
      </c>
    </row>
    <row r="108" spans="1:25">
      <c r="A108" s="156" t="e" cm="1">
        <f t="array" aca="1" ref="A108" ca="1">_xlfn.IFS(E108=$AB$42,$AC$42,E108=$AB$43,$AC$43,E108=$AB$44,$AC$44,E108=$AB$45,$AC$45,E108=$AB$46,$AC$46,E108=$AB$47,$AC$47,E108=$AB$48,$AC$48,E108=$AB$49,$AC$49,E108=$AB$50,$AC$50,E108=$AB$51,$AC$51,E108=$AB$52,$AC$52,E108=$AB$53,$AC$53,E108=$AB$54,$AC$54,E108=$AB$55,$AC$55,E108=$AB$56,$AC$56,E108=$AB$57,$AC$57,E108=$AB$58,$AC$58,E108=$AB$59,$AC$59,E108=$AB$60,$AC$60,E108=$AB$61,$AC$61,E108=$AB$62,$AC$62,E108=$AB$63,$AC$63,E108=$AB$64,$AC$64,E108=$AB$65,$AC$65,E108=$AB$66,$AC$66,TRUE,"0")</f>
        <v>#NAME?</v>
      </c>
      <c r="C108" s="161" t="str" cm="1">
        <f t="array" ref="C108">_xlfn.IFS(E108=$AB$42,$AF$42,E108=$AB$43,$AF$43,E108=$AB$44,$AF$44,E108=$AB$45,$AF$45,E108=$AB$46,$AF$46,E108=$AB$47,$AF$47,E108=$AB$48,$AF$48,E108=$AB$49,$AF$49,E108=$AB$50,$AF$50,E108=$AB$51,$AF$51,E108=$AB$52,$AF$52,E108=$AB$53,$AF$53,E108=$AB$54,$AF$54,E108=$AB$55,$AF$55,E108=$AB$56,$AF$56,E108=$AB$57,$AF$57,E108=$AB$58,$AF$58,E108=$AB$59,$AF$59,E108=$AB$60,$AF$60,E108=$AB$61,$AF$61,E108=$AB$62,$AF$62,E108=$AB$63,$AF$63,E108=$AB$64,$AF$64,E108=$AB$65,$AF$65,E108=$AB$66,$AF$66,TRUE,"0")</f>
        <v>40 mins Back ANother Goal</v>
      </c>
      <c r="D108" s="270" t="str" cm="1">
        <f t="array" ref="D108">_xlfn.IFS(E108=$AB$42,$AD$42,E108=$AB$43,$AD$43,E108=$AB$44,$AD$44,E108=$AB$45,$AD$45,E108=$AB$46,$AD$46,E108=$AB$47,$AD$47,E108=$AB$48,$AD$48,E108=$AB$49,$AD$49,E108=$AB$50,$AD$50,E108=$AB$51,$AD$51,E108=$AB$52,$AD$52,E108=$AB$53,$AD$53,E108=$AB$54,$AD$54,E108=$AB$55,$AD$55,E108=$AB$56,$AD$56,E108=$AB$57,$AD$57,E108=$AB$58,$AD$58,E108=$AB$59,$AD$59,E108=$AB$60,$AD$60,E108=$AB$61,$AD$61,E108=$AB$62,$AD$62,E108=$AB$63,$AD$63,E108=$AB$64,$AD$64,E108=$AB$65,$AD$65,E108=$AB$66,$AD$66,TRUE,"0")</f>
        <v xml:space="preserve">  BANG</v>
      </c>
      <c r="E108" s="163" t="s">
        <v>10</v>
      </c>
      <c r="F108" s="2" t="s">
        <v>67</v>
      </c>
      <c r="G108" s="2" t="s">
        <v>68</v>
      </c>
      <c r="H108" s="3">
        <v>45311.822916666664</v>
      </c>
      <c r="I108" s="2" t="s">
        <v>265</v>
      </c>
      <c r="J108" s="2" t="s">
        <v>266</v>
      </c>
      <c r="K108" s="2">
        <v>1.9</v>
      </c>
      <c r="L108" s="2">
        <v>85</v>
      </c>
      <c r="M108" s="2">
        <v>65</v>
      </c>
      <c r="N108" s="2">
        <v>25</v>
      </c>
      <c r="O108" s="2">
        <v>63</v>
      </c>
      <c r="P108" s="2">
        <v>20</v>
      </c>
      <c r="Q108" s="2" t="s">
        <v>95</v>
      </c>
      <c r="R108" s="14" t="s">
        <v>214</v>
      </c>
      <c r="S108" s="13" t="s">
        <v>207</v>
      </c>
      <c r="T108" s="188">
        <f t="shared" si="9"/>
        <v>57.288639396170076</v>
      </c>
      <c r="U108" s="8">
        <f t="shared" si="6"/>
        <v>10.311955091310613</v>
      </c>
      <c r="V108" s="234">
        <f t="shared" si="14"/>
        <v>1156.0847430147121</v>
      </c>
      <c r="W108" s="15">
        <v>25</v>
      </c>
      <c r="X108" s="8">
        <f t="shared" si="11"/>
        <v>4.5</v>
      </c>
      <c r="Y108" s="233">
        <f t="shared" si="12"/>
        <v>922.5</v>
      </c>
    </row>
    <row r="109" spans="1:25">
      <c r="A109" s="156" t="e" cm="1">
        <f t="array" aca="1" ref="A109" ca="1">_xlfn.IFS(E109=$AB$42,$AC$42,E109=$AB$43,$AC$43,E109=$AB$44,$AC$44,E109=$AB$45,$AC$45,E109=$AB$46,$AC$46,E109=$AB$47,$AC$47,E109=$AB$48,$AC$48,E109=$AB$49,$AC$49,E109=$AB$50,$AC$50,E109=$AB$51,$AC$51,E109=$AB$52,$AC$52,E109=$AB$53,$AC$53,E109=$AB$54,$AC$54,E109=$AB$55,$AC$55,E109=$AB$56,$AC$56,E109=$AB$57,$AC$57,E109=$AB$58,$AC$58,E109=$AB$59,$AC$59,E109=$AB$60,$AC$60,E109=$AB$61,$AC$61,E109=$AB$62,$AC$62,E109=$AB$63,$AC$63,E109=$AB$64,$AC$64,E109=$AB$65,$AC$65,E109=$AB$66,$AC$66,TRUE,"0")</f>
        <v>#NAME?</v>
      </c>
      <c r="C109" s="161" t="str" cm="1">
        <f t="array" ref="C109">_xlfn.IFS(E109=$AB$42,$AF$42,E109=$AB$43,$AF$43,E109=$AB$44,$AF$44,E109=$AB$45,$AF$45,E109=$AB$46,$AF$46,E109=$AB$47,$AF$47,E109=$AB$48,$AF$48,E109=$AB$49,$AF$49,E109=$AB$50,$AF$50,E109=$AB$51,$AF$51,E109=$AB$52,$AF$52,E109=$AB$53,$AF$53,E109=$AB$54,$AF$54,E109=$AB$55,$AF$55,E109=$AB$56,$AF$56,E109=$AB$57,$AF$57,E109=$AB$58,$AF$58,E109=$AB$59,$AF$59,E109=$AB$60,$AF$60,E109=$AB$61,$AF$61,E109=$AB$62,$AF$62,E109=$AB$63,$AF$63,E109=$AB$64,$AF$64,E109=$AB$65,$AF$65,E109=$AB$66,$AF$66,TRUE,"0")</f>
        <v>B4 Match, lay HT 0-0 or BACK H1 +0.5 GOALS</v>
      </c>
      <c r="D109" s="270" t="str" cm="1">
        <f t="array" ref="D109">_xlfn.IFS(E109=$AB$42,$AD$42,E109=$AB$43,$AD$43,E109=$AB$44,$AD$44,E109=$AB$45,$AD$45,E109=$AB$46,$AD$46,E109=$AB$47,$AD$47,E109=$AB$48,$AD$48,E109=$AB$49,$AD$49,E109=$AB$50,$AD$50,E109=$AB$51,$AD$51,E109=$AB$52,$AD$52,E109=$AB$53,$AD$53,E109=$AB$54,$AD$54,E109=$AB$55,$AD$55,E109=$AB$56,$AD$56,E109=$AB$57,$AD$57,E109=$AB$58,$AD$58,E109=$AB$59,$AD$59,E109=$AB$60,$AD$60,E109=$AB$61,$AD$61,E109=$AB$62,$AD$62,E109=$AB$63,$AD$63,E109=$AB$64,$AD$64,E109=$AB$65,$AD$65,E109=$AB$66,$AD$66,TRUE,"0")</f>
        <v xml:space="preserve">BFM </v>
      </c>
      <c r="E109" s="163" t="s">
        <v>432</v>
      </c>
      <c r="F109" s="2" t="s">
        <v>20</v>
      </c>
      <c r="G109" s="2" t="s">
        <v>21</v>
      </c>
      <c r="H109" s="3">
        <v>45311.822916666664</v>
      </c>
      <c r="I109" s="2" t="s">
        <v>100</v>
      </c>
      <c r="J109" s="2" t="s">
        <v>109</v>
      </c>
      <c r="K109" s="2">
        <v>80</v>
      </c>
      <c r="L109" s="2">
        <v>24</v>
      </c>
      <c r="M109" s="2">
        <v>53</v>
      </c>
      <c r="N109" s="2"/>
      <c r="O109" s="2"/>
      <c r="P109" s="2"/>
      <c r="Q109" s="2" t="s">
        <v>95</v>
      </c>
      <c r="R109" s="14" t="s">
        <v>216</v>
      </c>
      <c r="S109" s="13" t="s">
        <v>213</v>
      </c>
      <c r="T109" s="188">
        <f t="shared" si="9"/>
        <v>57.804237150735609</v>
      </c>
      <c r="U109" s="8">
        <f t="shared" si="6"/>
        <v>10.404762687132409</v>
      </c>
      <c r="V109" s="234">
        <f t="shared" si="14"/>
        <v>1166.4895057018446</v>
      </c>
      <c r="W109" s="15">
        <v>25</v>
      </c>
      <c r="X109" s="8">
        <f t="shared" si="11"/>
        <v>4.5</v>
      </c>
      <c r="Y109" s="233">
        <f t="shared" si="12"/>
        <v>927</v>
      </c>
    </row>
    <row r="110" spans="1:25">
      <c r="A110" s="156" t="e" cm="1">
        <f t="array" aca="1" ref="A110" ca="1">_xlfn.IFS(E110=$AB$42,$AC$42,E110=$AB$43,$AC$43,E110=$AB$44,$AC$44,E110=$AB$45,$AC$45,E110=$AB$46,$AC$46,E110=$AB$47,$AC$47,E110=$AB$48,$AC$48,E110=$AB$49,$AC$49,E110=$AB$50,$AC$50,E110=$AB$51,$AC$51,E110=$AB$52,$AC$52,E110=$AB$53,$AC$53,E110=$AB$54,$AC$54,E110=$AB$55,$AC$55,E110=$AB$56,$AC$56,E110=$AB$57,$AC$57,E110=$AB$58,$AC$58,E110=$AB$59,$AC$59,E110=$AB$60,$AC$60,E110=$AB$61,$AC$61,E110=$AB$62,$AC$62,E110=$AB$63,$AC$63,E110=$AB$64,$AC$64,E110=$AB$65,$AC$65,E110=$AB$66,$AC$66,TRUE,"0")</f>
        <v>#NAME?</v>
      </c>
      <c r="C110" s="161" t="str" cm="1">
        <f t="array" ref="C110">_xlfn.IFS(E110=$AB$42,$AF$42,E110=$AB$43,$AF$43,E110=$AB$44,$AF$44,E110=$AB$45,$AF$45,E110=$AB$46,$AF$46,E110=$AB$47,$AF$47,E110=$AB$48,$AF$48,E110=$AB$49,$AF$49,E110=$AB$50,$AF$50,E110=$AB$51,$AF$51,E110=$AB$52,$AF$52,E110=$AB$53,$AF$53,E110=$AB$54,$AF$54,E110=$AB$55,$AF$55,E110=$AB$56,$AF$56,E110=$AB$57,$AF$57,E110=$AB$58,$AF$58,E110=$AB$59,$AF$59,E110=$AB$60,$AF$60,E110=$AB$61,$AF$61,E110=$AB$62,$AF$62,E110=$AB$63,$AF$63,E110=$AB$64,$AF$64,E110=$AB$65,$AF$65,E110=$AB$66,$AF$66,TRUE,"0")</f>
        <v>40 mins Back ANother Goal</v>
      </c>
      <c r="D110" s="270" t="str" cm="1">
        <f t="array" ref="D110">_xlfn.IFS(E110=$AB$42,$AD$42,E110=$AB$43,$AD$43,E110=$AB$44,$AD$44,E110=$AB$45,$AD$45,E110=$AB$46,$AD$46,E110=$AB$47,$AD$47,E110=$AB$48,$AD$48,E110=$AB$49,$AD$49,E110=$AB$50,$AD$50,E110=$AB$51,$AD$51,E110=$AB$52,$AD$52,E110=$AB$53,$AD$53,E110=$AB$54,$AD$54,E110=$AB$55,$AD$55,E110=$AB$56,$AD$56,E110=$AB$57,$AD$57,E110=$AB$58,$AD$58,E110=$AB$59,$AD$59,E110=$AB$60,$AD$60,E110=$AB$61,$AD$61,E110=$AB$62,$AD$62,E110=$AB$63,$AD$63,E110=$AB$64,$AD$64,E110=$AB$65,$AD$65,E110=$AB$66,$AD$66,TRUE,"0")</f>
        <v xml:space="preserve">  BANG</v>
      </c>
      <c r="E110" s="163" t="s">
        <v>35</v>
      </c>
      <c r="F110" s="2" t="s">
        <v>149</v>
      </c>
      <c r="G110" s="2" t="s">
        <v>153</v>
      </c>
      <c r="H110" s="3">
        <v>45311.833333333336</v>
      </c>
      <c r="I110" s="2" t="s">
        <v>248</v>
      </c>
      <c r="J110" s="2" t="s">
        <v>249</v>
      </c>
      <c r="K110" s="2">
        <v>71</v>
      </c>
      <c r="L110" s="2">
        <v>81</v>
      </c>
      <c r="M110" s="2">
        <v>75</v>
      </c>
      <c r="N110" s="2">
        <v>50</v>
      </c>
      <c r="O110" s="2">
        <v>16</v>
      </c>
      <c r="P110" s="2"/>
      <c r="Q110" s="2" t="s">
        <v>95</v>
      </c>
      <c r="R110" s="14" t="s">
        <v>217</v>
      </c>
      <c r="S110" s="13" t="s">
        <v>223</v>
      </c>
      <c r="T110" s="188">
        <f t="shared" si="9"/>
        <v>58.324475285092234</v>
      </c>
      <c r="U110" s="8">
        <f t="shared" ref="U110:U173" si="15">IF(Q110="won",T110*0.18,-T110)</f>
        <v>10.498405551316601</v>
      </c>
      <c r="V110" s="234">
        <f t="shared" si="14"/>
        <v>1176.9879112531612</v>
      </c>
      <c r="W110" s="15">
        <v>25</v>
      </c>
      <c r="X110" s="8">
        <f t="shared" si="11"/>
        <v>4.5</v>
      </c>
      <c r="Y110" s="233">
        <f t="shared" si="12"/>
        <v>931.5</v>
      </c>
    </row>
    <row r="111" spans="1:25">
      <c r="A111" s="156" t="e" cm="1">
        <f t="array" aca="1" ref="A111" ca="1">_xlfn.IFS(E111=$AB$42,$AC$42,E111=$AB$43,$AC$43,E111=$AB$44,$AC$44,E111=$AB$45,$AC$45,E111=$AB$46,$AC$46,E111=$AB$47,$AC$47,E111=$AB$48,$AC$48,E111=$AB$49,$AC$49,E111=$AB$50,$AC$50,E111=$AB$51,$AC$51,E111=$AB$52,$AC$52,E111=$AB$53,$AC$53,E111=$AB$54,$AC$54,E111=$AB$55,$AC$55,E111=$AB$56,$AC$56,E111=$AB$57,$AC$57,E111=$AB$58,$AC$58,E111=$AB$59,$AC$59,E111=$AB$60,$AC$60,E111=$AB$61,$AC$61,E111=$AB$62,$AC$62,E111=$AB$63,$AC$63,E111=$AB$64,$AC$64,E111=$AB$65,$AC$65,E111=$AB$66,$AC$66,TRUE,"0")</f>
        <v>#NAME?</v>
      </c>
      <c r="C111" s="161" t="str" cm="1">
        <f t="array" ref="C111">_xlfn.IFS(E111=$AB$42,$AF$42,E111=$AB$43,$AF$43,E111=$AB$44,$AF$44,E111=$AB$45,$AF$45,E111=$AB$46,$AF$46,E111=$AB$47,$AF$47,E111=$AB$48,$AF$48,E111=$AB$49,$AF$49,E111=$AB$50,$AF$50,E111=$AB$51,$AF$51,E111=$AB$52,$AF$52,E111=$AB$53,$AF$53,E111=$AB$54,$AF$54,E111=$AB$55,$AF$55,E111=$AB$56,$AF$56,E111=$AB$57,$AF$57,E111=$AB$58,$AF$58,E111=$AB$59,$AF$59,E111=$AB$60,$AF$60,E111=$AB$61,$AF$61,E111=$AB$62,$AF$62,E111=$AB$63,$AF$63,E111=$AB$64,$AF$64,E111=$AB$65,$AF$65,E111=$AB$66,$AF$66,TRUE,"0")</f>
        <v>B4 Match, lay HT 0-0 or BACK H1 +0.5 GOALS</v>
      </c>
      <c r="D111" s="270" t="str" cm="1">
        <f t="array" ref="D111">_xlfn.IFS(E111=$AB$42,$AD$42,E111=$AB$43,$AD$43,E111=$AB$44,$AD$44,E111=$AB$45,$AD$45,E111=$AB$46,$AD$46,E111=$AB$47,$AD$47,E111=$AB$48,$AD$48,E111=$AB$49,$AD$49,E111=$AB$50,$AD$50,E111=$AB$51,$AD$51,E111=$AB$52,$AD$52,E111=$AB$53,$AD$53,E111=$AB$54,$AD$54,E111=$AB$55,$AD$55,E111=$AB$56,$AD$56,E111=$AB$57,$AD$57,E111=$AB$58,$AD$58,E111=$AB$59,$AD$59,E111=$AB$60,$AD$60,E111=$AB$61,$AD$61,E111=$AB$62,$AD$62,E111=$AB$63,$AD$63,E111=$AB$64,$AD$64,E111=$AB$65,$AD$65,E111=$AB$66,$AD$66,TRUE,"0")</f>
        <v xml:space="preserve">BFM </v>
      </c>
      <c r="E111" s="163" t="s">
        <v>432</v>
      </c>
      <c r="F111" s="2" t="s">
        <v>44</v>
      </c>
      <c r="G111" s="2" t="s">
        <v>45</v>
      </c>
      <c r="H111" s="3">
        <v>45312.25</v>
      </c>
      <c r="I111" s="2" t="s">
        <v>180</v>
      </c>
      <c r="J111" s="2" t="s">
        <v>126</v>
      </c>
      <c r="K111" s="2">
        <v>83</v>
      </c>
      <c r="L111" s="2">
        <v>23</v>
      </c>
      <c r="M111" s="2">
        <v>50</v>
      </c>
      <c r="N111" s="2"/>
      <c r="O111" s="2"/>
      <c r="P111" s="2"/>
      <c r="Q111" s="2" t="s">
        <v>96</v>
      </c>
      <c r="R111" s="14" t="s">
        <v>221</v>
      </c>
      <c r="S111" s="13" t="s">
        <v>222</v>
      </c>
      <c r="T111" s="188">
        <f t="shared" si="9"/>
        <v>58.84939556265806</v>
      </c>
      <c r="U111" s="8">
        <f t="shared" si="15"/>
        <v>-58.84939556265806</v>
      </c>
      <c r="V111" s="234">
        <f t="shared" si="14"/>
        <v>1118.138515690503</v>
      </c>
      <c r="W111" s="15">
        <v>25</v>
      </c>
      <c r="X111" s="8">
        <f t="shared" si="11"/>
        <v>-25</v>
      </c>
      <c r="Y111" s="233">
        <f t="shared" si="12"/>
        <v>906.5</v>
      </c>
    </row>
    <row r="112" spans="1:25">
      <c r="A112" s="156" t="e" cm="1">
        <f t="array" aca="1" ref="A112" ca="1">_xlfn.IFS(E112=$AB$42,$AC$42,E112=$AB$43,$AC$43,E112=$AB$44,$AC$44,E112=$AB$45,$AC$45,E112=$AB$46,$AC$46,E112=$AB$47,$AC$47,E112=$AB$48,$AC$48,E112=$AB$49,$AC$49,E112=$AB$50,$AC$50,E112=$AB$51,$AC$51,E112=$AB$52,$AC$52,E112=$AB$53,$AC$53,E112=$AB$54,$AC$54,E112=$AB$55,$AC$55,E112=$AB$56,$AC$56,E112=$AB$57,$AC$57,E112=$AB$58,$AC$58,E112=$AB$59,$AC$59,E112=$AB$60,$AC$60,E112=$AB$61,$AC$61,E112=$AB$62,$AC$62,E112=$AB$63,$AC$63,E112=$AB$64,$AC$64,E112=$AB$65,$AC$65,E112=$AB$66,$AC$66,TRUE,"0")</f>
        <v>#NAME?</v>
      </c>
      <c r="C112" s="161" t="str" cm="1">
        <f t="array" ref="C112">_xlfn.IFS(E112=$AB$42,$AF$42,E112=$AB$43,$AF$43,E112=$AB$44,$AF$44,E112=$AB$45,$AF$45,E112=$AB$46,$AF$46,E112=$AB$47,$AF$47,E112=$AB$48,$AF$48,E112=$AB$49,$AF$49,E112=$AB$50,$AF$50,E112=$AB$51,$AF$51,E112=$AB$52,$AF$52,E112=$AB$53,$AF$53,E112=$AB$54,$AF$54,E112=$AB$55,$AF$55,E112=$AB$56,$AF$56,E112=$AB$57,$AF$57,E112=$AB$58,$AF$58,E112=$AB$59,$AF$59,E112=$AB$60,$AF$60,E112=$AB$61,$AF$61,E112=$AB$62,$AF$62,E112=$AB$63,$AF$63,E112=$AB$64,$AF$64,E112=$AB$65,$AF$65,E112=$AB$66,$AF$66,TRUE,"0")</f>
        <v>40 mins Back ANother Goal</v>
      </c>
      <c r="D112" s="270" t="str" cm="1">
        <f t="array" ref="D112">_xlfn.IFS(E112=$AB$42,$AD$42,E112=$AB$43,$AD$43,E112=$AB$44,$AD$44,E112=$AB$45,$AD$45,E112=$AB$46,$AD$46,E112=$AB$47,$AD$47,E112=$AB$48,$AD$48,E112=$AB$49,$AD$49,E112=$AB$50,$AD$50,E112=$AB$51,$AD$51,E112=$AB$52,$AD$52,E112=$AB$53,$AD$53,E112=$AB$54,$AD$54,E112=$AB$55,$AD$55,E112=$AB$56,$AD$56,E112=$AB$57,$AD$57,E112=$AB$58,$AD$58,E112=$AB$59,$AD$59,E112=$AB$60,$AD$60,E112=$AB$61,$AD$61,E112=$AB$62,$AD$62,E112=$AB$63,$AD$63,E112=$AB$64,$AD$64,E112=$AB$65,$AD$65,E112=$AB$66,$AD$66,TRUE,"0")</f>
        <v xml:space="preserve">  BANG</v>
      </c>
      <c r="E112" s="163" t="s">
        <v>35</v>
      </c>
      <c r="F112" s="2" t="s">
        <v>149</v>
      </c>
      <c r="G112" s="2" t="s">
        <v>153</v>
      </c>
      <c r="H112" s="3">
        <v>45312.46875</v>
      </c>
      <c r="I112" s="2" t="s">
        <v>250</v>
      </c>
      <c r="J112" s="2" t="s">
        <v>188</v>
      </c>
      <c r="K112" s="2">
        <v>68</v>
      </c>
      <c r="L112" s="2">
        <v>88</v>
      </c>
      <c r="M112" s="2">
        <v>75</v>
      </c>
      <c r="N112" s="2">
        <v>50</v>
      </c>
      <c r="O112" s="2">
        <v>16</v>
      </c>
      <c r="P112" s="2"/>
      <c r="Q112" s="2" t="s">
        <v>95</v>
      </c>
      <c r="R112" s="14" t="s">
        <v>193</v>
      </c>
      <c r="S112" s="13" t="s">
        <v>216</v>
      </c>
      <c r="T112" s="188">
        <f t="shared" si="9"/>
        <v>55.906925784525157</v>
      </c>
      <c r="U112" s="8">
        <f t="shared" si="15"/>
        <v>10.063246641214528</v>
      </c>
      <c r="V112" s="234">
        <f t="shared" si="14"/>
        <v>1128.2017623317176</v>
      </c>
      <c r="W112" s="15">
        <v>25</v>
      </c>
      <c r="X112" s="8">
        <f t="shared" si="11"/>
        <v>4.5</v>
      </c>
      <c r="Y112" s="233">
        <f t="shared" si="12"/>
        <v>911</v>
      </c>
    </row>
    <row r="113" spans="1:25">
      <c r="A113" s="156" t="e" cm="1">
        <f t="array" aca="1" ref="A113" ca="1">_xlfn.IFS(E113=$AB$42,$AC$42,E113=$AB$43,$AC$43,E113=$AB$44,$AC$44,E113=$AB$45,$AC$45,E113=$AB$46,$AC$46,E113=$AB$47,$AC$47,E113=$AB$48,$AC$48,E113=$AB$49,$AC$49,E113=$AB$50,$AC$50,E113=$AB$51,$AC$51,E113=$AB$52,$AC$52,E113=$AB$53,$AC$53,E113=$AB$54,$AC$54,E113=$AB$55,$AC$55,E113=$AB$56,$AC$56,E113=$AB$57,$AC$57,E113=$AB$58,$AC$58,E113=$AB$59,$AC$59,E113=$AB$60,$AC$60,E113=$AB$61,$AC$61,E113=$AB$62,$AC$62,E113=$AB$63,$AC$63,E113=$AB$64,$AC$64,E113=$AB$65,$AC$65,E113=$AB$66,$AC$66,TRUE,"0")</f>
        <v>#NAME?</v>
      </c>
      <c r="C113" s="161" t="str" cm="1">
        <f t="array" ref="C113">_xlfn.IFS(E113=$AB$42,$AF$42,E113=$AB$43,$AF$43,E113=$AB$44,$AF$44,E113=$AB$45,$AF$45,E113=$AB$46,$AF$46,E113=$AB$47,$AF$47,E113=$AB$48,$AF$48,E113=$AB$49,$AF$49,E113=$AB$50,$AF$50,E113=$AB$51,$AF$51,E113=$AB$52,$AF$52,E113=$AB$53,$AF$53,E113=$AB$54,$AF$54,E113=$AB$55,$AF$55,E113=$AB$56,$AF$56,E113=$AB$57,$AF$57,E113=$AB$58,$AF$58,E113=$AB$59,$AF$59,E113=$AB$60,$AF$60,E113=$AB$61,$AF$61,E113=$AB$62,$AF$62,E113=$AB$63,$AF$63,E113=$AB$64,$AF$64,E113=$AB$65,$AF$65,E113=$AB$66,$AF$66,TRUE,"0")</f>
        <v>if 0-0, BACK+ 0.5 GOALS  @ 1.15+odds.  or @ 40 mins</v>
      </c>
      <c r="D113" s="270" t="str" cm="1">
        <f t="array" ref="D113">_xlfn.IFS(E113=$AB$42,$AD$42,E113=$AB$43,$AD$43,E113=$AB$44,$AD$44,E113=$AB$45,$AD$45,E113=$AB$46,$AD$46,E113=$AB$47,$AD$47,E113=$AB$48,$AD$48,E113=$AB$49,$AD$49,E113=$AB$50,$AD$50,E113=$AB$51,$AD$51,E113=$AB$52,$AD$52,E113=$AB$53,$AD$53,E113=$AB$54,$AD$54,E113=$AB$55,$AD$55,E113=$AB$56,$AD$56,E113=$AB$57,$AD$57,E113=$AB$58,$AD$58,E113=$AB$59,$AD$59,E113=$AB$60,$AD$60,E113=$AB$61,$AD$61,E113=$AB$62,$AD$62,E113=$AB$63,$AD$63,E113=$AB$64,$AD$64,E113=$AB$65,$AD$65,E113=$AB$66,$AD$66,TRUE,"0")</f>
        <v>IP</v>
      </c>
      <c r="E113" s="163" t="s">
        <v>270</v>
      </c>
      <c r="F113" s="2" t="s">
        <v>149</v>
      </c>
      <c r="G113" s="2" t="s">
        <v>153</v>
      </c>
      <c r="H113" s="3">
        <v>45312.46875</v>
      </c>
      <c r="I113" s="2" t="s">
        <v>250</v>
      </c>
      <c r="J113" s="2" t="s">
        <v>188</v>
      </c>
      <c r="K113" s="2">
        <v>68</v>
      </c>
      <c r="L113" s="2">
        <v>0</v>
      </c>
      <c r="M113" s="2">
        <v>20</v>
      </c>
      <c r="N113" s="2"/>
      <c r="O113" s="2"/>
      <c r="P113" s="2"/>
      <c r="Q113" s="2" t="s">
        <v>95</v>
      </c>
      <c r="R113" s="14" t="s">
        <v>193</v>
      </c>
      <c r="S113" s="13" t="s">
        <v>216</v>
      </c>
      <c r="T113" s="188">
        <f t="shared" si="9"/>
        <v>56.410088116585882</v>
      </c>
      <c r="U113" s="8">
        <f t="shared" si="15"/>
        <v>10.153815860985459</v>
      </c>
      <c r="V113" s="234">
        <f t="shared" si="14"/>
        <v>1138.3555781927032</v>
      </c>
      <c r="W113" s="15">
        <v>25</v>
      </c>
      <c r="X113" s="8">
        <f t="shared" si="11"/>
        <v>4.5</v>
      </c>
      <c r="Y113" s="233">
        <f t="shared" si="12"/>
        <v>915.5</v>
      </c>
    </row>
    <row r="114" spans="1:25">
      <c r="A114" s="156" t="e" cm="1">
        <f t="array" aca="1" ref="A114" ca="1">_xlfn.IFS(E114=$AB$42,$AC$42,E114=$AB$43,$AC$43,E114=$AB$44,$AC$44,E114=$AB$45,$AC$45,E114=$AB$46,$AC$46,E114=$AB$47,$AC$47,E114=$AB$48,$AC$48,E114=$AB$49,$AC$49,E114=$AB$50,$AC$50,E114=$AB$51,$AC$51,E114=$AB$52,$AC$52,E114=$AB$53,$AC$53,E114=$AB$54,$AC$54,E114=$AB$55,$AC$55,E114=$AB$56,$AC$56,E114=$AB$57,$AC$57,E114=$AB$58,$AC$58,E114=$AB$59,$AC$59,E114=$AB$60,$AC$60,E114=$AB$61,$AC$61,E114=$AB$62,$AC$62,E114=$AB$63,$AC$63,E114=$AB$64,$AC$64,E114=$AB$65,$AC$65,E114=$AB$66,$AC$66,TRUE,"0")</f>
        <v>#NAME?</v>
      </c>
      <c r="C114" s="161" t="str" cm="1">
        <f t="array" ref="C114">_xlfn.IFS(E114=$AB$42,$AF$42,E114=$AB$43,$AF$43,E114=$AB$44,$AF$44,E114=$AB$45,$AF$45,E114=$AB$46,$AF$46,E114=$AB$47,$AF$47,E114=$AB$48,$AF$48,E114=$AB$49,$AF$49,E114=$AB$50,$AF$50,E114=$AB$51,$AF$51,E114=$AB$52,$AF$52,E114=$AB$53,$AF$53,E114=$AB$54,$AF$54,E114=$AB$55,$AF$55,E114=$AB$56,$AF$56,E114=$AB$57,$AF$57,E114=$AB$58,$AF$58,E114=$AB$59,$AF$59,E114=$AB$60,$AF$60,E114=$AB$61,$AF$61,E114=$AB$62,$AF$62,E114=$AB$63,$AF$63,E114=$AB$64,$AF$64,E114=$AB$65,$AF$65,E114=$AB$66,$AF$66,TRUE,"0")</f>
        <v>B4 match BACK FT +1.5 goals. X AFTER  GOAL</v>
      </c>
      <c r="D114" s="270" t="str" cm="1">
        <f t="array" ref="D114">_xlfn.IFS(E114=$AB$42,$AD$42,E114=$AB$43,$AD$43,E114=$AB$44,$AD$44,E114=$AB$45,$AD$45,E114=$AB$46,$AD$46,E114=$AB$47,$AD$47,E114=$AB$48,$AD$48,E114=$AB$49,$AD$49,E114=$AB$50,$AD$50,E114=$AB$51,$AD$51,E114=$AB$52,$AD$52,E114=$AB$53,$AD$53,E114=$AB$54,$AD$54,E114=$AB$55,$AD$55,E114=$AB$56,$AD$56,E114=$AB$57,$AD$57,E114=$AB$58,$AD$58,E114=$AB$59,$AD$59,E114=$AB$60,$AD$60,E114=$AB$61,$AD$61,E114=$AB$62,$AD$62,E114=$AB$63,$AD$63,E114=$AB$64,$AD$64,E114=$AB$65,$AD$65,E114=$AB$66,$AD$66,TRUE,"0")</f>
        <v xml:space="preserve">BFM </v>
      </c>
      <c r="E114" s="163" t="s">
        <v>406</v>
      </c>
      <c r="F114" s="2" t="s">
        <v>6</v>
      </c>
      <c r="G114" s="2" t="s">
        <v>14</v>
      </c>
      <c r="H114" s="3">
        <v>45312.5</v>
      </c>
      <c r="I114" s="2" t="s">
        <v>280</v>
      </c>
      <c r="J114" s="2" t="s">
        <v>200</v>
      </c>
      <c r="K114" s="2">
        <v>1.31</v>
      </c>
      <c r="L114" s="2">
        <v>13</v>
      </c>
      <c r="M114" s="2">
        <v>3.05</v>
      </c>
      <c r="N114" s="2">
        <v>5</v>
      </c>
      <c r="O114" s="2"/>
      <c r="P114" s="2"/>
      <c r="Q114" s="2" t="s">
        <v>95</v>
      </c>
      <c r="R114" s="14" t="s">
        <v>216</v>
      </c>
      <c r="S114" s="13" t="s">
        <v>222</v>
      </c>
      <c r="T114" s="188">
        <f t="shared" si="9"/>
        <v>56.91777890963516</v>
      </c>
      <c r="U114" s="8">
        <f t="shared" si="15"/>
        <v>10.245200203734328</v>
      </c>
      <c r="V114" s="234">
        <f t="shared" si="14"/>
        <v>1148.6007783964376</v>
      </c>
      <c r="W114" s="15">
        <v>25</v>
      </c>
      <c r="X114" s="8">
        <f t="shared" si="11"/>
        <v>4.5</v>
      </c>
      <c r="Y114" s="233">
        <f t="shared" si="12"/>
        <v>920</v>
      </c>
    </row>
    <row r="115" spans="1:25">
      <c r="A115" s="156" t="e" cm="1">
        <f t="array" aca="1" ref="A115" ca="1">_xlfn.IFS(E115=$AB$42,$AC$42,E115=$AB$43,$AC$43,E115=$AB$44,$AC$44,E115=$AB$45,$AC$45,E115=$AB$46,$AC$46,E115=$AB$47,$AC$47,E115=$AB$48,$AC$48,E115=$AB$49,$AC$49,E115=$AB$50,$AC$50,E115=$AB$51,$AC$51,E115=$AB$52,$AC$52,E115=$AB$53,$AC$53,E115=$AB$54,$AC$54,E115=$AB$55,$AC$55,E115=$AB$56,$AC$56,E115=$AB$57,$AC$57,E115=$AB$58,$AC$58,E115=$AB$59,$AC$59,E115=$AB$60,$AC$60,E115=$AB$61,$AC$61,E115=$AB$62,$AC$62,E115=$AB$63,$AC$63,E115=$AB$64,$AC$64,E115=$AB$65,$AC$65,E115=$AB$66,$AC$66,TRUE,"0")</f>
        <v>#NAME?</v>
      </c>
      <c r="C115" s="161" t="str" cm="1">
        <f t="array" ref="C115">_xlfn.IFS(E115=$AB$42,$AF$42,E115=$AB$43,$AF$43,E115=$AB$44,$AF$44,E115=$AB$45,$AF$45,E115=$AB$46,$AF$46,E115=$AB$47,$AF$47,E115=$AB$48,$AF$48,E115=$AB$49,$AF$49,E115=$AB$50,$AF$50,E115=$AB$51,$AF$51,E115=$AB$52,$AF$52,E115=$AB$53,$AF$53,E115=$AB$54,$AF$54,E115=$AB$55,$AF$55,E115=$AB$56,$AF$56,E115=$AB$57,$AF$57,E115=$AB$58,$AF$58,E115=$AB$59,$AF$59,E115=$AB$60,$AF$60,E115=$AB$61,$AF$61,E115=$AB$62,$AF$62,E115=$AB$63,$AF$63,E115=$AB$64,$AF$64,E115=$AB$65,$AF$65,E115=$AB$66,$AF$66,TRUE,"0")</f>
        <v>if 0-0, BACK+ 0.5 GOALS  @ 1.15+odds.  or @ 40 mins</v>
      </c>
      <c r="D115" s="270" t="str" cm="1">
        <f t="array" ref="D115">_xlfn.IFS(E115=$AB$42,$AD$42,E115=$AB$43,$AD$43,E115=$AB$44,$AD$44,E115=$AB$45,$AD$45,E115=$AB$46,$AD$46,E115=$AB$47,$AD$47,E115=$AB$48,$AD$48,E115=$AB$49,$AD$49,E115=$AB$50,$AD$50,E115=$AB$51,$AD$51,E115=$AB$52,$AD$52,E115=$AB$53,$AD$53,E115=$AB$54,$AD$54,E115=$AB$55,$AD$55,E115=$AB$56,$AD$56,E115=$AB$57,$AD$57,E115=$AB$58,$AD$58,E115=$AB$59,$AD$59,E115=$AB$60,$AD$60,E115=$AB$61,$AD$61,E115=$AB$62,$AD$62,E115=$AB$63,$AD$63,E115=$AB$64,$AD$64,E115=$AB$65,$AD$65,E115=$AB$66,$AD$66,TRUE,"0")</f>
        <v>IP</v>
      </c>
      <c r="E115" s="163" t="s">
        <v>270</v>
      </c>
      <c r="F115" s="2" t="s">
        <v>80</v>
      </c>
      <c r="G115" s="2" t="s">
        <v>81</v>
      </c>
      <c r="H115" s="3">
        <v>45312.541666666664</v>
      </c>
      <c r="I115" s="2" t="s">
        <v>82</v>
      </c>
      <c r="J115" s="2" t="s">
        <v>253</v>
      </c>
      <c r="K115" s="2">
        <v>59</v>
      </c>
      <c r="L115" s="2">
        <v>0</v>
      </c>
      <c r="M115" s="2">
        <v>20</v>
      </c>
      <c r="N115" s="2"/>
      <c r="O115" s="2"/>
      <c r="P115" s="2"/>
      <c r="Q115" s="2" t="s">
        <v>95</v>
      </c>
      <c r="R115" s="14" t="s">
        <v>214</v>
      </c>
      <c r="S115" s="13" t="s">
        <v>216</v>
      </c>
      <c r="T115" s="188">
        <f t="shared" si="9"/>
        <v>57.430038919821882</v>
      </c>
      <c r="U115" s="8">
        <f t="shared" si="15"/>
        <v>10.337407005567938</v>
      </c>
      <c r="V115" s="234">
        <f t="shared" si="14"/>
        <v>1158.9381854020055</v>
      </c>
      <c r="W115" s="15">
        <v>25</v>
      </c>
      <c r="X115" s="8">
        <f t="shared" si="11"/>
        <v>4.5</v>
      </c>
      <c r="Y115" s="233">
        <f t="shared" si="12"/>
        <v>924.5</v>
      </c>
    </row>
    <row r="116" spans="1:25">
      <c r="A116" s="156" t="e" cm="1">
        <f t="array" aca="1" ref="A116" ca="1">_xlfn.IFS(E116=$AB$42,$AC$42,E116=$AB$43,$AC$43,E116=$AB$44,$AC$44,E116=$AB$45,$AC$45,E116=$AB$46,$AC$46,E116=$AB$47,$AC$47,E116=$AB$48,$AC$48,E116=$AB$49,$AC$49,E116=$AB$50,$AC$50,E116=$AB$51,$AC$51,E116=$AB$52,$AC$52,E116=$AB$53,$AC$53,E116=$AB$54,$AC$54,E116=$AB$55,$AC$55,E116=$AB$56,$AC$56,E116=$AB$57,$AC$57,E116=$AB$58,$AC$58,E116=$AB$59,$AC$59,E116=$AB$60,$AC$60,E116=$AB$61,$AC$61,E116=$AB$62,$AC$62,E116=$AB$63,$AC$63,E116=$AB$64,$AC$64,E116=$AB$65,$AC$65,E116=$AB$66,$AC$66,TRUE,"0")</f>
        <v>#NAME?</v>
      </c>
      <c r="C116" s="161" t="str" cm="1">
        <f t="array" ref="C116">_xlfn.IFS(E116=$AB$42,$AF$42,E116=$AB$43,$AF$43,E116=$AB$44,$AF$44,E116=$AB$45,$AF$45,E116=$AB$46,$AF$46,E116=$AB$47,$AF$47,E116=$AB$48,$AF$48,E116=$AB$49,$AF$49,E116=$AB$50,$AF$50,E116=$AB$51,$AF$51,E116=$AB$52,$AF$52,E116=$AB$53,$AF$53,E116=$AB$54,$AF$54,E116=$AB$55,$AF$55,E116=$AB$56,$AF$56,E116=$AB$57,$AF$57,E116=$AB$58,$AF$58,E116=$AB$59,$AF$59,E116=$AB$60,$AF$60,E116=$AB$61,$AF$61,E116=$AB$62,$AF$62,E116=$AB$63,$AF$63,E116=$AB$64,$AF$64,E116=$AB$65,$AF$65,E116=$AB$66,$AF$66,TRUE,"0")</f>
        <v>B4 Match, lay HT 0-0 or BACK H1 +0.5 GOALS</v>
      </c>
      <c r="D116" s="270" t="str" cm="1">
        <f t="array" ref="D116">_xlfn.IFS(E116=$AB$42,$AD$42,E116=$AB$43,$AD$43,E116=$AB$44,$AD$44,E116=$AB$45,$AD$45,E116=$AB$46,$AD$46,E116=$AB$47,$AD$47,E116=$AB$48,$AD$48,E116=$AB$49,$AD$49,E116=$AB$50,$AD$50,E116=$AB$51,$AD$51,E116=$AB$52,$AD$52,E116=$AB$53,$AD$53,E116=$AB$54,$AD$54,E116=$AB$55,$AD$55,E116=$AB$56,$AD$56,E116=$AB$57,$AD$57,E116=$AB$58,$AD$58,E116=$AB$59,$AD$59,E116=$AB$60,$AD$60,E116=$AB$61,$AD$61,E116=$AB$62,$AD$62,E116=$AB$63,$AD$63,E116=$AB$64,$AD$64,E116=$AB$65,$AD$65,E116=$AB$66,$AD$66,TRUE,"0")</f>
        <v xml:space="preserve">BFM </v>
      </c>
      <c r="E116" s="163" t="s">
        <v>432</v>
      </c>
      <c r="F116" s="2" t="s">
        <v>149</v>
      </c>
      <c r="G116" s="2" t="s">
        <v>153</v>
      </c>
      <c r="H116" s="3">
        <v>45312.5625</v>
      </c>
      <c r="I116" s="2" t="s">
        <v>281</v>
      </c>
      <c r="J116" s="2" t="s">
        <v>282</v>
      </c>
      <c r="K116" s="2">
        <v>80</v>
      </c>
      <c r="L116" s="2">
        <v>22</v>
      </c>
      <c r="M116" s="2">
        <v>45</v>
      </c>
      <c r="N116" s="2"/>
      <c r="O116" s="2"/>
      <c r="P116" s="2"/>
      <c r="Q116" s="2" t="s">
        <v>95</v>
      </c>
      <c r="R116" s="14" t="s">
        <v>193</v>
      </c>
      <c r="S116" s="13" t="s">
        <v>223</v>
      </c>
      <c r="T116" s="188">
        <f t="shared" si="9"/>
        <v>57.946909270100278</v>
      </c>
      <c r="U116" s="8">
        <f t="shared" si="15"/>
        <v>10.43044366861805</v>
      </c>
      <c r="V116" s="234">
        <f t="shared" si="14"/>
        <v>1169.3686290706235</v>
      </c>
      <c r="W116" s="15">
        <v>25</v>
      </c>
      <c r="X116" s="8">
        <f t="shared" si="11"/>
        <v>4.5</v>
      </c>
      <c r="Y116" s="233">
        <f t="shared" si="12"/>
        <v>929</v>
      </c>
    </row>
    <row r="117" spans="1:25">
      <c r="A117" s="156" t="e" cm="1">
        <f t="array" aca="1" ref="A117" ca="1">_xlfn.IFS(E117=$AB$42,$AC$42,E117=$AB$43,$AC$43,E117=$AB$44,$AC$44,E117=$AB$45,$AC$45,E117=$AB$46,$AC$46,E117=$AB$47,$AC$47,E117=$AB$48,$AC$48,E117=$AB$49,$AC$49,E117=$AB$50,$AC$50,E117=$AB$51,$AC$51,E117=$AB$52,$AC$52,E117=$AB$53,$AC$53,E117=$AB$54,$AC$54,E117=$AB$55,$AC$55,E117=$AB$56,$AC$56,E117=$AB$57,$AC$57,E117=$AB$58,$AC$58,E117=$AB$59,$AC$59,E117=$AB$60,$AC$60,E117=$AB$61,$AC$61,E117=$AB$62,$AC$62,E117=$AB$63,$AC$63,E117=$AB$64,$AC$64,E117=$AB$65,$AC$65,E117=$AB$66,$AC$66,TRUE,"0")</f>
        <v>#NAME?</v>
      </c>
      <c r="C117" s="161" t="str" cm="1">
        <f t="array" ref="C117">_xlfn.IFS(E117=$AB$42,$AF$42,E117=$AB$43,$AF$43,E117=$AB$44,$AF$44,E117=$AB$45,$AF$45,E117=$AB$46,$AF$46,E117=$AB$47,$AF$47,E117=$AB$48,$AF$48,E117=$AB$49,$AF$49,E117=$AB$50,$AF$50,E117=$AB$51,$AF$51,E117=$AB$52,$AF$52,E117=$AB$53,$AF$53,E117=$AB$54,$AF$54,E117=$AB$55,$AF$55,E117=$AB$56,$AF$56,E117=$AB$57,$AF$57,E117=$AB$58,$AF$58,E117=$AB$59,$AF$59,E117=$AB$60,$AF$60,E117=$AB$61,$AF$61,E117=$AB$62,$AF$62,E117=$AB$63,$AF$63,E117=$AB$64,$AF$64,E117=$AB$65,$AF$65,E117=$AB$66,$AF$66,TRUE,"0")</f>
        <v>40 mins Back ANother Goal</v>
      </c>
      <c r="D117" s="270" t="str" cm="1">
        <f t="array" ref="D117">_xlfn.IFS(E117=$AB$42,$AD$42,E117=$AB$43,$AD$43,E117=$AB$44,$AD$44,E117=$AB$45,$AD$45,E117=$AB$46,$AD$46,E117=$AB$47,$AD$47,E117=$AB$48,$AD$48,E117=$AB$49,$AD$49,E117=$AB$50,$AD$50,E117=$AB$51,$AD$51,E117=$AB$52,$AD$52,E117=$AB$53,$AD$53,E117=$AB$54,$AD$54,E117=$AB$55,$AD$55,E117=$AB$56,$AD$56,E117=$AB$57,$AD$57,E117=$AB$58,$AD$58,E117=$AB$59,$AD$59,E117=$AB$60,$AD$60,E117=$AB$61,$AD$61,E117=$AB$62,$AD$62,E117=$AB$63,$AD$63,E117=$AB$64,$AD$64,E117=$AB$65,$AD$65,E117=$AB$66,$AD$66,TRUE,"0")</f>
        <v xml:space="preserve">  BANG</v>
      </c>
      <c r="E117" s="163" t="s">
        <v>10</v>
      </c>
      <c r="F117" s="2" t="s">
        <v>6</v>
      </c>
      <c r="G117" s="2" t="s">
        <v>62</v>
      </c>
      <c r="H117" s="3">
        <v>45312.583333333336</v>
      </c>
      <c r="I117" s="2" t="s">
        <v>85</v>
      </c>
      <c r="J117" s="2" t="s">
        <v>74</v>
      </c>
      <c r="K117" s="2">
        <v>2.2000000000000002</v>
      </c>
      <c r="L117" s="2">
        <v>95</v>
      </c>
      <c r="M117" s="2">
        <v>70</v>
      </c>
      <c r="N117" s="2">
        <v>35</v>
      </c>
      <c r="O117" s="2">
        <v>61</v>
      </c>
      <c r="P117" s="2">
        <v>20</v>
      </c>
      <c r="Q117" s="2" t="s">
        <v>95</v>
      </c>
      <c r="R117" s="14" t="s">
        <v>216</v>
      </c>
      <c r="S117" s="13" t="s">
        <v>210</v>
      </c>
      <c r="T117" s="188">
        <f t="shared" si="9"/>
        <v>58.468431453531174</v>
      </c>
      <c r="U117" s="8">
        <f t="shared" si="15"/>
        <v>10.52431766163561</v>
      </c>
      <c r="V117" s="234">
        <f t="shared" si="14"/>
        <v>1179.8929467322591</v>
      </c>
      <c r="W117" s="15">
        <v>25</v>
      </c>
      <c r="X117" s="8">
        <f t="shared" si="11"/>
        <v>4.5</v>
      </c>
      <c r="Y117" s="233">
        <f t="shared" si="12"/>
        <v>933.5</v>
      </c>
    </row>
    <row r="118" spans="1:25">
      <c r="A118" s="156" t="e" cm="1">
        <f t="array" aca="1" ref="A118" ca="1">_xlfn.IFS(E118=$AB$42,$AC$42,E118=$AB$43,$AC$43,E118=$AB$44,$AC$44,E118=$AB$45,$AC$45,E118=$AB$46,$AC$46,E118=$AB$47,$AC$47,E118=$AB$48,$AC$48,E118=$AB$49,$AC$49,E118=$AB$50,$AC$50,E118=$AB$51,$AC$51,E118=$AB$52,$AC$52,E118=$AB$53,$AC$53,E118=$AB$54,$AC$54,E118=$AB$55,$AC$55,E118=$AB$56,$AC$56,E118=$AB$57,$AC$57,E118=$AB$58,$AC$58,E118=$AB$59,$AC$59,E118=$AB$60,$AC$60,E118=$AB$61,$AC$61,E118=$AB$62,$AC$62,E118=$AB$63,$AC$63,E118=$AB$64,$AC$64,E118=$AB$65,$AC$65,E118=$AB$66,$AC$66,TRUE,"0")</f>
        <v>#NAME?</v>
      </c>
      <c r="C118" s="161" t="str" cm="1">
        <f t="array" ref="C118">_xlfn.IFS(E118=$AB$42,$AF$42,E118=$AB$43,$AF$43,E118=$AB$44,$AF$44,E118=$AB$45,$AF$45,E118=$AB$46,$AF$46,E118=$AB$47,$AF$47,E118=$AB$48,$AF$48,E118=$AB$49,$AF$49,E118=$AB$50,$AF$50,E118=$AB$51,$AF$51,E118=$AB$52,$AF$52,E118=$AB$53,$AF$53,E118=$AB$54,$AF$54,E118=$AB$55,$AF$55,E118=$AB$56,$AF$56,E118=$AB$57,$AF$57,E118=$AB$58,$AF$58,E118=$AB$59,$AF$59,E118=$AB$60,$AF$60,E118=$AB$61,$AF$61,E118=$AB$62,$AF$62,E118=$AB$63,$AF$63,E118=$AB$64,$AF$64,E118=$AB$65,$AF$65,E118=$AB$66,$AF$66,TRUE,"0")</f>
        <v>if 0-0, BACK+ 0.5 GOALS  @ 1.15+odds.  or @ 40 mins</v>
      </c>
      <c r="D118" s="270" t="str" cm="1">
        <f t="array" ref="D118">_xlfn.IFS(E118=$AB$42,$AD$42,E118=$AB$43,$AD$43,E118=$AB$44,$AD$44,E118=$AB$45,$AD$45,E118=$AB$46,$AD$46,E118=$AB$47,$AD$47,E118=$AB$48,$AD$48,E118=$AB$49,$AD$49,E118=$AB$50,$AD$50,E118=$AB$51,$AD$51,E118=$AB$52,$AD$52,E118=$AB$53,$AD$53,E118=$AB$54,$AD$54,E118=$AB$55,$AD$55,E118=$AB$56,$AD$56,E118=$AB$57,$AD$57,E118=$AB$58,$AD$58,E118=$AB$59,$AD$59,E118=$AB$60,$AD$60,E118=$AB$61,$AD$61,E118=$AB$62,$AD$62,E118=$AB$63,$AD$63,E118=$AB$64,$AD$64,E118=$AB$65,$AD$65,E118=$AB$66,$AD$66,TRUE,"0")</f>
        <v>IP</v>
      </c>
      <c r="E118" s="163" t="s">
        <v>270</v>
      </c>
      <c r="F118" s="2" t="s">
        <v>6</v>
      </c>
      <c r="G118" s="2" t="s">
        <v>62</v>
      </c>
      <c r="H118" s="3">
        <v>45312.583333333336</v>
      </c>
      <c r="I118" s="2" t="s">
        <v>85</v>
      </c>
      <c r="J118" s="2" t="s">
        <v>74</v>
      </c>
      <c r="K118" s="2">
        <v>63</v>
      </c>
      <c r="L118" s="2">
        <v>0</v>
      </c>
      <c r="M118" s="2">
        <v>20</v>
      </c>
      <c r="N118" s="2"/>
      <c r="O118" s="2"/>
      <c r="P118" s="2"/>
      <c r="Q118" s="2" t="s">
        <v>95</v>
      </c>
      <c r="R118" s="14" t="s">
        <v>216</v>
      </c>
      <c r="S118" s="13" t="s">
        <v>210</v>
      </c>
      <c r="T118" s="188">
        <f t="shared" si="9"/>
        <v>58.994647336612957</v>
      </c>
      <c r="U118" s="8">
        <f t="shared" si="15"/>
        <v>10.619036520590331</v>
      </c>
      <c r="V118" s="234">
        <f t="shared" si="14"/>
        <v>1190.5119832528494</v>
      </c>
      <c r="W118" s="15">
        <v>25</v>
      </c>
      <c r="X118" s="8">
        <f t="shared" si="11"/>
        <v>4.5</v>
      </c>
      <c r="Y118" s="233">
        <f t="shared" si="12"/>
        <v>938</v>
      </c>
    </row>
    <row r="119" spans="1:25">
      <c r="A119" s="156" t="e" cm="1">
        <f t="array" aca="1" ref="A119" ca="1">_xlfn.IFS(E119=$AB$42,$AC$42,E119=$AB$43,$AC$43,E119=$AB$44,$AC$44,E119=$AB$45,$AC$45,E119=$AB$46,$AC$46,E119=$AB$47,$AC$47,E119=$AB$48,$AC$48,E119=$AB$49,$AC$49,E119=$AB$50,$AC$50,E119=$AB$51,$AC$51,E119=$AB$52,$AC$52,E119=$AB$53,$AC$53,E119=$AB$54,$AC$54,E119=$AB$55,$AC$55,E119=$AB$56,$AC$56,E119=$AB$57,$AC$57,E119=$AB$58,$AC$58,E119=$AB$59,$AC$59,E119=$AB$60,$AC$60,E119=$AB$61,$AC$61,E119=$AB$62,$AC$62,E119=$AB$63,$AC$63,E119=$AB$64,$AC$64,E119=$AB$65,$AC$65,E119=$AB$66,$AC$66,TRUE,"0")</f>
        <v>#NAME?</v>
      </c>
      <c r="C119" s="161" t="str" cm="1">
        <f t="array" ref="C119">_xlfn.IFS(E119=$AB$42,$AF$42,E119=$AB$43,$AF$43,E119=$AB$44,$AF$44,E119=$AB$45,$AF$45,E119=$AB$46,$AF$46,E119=$AB$47,$AF$47,E119=$AB$48,$AF$48,E119=$AB$49,$AF$49,E119=$AB$50,$AF$50,E119=$AB$51,$AF$51,E119=$AB$52,$AF$52,E119=$AB$53,$AF$53,E119=$AB$54,$AF$54,E119=$AB$55,$AF$55,E119=$AB$56,$AF$56,E119=$AB$57,$AF$57,E119=$AB$58,$AF$58,E119=$AB$59,$AF$59,E119=$AB$60,$AF$60,E119=$AB$61,$AF$61,E119=$AB$62,$AF$62,E119=$AB$63,$AF$63,E119=$AB$64,$AF$64,E119=$AB$65,$AF$65,E119=$AB$66,$AF$66,TRUE,"0")</f>
        <v>40 mins Back ANother Goal</v>
      </c>
      <c r="D119" s="270" t="str" cm="1">
        <f t="array" ref="D119">_xlfn.IFS(E119=$AB$42,$AD$42,E119=$AB$43,$AD$43,E119=$AB$44,$AD$44,E119=$AB$45,$AD$45,E119=$AB$46,$AD$46,E119=$AB$47,$AD$47,E119=$AB$48,$AD$48,E119=$AB$49,$AD$49,E119=$AB$50,$AD$50,E119=$AB$51,$AD$51,E119=$AB$52,$AD$52,E119=$AB$53,$AD$53,E119=$AB$54,$AD$54,E119=$AB$55,$AD$55,E119=$AB$56,$AD$56,E119=$AB$57,$AD$57,E119=$AB$58,$AD$58,E119=$AB$59,$AD$59,E119=$AB$60,$AD$60,E119=$AB$61,$AD$61,E119=$AB$62,$AD$62,E119=$AB$63,$AD$63,E119=$AB$64,$AD$64,E119=$AB$65,$AD$65,E119=$AB$66,$AD$66,TRUE,"0")</f>
        <v xml:space="preserve">  BANG</v>
      </c>
      <c r="E119" s="163" t="s">
        <v>10</v>
      </c>
      <c r="F119" s="2" t="s">
        <v>133</v>
      </c>
      <c r="G119" s="2" t="s">
        <v>78</v>
      </c>
      <c r="H119" s="3">
        <v>45312.583333333336</v>
      </c>
      <c r="I119" s="2" t="s">
        <v>134</v>
      </c>
      <c r="J119" s="2" t="s">
        <v>137</v>
      </c>
      <c r="K119" s="2">
        <v>2.29</v>
      </c>
      <c r="L119" s="2">
        <v>100</v>
      </c>
      <c r="M119" s="2">
        <v>71</v>
      </c>
      <c r="N119" s="2">
        <v>35</v>
      </c>
      <c r="O119" s="2">
        <v>61</v>
      </c>
      <c r="P119" s="2">
        <v>17</v>
      </c>
      <c r="Q119" s="2" t="s">
        <v>95</v>
      </c>
      <c r="R119" s="14" t="s">
        <v>217</v>
      </c>
      <c r="S119" s="13" t="s">
        <v>287</v>
      </c>
      <c r="T119" s="188">
        <f t="shared" si="9"/>
        <v>59.525599162642472</v>
      </c>
      <c r="U119" s="8">
        <f t="shared" si="15"/>
        <v>10.714607849275644</v>
      </c>
      <c r="V119" s="234">
        <f t="shared" si="14"/>
        <v>1201.226591102125</v>
      </c>
      <c r="W119" s="15">
        <v>25</v>
      </c>
      <c r="X119" s="8">
        <f t="shared" si="11"/>
        <v>4.5</v>
      </c>
      <c r="Y119" s="233">
        <f t="shared" si="12"/>
        <v>942.5</v>
      </c>
    </row>
    <row r="120" spans="1:25">
      <c r="A120" s="156" t="e" cm="1">
        <f t="array" aca="1" ref="A120" ca="1">_xlfn.IFS(E120=$AB$42,$AC$42,E120=$AB$43,$AC$43,E120=$AB$44,$AC$44,E120=$AB$45,$AC$45,E120=$AB$46,$AC$46,E120=$AB$47,$AC$47,E120=$AB$48,$AC$48,E120=$AB$49,$AC$49,E120=$AB$50,$AC$50,E120=$AB$51,$AC$51,E120=$AB$52,$AC$52,E120=$AB$53,$AC$53,E120=$AB$54,$AC$54,E120=$AB$55,$AC$55,E120=$AB$56,$AC$56,E120=$AB$57,$AC$57,E120=$AB$58,$AC$58,E120=$AB$59,$AC$59,E120=$AB$60,$AC$60,E120=$AB$61,$AC$61,E120=$AB$62,$AC$62,E120=$AB$63,$AC$63,E120=$AB$64,$AC$64,E120=$AB$65,$AC$65,E120=$AB$66,$AC$66,TRUE,"0")</f>
        <v>#NAME?</v>
      </c>
      <c r="C120" s="161" t="str" cm="1">
        <f t="array" ref="C120">_xlfn.IFS(E120=$AB$42,$AF$42,E120=$AB$43,$AF$43,E120=$AB$44,$AF$44,E120=$AB$45,$AF$45,E120=$AB$46,$AF$46,E120=$AB$47,$AF$47,E120=$AB$48,$AF$48,E120=$AB$49,$AF$49,E120=$AB$50,$AF$50,E120=$AB$51,$AF$51,E120=$AB$52,$AF$52,E120=$AB$53,$AF$53,E120=$AB$54,$AF$54,E120=$AB$55,$AF$55,E120=$AB$56,$AF$56,E120=$AB$57,$AF$57,E120=$AB$58,$AF$58,E120=$AB$59,$AF$59,E120=$AB$60,$AF$60,E120=$AB$61,$AF$61,E120=$AB$62,$AF$62,E120=$AB$63,$AF$63,E120=$AB$64,$AF$64,E120=$AB$65,$AF$65,E120=$AB$66,$AF$66,TRUE,"0")</f>
        <v>if 0-0, BACK+ 0.5 GOALS  @ 1.15+odds.  or @ 40 mins</v>
      </c>
      <c r="D120" s="270" t="str" cm="1">
        <f t="array" ref="D120">_xlfn.IFS(E120=$AB$42,$AD$42,E120=$AB$43,$AD$43,E120=$AB$44,$AD$44,E120=$AB$45,$AD$45,E120=$AB$46,$AD$46,E120=$AB$47,$AD$47,E120=$AB$48,$AD$48,E120=$AB$49,$AD$49,E120=$AB$50,$AD$50,E120=$AB$51,$AD$51,E120=$AB$52,$AD$52,E120=$AB$53,$AD$53,E120=$AB$54,$AD$54,E120=$AB$55,$AD$55,E120=$AB$56,$AD$56,E120=$AB$57,$AD$57,E120=$AB$58,$AD$58,E120=$AB$59,$AD$59,E120=$AB$60,$AD$60,E120=$AB$61,$AD$61,E120=$AB$62,$AD$62,E120=$AB$63,$AD$63,E120=$AB$64,$AD$64,E120=$AB$65,$AD$65,E120=$AB$66,$AD$66,TRUE,"0")</f>
        <v>IP</v>
      </c>
      <c r="E120" s="163" t="s">
        <v>270</v>
      </c>
      <c r="F120" s="2" t="s">
        <v>133</v>
      </c>
      <c r="G120" s="2" t="s">
        <v>78</v>
      </c>
      <c r="H120" s="3">
        <v>45312.583333333336</v>
      </c>
      <c r="I120" s="2" t="s">
        <v>134</v>
      </c>
      <c r="J120" s="2" t="s">
        <v>137</v>
      </c>
      <c r="K120" s="2">
        <v>65</v>
      </c>
      <c r="L120" s="2">
        <v>0</v>
      </c>
      <c r="M120" s="2">
        <v>20</v>
      </c>
      <c r="N120" s="2"/>
      <c r="O120" s="2"/>
      <c r="P120" s="2"/>
      <c r="Q120" s="2" t="s">
        <v>95</v>
      </c>
      <c r="R120" s="14" t="s">
        <v>217</v>
      </c>
      <c r="S120" s="13" t="s">
        <v>287</v>
      </c>
      <c r="T120" s="188">
        <f t="shared" si="9"/>
        <v>60.061329555106255</v>
      </c>
      <c r="U120" s="8">
        <f t="shared" si="15"/>
        <v>10.811039319919125</v>
      </c>
      <c r="V120" s="234">
        <f t="shared" si="14"/>
        <v>1212.037630422044</v>
      </c>
      <c r="W120" s="15">
        <v>25</v>
      </c>
      <c r="X120" s="8">
        <f t="shared" si="11"/>
        <v>4.5</v>
      </c>
      <c r="Y120" s="233">
        <f t="shared" si="12"/>
        <v>947</v>
      </c>
    </row>
    <row r="121" spans="1:25">
      <c r="A121" s="156" t="e" cm="1">
        <f t="array" aca="1" ref="A121" ca="1">_xlfn.IFS(E121=$AB$42,$AC$42,E121=$AB$43,$AC$43,E121=$AB$44,$AC$44,E121=$AB$45,$AC$45,E121=$AB$46,$AC$46,E121=$AB$47,$AC$47,E121=$AB$48,$AC$48,E121=$AB$49,$AC$49,E121=$AB$50,$AC$50,E121=$AB$51,$AC$51,E121=$AB$52,$AC$52,E121=$AB$53,$AC$53,E121=$AB$54,$AC$54,E121=$AB$55,$AC$55,E121=$AB$56,$AC$56,E121=$AB$57,$AC$57,E121=$AB$58,$AC$58,E121=$AB$59,$AC$59,E121=$AB$60,$AC$60,E121=$AB$61,$AC$61,E121=$AB$62,$AC$62,E121=$AB$63,$AC$63,E121=$AB$64,$AC$64,E121=$AB$65,$AC$65,E121=$AB$66,$AC$66,TRUE,"0")</f>
        <v>#NAME?</v>
      </c>
      <c r="C121" s="161" t="str" cm="1">
        <f t="array" ref="C121">_xlfn.IFS(E121=$AB$42,$AF$42,E121=$AB$43,$AF$43,E121=$AB$44,$AF$44,E121=$AB$45,$AF$45,E121=$AB$46,$AF$46,E121=$AB$47,$AF$47,E121=$AB$48,$AF$48,E121=$AB$49,$AF$49,E121=$AB$50,$AF$50,E121=$AB$51,$AF$51,E121=$AB$52,$AF$52,E121=$AB$53,$AF$53,E121=$AB$54,$AF$54,E121=$AB$55,$AF$55,E121=$AB$56,$AF$56,E121=$AB$57,$AF$57,E121=$AB$58,$AF$58,E121=$AB$59,$AF$59,E121=$AB$60,$AF$60,E121=$AB$61,$AF$61,E121=$AB$62,$AF$62,E121=$AB$63,$AF$63,E121=$AB$64,$AF$64,E121=$AB$65,$AF$65,E121=$AB$66,$AF$66,TRUE,"0")</f>
        <v>if 0-0, BACK+ 0.5 GOALS  @ 1.15+odds.  or @ 40 mins</v>
      </c>
      <c r="D121" s="270" t="str" cm="1">
        <f t="array" ref="D121">_xlfn.IFS(E121=$AB$42,$AD$42,E121=$AB$43,$AD$43,E121=$AB$44,$AD$44,E121=$AB$45,$AD$45,E121=$AB$46,$AD$46,E121=$AB$47,$AD$47,E121=$AB$48,$AD$48,E121=$AB$49,$AD$49,E121=$AB$50,$AD$50,E121=$AB$51,$AD$51,E121=$AB$52,$AD$52,E121=$AB$53,$AD$53,E121=$AB$54,$AD$54,E121=$AB$55,$AD$55,E121=$AB$56,$AD$56,E121=$AB$57,$AD$57,E121=$AB$58,$AD$58,E121=$AB$59,$AD$59,E121=$AB$60,$AD$60,E121=$AB$61,$AD$61,E121=$AB$62,$AD$62,E121=$AB$63,$AD$63,E121=$AB$64,$AD$64,E121=$AB$65,$AD$65,E121=$AB$66,$AD$66,TRUE,"0")</f>
        <v>IP</v>
      </c>
      <c r="E121" s="163" t="s">
        <v>270</v>
      </c>
      <c r="F121" s="2" t="s">
        <v>77</v>
      </c>
      <c r="G121" s="2" t="s">
        <v>156</v>
      </c>
      <c r="H121" s="3">
        <v>45312.604166666664</v>
      </c>
      <c r="I121" s="2" t="s">
        <v>157</v>
      </c>
      <c r="J121" s="2" t="s">
        <v>254</v>
      </c>
      <c r="K121" s="2">
        <v>67</v>
      </c>
      <c r="L121" s="2">
        <v>0</v>
      </c>
      <c r="M121" s="2">
        <v>20</v>
      </c>
      <c r="N121" s="2"/>
      <c r="O121" s="2"/>
      <c r="P121" s="2"/>
      <c r="Q121" s="2" t="s">
        <v>95</v>
      </c>
      <c r="R121" s="14" t="s">
        <v>221</v>
      </c>
      <c r="S121" s="13" t="s">
        <v>193</v>
      </c>
      <c r="T121" s="188">
        <f t="shared" si="9"/>
        <v>60.6018815211022</v>
      </c>
      <c r="U121" s="8">
        <f t="shared" si="15"/>
        <v>10.908338673798395</v>
      </c>
      <c r="V121" s="234">
        <f t="shared" si="14"/>
        <v>1222.9459690958424</v>
      </c>
      <c r="W121" s="15">
        <v>25</v>
      </c>
      <c r="X121" s="8">
        <f t="shared" si="11"/>
        <v>4.5</v>
      </c>
      <c r="Y121" s="233">
        <f t="shared" si="12"/>
        <v>951.5</v>
      </c>
    </row>
    <row r="122" spans="1:25">
      <c r="A122" s="156" t="e" cm="1">
        <f t="array" aca="1" ref="A122" ca="1">_xlfn.IFS(E122=$AB$42,$AC$42,E122=$AB$43,$AC$43,E122=$AB$44,$AC$44,E122=$AB$45,$AC$45,E122=$AB$46,$AC$46,E122=$AB$47,$AC$47,E122=$AB$48,$AC$48,E122=$AB$49,$AC$49,E122=$AB$50,$AC$50,E122=$AB$51,$AC$51,E122=$AB$52,$AC$52,E122=$AB$53,$AC$53,E122=$AB$54,$AC$54,E122=$AB$55,$AC$55,E122=$AB$56,$AC$56,E122=$AB$57,$AC$57,E122=$AB$58,$AC$58,E122=$AB$59,$AC$59,E122=$AB$60,$AC$60,E122=$AB$61,$AC$61,E122=$AB$62,$AC$62,E122=$AB$63,$AC$63,E122=$AB$64,$AC$64,E122=$AB$65,$AC$65,E122=$AB$66,$AC$66,TRUE,"0")</f>
        <v>#NAME?</v>
      </c>
      <c r="C122" s="161" t="str" cm="1">
        <f t="array" ref="C122">_xlfn.IFS(E122=$AB$42,$AF$42,E122=$AB$43,$AF$43,E122=$AB$44,$AF$44,E122=$AB$45,$AF$45,E122=$AB$46,$AF$46,E122=$AB$47,$AF$47,E122=$AB$48,$AF$48,E122=$AB$49,$AF$49,E122=$AB$50,$AF$50,E122=$AB$51,$AF$51,E122=$AB$52,$AF$52,E122=$AB$53,$AF$53,E122=$AB$54,$AF$54,E122=$AB$55,$AF$55,E122=$AB$56,$AF$56,E122=$AB$57,$AF$57,E122=$AB$58,$AF$58,E122=$AB$59,$AF$59,E122=$AB$60,$AF$60,E122=$AB$61,$AF$61,E122=$AB$62,$AF$62,E122=$AB$63,$AF$63,E122=$AB$64,$AF$64,E122=$AB$65,$AF$65,E122=$AB$66,$AF$66,TRUE,"0")</f>
        <v>B4 Match, lay HT 0-0 or BACK H1 +0.5 GOALS</v>
      </c>
      <c r="D122" s="270" t="str" cm="1">
        <f t="array" ref="D122">_xlfn.IFS(E122=$AB$42,$AD$42,E122=$AB$43,$AD$43,E122=$AB$44,$AD$44,E122=$AB$45,$AD$45,E122=$AB$46,$AD$46,E122=$AB$47,$AD$47,E122=$AB$48,$AD$48,E122=$AB$49,$AD$49,E122=$AB$50,$AD$50,E122=$AB$51,$AD$51,E122=$AB$52,$AD$52,E122=$AB$53,$AD$53,E122=$AB$54,$AD$54,E122=$AB$55,$AD$55,E122=$AB$56,$AD$56,E122=$AB$57,$AD$57,E122=$AB$58,$AD$58,E122=$AB$59,$AD$59,E122=$AB$60,$AD$60,E122=$AB$61,$AD$61,E122=$AB$62,$AD$62,E122=$AB$63,$AD$63,E122=$AB$64,$AD$64,E122=$AB$65,$AD$65,E122=$AB$66,$AD$66,TRUE,"0")</f>
        <v xml:space="preserve">BFM </v>
      </c>
      <c r="E122" s="163" t="s">
        <v>432</v>
      </c>
      <c r="F122" s="2" t="s">
        <v>77</v>
      </c>
      <c r="G122" s="2" t="s">
        <v>156</v>
      </c>
      <c r="H122" s="3">
        <v>45312.6875</v>
      </c>
      <c r="I122" s="2" t="s">
        <v>167</v>
      </c>
      <c r="J122" s="2" t="s">
        <v>284</v>
      </c>
      <c r="K122" s="2">
        <v>83</v>
      </c>
      <c r="L122" s="2">
        <v>21</v>
      </c>
      <c r="M122" s="2">
        <v>65</v>
      </c>
      <c r="N122" s="2"/>
      <c r="O122" s="2"/>
      <c r="P122" s="2"/>
      <c r="Q122" s="2" t="s">
        <v>95</v>
      </c>
      <c r="R122" s="14" t="s">
        <v>214</v>
      </c>
      <c r="S122" s="13" t="s">
        <v>223</v>
      </c>
      <c r="T122" s="188">
        <f t="shared" si="9"/>
        <v>61.147298454792121</v>
      </c>
      <c r="U122" s="8">
        <f t="shared" si="15"/>
        <v>11.006513721862582</v>
      </c>
      <c r="V122" s="234">
        <f t="shared" si="14"/>
        <v>1233.952482817705</v>
      </c>
      <c r="W122" s="15">
        <v>25</v>
      </c>
      <c r="X122" s="8">
        <f t="shared" si="11"/>
        <v>4.5</v>
      </c>
      <c r="Y122" s="233">
        <f t="shared" si="12"/>
        <v>956</v>
      </c>
    </row>
    <row r="123" spans="1:25">
      <c r="A123" s="156" t="e" cm="1">
        <f t="array" aca="1" ref="A123" ca="1">_xlfn.IFS(E123=$AB$42,$AC$42,E123=$AB$43,$AC$43,E123=$AB$44,$AC$44,E123=$AB$45,$AC$45,E123=$AB$46,$AC$46,E123=$AB$47,$AC$47,E123=$AB$48,$AC$48,E123=$AB$49,$AC$49,E123=$AB$50,$AC$50,E123=$AB$51,$AC$51,E123=$AB$52,$AC$52,E123=$AB$53,$AC$53,E123=$AB$54,$AC$54,E123=$AB$55,$AC$55,E123=$AB$56,$AC$56,E123=$AB$57,$AC$57,E123=$AB$58,$AC$58,E123=$AB$59,$AC$59,E123=$AB$60,$AC$60,E123=$AB$61,$AC$61,E123=$AB$62,$AC$62,E123=$AB$63,$AC$63,E123=$AB$64,$AC$64,E123=$AB$65,$AC$65,E123=$AB$66,$AC$66,TRUE,"0")</f>
        <v>#NAME?</v>
      </c>
      <c r="C123" s="161" t="str" cm="1">
        <f t="array" ref="C123">_xlfn.IFS(E123=$AB$42,$AF$42,E123=$AB$43,$AF$43,E123=$AB$44,$AF$44,E123=$AB$45,$AF$45,E123=$AB$46,$AF$46,E123=$AB$47,$AF$47,E123=$AB$48,$AF$48,E123=$AB$49,$AF$49,E123=$AB$50,$AF$50,E123=$AB$51,$AF$51,E123=$AB$52,$AF$52,E123=$AB$53,$AF$53,E123=$AB$54,$AF$54,E123=$AB$55,$AF$55,E123=$AB$56,$AF$56,E123=$AB$57,$AF$57,E123=$AB$58,$AF$58,E123=$AB$59,$AF$59,E123=$AB$60,$AF$60,E123=$AB$61,$AF$61,E123=$AB$62,$AF$62,E123=$AB$63,$AF$63,E123=$AB$64,$AF$64,E123=$AB$65,$AF$65,E123=$AB$66,$AF$66,TRUE,"0")</f>
        <v>B4 Match, lay HT 0-0 or BACK H1 +0.5 GOALS</v>
      </c>
      <c r="D123" s="270" t="str" cm="1">
        <f t="array" ref="D123">_xlfn.IFS(E123=$AB$42,$AD$42,E123=$AB$43,$AD$43,E123=$AB$44,$AD$44,E123=$AB$45,$AD$45,E123=$AB$46,$AD$46,E123=$AB$47,$AD$47,E123=$AB$48,$AD$48,E123=$AB$49,$AD$49,E123=$AB$50,$AD$50,E123=$AB$51,$AD$51,E123=$AB$52,$AD$52,E123=$AB$53,$AD$53,E123=$AB$54,$AD$54,E123=$AB$55,$AD$55,E123=$AB$56,$AD$56,E123=$AB$57,$AD$57,E123=$AB$58,$AD$58,E123=$AB$59,$AD$59,E123=$AB$60,$AD$60,E123=$AB$61,$AD$61,E123=$AB$62,$AD$62,E123=$AB$63,$AD$63,E123=$AB$64,$AD$64,E123=$AB$65,$AD$65,E123=$AB$66,$AD$66,TRUE,"0")</f>
        <v xml:space="preserve">BFM </v>
      </c>
      <c r="E123" s="163" t="s">
        <v>432</v>
      </c>
      <c r="F123" s="2" t="s">
        <v>6</v>
      </c>
      <c r="G123" s="2" t="s">
        <v>62</v>
      </c>
      <c r="H123" s="3">
        <v>45312.6875</v>
      </c>
      <c r="I123" s="2" t="s">
        <v>117</v>
      </c>
      <c r="J123" s="2" t="s">
        <v>285</v>
      </c>
      <c r="K123" s="2">
        <v>83</v>
      </c>
      <c r="L123" s="2">
        <v>24</v>
      </c>
      <c r="M123" s="2">
        <v>45</v>
      </c>
      <c r="N123" s="2"/>
      <c r="O123" s="2"/>
      <c r="P123" s="2"/>
      <c r="Q123" s="2" t="s">
        <v>96</v>
      </c>
      <c r="R123" s="14" t="s">
        <v>221</v>
      </c>
      <c r="S123" s="13" t="s">
        <v>288</v>
      </c>
      <c r="T123" s="188">
        <f t="shared" si="9"/>
        <v>61.697624140885253</v>
      </c>
      <c r="U123" s="8">
        <f t="shared" si="15"/>
        <v>-61.697624140885253</v>
      </c>
      <c r="V123" s="234">
        <f t="shared" si="14"/>
        <v>1172.2548586768198</v>
      </c>
      <c r="W123" s="15">
        <v>25</v>
      </c>
      <c r="X123" s="8">
        <f t="shared" si="11"/>
        <v>-25</v>
      </c>
      <c r="Y123" s="233">
        <f t="shared" si="12"/>
        <v>931</v>
      </c>
    </row>
    <row r="124" spans="1:25">
      <c r="A124" s="156" t="e" cm="1">
        <f t="array" aca="1" ref="A124" ca="1">_xlfn.IFS(E124=$AB$42,$AC$42,E124=$AB$43,$AC$43,E124=$AB$44,$AC$44,E124=$AB$45,$AC$45,E124=$AB$46,$AC$46,E124=$AB$47,$AC$47,E124=$AB$48,$AC$48,E124=$AB$49,$AC$49,E124=$AB$50,$AC$50,E124=$AB$51,$AC$51,E124=$AB$52,$AC$52,E124=$AB$53,$AC$53,E124=$AB$54,$AC$54,E124=$AB$55,$AC$55,E124=$AB$56,$AC$56,E124=$AB$57,$AC$57,E124=$AB$58,$AC$58,E124=$AB$59,$AC$59,E124=$AB$60,$AC$60,E124=$AB$61,$AC$61,E124=$AB$62,$AC$62,E124=$AB$63,$AC$63,E124=$AB$64,$AC$64,E124=$AB$65,$AC$65,E124=$AB$66,$AC$66,TRUE,"0")</f>
        <v>#NAME?</v>
      </c>
      <c r="C124" s="161" t="str" cm="1">
        <f t="array" ref="C124">_xlfn.IFS(E124=$AB$42,$AF$42,E124=$AB$43,$AF$43,E124=$AB$44,$AF$44,E124=$AB$45,$AF$45,E124=$AB$46,$AF$46,E124=$AB$47,$AF$47,E124=$AB$48,$AF$48,E124=$AB$49,$AF$49,E124=$AB$50,$AF$50,E124=$AB$51,$AF$51,E124=$AB$52,$AF$52,E124=$AB$53,$AF$53,E124=$AB$54,$AF$54,E124=$AB$55,$AF$55,E124=$AB$56,$AF$56,E124=$AB$57,$AF$57,E124=$AB$58,$AF$58,E124=$AB$59,$AF$59,E124=$AB$60,$AF$60,E124=$AB$61,$AF$61,E124=$AB$62,$AF$62,E124=$AB$63,$AF$63,E124=$AB$64,$AF$64,E124=$AB$65,$AF$65,E124=$AB$66,$AF$66,TRUE,"0")</f>
        <v>if 0-0, BACK+ 0.5 GOALS  @ 1.15+odds.  or @ 40 mins</v>
      </c>
      <c r="D124" s="270" t="str" cm="1">
        <f t="array" ref="D124">_xlfn.IFS(E124=$AB$42,$AD$42,E124=$AB$43,$AD$43,E124=$AB$44,$AD$44,E124=$AB$45,$AD$45,E124=$AB$46,$AD$46,E124=$AB$47,$AD$47,E124=$AB$48,$AD$48,E124=$AB$49,$AD$49,E124=$AB$50,$AD$50,E124=$AB$51,$AD$51,E124=$AB$52,$AD$52,E124=$AB$53,$AD$53,E124=$AB$54,$AD$54,E124=$AB$55,$AD$55,E124=$AB$56,$AD$56,E124=$AB$57,$AD$57,E124=$AB$58,$AD$58,E124=$AB$59,$AD$59,E124=$AB$60,$AD$60,E124=$AB$61,$AD$61,E124=$AB$62,$AD$62,E124=$AB$63,$AD$63,E124=$AB$64,$AD$64,E124=$AB$65,$AD$65,E124=$AB$66,$AD$66,TRUE,"0")</f>
        <v>IP</v>
      </c>
      <c r="E124" s="163" t="s">
        <v>270</v>
      </c>
      <c r="F124" s="2" t="s">
        <v>20</v>
      </c>
      <c r="G124" s="2" t="s">
        <v>21</v>
      </c>
      <c r="H124" s="3">
        <v>45312.708333333336</v>
      </c>
      <c r="I124" s="2" t="s">
        <v>110</v>
      </c>
      <c r="J124" s="2" t="s">
        <v>24</v>
      </c>
      <c r="K124" s="2">
        <v>65</v>
      </c>
      <c r="L124" s="2">
        <v>0</v>
      </c>
      <c r="M124" s="2">
        <v>20</v>
      </c>
      <c r="N124" s="2"/>
      <c r="O124" s="2"/>
      <c r="P124" s="2"/>
      <c r="Q124" s="2" t="s">
        <v>95</v>
      </c>
      <c r="R124" s="14" t="s">
        <v>216</v>
      </c>
      <c r="S124" s="13" t="s">
        <v>223</v>
      </c>
      <c r="T124" s="188">
        <f t="shared" si="9"/>
        <v>58.612742933840991</v>
      </c>
      <c r="U124" s="8">
        <f t="shared" si="15"/>
        <v>10.550293728091377</v>
      </c>
      <c r="V124" s="234">
        <f t="shared" si="14"/>
        <v>1182.8051524049113</v>
      </c>
      <c r="W124" s="15">
        <v>25</v>
      </c>
      <c r="X124" s="8">
        <f t="shared" si="11"/>
        <v>4.5</v>
      </c>
      <c r="Y124" s="233">
        <f t="shared" si="12"/>
        <v>935.5</v>
      </c>
    </row>
    <row r="125" spans="1:25">
      <c r="A125" s="156" t="e" cm="1">
        <f t="array" aca="1" ref="A125" ca="1">_xlfn.IFS(E125=$AB$42,$AC$42,E125=$AB$43,$AC$43,E125=$AB$44,$AC$44,E125=$AB$45,$AC$45,E125=$AB$46,$AC$46,E125=$AB$47,$AC$47,E125=$AB$48,$AC$48,E125=$AB$49,$AC$49,E125=$AB$50,$AC$50,E125=$AB$51,$AC$51,E125=$AB$52,$AC$52,E125=$AB$53,$AC$53,E125=$AB$54,$AC$54,E125=$AB$55,$AC$55,E125=$AB$56,$AC$56,E125=$AB$57,$AC$57,E125=$AB$58,$AC$58,E125=$AB$59,$AC$59,E125=$AB$60,$AC$60,E125=$AB$61,$AC$61,E125=$AB$62,$AC$62,E125=$AB$63,$AC$63,E125=$AB$64,$AC$64,E125=$AB$65,$AC$65,E125=$AB$66,$AC$66,TRUE,"0")</f>
        <v>#NAME?</v>
      </c>
      <c r="C125" s="161" t="str" cm="1">
        <f t="array" ref="C125">_xlfn.IFS(E125=$AB$42,$AF$42,E125=$AB$43,$AF$43,E125=$AB$44,$AF$44,E125=$AB$45,$AF$45,E125=$AB$46,$AF$46,E125=$AB$47,$AF$47,E125=$AB$48,$AF$48,E125=$AB$49,$AF$49,E125=$AB$50,$AF$50,E125=$AB$51,$AF$51,E125=$AB$52,$AF$52,E125=$AB$53,$AF$53,E125=$AB$54,$AF$54,E125=$AB$55,$AF$55,E125=$AB$56,$AF$56,E125=$AB$57,$AF$57,E125=$AB$58,$AF$58,E125=$AB$59,$AF$59,E125=$AB$60,$AF$60,E125=$AB$61,$AF$61,E125=$AB$62,$AF$62,E125=$AB$63,$AF$63,E125=$AB$64,$AF$64,E125=$AB$65,$AF$65,E125=$AB$66,$AF$66,TRUE,"0")</f>
        <v>if 0-0, BACK+ 0.5 GOALS  @ 1.15+odds.  or @ 40 mins</v>
      </c>
      <c r="D125" s="270" t="str" cm="1">
        <f t="array" ref="D125">_xlfn.IFS(E125=$AB$42,$AD$42,E125=$AB$43,$AD$43,E125=$AB$44,$AD$44,E125=$AB$45,$AD$45,E125=$AB$46,$AD$46,E125=$AB$47,$AD$47,E125=$AB$48,$AD$48,E125=$AB$49,$AD$49,E125=$AB$50,$AD$50,E125=$AB$51,$AD$51,E125=$AB$52,$AD$52,E125=$AB$53,$AD$53,E125=$AB$54,$AD$54,E125=$AB$55,$AD$55,E125=$AB$56,$AD$56,E125=$AB$57,$AD$57,E125=$AB$58,$AD$58,E125=$AB$59,$AD$59,E125=$AB$60,$AD$60,E125=$AB$61,$AD$61,E125=$AB$62,$AD$62,E125=$AB$63,$AD$63,E125=$AB$64,$AD$64,E125=$AB$65,$AD$65,E125=$AB$66,$AD$66,TRUE,"0")</f>
        <v>IP</v>
      </c>
      <c r="E125" s="163" t="s">
        <v>270</v>
      </c>
      <c r="F125" s="2" t="s">
        <v>67</v>
      </c>
      <c r="G125" s="2" t="s">
        <v>169</v>
      </c>
      <c r="H125" s="3">
        <v>45312.760416666664</v>
      </c>
      <c r="I125" s="2" t="s">
        <v>255</v>
      </c>
      <c r="J125" s="2" t="s">
        <v>203</v>
      </c>
      <c r="K125" s="2">
        <v>63</v>
      </c>
      <c r="L125" s="2">
        <v>0</v>
      </c>
      <c r="M125" s="2">
        <v>20</v>
      </c>
      <c r="N125" s="2"/>
      <c r="O125" s="2"/>
      <c r="P125" s="2"/>
      <c r="Q125" s="2" t="s">
        <v>95</v>
      </c>
      <c r="R125" s="14" t="s">
        <v>221</v>
      </c>
      <c r="S125" s="13" t="s">
        <v>217</v>
      </c>
      <c r="T125" s="188">
        <f t="shared" si="9"/>
        <v>59.140257620245563</v>
      </c>
      <c r="U125" s="8">
        <f t="shared" si="15"/>
        <v>10.645246371644202</v>
      </c>
      <c r="V125" s="234">
        <f t="shared" si="14"/>
        <v>1193.4503987765554</v>
      </c>
      <c r="W125" s="15">
        <v>25</v>
      </c>
      <c r="X125" s="8">
        <f t="shared" si="11"/>
        <v>4.5</v>
      </c>
      <c r="Y125" s="233">
        <f t="shared" si="12"/>
        <v>940</v>
      </c>
    </row>
    <row r="126" spans="1:25">
      <c r="A126" s="156" t="e" cm="1">
        <f t="array" aca="1" ref="A126" ca="1">_xlfn.IFS(E126=$AB$42,$AC$42,E126=$AB$43,$AC$43,E126=$AB$44,$AC$44,E126=$AB$45,$AC$45,E126=$AB$46,$AC$46,E126=$AB$47,$AC$47,E126=$AB$48,$AC$48,E126=$AB$49,$AC$49,E126=$AB$50,$AC$50,E126=$AB$51,$AC$51,E126=$AB$52,$AC$52,E126=$AB$53,$AC$53,E126=$AB$54,$AC$54,E126=$AB$55,$AC$55,E126=$AB$56,$AC$56,E126=$AB$57,$AC$57,E126=$AB$58,$AC$58,E126=$AB$59,$AC$59,E126=$AB$60,$AC$60,E126=$AB$61,$AC$61,E126=$AB$62,$AC$62,E126=$AB$63,$AC$63,E126=$AB$64,$AC$64,E126=$AB$65,$AC$65,E126=$AB$66,$AC$66,TRUE,"0")</f>
        <v>#NAME?</v>
      </c>
      <c r="C126" s="161" t="str" cm="1">
        <f t="array" ref="C126">_xlfn.IFS(E126=$AB$42,$AF$42,E126=$AB$43,$AF$43,E126=$AB$44,$AF$44,E126=$AB$45,$AF$45,E126=$AB$46,$AF$46,E126=$AB$47,$AF$47,E126=$AB$48,$AF$48,E126=$AB$49,$AF$49,E126=$AB$50,$AF$50,E126=$AB$51,$AF$51,E126=$AB$52,$AF$52,E126=$AB$53,$AF$53,E126=$AB$54,$AF$54,E126=$AB$55,$AF$55,E126=$AB$56,$AF$56,E126=$AB$57,$AF$57,E126=$AB$58,$AF$58,E126=$AB$59,$AF$59,E126=$AB$60,$AF$60,E126=$AB$61,$AF$61,E126=$AB$62,$AF$62,E126=$AB$63,$AF$63,E126=$AB$64,$AF$64,E126=$AB$65,$AF$65,E126=$AB$66,$AF$66,TRUE,"0")</f>
        <v>if 0-0, BACK+ 0.5 GOALS  @ 1.15+odds.  or @ 40 mins</v>
      </c>
      <c r="D126" s="270" t="str" cm="1">
        <f t="array" ref="D126">_xlfn.IFS(E126=$AB$42,$AD$42,E126=$AB$43,$AD$43,E126=$AB$44,$AD$44,E126=$AB$45,$AD$45,E126=$AB$46,$AD$46,E126=$AB$47,$AD$47,E126=$AB$48,$AD$48,E126=$AB$49,$AD$49,E126=$AB$50,$AD$50,E126=$AB$51,$AD$51,E126=$AB$52,$AD$52,E126=$AB$53,$AD$53,E126=$AB$54,$AD$54,E126=$AB$55,$AD$55,E126=$AB$56,$AD$56,E126=$AB$57,$AD$57,E126=$AB$58,$AD$58,E126=$AB$59,$AD$59,E126=$AB$60,$AD$60,E126=$AB$61,$AD$61,E126=$AB$62,$AD$62,E126=$AB$63,$AD$63,E126=$AB$64,$AD$64,E126=$AB$65,$AD$65,E126=$AB$66,$AD$66,TRUE,"0")</f>
        <v>IP</v>
      </c>
      <c r="E126" s="163" t="s">
        <v>270</v>
      </c>
      <c r="F126" s="2" t="s">
        <v>6</v>
      </c>
      <c r="G126" s="2" t="s">
        <v>62</v>
      </c>
      <c r="H126" s="3">
        <v>45313.822916666664</v>
      </c>
      <c r="I126" s="2" t="s">
        <v>267</v>
      </c>
      <c r="J126" s="2" t="s">
        <v>64</v>
      </c>
      <c r="K126" s="2">
        <v>61</v>
      </c>
      <c r="L126" s="2">
        <v>0</v>
      </c>
      <c r="M126" s="2">
        <v>20</v>
      </c>
      <c r="N126" s="2">
        <v>2.41</v>
      </c>
      <c r="O126" s="2"/>
      <c r="P126" s="2"/>
      <c r="Q126" s="2" t="s">
        <v>96</v>
      </c>
      <c r="R126" s="14" t="s">
        <v>221</v>
      </c>
      <c r="S126" s="13" t="s">
        <v>221</v>
      </c>
      <c r="T126" s="188">
        <f t="shared" si="9"/>
        <v>59.672519938827776</v>
      </c>
      <c r="U126" s="8">
        <f t="shared" si="15"/>
        <v>-59.672519938827776</v>
      </c>
      <c r="V126" s="234">
        <f t="shared" si="14"/>
        <v>1133.7778788377277</v>
      </c>
      <c r="W126" s="15">
        <v>25</v>
      </c>
      <c r="X126" s="8">
        <f t="shared" si="11"/>
        <v>-25</v>
      </c>
      <c r="Y126" s="233">
        <f t="shared" si="12"/>
        <v>915</v>
      </c>
    </row>
    <row r="127" spans="1:25">
      <c r="A127" s="156" t="e" cm="1">
        <f t="array" aca="1" ref="A127" ca="1">_xlfn.IFS(E127=$AB$42,$AC$42,E127=$AB$43,$AC$43,E127=$AB$44,$AC$44,E127=$AB$45,$AC$45,E127=$AB$46,$AC$46,E127=$AB$47,$AC$47,E127=$AB$48,$AC$48,E127=$AB$49,$AC$49,E127=$AB$50,$AC$50,E127=$AB$51,$AC$51,E127=$AB$52,$AC$52,E127=$AB$53,$AC$53,E127=$AB$54,$AC$54,E127=$AB$55,$AC$55,E127=$AB$56,$AC$56,E127=$AB$57,$AC$57,E127=$AB$58,$AC$58,E127=$AB$59,$AC$59,E127=$AB$60,$AC$60,E127=$AB$61,$AC$61,E127=$AB$62,$AC$62,E127=$AB$63,$AC$63,E127=$AB$64,$AC$64,E127=$AB$65,$AC$65,E127=$AB$66,$AC$66,TRUE,"0")</f>
        <v>#NAME?</v>
      </c>
      <c r="C127" s="161" t="str" cm="1">
        <f t="array" ref="C127">_xlfn.IFS(E127=$AB$42,$AF$42,E127=$AB$43,$AF$43,E127=$AB$44,$AF$44,E127=$AB$45,$AF$45,E127=$AB$46,$AF$46,E127=$AB$47,$AF$47,E127=$AB$48,$AF$48,E127=$AB$49,$AF$49,E127=$AB$50,$AF$50,E127=$AB$51,$AF$51,E127=$AB$52,$AF$52,E127=$AB$53,$AF$53,E127=$AB$54,$AF$54,E127=$AB$55,$AF$55,E127=$AB$56,$AF$56,E127=$AB$57,$AF$57,E127=$AB$58,$AF$58,E127=$AB$59,$AF$59,E127=$AB$60,$AF$60,E127=$AB$61,$AF$61,E127=$AB$62,$AF$62,E127=$AB$63,$AF$63,E127=$AB$64,$AF$64,E127=$AB$65,$AF$65,E127=$AB$66,$AF$66,TRUE,"0")</f>
        <v>B4 MATCH back over 2.5 goals.X after goal OR let run</v>
      </c>
      <c r="D127" s="270" t="str" cm="1">
        <f t="array" ref="D127">_xlfn.IFS(E127=$AB$42,$AD$42,E127=$AB$43,$AD$43,E127=$AB$44,$AD$44,E127=$AB$45,$AD$45,E127=$AB$46,$AD$46,E127=$AB$47,$AD$47,E127=$AB$48,$AD$48,E127=$AB$49,$AD$49,E127=$AB$50,$AD$50,E127=$AB$51,$AD$51,E127=$AB$52,$AD$52,E127=$AB$53,$AD$53,E127=$AB$54,$AD$54,E127=$AB$55,$AD$55,E127=$AB$56,$AD$56,E127=$AB$57,$AD$57,E127=$AB$58,$AD$58,E127=$AB$59,$AD$59,E127=$AB$60,$AD$60,E127=$AB$61,$AD$61,E127=$AB$62,$AD$62,E127=$AB$63,$AD$63,E127=$AB$64,$AD$64,E127=$AB$65,$AD$65,E127=$AB$66,$AD$66,TRUE,"0")</f>
        <v xml:space="preserve">BFM </v>
      </c>
      <c r="E127" s="163" t="s">
        <v>177</v>
      </c>
      <c r="F127" s="2" t="s">
        <v>44</v>
      </c>
      <c r="G127" s="2" t="s">
        <v>45</v>
      </c>
      <c r="H127" s="3">
        <v>45314.333333333336</v>
      </c>
      <c r="I127" s="2" t="s">
        <v>52</v>
      </c>
      <c r="J127" s="2" t="s">
        <v>233</v>
      </c>
      <c r="K127" s="2">
        <v>3.75</v>
      </c>
      <c r="L127" s="2">
        <v>95</v>
      </c>
      <c r="M127" s="2">
        <v>75</v>
      </c>
      <c r="N127" s="2">
        <v>27</v>
      </c>
      <c r="O127" s="2">
        <v>50</v>
      </c>
      <c r="P127" s="2"/>
      <c r="Q127" s="2" t="s">
        <v>95</v>
      </c>
      <c r="R127" s="14" t="s">
        <v>214</v>
      </c>
      <c r="S127" s="13" t="s">
        <v>215</v>
      </c>
      <c r="T127" s="188">
        <f t="shared" si="9"/>
        <v>56.688893941886391</v>
      </c>
      <c r="U127" s="8">
        <f t="shared" si="15"/>
        <v>10.20400090953955</v>
      </c>
      <c r="V127" s="234">
        <f t="shared" si="14"/>
        <v>1143.9818797472672</v>
      </c>
      <c r="W127" s="15">
        <v>25</v>
      </c>
      <c r="X127" s="8">
        <f t="shared" si="11"/>
        <v>4.5</v>
      </c>
      <c r="Y127" s="233">
        <f t="shared" si="12"/>
        <v>919.5</v>
      </c>
    </row>
    <row r="128" spans="1:25">
      <c r="A128" s="156" t="e" cm="1">
        <f t="array" aca="1" ref="A128" ca="1">_xlfn.IFS(E128=$AB$42,$AC$42,E128=$AB$43,$AC$43,E128=$AB$44,$AC$44,E128=$AB$45,$AC$45,E128=$AB$46,$AC$46,E128=$AB$47,$AC$47,E128=$AB$48,$AC$48,E128=$AB$49,$AC$49,E128=$AB$50,$AC$50,E128=$AB$51,$AC$51,E128=$AB$52,$AC$52,E128=$AB$53,$AC$53,E128=$AB$54,$AC$54,E128=$AB$55,$AC$55,E128=$AB$56,$AC$56,E128=$AB$57,$AC$57,E128=$AB$58,$AC$58,E128=$AB$59,$AC$59,E128=$AB$60,$AC$60,E128=$AB$61,$AC$61,E128=$AB$62,$AC$62,E128=$AB$63,$AC$63,E128=$AB$64,$AC$64,E128=$AB$65,$AC$65,E128=$AB$66,$AC$66,TRUE,"0")</f>
        <v>#NAME?</v>
      </c>
      <c r="C128" s="161" t="str" cm="1">
        <f t="array" ref="C128">_xlfn.IFS(E128=$AB$42,$AF$42,E128=$AB$43,$AF$43,E128=$AB$44,$AF$44,E128=$AB$45,$AF$45,E128=$AB$46,$AF$46,E128=$AB$47,$AF$47,E128=$AB$48,$AF$48,E128=$AB$49,$AF$49,E128=$AB$50,$AF$50,E128=$AB$51,$AF$51,E128=$AB$52,$AF$52,E128=$AB$53,$AF$53,E128=$AB$54,$AF$54,E128=$AB$55,$AF$55,E128=$AB$56,$AF$56,E128=$AB$57,$AF$57,E128=$AB$58,$AF$58,E128=$AB$59,$AF$59,E128=$AB$60,$AF$60,E128=$AB$61,$AF$61,E128=$AB$62,$AF$62,E128=$AB$63,$AF$63,E128=$AB$64,$AF$64,E128=$AB$65,$AF$65,E128=$AB$66,$AF$66,TRUE,"0")</f>
        <v>40 mins Back ANother Goal</v>
      </c>
      <c r="D128" s="270" t="str" cm="1">
        <f t="array" ref="D128">_xlfn.IFS(E128=$AB$42,$AD$42,E128=$AB$43,$AD$43,E128=$AB$44,$AD$44,E128=$AB$45,$AD$45,E128=$AB$46,$AD$46,E128=$AB$47,$AD$47,E128=$AB$48,$AD$48,E128=$AB$49,$AD$49,E128=$AB$50,$AD$50,E128=$AB$51,$AD$51,E128=$AB$52,$AD$52,E128=$AB$53,$AD$53,E128=$AB$54,$AD$54,E128=$AB$55,$AD$55,E128=$AB$56,$AD$56,E128=$AB$57,$AD$57,E128=$AB$58,$AD$58,E128=$AB$59,$AD$59,E128=$AB$60,$AD$60,E128=$AB$61,$AD$61,E128=$AB$62,$AD$62,E128=$AB$63,$AD$63,E128=$AB$64,$AD$64,E128=$AB$65,$AD$65,E128=$AB$66,$AD$66,TRUE,"0")</f>
        <v xml:space="preserve">  BANG</v>
      </c>
      <c r="E128" s="163" t="s">
        <v>43</v>
      </c>
      <c r="F128" s="2" t="s">
        <v>80</v>
      </c>
      <c r="G128" s="2" t="s">
        <v>81</v>
      </c>
      <c r="H128" s="3">
        <v>45314.583333333336</v>
      </c>
      <c r="I128" s="2" t="s">
        <v>292</v>
      </c>
      <c r="J128" s="2" t="s">
        <v>293</v>
      </c>
      <c r="K128" s="2">
        <v>82</v>
      </c>
      <c r="L128" s="2">
        <v>71</v>
      </c>
      <c r="M128" s="2">
        <v>61</v>
      </c>
      <c r="N128" s="2">
        <v>1.8</v>
      </c>
      <c r="O128" s="2">
        <v>1.5</v>
      </c>
      <c r="P128" s="2">
        <v>0.69</v>
      </c>
      <c r="Q128" s="2" t="s">
        <v>95</v>
      </c>
      <c r="R128" s="14" t="s">
        <v>214</v>
      </c>
      <c r="S128" s="13" t="s">
        <v>216</v>
      </c>
      <c r="T128" s="188">
        <f t="shared" si="9"/>
        <v>57.199093987363362</v>
      </c>
      <c r="U128" s="8">
        <f t="shared" si="15"/>
        <v>10.295836917725405</v>
      </c>
      <c r="V128" s="234">
        <f t="shared" si="14"/>
        <v>1154.2777166649926</v>
      </c>
      <c r="W128" s="15">
        <v>25</v>
      </c>
      <c r="X128" s="8">
        <f t="shared" si="11"/>
        <v>4.5</v>
      </c>
      <c r="Y128" s="233">
        <f t="shared" si="12"/>
        <v>924</v>
      </c>
    </row>
    <row r="129" spans="1:25">
      <c r="A129" s="156" t="e" cm="1">
        <f t="array" aca="1" ref="A129" ca="1">_xlfn.IFS(E129=$AB$42,$AC$42,E129=$AB$43,$AC$43,E129=$AB$44,$AC$44,E129=$AB$45,$AC$45,E129=$AB$46,$AC$46,E129=$AB$47,$AC$47,E129=$AB$48,$AC$48,E129=$AB$49,$AC$49,E129=$AB$50,$AC$50,E129=$AB$51,$AC$51,E129=$AB$52,$AC$52,E129=$AB$53,$AC$53,E129=$AB$54,$AC$54,E129=$AB$55,$AC$55,E129=$AB$56,$AC$56,E129=$AB$57,$AC$57,E129=$AB$58,$AC$58,E129=$AB$59,$AC$59,E129=$AB$60,$AC$60,E129=$AB$61,$AC$61,E129=$AB$62,$AC$62,E129=$AB$63,$AC$63,E129=$AB$64,$AC$64,E129=$AB$65,$AC$65,E129=$AB$66,$AC$66,TRUE,"0")</f>
        <v>#NAME?</v>
      </c>
      <c r="C129" s="161" t="str" cm="1">
        <f t="array" ref="C129">_xlfn.IFS(E129=$AB$42,$AF$42,E129=$AB$43,$AF$43,E129=$AB$44,$AF$44,E129=$AB$45,$AF$45,E129=$AB$46,$AF$46,E129=$AB$47,$AF$47,E129=$AB$48,$AF$48,E129=$AB$49,$AF$49,E129=$AB$50,$AF$50,E129=$AB$51,$AF$51,E129=$AB$52,$AF$52,E129=$AB$53,$AF$53,E129=$AB$54,$AF$54,E129=$AB$55,$AF$55,E129=$AB$56,$AF$56,E129=$AB$57,$AF$57,E129=$AB$58,$AF$58,E129=$AB$59,$AF$59,E129=$AB$60,$AF$60,E129=$AB$61,$AF$61,E129=$AB$62,$AF$62,E129=$AB$63,$AF$63,E129=$AB$64,$AF$64,E129=$AB$65,$AF$65,E129=$AB$66,$AF$66,TRUE,"0")</f>
        <v>40 mins Back ANother Goal</v>
      </c>
      <c r="D129" s="270" t="str" cm="1">
        <f t="array" ref="D129">_xlfn.IFS(E129=$AB$42,$AD$42,E129=$AB$43,$AD$43,E129=$AB$44,$AD$44,E129=$AB$45,$AD$45,E129=$AB$46,$AD$46,E129=$AB$47,$AD$47,E129=$AB$48,$AD$48,E129=$AB$49,$AD$49,E129=$AB$50,$AD$50,E129=$AB$51,$AD$51,E129=$AB$52,$AD$52,E129=$AB$53,$AD$53,E129=$AB$54,$AD$54,E129=$AB$55,$AD$55,E129=$AB$56,$AD$56,E129=$AB$57,$AD$57,E129=$AB$58,$AD$58,E129=$AB$59,$AD$59,E129=$AB$60,$AD$60,E129=$AB$61,$AD$61,E129=$AB$62,$AD$62,E129=$AB$63,$AD$63,E129=$AB$64,$AD$64,E129=$AB$65,$AD$65,E129=$AB$66,$AD$66,TRUE,"0")</f>
        <v xml:space="preserve">  BANG</v>
      </c>
      <c r="E129" s="163" t="s">
        <v>10</v>
      </c>
      <c r="F129" s="2" t="s">
        <v>77</v>
      </c>
      <c r="G129" s="2" t="s">
        <v>251</v>
      </c>
      <c r="H129" s="3">
        <v>45314.75</v>
      </c>
      <c r="I129" s="2" t="s">
        <v>294</v>
      </c>
      <c r="J129" s="2" t="s">
        <v>295</v>
      </c>
      <c r="K129" s="2">
        <v>1.9</v>
      </c>
      <c r="L129" s="2">
        <v>85</v>
      </c>
      <c r="M129" s="2">
        <v>65</v>
      </c>
      <c r="N129" s="2">
        <v>25</v>
      </c>
      <c r="O129" s="2">
        <v>63</v>
      </c>
      <c r="P129" s="2">
        <v>20</v>
      </c>
      <c r="Q129" s="2" t="s">
        <v>95</v>
      </c>
      <c r="R129" s="14" t="s">
        <v>221</v>
      </c>
      <c r="S129" s="13" t="s">
        <v>215</v>
      </c>
      <c r="T129" s="188">
        <f t="shared" si="9"/>
        <v>57.713885833249634</v>
      </c>
      <c r="U129" s="8">
        <f t="shared" si="15"/>
        <v>10.388499449984934</v>
      </c>
      <c r="V129" s="234">
        <f t="shared" si="14"/>
        <v>1164.6662161149775</v>
      </c>
      <c r="W129" s="15">
        <v>25</v>
      </c>
      <c r="X129" s="8">
        <f t="shared" si="11"/>
        <v>4.5</v>
      </c>
      <c r="Y129" s="233">
        <f t="shared" si="12"/>
        <v>928.5</v>
      </c>
    </row>
    <row r="130" spans="1:25">
      <c r="A130" s="156" t="e" cm="1">
        <f t="array" aca="1" ref="A130" ca="1">_xlfn.IFS(E130=$AB$42,$AC$42,E130=$AB$43,$AC$43,E130=$AB$44,$AC$44,E130=$AB$45,$AC$45,E130=$AB$46,$AC$46,E130=$AB$47,$AC$47,E130=$AB$48,$AC$48,E130=$AB$49,$AC$49,E130=$AB$50,$AC$50,E130=$AB$51,$AC$51,E130=$AB$52,$AC$52,E130=$AB$53,$AC$53,E130=$AB$54,$AC$54,E130=$AB$55,$AC$55,E130=$AB$56,$AC$56,E130=$AB$57,$AC$57,E130=$AB$58,$AC$58,E130=$AB$59,$AC$59,E130=$AB$60,$AC$60,E130=$AB$61,$AC$61,E130=$AB$62,$AC$62,E130=$AB$63,$AC$63,E130=$AB$64,$AC$64,E130=$AB$65,$AC$65,E130=$AB$66,$AC$66,TRUE,"0")</f>
        <v>#NAME?</v>
      </c>
      <c r="C130" s="161" t="str" cm="1">
        <f t="array" ref="C130">_xlfn.IFS(E130=$AB$42,$AF$42,E130=$AB$43,$AF$43,E130=$AB$44,$AF$44,E130=$AB$45,$AF$45,E130=$AB$46,$AF$46,E130=$AB$47,$AF$47,E130=$AB$48,$AF$48,E130=$AB$49,$AF$49,E130=$AB$50,$AF$50,E130=$AB$51,$AF$51,E130=$AB$52,$AF$52,E130=$AB$53,$AF$53,E130=$AB$54,$AF$54,E130=$AB$55,$AF$55,E130=$AB$56,$AF$56,E130=$AB$57,$AF$57,E130=$AB$58,$AF$58,E130=$AB$59,$AF$59,E130=$AB$60,$AF$60,E130=$AB$61,$AF$61,E130=$AB$62,$AF$62,E130=$AB$63,$AF$63,E130=$AB$64,$AF$64,E130=$AB$65,$AF$65,E130=$AB$66,$AF$66,TRUE,"0")</f>
        <v>if 0-0, BACK+ 0.5 GOALS  @ 1.15+odds.  or @ 40 mins</v>
      </c>
      <c r="D130" s="270" t="str" cm="1">
        <f t="array" ref="D130">_xlfn.IFS(E130=$AB$42,$AD$42,E130=$AB$43,$AD$43,E130=$AB$44,$AD$44,E130=$AB$45,$AD$45,E130=$AB$46,$AD$46,E130=$AB$47,$AD$47,E130=$AB$48,$AD$48,E130=$AB$49,$AD$49,E130=$AB$50,$AD$50,E130=$AB$51,$AD$51,E130=$AB$52,$AD$52,E130=$AB$53,$AD$53,E130=$AB$54,$AD$54,E130=$AB$55,$AD$55,E130=$AB$56,$AD$56,E130=$AB$57,$AD$57,E130=$AB$58,$AD$58,E130=$AB$59,$AD$59,E130=$AB$60,$AD$60,E130=$AB$61,$AD$61,E130=$AB$62,$AD$62,E130=$AB$63,$AD$63,E130=$AB$64,$AD$64,E130=$AB$65,$AD$65,E130=$AB$66,$AD$66,TRUE,"0")</f>
        <v>IP</v>
      </c>
      <c r="E130" s="163" t="s">
        <v>270</v>
      </c>
      <c r="F130" s="2" t="s">
        <v>6</v>
      </c>
      <c r="G130" s="2" t="s">
        <v>11</v>
      </c>
      <c r="H130" s="3">
        <v>45314.822916666664</v>
      </c>
      <c r="I130" s="2" t="s">
        <v>162</v>
      </c>
      <c r="J130" s="2" t="s">
        <v>286</v>
      </c>
      <c r="K130" s="2">
        <v>59</v>
      </c>
      <c r="L130" s="2">
        <v>0</v>
      </c>
      <c r="M130" s="2">
        <v>20</v>
      </c>
      <c r="N130" s="2">
        <v>1.89</v>
      </c>
      <c r="O130" s="2"/>
      <c r="P130" s="2"/>
      <c r="Q130" s="2" t="s">
        <v>95</v>
      </c>
      <c r="R130" s="14" t="s">
        <v>210</v>
      </c>
      <c r="S130" s="13" t="s">
        <v>213</v>
      </c>
      <c r="T130" s="188">
        <f t="shared" si="9"/>
        <v>58.233310805748879</v>
      </c>
      <c r="U130" s="8">
        <f t="shared" si="15"/>
        <v>10.481995945034798</v>
      </c>
      <c r="V130" s="234">
        <f t="shared" si="14"/>
        <v>1175.1482120600124</v>
      </c>
      <c r="W130" s="15">
        <v>25</v>
      </c>
      <c r="X130" s="8">
        <f t="shared" si="11"/>
        <v>4.5</v>
      </c>
      <c r="Y130" s="233">
        <f t="shared" si="12"/>
        <v>933</v>
      </c>
    </row>
    <row r="131" spans="1:25">
      <c r="A131" s="156" t="e" cm="1">
        <f t="array" aca="1" ref="A131" ca="1">_xlfn.IFS(E131=$AB$42,$AC$42,E131=$AB$43,$AC$43,E131=$AB$44,$AC$44,E131=$AB$45,$AC$45,E131=$AB$46,$AC$46,E131=$AB$47,$AC$47,E131=$AB$48,$AC$48,E131=$AB$49,$AC$49,E131=$AB$50,$AC$50,E131=$AB$51,$AC$51,E131=$AB$52,$AC$52,E131=$AB$53,$AC$53,E131=$AB$54,$AC$54,E131=$AB$55,$AC$55,E131=$AB$56,$AC$56,E131=$AB$57,$AC$57,E131=$AB$58,$AC$58,E131=$AB$59,$AC$59,E131=$AB$60,$AC$60,E131=$AB$61,$AC$61,E131=$AB$62,$AC$62,E131=$AB$63,$AC$63,E131=$AB$64,$AC$64,E131=$AB$65,$AC$65,E131=$AB$66,$AC$66,TRUE,"0")</f>
        <v>#NAME?</v>
      </c>
      <c r="C131" s="161" t="str" cm="1">
        <f t="array" ref="C131">_xlfn.IFS(E131=$AB$42,$AF$42,E131=$AB$43,$AF$43,E131=$AB$44,$AF$44,E131=$AB$45,$AF$45,E131=$AB$46,$AF$46,E131=$AB$47,$AF$47,E131=$AB$48,$AF$48,E131=$AB$49,$AF$49,E131=$AB$50,$AF$50,E131=$AB$51,$AF$51,E131=$AB$52,$AF$52,E131=$AB$53,$AF$53,E131=$AB$54,$AF$54,E131=$AB$55,$AF$55,E131=$AB$56,$AF$56,E131=$AB$57,$AF$57,E131=$AB$58,$AF$58,E131=$AB$59,$AF$59,E131=$AB$60,$AF$60,E131=$AB$61,$AF$61,E131=$AB$62,$AF$62,E131=$AB$63,$AF$63,E131=$AB$64,$AF$64,E131=$AB$65,$AF$65,E131=$AB$66,$AF$66,TRUE,"0")</f>
        <v>if 0-0, BACK+ 0.5 GOALS  @ 1.15+odds.  or @ 40 mins</v>
      </c>
      <c r="D131" s="270" t="str" cm="1">
        <f t="array" ref="D131">_xlfn.IFS(E131=$AB$42,$AD$42,E131=$AB$43,$AD$43,E131=$AB$44,$AD$44,E131=$AB$45,$AD$45,E131=$AB$46,$AD$46,E131=$AB$47,$AD$47,E131=$AB$48,$AD$48,E131=$AB$49,$AD$49,E131=$AB$50,$AD$50,E131=$AB$51,$AD$51,E131=$AB$52,$AD$52,E131=$AB$53,$AD$53,E131=$AB$54,$AD$54,E131=$AB$55,$AD$55,E131=$AB$56,$AD$56,E131=$AB$57,$AD$57,E131=$AB$58,$AD$58,E131=$AB$59,$AD$59,E131=$AB$60,$AD$60,E131=$AB$61,$AD$61,E131=$AB$62,$AD$62,E131=$AB$63,$AD$63,E131=$AB$64,$AD$64,E131=$AB$65,$AD$65,E131=$AB$66,$AD$66,TRUE,"0")</f>
        <v>IP</v>
      </c>
      <c r="E131" s="163" t="s">
        <v>270</v>
      </c>
      <c r="F131" s="2" t="s">
        <v>6</v>
      </c>
      <c r="G131" s="2" t="s">
        <v>7</v>
      </c>
      <c r="H131" s="3">
        <v>45314.822916666664</v>
      </c>
      <c r="I131" s="2" t="s">
        <v>9</v>
      </c>
      <c r="J131" s="2" t="s">
        <v>141</v>
      </c>
      <c r="K131" s="2">
        <v>61</v>
      </c>
      <c r="L131" s="2">
        <v>0</v>
      </c>
      <c r="M131" s="2">
        <v>20</v>
      </c>
      <c r="N131" s="2">
        <v>2.4700000000000002</v>
      </c>
      <c r="O131" s="2"/>
      <c r="P131" s="2"/>
      <c r="Q131" s="2" t="s">
        <v>95</v>
      </c>
      <c r="R131" s="14" t="s">
        <v>214</v>
      </c>
      <c r="S131" s="13" t="s">
        <v>223</v>
      </c>
      <c r="T131" s="188">
        <f t="shared" ref="T131:T194" si="16">SUM(V130*0.05)</f>
        <v>58.757410603000622</v>
      </c>
      <c r="U131" s="8">
        <f t="shared" si="15"/>
        <v>10.576333908540111</v>
      </c>
      <c r="V131" s="234">
        <f t="shared" si="14"/>
        <v>1185.7245459685525</v>
      </c>
      <c r="W131" s="15">
        <v>25</v>
      </c>
      <c r="X131" s="8">
        <f t="shared" ref="X131:X194" si="17">IF(Q131="won",W131*0.18,-W131)</f>
        <v>4.5</v>
      </c>
      <c r="Y131" s="233">
        <f t="shared" ref="Y131:Y194" si="18">SUM(Y130,X131)</f>
        <v>937.5</v>
      </c>
    </row>
    <row r="132" spans="1:25">
      <c r="A132" s="156" t="e" cm="1">
        <f t="array" aca="1" ref="A132" ca="1">_xlfn.IFS(E132=$AB$42,$AC$42,E132=$AB$43,$AC$43,E132=$AB$44,$AC$44,E132=$AB$45,$AC$45,E132=$AB$46,$AC$46,E132=$AB$47,$AC$47,E132=$AB$48,$AC$48,E132=$AB$49,$AC$49,E132=$AB$50,$AC$50,E132=$AB$51,$AC$51,E132=$AB$52,$AC$52,E132=$AB$53,$AC$53,E132=$AB$54,$AC$54,E132=$AB$55,$AC$55,E132=$AB$56,$AC$56,E132=$AB$57,$AC$57,E132=$AB$58,$AC$58,E132=$AB$59,$AC$59,E132=$AB$60,$AC$60,E132=$AB$61,$AC$61,E132=$AB$62,$AC$62,E132=$AB$63,$AC$63,E132=$AB$64,$AC$64,E132=$AB$65,$AC$65,E132=$AB$66,$AC$66,TRUE,"0")</f>
        <v>#NAME?</v>
      </c>
      <c r="C132" s="161" t="str" cm="1">
        <f t="array" ref="C132">_xlfn.IFS(E132=$AB$42,$AF$42,E132=$AB$43,$AF$43,E132=$AB$44,$AF$44,E132=$AB$45,$AF$45,E132=$AB$46,$AF$46,E132=$AB$47,$AF$47,E132=$AB$48,$AF$48,E132=$AB$49,$AF$49,E132=$AB$50,$AF$50,E132=$AB$51,$AF$51,E132=$AB$52,$AF$52,E132=$AB$53,$AF$53,E132=$AB$54,$AF$54,E132=$AB$55,$AF$55,E132=$AB$56,$AF$56,E132=$AB$57,$AF$57,E132=$AB$58,$AF$58,E132=$AB$59,$AF$59,E132=$AB$60,$AF$60,E132=$AB$61,$AF$61,E132=$AB$62,$AF$62,E132=$AB$63,$AF$63,E132=$AB$64,$AF$64,E132=$AB$65,$AF$65,E132=$AB$66,$AF$66,TRUE,"0")</f>
        <v>40 mins Back ANother Goal</v>
      </c>
      <c r="D132" s="270" t="str" cm="1">
        <f t="array" ref="D132">_xlfn.IFS(E132=$AB$42,$AD$42,E132=$AB$43,$AD$43,E132=$AB$44,$AD$44,E132=$AB$45,$AD$45,E132=$AB$46,$AD$46,E132=$AB$47,$AD$47,E132=$AB$48,$AD$48,E132=$AB$49,$AD$49,E132=$AB$50,$AD$50,E132=$AB$51,$AD$51,E132=$AB$52,$AD$52,E132=$AB$53,$AD$53,E132=$AB$54,$AD$54,E132=$AB$55,$AD$55,E132=$AB$56,$AD$56,E132=$AB$57,$AD$57,E132=$AB$58,$AD$58,E132=$AB$59,$AD$59,E132=$AB$60,$AD$60,E132=$AB$61,$AD$61,E132=$AB$62,$AD$62,E132=$AB$63,$AD$63,E132=$AB$64,$AD$64,E132=$AB$65,$AD$65,E132=$AB$66,$AD$66,TRUE,"0")</f>
        <v xml:space="preserve">  BANG</v>
      </c>
      <c r="E132" s="163" t="s">
        <v>35</v>
      </c>
      <c r="F132" s="2" t="s">
        <v>149</v>
      </c>
      <c r="G132" s="2" t="s">
        <v>153</v>
      </c>
      <c r="H132" s="3">
        <v>45315.739583333336</v>
      </c>
      <c r="I132" s="2" t="s">
        <v>248</v>
      </c>
      <c r="J132" s="2" t="s">
        <v>249</v>
      </c>
      <c r="K132" s="2">
        <v>71</v>
      </c>
      <c r="L132" s="2">
        <v>81</v>
      </c>
      <c r="M132" s="2">
        <v>75</v>
      </c>
      <c r="N132" s="2">
        <v>50</v>
      </c>
      <c r="O132" s="2">
        <v>16</v>
      </c>
      <c r="P132" s="2">
        <v>1.1499999999999999</v>
      </c>
      <c r="Q132" s="2" t="s">
        <v>95</v>
      </c>
      <c r="R132" s="14" t="s">
        <v>217</v>
      </c>
      <c r="S132" s="13" t="s">
        <v>223</v>
      </c>
      <c r="T132" s="188">
        <f t="shared" si="16"/>
        <v>59.286227298427633</v>
      </c>
      <c r="U132" s="8">
        <f t="shared" si="15"/>
        <v>10.671520913716973</v>
      </c>
      <c r="V132" s="234">
        <f t="shared" si="14"/>
        <v>1196.3960668822695</v>
      </c>
      <c r="W132" s="15">
        <v>25</v>
      </c>
      <c r="X132" s="8">
        <f t="shared" si="17"/>
        <v>4.5</v>
      </c>
      <c r="Y132" s="233">
        <f t="shared" si="18"/>
        <v>942</v>
      </c>
    </row>
    <row r="133" spans="1:25">
      <c r="A133" s="156" t="e" cm="1">
        <f t="array" aca="1" ref="A133" ca="1">_xlfn.IFS(E133=$AB$42,$AC$42,E133=$AB$43,$AC$43,E133=$AB$44,$AC$44,E133=$AB$45,$AC$45,E133=$AB$46,$AC$46,E133=$AB$47,$AC$47,E133=$AB$48,$AC$48,E133=$AB$49,$AC$49,E133=$AB$50,$AC$50,E133=$AB$51,$AC$51,E133=$AB$52,$AC$52,E133=$AB$53,$AC$53,E133=$AB$54,$AC$54,E133=$AB$55,$AC$55,E133=$AB$56,$AC$56,E133=$AB$57,$AC$57,E133=$AB$58,$AC$58,E133=$AB$59,$AC$59,E133=$AB$60,$AC$60,E133=$AB$61,$AC$61,E133=$AB$62,$AC$62,E133=$AB$63,$AC$63,E133=$AB$64,$AC$64,E133=$AB$65,$AC$65,E133=$AB$66,$AC$66,TRUE,"0")</f>
        <v>#NAME?</v>
      </c>
      <c r="C133" s="161" t="str" cm="1">
        <f t="array" ref="C133">_xlfn.IFS(E133=$AB$42,$AF$42,E133=$AB$43,$AF$43,E133=$AB$44,$AF$44,E133=$AB$45,$AF$45,E133=$AB$46,$AF$46,E133=$AB$47,$AF$47,E133=$AB$48,$AF$48,E133=$AB$49,$AF$49,E133=$AB$50,$AF$50,E133=$AB$51,$AF$51,E133=$AB$52,$AF$52,E133=$AB$53,$AF$53,E133=$AB$54,$AF$54,E133=$AB$55,$AF$55,E133=$AB$56,$AF$56,E133=$AB$57,$AF$57,E133=$AB$58,$AF$58,E133=$AB$59,$AF$59,E133=$AB$60,$AF$60,E133=$AB$61,$AF$61,E133=$AB$62,$AF$62,E133=$AB$63,$AF$63,E133=$AB$64,$AF$64,E133=$AB$65,$AF$65,E133=$AB$66,$AF$66,TRUE,"0")</f>
        <v>if 0-0, BACK+ 0.5 GOALS  @ 1.15+odds.  or @ 40 mins</v>
      </c>
      <c r="D133" s="270" t="str" cm="1">
        <f t="array" ref="D133">_xlfn.IFS(E133=$AB$42,$AD$42,E133=$AB$43,$AD$43,E133=$AB$44,$AD$44,E133=$AB$45,$AD$45,E133=$AB$46,$AD$46,E133=$AB$47,$AD$47,E133=$AB$48,$AD$48,E133=$AB$49,$AD$49,E133=$AB$50,$AD$50,E133=$AB$51,$AD$51,E133=$AB$52,$AD$52,E133=$AB$53,$AD$53,E133=$AB$54,$AD$54,E133=$AB$55,$AD$55,E133=$AB$56,$AD$56,E133=$AB$57,$AD$57,E133=$AB$58,$AD$58,E133=$AB$59,$AD$59,E133=$AB$60,$AD$60,E133=$AB$61,$AD$61,E133=$AB$62,$AD$62,E133=$AB$63,$AD$63,E133=$AB$64,$AD$64,E133=$AB$65,$AD$65,E133=$AB$66,$AD$66,TRUE,"0")</f>
        <v>IP</v>
      </c>
      <c r="E133" s="163" t="s">
        <v>270</v>
      </c>
      <c r="F133" s="2" t="s">
        <v>80</v>
      </c>
      <c r="G133" s="2" t="s">
        <v>81</v>
      </c>
      <c r="H133" s="3">
        <v>45316.708333333336</v>
      </c>
      <c r="I133" s="2" t="s">
        <v>144</v>
      </c>
      <c r="J133" s="2" t="s">
        <v>310</v>
      </c>
      <c r="K133" s="2">
        <v>64</v>
      </c>
      <c r="L133" s="2">
        <v>0</v>
      </c>
      <c r="M133" s="2">
        <v>20</v>
      </c>
      <c r="N133" s="2">
        <v>1.56</v>
      </c>
      <c r="O133" s="2"/>
      <c r="P133" s="2"/>
      <c r="Q133" s="2" t="s">
        <v>95</v>
      </c>
      <c r="R133" s="14" t="s">
        <v>216</v>
      </c>
      <c r="S133" s="13" t="s">
        <v>215</v>
      </c>
      <c r="T133" s="188">
        <f t="shared" si="16"/>
        <v>59.819803344113474</v>
      </c>
      <c r="U133" s="8">
        <f t="shared" si="15"/>
        <v>10.767564601940425</v>
      </c>
      <c r="V133" s="234">
        <f t="shared" si="14"/>
        <v>1207.1636314842099</v>
      </c>
      <c r="W133" s="15">
        <v>25</v>
      </c>
      <c r="X133" s="8">
        <f t="shared" si="17"/>
        <v>4.5</v>
      </c>
      <c r="Y133" s="233">
        <f t="shared" si="18"/>
        <v>946.5</v>
      </c>
    </row>
    <row r="134" spans="1:25">
      <c r="A134" s="156" t="e" cm="1">
        <f t="array" aca="1" ref="A134" ca="1">_xlfn.IFS(E134=$AB$42,$AC$42,E134=$AB$43,$AC$43,E134=$AB$44,$AC$44,E134=$AB$45,$AC$45,E134=$AB$46,$AC$46,E134=$AB$47,$AC$47,E134=$AB$48,$AC$48,E134=$AB$49,$AC$49,E134=$AB$50,$AC$50,E134=$AB$51,$AC$51,E134=$AB$52,$AC$52,E134=$AB$53,$AC$53,E134=$AB$54,$AC$54,E134=$AB$55,$AC$55,E134=$AB$56,$AC$56,E134=$AB$57,$AC$57,E134=$AB$58,$AC$58,E134=$AB$59,$AC$59,E134=$AB$60,$AC$60,E134=$AB$61,$AC$61,E134=$AB$62,$AC$62,E134=$AB$63,$AC$63,E134=$AB$64,$AC$64,E134=$AB$65,$AC$65,E134=$AB$66,$AC$66,TRUE,"0")</f>
        <v>#NAME?</v>
      </c>
      <c r="C134" s="161" t="str" cm="1">
        <f t="array" ref="C134">_xlfn.IFS(E134=$AB$42,$AF$42,E134=$AB$43,$AF$43,E134=$AB$44,$AF$44,E134=$AB$45,$AF$45,E134=$AB$46,$AF$46,E134=$AB$47,$AF$47,E134=$AB$48,$AF$48,E134=$AB$49,$AF$49,E134=$AB$50,$AF$50,E134=$AB$51,$AF$51,E134=$AB$52,$AF$52,E134=$AB$53,$AF$53,E134=$AB$54,$AF$54,E134=$AB$55,$AF$55,E134=$AB$56,$AF$56,E134=$AB$57,$AF$57,E134=$AB$58,$AF$58,E134=$AB$59,$AF$59,E134=$AB$60,$AF$60,E134=$AB$61,$AF$61,E134=$AB$62,$AF$62,E134=$AB$63,$AF$63,E134=$AB$64,$AF$64,E134=$AB$65,$AF$65,E134=$AB$66,$AF$66,TRUE,"0")</f>
        <v>if 0-0, BACK+ 0.5 GOALS  @ 1.15+odds.  or @ 40 mins</v>
      </c>
      <c r="D134" s="270" t="str" cm="1">
        <f t="array" ref="D134">_xlfn.IFS(E134=$AB$42,$AD$42,E134=$AB$43,$AD$43,E134=$AB$44,$AD$44,E134=$AB$45,$AD$45,E134=$AB$46,$AD$46,E134=$AB$47,$AD$47,E134=$AB$48,$AD$48,E134=$AB$49,$AD$49,E134=$AB$50,$AD$50,E134=$AB$51,$AD$51,E134=$AB$52,$AD$52,E134=$AB$53,$AD$53,E134=$AB$54,$AD$54,E134=$AB$55,$AD$55,E134=$AB$56,$AD$56,E134=$AB$57,$AD$57,E134=$AB$58,$AD$58,E134=$AB$59,$AD$59,E134=$AB$60,$AD$60,E134=$AB$61,$AD$61,E134=$AB$62,$AD$62,E134=$AB$63,$AD$63,E134=$AB$64,$AD$64,E134=$AB$65,$AD$65,E134=$AB$66,$AD$66,TRUE,"0")</f>
        <v>IP</v>
      </c>
      <c r="E134" s="163" t="s">
        <v>270</v>
      </c>
      <c r="F134" s="2" t="s">
        <v>149</v>
      </c>
      <c r="G134" s="2" t="s">
        <v>153</v>
      </c>
      <c r="H134" s="3">
        <v>45317.791666666664</v>
      </c>
      <c r="I134" s="2" t="s">
        <v>205</v>
      </c>
      <c r="J134" s="2" t="s">
        <v>281</v>
      </c>
      <c r="K134" s="2">
        <v>61</v>
      </c>
      <c r="L134" s="2">
        <v>0</v>
      </c>
      <c r="M134" s="2">
        <v>20</v>
      </c>
      <c r="N134" s="2">
        <v>1.99</v>
      </c>
      <c r="O134" s="2"/>
      <c r="P134" s="2"/>
      <c r="Q134" s="2" t="s">
        <v>95</v>
      </c>
      <c r="R134" s="14" t="s">
        <v>214</v>
      </c>
      <c r="S134" s="13" t="s">
        <v>214</v>
      </c>
      <c r="T134" s="188">
        <f t="shared" si="16"/>
        <v>60.358181574210498</v>
      </c>
      <c r="U134" s="8">
        <f t="shared" si="15"/>
        <v>10.864472683357889</v>
      </c>
      <c r="V134" s="234">
        <f t="shared" si="14"/>
        <v>1218.0281041675678</v>
      </c>
      <c r="W134" s="15">
        <v>25</v>
      </c>
      <c r="X134" s="8">
        <f t="shared" si="17"/>
        <v>4.5</v>
      </c>
      <c r="Y134" s="233">
        <f t="shared" si="18"/>
        <v>951</v>
      </c>
    </row>
    <row r="135" spans="1:25">
      <c r="A135" s="156" t="e" cm="1">
        <f t="array" aca="1" ref="A135" ca="1">_xlfn.IFS(E135=$AB$42,$AC$42,E135=$AB$43,$AC$43,E135=$AB$44,$AC$44,E135=$AB$45,$AC$45,E135=$AB$46,$AC$46,E135=$AB$47,$AC$47,E135=$AB$48,$AC$48,E135=$AB$49,$AC$49,E135=$AB$50,$AC$50,E135=$AB$51,$AC$51,E135=$AB$52,$AC$52,E135=$AB$53,$AC$53,E135=$AB$54,$AC$54,E135=$AB$55,$AC$55,E135=$AB$56,$AC$56,E135=$AB$57,$AC$57,E135=$AB$58,$AC$58,E135=$AB$59,$AC$59,E135=$AB$60,$AC$60,E135=$AB$61,$AC$61,E135=$AB$62,$AC$62,E135=$AB$63,$AC$63,E135=$AB$64,$AC$64,E135=$AB$65,$AC$65,E135=$AB$66,$AC$66,TRUE,"0")</f>
        <v>#NAME?</v>
      </c>
      <c r="C135" s="161" t="str" cm="1">
        <f t="array" ref="C135">_xlfn.IFS(E135=$AB$42,$AF$42,E135=$AB$43,$AF$43,E135=$AB$44,$AF$44,E135=$AB$45,$AF$45,E135=$AB$46,$AF$46,E135=$AB$47,$AF$47,E135=$AB$48,$AF$48,E135=$AB$49,$AF$49,E135=$AB$50,$AF$50,E135=$AB$51,$AF$51,E135=$AB$52,$AF$52,E135=$AB$53,$AF$53,E135=$AB$54,$AF$54,E135=$AB$55,$AF$55,E135=$AB$56,$AF$56,E135=$AB$57,$AF$57,E135=$AB$58,$AF$58,E135=$AB$59,$AF$59,E135=$AB$60,$AF$60,E135=$AB$61,$AF$61,E135=$AB$62,$AF$62,E135=$AB$63,$AF$63,E135=$AB$64,$AF$64,E135=$AB$65,$AF$65,E135=$AB$66,$AF$66,TRUE,"0")</f>
        <v>B4 Match, lay HT 0-0 or BACK H1 +0.5 GOALS</v>
      </c>
      <c r="D135" s="270" t="str" cm="1">
        <f t="array" ref="D135">_xlfn.IFS(E135=$AB$42,$AD$42,E135=$AB$43,$AD$43,E135=$AB$44,$AD$44,E135=$AB$45,$AD$45,E135=$AB$46,$AD$46,E135=$AB$47,$AD$47,E135=$AB$48,$AD$48,E135=$AB$49,$AD$49,E135=$AB$50,$AD$50,E135=$AB$51,$AD$51,E135=$AB$52,$AD$52,E135=$AB$53,$AD$53,E135=$AB$54,$AD$54,E135=$AB$55,$AD$55,E135=$AB$56,$AD$56,E135=$AB$57,$AD$57,E135=$AB$58,$AD$58,E135=$AB$59,$AD$59,E135=$AB$60,$AD$60,E135=$AB$61,$AD$61,E135=$AB$62,$AD$62,E135=$AB$63,$AD$63,E135=$AB$64,$AD$64,E135=$AB$65,$AD$65,E135=$AB$66,$AD$66,TRUE,"0")</f>
        <v xml:space="preserve">BFM </v>
      </c>
      <c r="E135" s="163" t="s">
        <v>432</v>
      </c>
      <c r="F135" s="2" t="s">
        <v>20</v>
      </c>
      <c r="G135" s="2" t="s">
        <v>322</v>
      </c>
      <c r="H135" s="3">
        <v>45317.8125</v>
      </c>
      <c r="I135" s="2" t="s">
        <v>333</v>
      </c>
      <c r="J135" s="2" t="s">
        <v>334</v>
      </c>
      <c r="K135" s="2">
        <v>80</v>
      </c>
      <c r="L135" s="2">
        <v>23</v>
      </c>
      <c r="M135" s="2">
        <v>47</v>
      </c>
      <c r="N135" s="2">
        <v>0.57999999999999996</v>
      </c>
      <c r="O135" s="2"/>
      <c r="P135" s="2"/>
      <c r="Q135" s="2" t="s">
        <v>95</v>
      </c>
      <c r="R135" s="14" t="s">
        <v>214</v>
      </c>
      <c r="S135" s="13" t="s">
        <v>216</v>
      </c>
      <c r="T135" s="188">
        <f t="shared" si="16"/>
        <v>60.901405208378392</v>
      </c>
      <c r="U135" s="8">
        <f t="shared" si="15"/>
        <v>10.96225293750811</v>
      </c>
      <c r="V135" s="234">
        <f t="shared" si="14"/>
        <v>1228.9903571050759</v>
      </c>
      <c r="W135" s="15">
        <v>25</v>
      </c>
      <c r="X135" s="8">
        <f t="shared" si="17"/>
        <v>4.5</v>
      </c>
      <c r="Y135" s="233">
        <f t="shared" si="18"/>
        <v>955.5</v>
      </c>
    </row>
    <row r="136" spans="1:25">
      <c r="A136" s="156" t="e" cm="1">
        <f t="array" aca="1" ref="A136" ca="1">_xlfn.IFS(E136=$AB$42,$AC$42,E136=$AB$43,$AC$43,E136=$AB$44,$AC$44,E136=$AB$45,$AC$45,E136=$AB$46,$AC$46,E136=$AB$47,$AC$47,E136=$AB$48,$AC$48,E136=$AB$49,$AC$49,E136=$AB$50,$AC$50,E136=$AB$51,$AC$51,E136=$AB$52,$AC$52,E136=$AB$53,$AC$53,E136=$AB$54,$AC$54,E136=$AB$55,$AC$55,E136=$AB$56,$AC$56,E136=$AB$57,$AC$57,E136=$AB$58,$AC$58,E136=$AB$59,$AC$59,E136=$AB$60,$AC$60,E136=$AB$61,$AC$61,E136=$AB$62,$AC$62,E136=$AB$63,$AC$63,E136=$AB$64,$AC$64,E136=$AB$65,$AC$65,E136=$AB$66,$AC$66,TRUE,"0")</f>
        <v>#NAME?</v>
      </c>
      <c r="C136" s="161" t="str" cm="1">
        <f t="array" ref="C136">_xlfn.IFS(E136=$AB$42,$AF$42,E136=$AB$43,$AF$43,E136=$AB$44,$AF$44,E136=$AB$45,$AF$45,E136=$AB$46,$AF$46,E136=$AB$47,$AF$47,E136=$AB$48,$AF$48,E136=$AB$49,$AF$49,E136=$AB$50,$AF$50,E136=$AB$51,$AF$51,E136=$AB$52,$AF$52,E136=$AB$53,$AF$53,E136=$AB$54,$AF$54,E136=$AB$55,$AF$55,E136=$AB$56,$AF$56,E136=$AB$57,$AF$57,E136=$AB$58,$AF$58,E136=$AB$59,$AF$59,E136=$AB$60,$AF$60,E136=$AB$61,$AF$61,E136=$AB$62,$AF$62,E136=$AB$63,$AF$63,E136=$AB$64,$AF$64,E136=$AB$65,$AF$65,E136=$AB$66,$AF$66,TRUE,"0")</f>
        <v>B4 Match, lay HT 0-0 or BACK H1 +0.5 GOALS</v>
      </c>
      <c r="D136" s="270" t="str" cm="1">
        <f t="array" ref="D136">_xlfn.IFS(E136=$AB$42,$AD$42,E136=$AB$43,$AD$43,E136=$AB$44,$AD$44,E136=$AB$45,$AD$45,E136=$AB$46,$AD$46,E136=$AB$47,$AD$47,E136=$AB$48,$AD$48,E136=$AB$49,$AD$49,E136=$AB$50,$AD$50,E136=$AB$51,$AD$51,E136=$AB$52,$AD$52,E136=$AB$53,$AD$53,E136=$AB$54,$AD$54,E136=$AB$55,$AD$55,E136=$AB$56,$AD$56,E136=$AB$57,$AD$57,E136=$AB$58,$AD$58,E136=$AB$59,$AD$59,E136=$AB$60,$AD$60,E136=$AB$61,$AD$61,E136=$AB$62,$AD$62,E136=$AB$63,$AD$63,E136=$AB$64,$AD$64,E136=$AB$65,$AD$65,E136=$AB$66,$AD$66,TRUE,"0")</f>
        <v xml:space="preserve">BFM </v>
      </c>
      <c r="E136" s="163" t="s">
        <v>432</v>
      </c>
      <c r="F136" s="2" t="s">
        <v>77</v>
      </c>
      <c r="G136" s="2" t="s">
        <v>156</v>
      </c>
      <c r="H136" s="3">
        <v>45317.8125</v>
      </c>
      <c r="I136" s="2" t="s">
        <v>182</v>
      </c>
      <c r="J136" s="2" t="s">
        <v>160</v>
      </c>
      <c r="K136" s="2">
        <v>90</v>
      </c>
      <c r="L136" s="2">
        <v>21</v>
      </c>
      <c r="M136" s="2">
        <v>45</v>
      </c>
      <c r="N136" s="2">
        <v>0.56999999999999995</v>
      </c>
      <c r="O136" s="2"/>
      <c r="P136" s="2"/>
      <c r="Q136" s="2" t="s">
        <v>96</v>
      </c>
      <c r="R136" s="14" t="s">
        <v>221</v>
      </c>
      <c r="S136" s="13" t="s">
        <v>214</v>
      </c>
      <c r="T136" s="188">
        <f t="shared" si="16"/>
        <v>61.449517855253795</v>
      </c>
      <c r="U136" s="8">
        <f t="shared" si="15"/>
        <v>-61.449517855253795</v>
      </c>
      <c r="V136" s="234">
        <f t="shared" si="14"/>
        <v>1167.5408392498221</v>
      </c>
      <c r="W136" s="15">
        <v>25</v>
      </c>
      <c r="X136" s="8">
        <f t="shared" si="17"/>
        <v>-25</v>
      </c>
      <c r="Y136" s="233">
        <f t="shared" si="18"/>
        <v>930.5</v>
      </c>
    </row>
    <row r="137" spans="1:25">
      <c r="A137" s="156" t="e" cm="1">
        <f t="array" aca="1" ref="A137" ca="1">_xlfn.IFS(E137=$AB$42,$AC$42,E137=$AB$43,$AC$43,E137=$AB$44,$AC$44,E137=$AB$45,$AC$45,E137=$AB$46,$AC$46,E137=$AB$47,$AC$47,E137=$AB$48,$AC$48,E137=$AB$49,$AC$49,E137=$AB$50,$AC$50,E137=$AB$51,$AC$51,E137=$AB$52,$AC$52,E137=$AB$53,$AC$53,E137=$AB$54,$AC$54,E137=$AB$55,$AC$55,E137=$AB$56,$AC$56,E137=$AB$57,$AC$57,E137=$AB$58,$AC$58,E137=$AB$59,$AC$59,E137=$AB$60,$AC$60,E137=$AB$61,$AC$61,E137=$AB$62,$AC$62,E137=$AB$63,$AC$63,E137=$AB$64,$AC$64,E137=$AB$65,$AC$65,E137=$AB$66,$AC$66,TRUE,"0")</f>
        <v>#NAME?</v>
      </c>
      <c r="C137" s="161" t="str" cm="1">
        <f t="array" ref="C137">_xlfn.IFS(E137=$AB$42,$AF$42,E137=$AB$43,$AF$43,E137=$AB$44,$AF$44,E137=$AB$45,$AF$45,E137=$AB$46,$AF$46,E137=$AB$47,$AF$47,E137=$AB$48,$AF$48,E137=$AB$49,$AF$49,E137=$AB$50,$AF$50,E137=$AB$51,$AF$51,E137=$AB$52,$AF$52,E137=$AB$53,$AF$53,E137=$AB$54,$AF$54,E137=$AB$55,$AF$55,E137=$AB$56,$AF$56,E137=$AB$57,$AF$57,E137=$AB$58,$AF$58,E137=$AB$59,$AF$59,E137=$AB$60,$AF$60,E137=$AB$61,$AF$61,E137=$AB$62,$AF$62,E137=$AB$63,$AF$63,E137=$AB$64,$AF$64,E137=$AB$65,$AF$65,E137=$AB$66,$AF$66,TRUE,"0")</f>
        <v>if 0-0, BACK+ 0.5 GOALS  @ 1.15+odds.  or @ 40 mins</v>
      </c>
      <c r="D137" s="270" t="str" cm="1">
        <f t="array" ref="D137">_xlfn.IFS(E137=$AB$42,$AD$42,E137=$AB$43,$AD$43,E137=$AB$44,$AD$44,E137=$AB$45,$AD$45,E137=$AB$46,$AD$46,E137=$AB$47,$AD$47,E137=$AB$48,$AD$48,E137=$AB$49,$AD$49,E137=$AB$50,$AD$50,E137=$AB$51,$AD$51,E137=$AB$52,$AD$52,E137=$AB$53,$AD$53,E137=$AB$54,$AD$54,E137=$AB$55,$AD$55,E137=$AB$56,$AD$56,E137=$AB$57,$AD$57,E137=$AB$58,$AD$58,E137=$AB$59,$AD$59,E137=$AB$60,$AD$60,E137=$AB$61,$AD$61,E137=$AB$62,$AD$62,E137=$AB$63,$AD$63,E137=$AB$64,$AD$64,E137=$AB$65,$AD$65,E137=$AB$66,$AD$66,TRUE,"0")</f>
        <v>IP</v>
      </c>
      <c r="E137" s="163" t="s">
        <v>270</v>
      </c>
      <c r="F137" s="2" t="s">
        <v>44</v>
      </c>
      <c r="G137" s="2" t="s">
        <v>45</v>
      </c>
      <c r="H137" s="3">
        <v>45318.25</v>
      </c>
      <c r="I137" s="2" t="s">
        <v>53</v>
      </c>
      <c r="J137" s="2" t="s">
        <v>321</v>
      </c>
      <c r="K137" s="2">
        <v>66</v>
      </c>
      <c r="L137" s="2">
        <v>0</v>
      </c>
      <c r="M137" s="2">
        <v>20</v>
      </c>
      <c r="N137" s="2">
        <v>1.44</v>
      </c>
      <c r="O137" s="2"/>
      <c r="P137" s="2"/>
      <c r="Q137" s="2" t="s">
        <v>95</v>
      </c>
      <c r="R137" s="14" t="s">
        <v>193</v>
      </c>
      <c r="S137" s="13" t="s">
        <v>193</v>
      </c>
      <c r="T137" s="188">
        <f t="shared" si="16"/>
        <v>58.377041962491106</v>
      </c>
      <c r="U137" s="8">
        <f t="shared" si="15"/>
        <v>10.507867553248399</v>
      </c>
      <c r="V137" s="234">
        <f t="shared" si="14"/>
        <v>1178.0487068030704</v>
      </c>
      <c r="W137" s="15">
        <v>25</v>
      </c>
      <c r="X137" s="8">
        <f t="shared" si="17"/>
        <v>4.5</v>
      </c>
      <c r="Y137" s="233">
        <f t="shared" si="18"/>
        <v>935</v>
      </c>
    </row>
    <row r="138" spans="1:25">
      <c r="A138" s="156" t="e" cm="1">
        <f t="array" aca="1" ref="A138" ca="1">_xlfn.IFS(E138=$AB$42,$AC$42,E138=$AB$43,$AC$43,E138=$AB$44,$AC$44,E138=$AB$45,$AC$45,E138=$AB$46,$AC$46,E138=$AB$47,$AC$47,E138=$AB$48,$AC$48,E138=$AB$49,$AC$49,E138=$AB$50,$AC$50,E138=$AB$51,$AC$51,E138=$AB$52,$AC$52,E138=$AB$53,$AC$53,E138=$AB$54,$AC$54,E138=$AB$55,$AC$55,E138=$AB$56,$AC$56,E138=$AB$57,$AC$57,E138=$AB$58,$AC$58,E138=$AB$59,$AC$59,E138=$AB$60,$AC$60,E138=$AB$61,$AC$61,E138=$AB$62,$AC$62,E138=$AB$63,$AC$63,E138=$AB$64,$AC$64,E138=$AB$65,$AC$65,E138=$AB$66,$AC$66,TRUE,"0")</f>
        <v>#NAME?</v>
      </c>
      <c r="C138" s="161" t="str" cm="1">
        <f t="array" ref="C138">_xlfn.IFS(E138=$AB$42,$AF$42,E138=$AB$43,$AF$43,E138=$AB$44,$AF$44,E138=$AB$45,$AF$45,E138=$AB$46,$AF$46,E138=$AB$47,$AF$47,E138=$AB$48,$AF$48,E138=$AB$49,$AF$49,E138=$AB$50,$AF$50,E138=$AB$51,$AF$51,E138=$AB$52,$AF$52,E138=$AB$53,$AF$53,E138=$AB$54,$AF$54,E138=$AB$55,$AF$55,E138=$AB$56,$AF$56,E138=$AB$57,$AF$57,E138=$AB$58,$AF$58,E138=$AB$59,$AF$59,E138=$AB$60,$AF$60,E138=$AB$61,$AF$61,E138=$AB$62,$AF$62,E138=$AB$63,$AF$63,E138=$AB$64,$AF$64,E138=$AB$65,$AF$65,E138=$AB$66,$AF$66,TRUE,"0")</f>
        <v>if 0-0, BACK+ 0.5 GOALS  @ 1.15+odds.  or @ 40 mins</v>
      </c>
      <c r="D138" s="270" t="str" cm="1">
        <f t="array" ref="D138">_xlfn.IFS(E138=$AB$42,$AD$42,E138=$AB$43,$AD$43,E138=$AB$44,$AD$44,E138=$AB$45,$AD$45,E138=$AB$46,$AD$46,E138=$AB$47,$AD$47,E138=$AB$48,$AD$48,E138=$AB$49,$AD$49,E138=$AB$50,$AD$50,E138=$AB$51,$AD$51,E138=$AB$52,$AD$52,E138=$AB$53,$AD$53,E138=$AB$54,$AD$54,E138=$AB$55,$AD$55,E138=$AB$56,$AD$56,E138=$AB$57,$AD$57,E138=$AB$58,$AD$58,E138=$AB$59,$AD$59,E138=$AB$60,$AD$60,E138=$AB$61,$AD$61,E138=$AB$62,$AD$62,E138=$AB$63,$AD$63,E138=$AB$64,$AD$64,E138=$AB$65,$AD$65,E138=$AB$66,$AD$66,TRUE,"0")</f>
        <v>IP</v>
      </c>
      <c r="E138" s="163" t="s">
        <v>270</v>
      </c>
      <c r="F138" s="2" t="s">
        <v>44</v>
      </c>
      <c r="G138" s="2" t="s">
        <v>45</v>
      </c>
      <c r="H138" s="3">
        <v>45318.364583333336</v>
      </c>
      <c r="I138" s="2" t="s">
        <v>180</v>
      </c>
      <c r="J138" s="2" t="s">
        <v>233</v>
      </c>
      <c r="K138" s="2">
        <v>60</v>
      </c>
      <c r="L138" s="2">
        <v>0</v>
      </c>
      <c r="M138" s="2">
        <v>20</v>
      </c>
      <c r="N138" s="2">
        <v>2.72</v>
      </c>
      <c r="O138" s="2"/>
      <c r="P138" s="2"/>
      <c r="Q138" s="2" t="s">
        <v>95</v>
      </c>
      <c r="R138" s="14" t="s">
        <v>214</v>
      </c>
      <c r="S138" s="13" t="s">
        <v>220</v>
      </c>
      <c r="T138" s="188">
        <f t="shared" si="16"/>
        <v>58.902435340153524</v>
      </c>
      <c r="U138" s="8">
        <f t="shared" si="15"/>
        <v>10.602438361227634</v>
      </c>
      <c r="V138" s="234">
        <f t="shared" si="14"/>
        <v>1188.651145164298</v>
      </c>
      <c r="W138" s="15">
        <v>25</v>
      </c>
      <c r="X138" s="8">
        <f t="shared" si="17"/>
        <v>4.5</v>
      </c>
      <c r="Y138" s="233">
        <f t="shared" si="18"/>
        <v>939.5</v>
      </c>
    </row>
    <row r="139" spans="1:25">
      <c r="A139" s="156" t="e" cm="1">
        <f t="array" aca="1" ref="A139" ca="1">_xlfn.IFS(E139=$AB$42,$AC$42,E139=$AB$43,$AC$43,E139=$AB$44,$AC$44,E139=$AB$45,$AC$45,E139=$AB$46,$AC$46,E139=$AB$47,$AC$47,E139=$AB$48,$AC$48,E139=$AB$49,$AC$49,E139=$AB$50,$AC$50,E139=$AB$51,$AC$51,E139=$AB$52,$AC$52,E139=$AB$53,$AC$53,E139=$AB$54,$AC$54,E139=$AB$55,$AC$55,E139=$AB$56,$AC$56,E139=$AB$57,$AC$57,E139=$AB$58,$AC$58,E139=$AB$59,$AC$59,E139=$AB$60,$AC$60,E139=$AB$61,$AC$61,E139=$AB$62,$AC$62,E139=$AB$63,$AC$63,E139=$AB$64,$AC$64,E139=$AB$65,$AC$65,E139=$AB$66,$AC$66,TRUE,"0")</f>
        <v>#NAME?</v>
      </c>
      <c r="C139" s="161" t="str" cm="1">
        <f t="array" ref="C139">_xlfn.IFS(E139=$AB$42,$AF$42,E139=$AB$43,$AF$43,E139=$AB$44,$AF$44,E139=$AB$45,$AF$45,E139=$AB$46,$AF$46,E139=$AB$47,$AF$47,E139=$AB$48,$AF$48,E139=$AB$49,$AF$49,E139=$AB$50,$AF$50,E139=$AB$51,$AF$51,E139=$AB$52,$AF$52,E139=$AB$53,$AF$53,E139=$AB$54,$AF$54,E139=$AB$55,$AF$55,E139=$AB$56,$AF$56,E139=$AB$57,$AF$57,E139=$AB$58,$AF$58,E139=$AB$59,$AF$59,E139=$AB$60,$AF$60,E139=$AB$61,$AF$61,E139=$AB$62,$AF$62,E139=$AB$63,$AF$63,E139=$AB$64,$AF$64,E139=$AB$65,$AF$65,E139=$AB$66,$AF$66,TRUE,"0")</f>
        <v>B4 Match, lay HT 0-0 or BACK H1 +0.5 GOALS</v>
      </c>
      <c r="D139" s="270" t="str" cm="1">
        <f t="array" ref="D139">_xlfn.IFS(E139=$AB$42,$AD$42,E139=$AB$43,$AD$43,E139=$AB$44,$AD$44,E139=$AB$45,$AD$45,E139=$AB$46,$AD$46,E139=$AB$47,$AD$47,E139=$AB$48,$AD$48,E139=$AB$49,$AD$49,E139=$AB$50,$AD$50,E139=$AB$51,$AD$51,E139=$AB$52,$AD$52,E139=$AB$53,$AD$53,E139=$AB$54,$AD$54,E139=$AB$55,$AD$55,E139=$AB$56,$AD$56,E139=$AB$57,$AD$57,E139=$AB$58,$AD$58,E139=$AB$59,$AD$59,E139=$AB$60,$AD$60,E139=$AB$61,$AD$61,E139=$AB$62,$AD$62,E139=$AB$63,$AD$63,E139=$AB$64,$AD$64,E139=$AB$65,$AD$65,E139=$AB$66,$AD$66,TRUE,"0")</f>
        <v xml:space="preserve">BFM </v>
      </c>
      <c r="E139" s="163" t="s">
        <v>432</v>
      </c>
      <c r="F139" s="7" t="s">
        <v>13</v>
      </c>
      <c r="G139" s="7" t="s">
        <v>37</v>
      </c>
      <c r="H139" s="24">
        <v>45318.520833333336</v>
      </c>
      <c r="I139" s="7" t="s">
        <v>351</v>
      </c>
      <c r="J139" s="7" t="s">
        <v>79</v>
      </c>
      <c r="K139" s="7">
        <v>88</v>
      </c>
      <c r="L139" s="7">
        <v>23</v>
      </c>
      <c r="M139" s="7">
        <v>33</v>
      </c>
      <c r="N139" s="7">
        <v>0.47</v>
      </c>
      <c r="O139" s="7"/>
      <c r="P139" s="7"/>
      <c r="Q139" s="2" t="s">
        <v>95</v>
      </c>
      <c r="R139" s="14" t="s">
        <v>193</v>
      </c>
      <c r="S139" s="13" t="s">
        <v>193</v>
      </c>
      <c r="T139" s="188">
        <f t="shared" si="16"/>
        <v>59.432557258214899</v>
      </c>
      <c r="U139" s="8">
        <f t="shared" si="15"/>
        <v>10.697860306478681</v>
      </c>
      <c r="V139" s="234">
        <f t="shared" ref="V139:V163" si="19">SUM(V138,U139)</f>
        <v>1199.3490054707768</v>
      </c>
      <c r="W139" s="15">
        <v>25</v>
      </c>
      <c r="X139" s="8">
        <f t="shared" si="17"/>
        <v>4.5</v>
      </c>
      <c r="Y139" s="233">
        <f t="shared" si="18"/>
        <v>944</v>
      </c>
    </row>
    <row r="140" spans="1:25">
      <c r="A140" s="156" t="e" cm="1">
        <f t="array" aca="1" ref="A140" ca="1">_xlfn.IFS(E140=$AB$42,$AC$42,E140=$AB$43,$AC$43,E140=$AB$44,$AC$44,E140=$AB$45,$AC$45,E140=$AB$46,$AC$46,E140=$AB$47,$AC$47,E140=$AB$48,$AC$48,E140=$AB$49,$AC$49,E140=$AB$50,$AC$50,E140=$AB$51,$AC$51,E140=$AB$52,$AC$52,E140=$AB$53,$AC$53,E140=$AB$54,$AC$54,E140=$AB$55,$AC$55,E140=$AB$56,$AC$56,E140=$AB$57,$AC$57,E140=$AB$58,$AC$58,E140=$AB$59,$AC$59,E140=$AB$60,$AC$60,E140=$AB$61,$AC$61,E140=$AB$62,$AC$62,E140=$AB$63,$AC$63,E140=$AB$64,$AC$64,E140=$AB$65,$AC$65,E140=$AB$66,$AC$66,TRUE,"0")</f>
        <v>#NAME?</v>
      </c>
      <c r="C140" s="161" t="str" cm="1">
        <f t="array" ref="C140">_xlfn.IFS(E140=$AB$42,$AF$42,E140=$AB$43,$AF$43,E140=$AB$44,$AF$44,E140=$AB$45,$AF$45,E140=$AB$46,$AF$46,E140=$AB$47,$AF$47,E140=$AB$48,$AF$48,E140=$AB$49,$AF$49,E140=$AB$50,$AF$50,E140=$AB$51,$AF$51,E140=$AB$52,$AF$52,E140=$AB$53,$AF$53,E140=$AB$54,$AF$54,E140=$AB$55,$AF$55,E140=$AB$56,$AF$56,E140=$AB$57,$AF$57,E140=$AB$58,$AF$58,E140=$AB$59,$AF$59,E140=$AB$60,$AF$60,E140=$AB$61,$AF$61,E140=$AB$62,$AF$62,E140=$AB$63,$AF$63,E140=$AB$64,$AF$64,E140=$AB$65,$AF$65,E140=$AB$66,$AF$66,TRUE,"0")</f>
        <v>B4 match BACK FT +1.5 goals. X AFTER  GOAL</v>
      </c>
      <c r="D140" s="270" t="str" cm="1">
        <f t="array" ref="D140">_xlfn.IFS(E140=$AB$42,$AD$42,E140=$AB$43,$AD$43,E140=$AB$44,$AD$44,E140=$AB$45,$AD$45,E140=$AB$46,$AD$46,E140=$AB$47,$AD$47,E140=$AB$48,$AD$48,E140=$AB$49,$AD$49,E140=$AB$50,$AD$50,E140=$AB$51,$AD$51,E140=$AB$52,$AD$52,E140=$AB$53,$AD$53,E140=$AB$54,$AD$54,E140=$AB$55,$AD$55,E140=$AB$56,$AD$56,E140=$AB$57,$AD$57,E140=$AB$58,$AD$58,E140=$AB$59,$AD$59,E140=$AB$60,$AD$60,E140=$AB$61,$AD$61,E140=$AB$62,$AD$62,E140=$AB$63,$AD$63,E140=$AB$64,$AD$64,E140=$AB$65,$AD$65,E140=$AB$66,$AD$66,TRUE,"0")</f>
        <v xml:space="preserve">BFM </v>
      </c>
      <c r="E140" s="163" t="s">
        <v>406</v>
      </c>
      <c r="F140" s="7" t="s">
        <v>352</v>
      </c>
      <c r="G140" s="7" t="s">
        <v>353</v>
      </c>
      <c r="H140" s="24">
        <v>45318.576388888891</v>
      </c>
      <c r="I140" s="7" t="s">
        <v>354</v>
      </c>
      <c r="J140" s="7" t="s">
        <v>355</v>
      </c>
      <c r="K140" s="7">
        <v>1.3</v>
      </c>
      <c r="L140" s="7">
        <v>11.5</v>
      </c>
      <c r="M140" s="7">
        <v>2.65</v>
      </c>
      <c r="N140" s="7">
        <v>4.9000000000000004</v>
      </c>
      <c r="O140" s="7">
        <v>0.77</v>
      </c>
      <c r="P140" s="7"/>
      <c r="Q140" s="2" t="s">
        <v>95</v>
      </c>
      <c r="R140" s="14" t="s">
        <v>220</v>
      </c>
      <c r="S140" s="13" t="s">
        <v>220</v>
      </c>
      <c r="T140" s="188">
        <f t="shared" si="16"/>
        <v>59.967450273538844</v>
      </c>
      <c r="U140" s="8">
        <f t="shared" si="15"/>
        <v>10.794141049236991</v>
      </c>
      <c r="V140" s="234">
        <f t="shared" si="19"/>
        <v>1210.1431465200137</v>
      </c>
      <c r="W140" s="15">
        <v>25</v>
      </c>
      <c r="X140" s="8">
        <f t="shared" si="17"/>
        <v>4.5</v>
      </c>
      <c r="Y140" s="233">
        <f t="shared" si="18"/>
        <v>948.5</v>
      </c>
    </row>
    <row r="141" spans="1:25">
      <c r="A141" s="156" t="e" cm="1">
        <f t="array" aca="1" ref="A141" ca="1">_xlfn.IFS(E141=$AB$42,$AC$42,E141=$AB$43,$AC$43,E141=$AB$44,$AC$44,E141=$AB$45,$AC$45,E141=$AB$46,$AC$46,E141=$AB$47,$AC$47,E141=$AB$48,$AC$48,E141=$AB$49,$AC$49,E141=$AB$50,$AC$50,E141=$AB$51,$AC$51,E141=$AB$52,$AC$52,E141=$AB$53,$AC$53,E141=$AB$54,$AC$54,E141=$AB$55,$AC$55,E141=$AB$56,$AC$56,E141=$AB$57,$AC$57,E141=$AB$58,$AC$58,E141=$AB$59,$AC$59,E141=$AB$60,$AC$60,E141=$AB$61,$AC$61,E141=$AB$62,$AC$62,E141=$AB$63,$AC$63,E141=$AB$64,$AC$64,E141=$AB$65,$AC$65,E141=$AB$66,$AC$66,TRUE,"0")</f>
        <v>#NAME?</v>
      </c>
      <c r="C141" s="161" t="str" cm="1">
        <f t="array" ref="C141">_xlfn.IFS(E141=$AB$42,$AF$42,E141=$AB$43,$AF$43,E141=$AB$44,$AF$44,E141=$AB$45,$AF$45,E141=$AB$46,$AF$46,E141=$AB$47,$AF$47,E141=$AB$48,$AF$48,E141=$AB$49,$AF$49,E141=$AB$50,$AF$50,E141=$AB$51,$AF$51,E141=$AB$52,$AF$52,E141=$AB$53,$AF$53,E141=$AB$54,$AF$54,E141=$AB$55,$AF$55,E141=$AB$56,$AF$56,E141=$AB$57,$AF$57,E141=$AB$58,$AF$58,E141=$AB$59,$AF$59,E141=$AB$60,$AF$60,E141=$AB$61,$AF$61,E141=$AB$62,$AF$62,E141=$AB$63,$AF$63,E141=$AB$64,$AF$64,E141=$AB$65,$AF$65,E141=$AB$66,$AF$66,TRUE,"0")</f>
        <v>B4 Match, lay HT 0-0 or BACK H1 +0.5 GOALS</v>
      </c>
      <c r="D141" s="270" t="str" cm="1">
        <f t="array" ref="D141">_xlfn.IFS(E141=$AB$42,$AD$42,E141=$AB$43,$AD$43,E141=$AB$44,$AD$44,E141=$AB$45,$AD$45,E141=$AB$46,$AD$46,E141=$AB$47,$AD$47,E141=$AB$48,$AD$48,E141=$AB$49,$AD$49,E141=$AB$50,$AD$50,E141=$AB$51,$AD$51,E141=$AB$52,$AD$52,E141=$AB$53,$AD$53,E141=$AB$54,$AD$54,E141=$AB$55,$AD$55,E141=$AB$56,$AD$56,E141=$AB$57,$AD$57,E141=$AB$58,$AD$58,E141=$AB$59,$AD$59,E141=$AB$60,$AD$60,E141=$AB$61,$AD$61,E141=$AB$62,$AD$62,E141=$AB$63,$AD$63,E141=$AB$64,$AD$64,E141=$AB$65,$AD$65,E141=$AB$66,$AD$66,TRUE,"0")</f>
        <v xml:space="preserve">BFM </v>
      </c>
      <c r="E141" s="163" t="s">
        <v>432</v>
      </c>
      <c r="F141" s="7" t="s">
        <v>77</v>
      </c>
      <c r="G141" s="7" t="s">
        <v>156</v>
      </c>
      <c r="H141" s="24">
        <v>45318.604166666664</v>
      </c>
      <c r="I141" s="7" t="s">
        <v>158</v>
      </c>
      <c r="J141" s="7" t="s">
        <v>260</v>
      </c>
      <c r="K141" s="7">
        <v>95</v>
      </c>
      <c r="L141" s="7">
        <v>21</v>
      </c>
      <c r="M141" s="7">
        <v>70</v>
      </c>
      <c r="N141" s="7">
        <v>1.36</v>
      </c>
      <c r="O141" s="7"/>
      <c r="P141" s="7"/>
      <c r="Q141" s="2" t="s">
        <v>95</v>
      </c>
      <c r="R141" s="14" t="s">
        <v>216</v>
      </c>
      <c r="S141" s="13" t="s">
        <v>216</v>
      </c>
      <c r="T141" s="188">
        <f t="shared" si="16"/>
        <v>60.507157326000687</v>
      </c>
      <c r="U141" s="8">
        <f t="shared" si="15"/>
        <v>10.891288318680123</v>
      </c>
      <c r="V141" s="234">
        <f t="shared" si="19"/>
        <v>1221.0344348386939</v>
      </c>
      <c r="W141" s="15">
        <v>25</v>
      </c>
      <c r="X141" s="8">
        <f t="shared" si="17"/>
        <v>4.5</v>
      </c>
      <c r="Y141" s="233">
        <f t="shared" si="18"/>
        <v>953</v>
      </c>
    </row>
    <row r="142" spans="1:25">
      <c r="A142" s="156" t="e" cm="1">
        <f t="array" aca="1" ref="A142" ca="1">_xlfn.IFS(E142=$AB$42,$AC$42,E142=$AB$43,$AC$43,E142=$AB$44,$AC$44,E142=$AB$45,$AC$45,E142=$AB$46,$AC$46,E142=$AB$47,$AC$47,E142=$AB$48,$AC$48,E142=$AB$49,$AC$49,E142=$AB$50,$AC$50,E142=$AB$51,$AC$51,E142=$AB$52,$AC$52,E142=$AB$53,$AC$53,E142=$AB$54,$AC$54,E142=$AB$55,$AC$55,E142=$AB$56,$AC$56,E142=$AB$57,$AC$57,E142=$AB$58,$AC$58,E142=$AB$59,$AC$59,E142=$AB$60,$AC$60,E142=$AB$61,$AC$61,E142=$AB$62,$AC$62,E142=$AB$63,$AC$63,E142=$AB$64,$AC$64,E142=$AB$65,$AC$65,E142=$AB$66,$AC$66,TRUE,"0")</f>
        <v>#NAME?</v>
      </c>
      <c r="C142" s="161" t="str" cm="1">
        <f t="array" ref="C142">_xlfn.IFS(E142=$AB$42,$AF$42,E142=$AB$43,$AF$43,E142=$AB$44,$AF$44,E142=$AB$45,$AF$45,E142=$AB$46,$AF$46,E142=$AB$47,$AF$47,E142=$AB$48,$AF$48,E142=$AB$49,$AF$49,E142=$AB$50,$AF$50,E142=$AB$51,$AF$51,E142=$AB$52,$AF$52,E142=$AB$53,$AF$53,E142=$AB$54,$AF$54,E142=$AB$55,$AF$55,E142=$AB$56,$AF$56,E142=$AB$57,$AF$57,E142=$AB$58,$AF$58,E142=$AB$59,$AF$59,E142=$AB$60,$AF$60,E142=$AB$61,$AF$61,E142=$AB$62,$AF$62,E142=$AB$63,$AF$63,E142=$AB$64,$AF$64,E142=$AB$65,$AF$65,E142=$AB$66,$AF$66,TRUE,"0")</f>
        <v>40 mins Back ANother Goal</v>
      </c>
      <c r="D142" s="270" t="str" cm="1">
        <f t="array" ref="D142">_xlfn.IFS(E142=$AB$42,$AD$42,E142=$AB$43,$AD$43,E142=$AB$44,$AD$44,E142=$AB$45,$AD$45,E142=$AB$46,$AD$46,E142=$AB$47,$AD$47,E142=$AB$48,$AD$48,E142=$AB$49,$AD$49,E142=$AB$50,$AD$50,E142=$AB$51,$AD$51,E142=$AB$52,$AD$52,E142=$AB$53,$AD$53,E142=$AB$54,$AD$54,E142=$AB$55,$AD$55,E142=$AB$56,$AD$56,E142=$AB$57,$AD$57,E142=$AB$58,$AD$58,E142=$AB$59,$AD$59,E142=$AB$60,$AD$60,E142=$AB$61,$AD$61,E142=$AB$62,$AD$62,E142=$AB$63,$AD$63,E142=$AB$64,$AD$64,E142=$AB$65,$AD$65,E142=$AB$66,$AD$66,TRUE,"0")</f>
        <v xml:space="preserve">  BANG</v>
      </c>
      <c r="E142" s="163" t="s">
        <v>10</v>
      </c>
      <c r="F142" s="7" t="s">
        <v>6</v>
      </c>
      <c r="G142" s="7" t="s">
        <v>7</v>
      </c>
      <c r="H142" s="24">
        <v>45318.625</v>
      </c>
      <c r="I142" s="7" t="s">
        <v>26</v>
      </c>
      <c r="J142" s="7" t="s">
        <v>307</v>
      </c>
      <c r="K142" s="7">
        <v>1.95</v>
      </c>
      <c r="L142" s="7">
        <v>90</v>
      </c>
      <c r="M142" s="7">
        <v>65</v>
      </c>
      <c r="N142" s="7">
        <v>25</v>
      </c>
      <c r="O142" s="7">
        <v>61</v>
      </c>
      <c r="P142" s="7">
        <v>20</v>
      </c>
      <c r="Q142" s="2" t="s">
        <v>95</v>
      </c>
      <c r="R142" s="14" t="s">
        <v>214</v>
      </c>
      <c r="S142" s="13" t="s">
        <v>222</v>
      </c>
      <c r="T142" s="188">
        <f t="shared" si="16"/>
        <v>61.051721741934699</v>
      </c>
      <c r="U142" s="8">
        <f t="shared" si="15"/>
        <v>10.989309913548245</v>
      </c>
      <c r="V142" s="234">
        <f t="shared" si="19"/>
        <v>1232.023744752242</v>
      </c>
      <c r="W142" s="15">
        <v>25</v>
      </c>
      <c r="X142" s="8">
        <f t="shared" si="17"/>
        <v>4.5</v>
      </c>
      <c r="Y142" s="233">
        <f t="shared" si="18"/>
        <v>957.5</v>
      </c>
    </row>
    <row r="143" spans="1:25">
      <c r="A143" s="156" t="e" cm="1">
        <f t="array" aca="1" ref="A143" ca="1">_xlfn.IFS(E143=$AB$42,$AC$42,E143=$AB$43,$AC$43,E143=$AB$44,$AC$44,E143=$AB$45,$AC$45,E143=$AB$46,$AC$46,E143=$AB$47,$AC$47,E143=$AB$48,$AC$48,E143=$AB$49,$AC$49,E143=$AB$50,$AC$50,E143=$AB$51,$AC$51,E143=$AB$52,$AC$52,E143=$AB$53,$AC$53,E143=$AB$54,$AC$54,E143=$AB$55,$AC$55,E143=$AB$56,$AC$56,E143=$AB$57,$AC$57,E143=$AB$58,$AC$58,E143=$AB$59,$AC$59,E143=$AB$60,$AC$60,E143=$AB$61,$AC$61,E143=$AB$62,$AC$62,E143=$AB$63,$AC$63,E143=$AB$64,$AC$64,E143=$AB$65,$AC$65,E143=$AB$66,$AC$66,TRUE,"0")</f>
        <v>#NAME?</v>
      </c>
      <c r="C143" s="161" t="str" cm="1">
        <f t="array" ref="C143">_xlfn.IFS(E143=$AB$42,$AF$42,E143=$AB$43,$AF$43,E143=$AB$44,$AF$44,E143=$AB$45,$AF$45,E143=$AB$46,$AF$46,E143=$AB$47,$AF$47,E143=$AB$48,$AF$48,E143=$AB$49,$AF$49,E143=$AB$50,$AF$50,E143=$AB$51,$AF$51,E143=$AB$52,$AF$52,E143=$AB$53,$AF$53,E143=$AB$54,$AF$54,E143=$AB$55,$AF$55,E143=$AB$56,$AF$56,E143=$AB$57,$AF$57,E143=$AB$58,$AF$58,E143=$AB$59,$AF$59,E143=$AB$60,$AF$60,E143=$AB$61,$AF$61,E143=$AB$62,$AF$62,E143=$AB$63,$AF$63,E143=$AB$64,$AF$64,E143=$AB$65,$AF$65,E143=$AB$66,$AF$66,TRUE,"0")</f>
        <v>40 mins Back ANother Goal</v>
      </c>
      <c r="D143" s="270" t="str" cm="1">
        <f t="array" ref="D143">_xlfn.IFS(E143=$AB$42,$AD$42,E143=$AB$43,$AD$43,E143=$AB$44,$AD$44,E143=$AB$45,$AD$45,E143=$AB$46,$AD$46,E143=$AB$47,$AD$47,E143=$AB$48,$AD$48,E143=$AB$49,$AD$49,E143=$AB$50,$AD$50,E143=$AB$51,$AD$51,E143=$AB$52,$AD$52,E143=$AB$53,$AD$53,E143=$AB$54,$AD$54,E143=$AB$55,$AD$55,E143=$AB$56,$AD$56,E143=$AB$57,$AD$57,E143=$AB$58,$AD$58,E143=$AB$59,$AD$59,E143=$AB$60,$AD$60,E143=$AB$61,$AD$61,E143=$AB$62,$AD$62,E143=$AB$63,$AD$63,E143=$AB$64,$AD$64,E143=$AB$65,$AD$65,E143=$AB$66,$AD$66,TRUE,"0")</f>
        <v xml:space="preserve">  BANG</v>
      </c>
      <c r="E143" s="163" t="s">
        <v>10</v>
      </c>
      <c r="F143" s="7" t="s">
        <v>6</v>
      </c>
      <c r="G143" s="7" t="s">
        <v>11</v>
      </c>
      <c r="H143" s="24">
        <v>45318.625</v>
      </c>
      <c r="I143" s="7" t="s">
        <v>198</v>
      </c>
      <c r="J143" s="7" t="s">
        <v>162</v>
      </c>
      <c r="K143" s="7">
        <v>2.0499999999999998</v>
      </c>
      <c r="L143" s="7">
        <v>95</v>
      </c>
      <c r="M143" s="7">
        <v>65</v>
      </c>
      <c r="N143" s="7">
        <v>25</v>
      </c>
      <c r="O143" s="7">
        <v>65</v>
      </c>
      <c r="P143" s="7">
        <v>20</v>
      </c>
      <c r="Q143" s="2" t="s">
        <v>95</v>
      </c>
      <c r="R143" s="14" t="s">
        <v>221</v>
      </c>
      <c r="S143" s="13" t="s">
        <v>216</v>
      </c>
      <c r="T143" s="188">
        <f t="shared" si="16"/>
        <v>61.601187237612102</v>
      </c>
      <c r="U143" s="8">
        <f t="shared" si="15"/>
        <v>11.088213702770178</v>
      </c>
      <c r="V143" s="234">
        <f t="shared" si="19"/>
        <v>1243.1119584550122</v>
      </c>
      <c r="W143" s="15">
        <v>25</v>
      </c>
      <c r="X143" s="8">
        <f t="shared" si="17"/>
        <v>4.5</v>
      </c>
      <c r="Y143" s="233">
        <f t="shared" si="18"/>
        <v>962</v>
      </c>
    </row>
    <row r="144" spans="1:25">
      <c r="A144" s="156" t="e" cm="1">
        <f t="array" aca="1" ref="A144" ca="1">_xlfn.IFS(E144=$AB$42,$AC$42,E144=$AB$43,$AC$43,E144=$AB$44,$AC$44,E144=$AB$45,$AC$45,E144=$AB$46,$AC$46,E144=$AB$47,$AC$47,E144=$AB$48,$AC$48,E144=$AB$49,$AC$49,E144=$AB$50,$AC$50,E144=$AB$51,$AC$51,E144=$AB$52,$AC$52,E144=$AB$53,$AC$53,E144=$AB$54,$AC$54,E144=$AB$55,$AC$55,E144=$AB$56,$AC$56,E144=$AB$57,$AC$57,E144=$AB$58,$AC$58,E144=$AB$59,$AC$59,E144=$AB$60,$AC$60,E144=$AB$61,$AC$61,E144=$AB$62,$AC$62,E144=$AB$63,$AC$63,E144=$AB$64,$AC$64,E144=$AB$65,$AC$65,E144=$AB$66,$AC$66,TRUE,"0")</f>
        <v>#NAME?</v>
      </c>
      <c r="C144" s="161" t="str" cm="1">
        <f t="array" ref="C144">_xlfn.IFS(E144=$AB$42,$AF$42,E144=$AB$43,$AF$43,E144=$AB$44,$AF$44,E144=$AB$45,$AF$45,E144=$AB$46,$AF$46,E144=$AB$47,$AF$47,E144=$AB$48,$AF$48,E144=$AB$49,$AF$49,E144=$AB$50,$AF$50,E144=$AB$51,$AF$51,E144=$AB$52,$AF$52,E144=$AB$53,$AF$53,E144=$AB$54,$AF$54,E144=$AB$55,$AF$55,E144=$AB$56,$AF$56,E144=$AB$57,$AF$57,E144=$AB$58,$AF$58,E144=$AB$59,$AF$59,E144=$AB$60,$AF$60,E144=$AB$61,$AF$61,E144=$AB$62,$AF$62,E144=$AB$63,$AF$63,E144=$AB$64,$AF$64,E144=$AB$65,$AF$65,E144=$AB$66,$AF$66,TRUE,"0")</f>
        <v>B4 match BACK FT +1.5 goals. X AFTER  GOAL</v>
      </c>
      <c r="D144" s="270" t="str" cm="1">
        <f t="array" ref="D144">_xlfn.IFS(E144=$AB$42,$AD$42,E144=$AB$43,$AD$43,E144=$AB$44,$AD$44,E144=$AB$45,$AD$45,E144=$AB$46,$AD$46,E144=$AB$47,$AD$47,E144=$AB$48,$AD$48,E144=$AB$49,$AD$49,E144=$AB$50,$AD$50,E144=$AB$51,$AD$51,E144=$AB$52,$AD$52,E144=$AB$53,$AD$53,E144=$AB$54,$AD$54,E144=$AB$55,$AD$55,E144=$AB$56,$AD$56,E144=$AB$57,$AD$57,E144=$AB$58,$AD$58,E144=$AB$59,$AD$59,E144=$AB$60,$AD$60,E144=$AB$61,$AD$61,E144=$AB$62,$AD$62,E144=$AB$63,$AD$63,E144=$AB$64,$AD$64,E144=$AB$65,$AD$65,E144=$AB$66,$AD$66,TRUE,"0")</f>
        <v xml:space="preserve">BFM </v>
      </c>
      <c r="E144" s="163" t="s">
        <v>406</v>
      </c>
      <c r="F144" s="7" t="s">
        <v>13</v>
      </c>
      <c r="G144" s="7" t="s">
        <v>37</v>
      </c>
      <c r="H144" s="24">
        <v>45318.625</v>
      </c>
      <c r="I144" s="7" t="s">
        <v>99</v>
      </c>
      <c r="J144" s="7" t="s">
        <v>323</v>
      </c>
      <c r="K144" s="7">
        <v>1.08</v>
      </c>
      <c r="L144" s="7">
        <v>50</v>
      </c>
      <c r="M144" s="7">
        <v>3.05</v>
      </c>
      <c r="N144" s="7">
        <v>2.38</v>
      </c>
      <c r="O144" s="7">
        <v>2.4500000000000002</v>
      </c>
      <c r="P144" s="7"/>
      <c r="Q144" s="2" t="s">
        <v>95</v>
      </c>
      <c r="R144" s="14" t="s">
        <v>214</v>
      </c>
      <c r="S144" s="13" t="s">
        <v>214</v>
      </c>
      <c r="T144" s="188">
        <f t="shared" si="16"/>
        <v>62.155597922750616</v>
      </c>
      <c r="U144" s="8">
        <f t="shared" si="15"/>
        <v>11.188007626095111</v>
      </c>
      <c r="V144" s="234">
        <f t="shared" si="19"/>
        <v>1254.2999660811074</v>
      </c>
      <c r="W144" s="15">
        <v>25</v>
      </c>
      <c r="X144" s="8">
        <f t="shared" si="17"/>
        <v>4.5</v>
      </c>
      <c r="Y144" s="233">
        <f t="shared" si="18"/>
        <v>966.5</v>
      </c>
    </row>
    <row r="145" spans="1:25">
      <c r="A145" s="156" t="e" cm="1">
        <f t="array" aca="1" ref="A145" ca="1">_xlfn.IFS(E145=$AB$42,$AC$42,E145=$AB$43,$AC$43,E145=$AB$44,$AC$44,E145=$AB$45,$AC$45,E145=$AB$46,$AC$46,E145=$AB$47,$AC$47,E145=$AB$48,$AC$48,E145=$AB$49,$AC$49,E145=$AB$50,$AC$50,E145=$AB$51,$AC$51,E145=$AB$52,$AC$52,E145=$AB$53,$AC$53,E145=$AB$54,$AC$54,E145=$AB$55,$AC$55,E145=$AB$56,$AC$56,E145=$AB$57,$AC$57,E145=$AB$58,$AC$58,E145=$AB$59,$AC$59,E145=$AB$60,$AC$60,E145=$AB$61,$AC$61,E145=$AB$62,$AC$62,E145=$AB$63,$AC$63,E145=$AB$64,$AC$64,E145=$AB$65,$AC$65,E145=$AB$66,$AC$66,TRUE,"0")</f>
        <v>#NAME?</v>
      </c>
      <c r="C145" s="161" t="str" cm="1">
        <f t="array" ref="C145">_xlfn.IFS(E145=$AB$42,$AF$42,E145=$AB$43,$AF$43,E145=$AB$44,$AF$44,E145=$AB$45,$AF$45,E145=$AB$46,$AF$46,E145=$AB$47,$AF$47,E145=$AB$48,$AF$48,E145=$AB$49,$AF$49,E145=$AB$50,$AF$50,E145=$AB$51,$AF$51,E145=$AB$52,$AF$52,E145=$AB$53,$AF$53,E145=$AB$54,$AF$54,E145=$AB$55,$AF$55,E145=$AB$56,$AF$56,E145=$AB$57,$AF$57,E145=$AB$58,$AF$58,E145=$AB$59,$AF$59,E145=$AB$60,$AF$60,E145=$AB$61,$AF$61,E145=$AB$62,$AF$62,E145=$AB$63,$AF$63,E145=$AB$64,$AF$64,E145=$AB$65,$AF$65,E145=$AB$66,$AF$66,TRUE,"0")</f>
        <v>if 0-0, BACK+ 0.5 GOALS  @ 1.15+odds.  or @ 40 mins</v>
      </c>
      <c r="D145" s="270" t="str" cm="1">
        <f t="array" ref="D145">_xlfn.IFS(E145=$AB$42,$AD$42,E145=$AB$43,$AD$43,E145=$AB$44,$AD$44,E145=$AB$45,$AD$45,E145=$AB$46,$AD$46,E145=$AB$47,$AD$47,E145=$AB$48,$AD$48,E145=$AB$49,$AD$49,E145=$AB$50,$AD$50,E145=$AB$51,$AD$51,E145=$AB$52,$AD$52,E145=$AB$53,$AD$53,E145=$AB$54,$AD$54,E145=$AB$55,$AD$55,E145=$AB$56,$AD$56,E145=$AB$57,$AD$57,E145=$AB$58,$AD$58,E145=$AB$59,$AD$59,E145=$AB$60,$AD$60,E145=$AB$61,$AD$61,E145=$AB$62,$AD$62,E145=$AB$63,$AD$63,E145=$AB$64,$AD$64,E145=$AB$65,$AD$65,E145=$AB$66,$AD$66,TRUE,"0")</f>
        <v>IP</v>
      </c>
      <c r="E145" s="163" t="s">
        <v>270</v>
      </c>
      <c r="F145" s="7" t="s">
        <v>13</v>
      </c>
      <c r="G145" s="7" t="s">
        <v>37</v>
      </c>
      <c r="H145" s="24">
        <v>45318.625</v>
      </c>
      <c r="I145" s="7" t="s">
        <v>324</v>
      </c>
      <c r="J145" s="7" t="s">
        <v>316</v>
      </c>
      <c r="K145" s="7">
        <v>63</v>
      </c>
      <c r="L145" s="7">
        <v>0</v>
      </c>
      <c r="M145" s="7">
        <v>20</v>
      </c>
      <c r="N145" s="7">
        <v>2.09</v>
      </c>
      <c r="O145" s="7"/>
      <c r="P145" s="7"/>
      <c r="Q145" s="2" t="s">
        <v>95</v>
      </c>
      <c r="R145" s="14" t="s">
        <v>214</v>
      </c>
      <c r="S145" s="13" t="s">
        <v>210</v>
      </c>
      <c r="T145" s="188">
        <f t="shared" si="16"/>
        <v>62.714998304055371</v>
      </c>
      <c r="U145" s="8">
        <f t="shared" si="15"/>
        <v>11.288699694729967</v>
      </c>
      <c r="V145" s="234">
        <f t="shared" si="19"/>
        <v>1265.5886657758374</v>
      </c>
      <c r="W145" s="15">
        <v>25</v>
      </c>
      <c r="X145" s="8">
        <f t="shared" si="17"/>
        <v>4.5</v>
      </c>
      <c r="Y145" s="233">
        <f t="shared" si="18"/>
        <v>971</v>
      </c>
    </row>
    <row r="146" spans="1:25">
      <c r="A146" s="156" t="e" cm="1">
        <f t="array" aca="1" ref="A146" ca="1">_xlfn.IFS(E146=$AB$42,$AC$42,E146=$AB$43,$AC$43,E146=$AB$44,$AC$44,E146=$AB$45,$AC$45,E146=$AB$46,$AC$46,E146=$AB$47,$AC$47,E146=$AB$48,$AC$48,E146=$AB$49,$AC$49,E146=$AB$50,$AC$50,E146=$AB$51,$AC$51,E146=$AB$52,$AC$52,E146=$AB$53,$AC$53,E146=$AB$54,$AC$54,E146=$AB$55,$AC$55,E146=$AB$56,$AC$56,E146=$AB$57,$AC$57,E146=$AB$58,$AC$58,E146=$AB$59,$AC$59,E146=$AB$60,$AC$60,E146=$AB$61,$AC$61,E146=$AB$62,$AC$62,E146=$AB$63,$AC$63,E146=$AB$64,$AC$64,E146=$AB$65,$AC$65,E146=$AB$66,$AC$66,TRUE,"0")</f>
        <v>#NAME?</v>
      </c>
      <c r="C146" s="161" t="str" cm="1">
        <f t="array" ref="C146">_xlfn.IFS(E146=$AB$42,$AF$42,E146=$AB$43,$AF$43,E146=$AB$44,$AF$44,E146=$AB$45,$AF$45,E146=$AB$46,$AF$46,E146=$AB$47,$AF$47,E146=$AB$48,$AF$48,E146=$AB$49,$AF$49,E146=$AB$50,$AF$50,E146=$AB$51,$AF$51,E146=$AB$52,$AF$52,E146=$AB$53,$AF$53,E146=$AB$54,$AF$54,E146=$AB$55,$AF$55,E146=$AB$56,$AF$56,E146=$AB$57,$AF$57,E146=$AB$58,$AF$58,E146=$AB$59,$AF$59,E146=$AB$60,$AF$60,E146=$AB$61,$AF$61,E146=$AB$62,$AF$62,E146=$AB$63,$AF$63,E146=$AB$64,$AF$64,E146=$AB$65,$AF$65,E146=$AB$66,$AF$66,TRUE,"0")</f>
        <v>if 0-0, BACK+ 0.5 GOALS  @ 1.15+odds.  or @ 40 mins</v>
      </c>
      <c r="D146" s="270" t="str" cm="1">
        <f t="array" ref="D146">_xlfn.IFS(E146=$AB$42,$AD$42,E146=$AB$43,$AD$43,E146=$AB$44,$AD$44,E146=$AB$45,$AD$45,E146=$AB$46,$AD$46,E146=$AB$47,$AD$47,E146=$AB$48,$AD$48,E146=$AB$49,$AD$49,E146=$AB$50,$AD$50,E146=$AB$51,$AD$51,E146=$AB$52,$AD$52,E146=$AB$53,$AD$53,E146=$AB$54,$AD$54,E146=$AB$55,$AD$55,E146=$AB$56,$AD$56,E146=$AB$57,$AD$57,E146=$AB$58,$AD$58,E146=$AB$59,$AD$59,E146=$AB$60,$AD$60,E146=$AB$61,$AD$61,E146=$AB$62,$AD$62,E146=$AB$63,$AD$63,E146=$AB$64,$AD$64,E146=$AB$65,$AD$65,E146=$AB$66,$AD$66,TRUE,"0")</f>
        <v>IP</v>
      </c>
      <c r="E146" s="163" t="s">
        <v>270</v>
      </c>
      <c r="F146" s="7" t="s">
        <v>6</v>
      </c>
      <c r="G146" s="7" t="s">
        <v>7</v>
      </c>
      <c r="H146" s="24">
        <v>45318.625</v>
      </c>
      <c r="I146" s="7" t="s">
        <v>9</v>
      </c>
      <c r="J146" s="7" t="s">
        <v>27</v>
      </c>
      <c r="K146" s="7">
        <v>63</v>
      </c>
      <c r="L146" s="7">
        <v>0</v>
      </c>
      <c r="M146" s="7">
        <v>20</v>
      </c>
      <c r="N146" s="7">
        <v>2.2200000000000002</v>
      </c>
      <c r="O146" s="7"/>
      <c r="P146" s="7"/>
      <c r="Q146" s="2" t="s">
        <v>95</v>
      </c>
      <c r="R146" s="14" t="s">
        <v>193</v>
      </c>
      <c r="S146" s="13" t="s">
        <v>193</v>
      </c>
      <c r="T146" s="188">
        <f t="shared" si="16"/>
        <v>63.279433288791871</v>
      </c>
      <c r="U146" s="8">
        <f t="shared" si="15"/>
        <v>11.390297991982536</v>
      </c>
      <c r="V146" s="234">
        <f t="shared" si="19"/>
        <v>1276.97896376782</v>
      </c>
      <c r="W146" s="15">
        <v>25</v>
      </c>
      <c r="X146" s="8">
        <f t="shared" si="17"/>
        <v>4.5</v>
      </c>
      <c r="Y146" s="233">
        <f t="shared" si="18"/>
        <v>975.5</v>
      </c>
    </row>
    <row r="147" spans="1:25">
      <c r="A147" s="156" t="e" cm="1">
        <f t="array" aca="1" ref="A147" ca="1">_xlfn.IFS(E147=$AB$42,$AC$42,E147=$AB$43,$AC$43,E147=$AB$44,$AC$44,E147=$AB$45,$AC$45,E147=$AB$46,$AC$46,E147=$AB$47,$AC$47,E147=$AB$48,$AC$48,E147=$AB$49,$AC$49,E147=$AB$50,$AC$50,E147=$AB$51,$AC$51,E147=$AB$52,$AC$52,E147=$AB$53,$AC$53,E147=$AB$54,$AC$54,E147=$AB$55,$AC$55,E147=$AB$56,$AC$56,E147=$AB$57,$AC$57,E147=$AB$58,$AC$58,E147=$AB$59,$AC$59,E147=$AB$60,$AC$60,E147=$AB$61,$AC$61,E147=$AB$62,$AC$62,E147=$AB$63,$AC$63,E147=$AB$64,$AC$64,E147=$AB$65,$AC$65,E147=$AB$66,$AC$66,TRUE,"0")</f>
        <v>#NAME?</v>
      </c>
      <c r="C147" s="161" t="str" cm="1">
        <f t="array" ref="C147">_xlfn.IFS(E147=$AB$42,$AF$42,E147=$AB$43,$AF$43,E147=$AB$44,$AF$44,E147=$AB$45,$AF$45,E147=$AB$46,$AF$46,E147=$AB$47,$AF$47,E147=$AB$48,$AF$48,E147=$AB$49,$AF$49,E147=$AB$50,$AF$50,E147=$AB$51,$AF$51,E147=$AB$52,$AF$52,E147=$AB$53,$AF$53,E147=$AB$54,$AF$54,E147=$AB$55,$AF$55,E147=$AB$56,$AF$56,E147=$AB$57,$AF$57,E147=$AB$58,$AF$58,E147=$AB$59,$AF$59,E147=$AB$60,$AF$60,E147=$AB$61,$AF$61,E147=$AB$62,$AF$62,E147=$AB$63,$AF$63,E147=$AB$64,$AF$64,E147=$AB$65,$AF$65,E147=$AB$66,$AF$66,TRUE,"0")</f>
        <v>B4 Match, lay HT 0-0 or BACK H1 +0.5 GOALS</v>
      </c>
      <c r="D147" s="270" t="str" cm="1">
        <f t="array" ref="D147">_xlfn.IFS(E147=$AB$42,$AD$42,E147=$AB$43,$AD$43,E147=$AB$44,$AD$44,E147=$AB$45,$AD$45,E147=$AB$46,$AD$46,E147=$AB$47,$AD$47,E147=$AB$48,$AD$48,E147=$AB$49,$AD$49,E147=$AB$50,$AD$50,E147=$AB$51,$AD$51,E147=$AB$52,$AD$52,E147=$AB$53,$AD$53,E147=$AB$54,$AD$54,E147=$AB$55,$AD$55,E147=$AB$56,$AD$56,E147=$AB$57,$AD$57,E147=$AB$58,$AD$58,E147=$AB$59,$AD$59,E147=$AB$60,$AD$60,E147=$AB$61,$AD$61,E147=$AB$62,$AD$62,E147=$AB$63,$AD$63,E147=$AB$64,$AD$64,E147=$AB$65,$AD$65,E147=$AB$66,$AD$66,TRUE,"0")</f>
        <v xml:space="preserve">BFM </v>
      </c>
      <c r="E147" s="163" t="s">
        <v>432</v>
      </c>
      <c r="F147" s="7" t="s">
        <v>20</v>
      </c>
      <c r="G147" s="7" t="s">
        <v>322</v>
      </c>
      <c r="H147" s="24">
        <v>45318.635416666664</v>
      </c>
      <c r="I147" s="7" t="s">
        <v>356</v>
      </c>
      <c r="J147" s="7" t="s">
        <v>357</v>
      </c>
      <c r="K147" s="7">
        <v>86</v>
      </c>
      <c r="L147" s="7">
        <v>22</v>
      </c>
      <c r="M147" s="7">
        <v>33</v>
      </c>
      <c r="N147" s="7">
        <v>1.17</v>
      </c>
      <c r="O147" s="7"/>
      <c r="P147" s="7"/>
      <c r="Q147" s="1" t="s">
        <v>95</v>
      </c>
      <c r="R147" s="14" t="s">
        <v>214</v>
      </c>
      <c r="S147" s="13" t="s">
        <v>197</v>
      </c>
      <c r="T147" s="188">
        <f t="shared" si="16"/>
        <v>63.848948188391006</v>
      </c>
      <c r="U147" s="8">
        <f t="shared" si="15"/>
        <v>11.49281067391038</v>
      </c>
      <c r="V147" s="234">
        <f t="shared" si="19"/>
        <v>1288.4717744417303</v>
      </c>
      <c r="W147" s="15">
        <v>25</v>
      </c>
      <c r="X147" s="8">
        <f t="shared" si="17"/>
        <v>4.5</v>
      </c>
      <c r="Y147" s="233">
        <f t="shared" si="18"/>
        <v>980</v>
      </c>
    </row>
    <row r="148" spans="1:25">
      <c r="A148" s="156" t="e" cm="1">
        <f t="array" aca="1" ref="A148" ca="1">_xlfn.IFS(E148=$AB$42,$AC$42,E148=$AB$43,$AC$43,E148=$AB$44,$AC$44,E148=$AB$45,$AC$45,E148=$AB$46,$AC$46,E148=$AB$47,$AC$47,E148=$AB$48,$AC$48,E148=$AB$49,$AC$49,E148=$AB$50,$AC$50,E148=$AB$51,$AC$51,E148=$AB$52,$AC$52,E148=$AB$53,$AC$53,E148=$AB$54,$AC$54,E148=$AB$55,$AC$55,E148=$AB$56,$AC$56,E148=$AB$57,$AC$57,E148=$AB$58,$AC$58,E148=$AB$59,$AC$59,E148=$AB$60,$AC$60,E148=$AB$61,$AC$61,E148=$AB$62,$AC$62,E148=$AB$63,$AC$63,E148=$AB$64,$AC$64,E148=$AB$65,$AC$65,E148=$AB$66,$AC$66,TRUE,"0")</f>
        <v>#NAME?</v>
      </c>
      <c r="C148" s="161" t="str" cm="1">
        <f t="array" ref="C148">_xlfn.IFS(E148=$AB$42,$AF$42,E148=$AB$43,$AF$43,E148=$AB$44,$AF$44,E148=$AB$45,$AF$45,E148=$AB$46,$AF$46,E148=$AB$47,$AF$47,E148=$AB$48,$AF$48,E148=$AB$49,$AF$49,E148=$AB$50,$AF$50,E148=$AB$51,$AF$51,E148=$AB$52,$AF$52,E148=$AB$53,$AF$53,E148=$AB$54,$AF$54,E148=$AB$55,$AF$55,E148=$AB$56,$AF$56,E148=$AB$57,$AF$57,E148=$AB$58,$AF$58,E148=$AB$59,$AF$59,E148=$AB$60,$AF$60,E148=$AB$61,$AF$61,E148=$AB$62,$AF$62,E148=$AB$63,$AF$63,E148=$AB$64,$AF$64,E148=$AB$65,$AF$65,E148=$AB$66,$AF$66,TRUE,"0")</f>
        <v>B4 Match, lay HT 0-0 or BACK H1 +0.5 GOALS</v>
      </c>
      <c r="D148" s="270" t="str" cm="1">
        <f t="array" ref="D148">_xlfn.IFS(E148=$AB$42,$AD$42,E148=$AB$43,$AD$43,E148=$AB$44,$AD$44,E148=$AB$45,$AD$45,E148=$AB$46,$AD$46,E148=$AB$47,$AD$47,E148=$AB$48,$AD$48,E148=$AB$49,$AD$49,E148=$AB$50,$AD$50,E148=$AB$51,$AD$51,E148=$AB$52,$AD$52,E148=$AB$53,$AD$53,E148=$AB$54,$AD$54,E148=$AB$55,$AD$55,E148=$AB$56,$AD$56,E148=$AB$57,$AD$57,E148=$AB$58,$AD$58,E148=$AB$59,$AD$59,E148=$AB$60,$AD$60,E148=$AB$61,$AD$61,E148=$AB$62,$AD$62,E148=$AB$63,$AD$63,E148=$AB$64,$AD$64,E148=$AB$65,$AD$65,E148=$AB$66,$AD$66,TRUE,"0")</f>
        <v xml:space="preserve">BFM </v>
      </c>
      <c r="E148" s="163" t="s">
        <v>432</v>
      </c>
      <c r="F148" s="7" t="s">
        <v>77</v>
      </c>
      <c r="G148" s="7" t="s">
        <v>156</v>
      </c>
      <c r="H148" s="24">
        <v>45318.729166666664</v>
      </c>
      <c r="I148" s="7" t="s">
        <v>325</v>
      </c>
      <c r="J148" s="7" t="s">
        <v>167</v>
      </c>
      <c r="K148" s="7">
        <v>90</v>
      </c>
      <c r="L148" s="7">
        <v>22</v>
      </c>
      <c r="M148" s="7">
        <v>48</v>
      </c>
      <c r="N148" s="7">
        <v>0.66</v>
      </c>
      <c r="O148" s="7"/>
      <c r="P148" s="7"/>
      <c r="Q148" s="1" t="s">
        <v>96</v>
      </c>
      <c r="R148" s="14" t="s">
        <v>221</v>
      </c>
      <c r="S148" s="13" t="s">
        <v>221</v>
      </c>
      <c r="T148" s="188">
        <f t="shared" si="16"/>
        <v>64.423588722086521</v>
      </c>
      <c r="U148" s="8">
        <f t="shared" si="15"/>
        <v>-64.423588722086521</v>
      </c>
      <c r="V148" s="234">
        <f t="shared" si="19"/>
        <v>1224.0481857196437</v>
      </c>
      <c r="W148" s="15">
        <v>25</v>
      </c>
      <c r="X148" s="8">
        <f t="shared" si="17"/>
        <v>-25</v>
      </c>
      <c r="Y148" s="233">
        <f t="shared" si="18"/>
        <v>955</v>
      </c>
    </row>
    <row r="149" spans="1:25">
      <c r="A149" s="156" t="e" cm="1">
        <f t="array" aca="1" ref="A149" ca="1">_xlfn.IFS(E149=$AB$42,$AC$42,E149=$AB$43,$AC$43,E149=$AB$44,$AC$44,E149=$AB$45,$AC$45,E149=$AB$46,$AC$46,E149=$AB$47,$AC$47,E149=$AB$48,$AC$48,E149=$AB$49,$AC$49,E149=$AB$50,$AC$50,E149=$AB$51,$AC$51,E149=$AB$52,$AC$52,E149=$AB$53,$AC$53,E149=$AB$54,$AC$54,E149=$AB$55,$AC$55,E149=$AB$56,$AC$56,E149=$AB$57,$AC$57,E149=$AB$58,$AC$58,E149=$AB$59,$AC$59,E149=$AB$60,$AC$60,E149=$AB$61,$AC$61,E149=$AB$62,$AC$62,E149=$AB$63,$AC$63,E149=$AB$64,$AC$64,E149=$AB$65,$AC$65,E149=$AB$66,$AC$66,TRUE,"0")</f>
        <v>#NAME?</v>
      </c>
      <c r="C149" s="161" t="str" cm="1">
        <f t="array" ref="C149">_xlfn.IFS(E149=$AB$42,$AF$42,E149=$AB$43,$AF$43,E149=$AB$44,$AF$44,E149=$AB$45,$AF$45,E149=$AB$46,$AF$46,E149=$AB$47,$AF$47,E149=$AB$48,$AF$48,E149=$AB$49,$AF$49,E149=$AB$50,$AF$50,E149=$AB$51,$AF$51,E149=$AB$52,$AF$52,E149=$AB$53,$AF$53,E149=$AB$54,$AF$54,E149=$AB$55,$AF$55,E149=$AB$56,$AF$56,E149=$AB$57,$AF$57,E149=$AB$58,$AF$58,E149=$AB$59,$AF$59,E149=$AB$60,$AF$60,E149=$AB$61,$AF$61,E149=$AB$62,$AF$62,E149=$AB$63,$AF$63,E149=$AB$64,$AF$64,E149=$AB$65,$AF$65,E149=$AB$66,$AF$66,TRUE,"0")</f>
        <v>if 0-0, BACK+ 0.5 GOALS  @ 1.15+odds.  or @ 40 mins</v>
      </c>
      <c r="D149" s="270" t="str" cm="1">
        <f t="array" ref="D149">_xlfn.IFS(E149=$AB$42,$AD$42,E149=$AB$43,$AD$43,E149=$AB$44,$AD$44,E149=$AB$45,$AD$45,E149=$AB$46,$AD$46,E149=$AB$47,$AD$47,E149=$AB$48,$AD$48,E149=$AB$49,$AD$49,E149=$AB$50,$AD$50,E149=$AB$51,$AD$51,E149=$AB$52,$AD$52,E149=$AB$53,$AD$53,E149=$AB$54,$AD$54,E149=$AB$55,$AD$55,E149=$AB$56,$AD$56,E149=$AB$57,$AD$57,E149=$AB$58,$AD$58,E149=$AB$59,$AD$59,E149=$AB$60,$AD$60,E149=$AB$61,$AD$61,E149=$AB$62,$AD$62,E149=$AB$63,$AD$63,E149=$AB$64,$AD$64,E149=$AB$65,$AD$65,E149=$AB$66,$AD$66,TRUE,"0")</f>
        <v>IP</v>
      </c>
      <c r="E149" s="163" t="s">
        <v>270</v>
      </c>
      <c r="F149" s="7" t="s">
        <v>145</v>
      </c>
      <c r="G149" s="7" t="s">
        <v>268</v>
      </c>
      <c r="H149" s="24">
        <v>45318.75</v>
      </c>
      <c r="I149" s="7" t="s">
        <v>269</v>
      </c>
      <c r="J149" s="7" t="s">
        <v>304</v>
      </c>
      <c r="K149" s="7">
        <v>65</v>
      </c>
      <c r="L149" s="7">
        <v>0</v>
      </c>
      <c r="M149" s="7">
        <v>20</v>
      </c>
      <c r="N149" s="7">
        <v>1.1499999999999999</v>
      </c>
      <c r="O149" s="7"/>
      <c r="P149" s="7"/>
      <c r="Q149" s="1" t="s">
        <v>95</v>
      </c>
      <c r="R149" s="14" t="s">
        <v>193</v>
      </c>
      <c r="S149" s="13" t="s">
        <v>223</v>
      </c>
      <c r="T149" s="188">
        <f t="shared" si="16"/>
        <v>61.202409285982185</v>
      </c>
      <c r="U149" s="8">
        <f t="shared" si="15"/>
        <v>11.016433671476793</v>
      </c>
      <c r="V149" s="234">
        <f t="shared" si="19"/>
        <v>1235.0646193911205</v>
      </c>
      <c r="W149" s="15">
        <v>25</v>
      </c>
      <c r="X149" s="8">
        <f t="shared" si="17"/>
        <v>4.5</v>
      </c>
      <c r="Y149" s="233">
        <f t="shared" si="18"/>
        <v>959.5</v>
      </c>
    </row>
    <row r="150" spans="1:25">
      <c r="A150" s="156" t="e" cm="1">
        <f t="array" aca="1" ref="A150" ca="1">_xlfn.IFS(E150=$AB$42,$AC$42,E150=$AB$43,$AC$43,E150=$AB$44,$AC$44,E150=$AB$45,$AC$45,E150=$AB$46,$AC$46,E150=$AB$47,$AC$47,E150=$AB$48,$AC$48,E150=$AB$49,$AC$49,E150=$AB$50,$AC$50,E150=$AB$51,$AC$51,E150=$AB$52,$AC$52,E150=$AB$53,$AC$53,E150=$AB$54,$AC$54,E150=$AB$55,$AC$55,E150=$AB$56,$AC$56,E150=$AB$57,$AC$57,E150=$AB$58,$AC$58,E150=$AB$59,$AC$59,E150=$AB$60,$AC$60,E150=$AB$61,$AC$61,E150=$AB$62,$AC$62,E150=$AB$63,$AC$63,E150=$AB$64,$AC$64,E150=$AB$65,$AC$65,E150=$AB$66,$AC$66,TRUE,"0")</f>
        <v>#NAME?</v>
      </c>
      <c r="C150" s="161" t="str" cm="1">
        <f t="array" ref="C150">_xlfn.IFS(E150=$AB$42,$AF$42,E150=$AB$43,$AF$43,E150=$AB$44,$AF$44,E150=$AB$45,$AF$45,E150=$AB$46,$AF$46,E150=$AB$47,$AF$47,E150=$AB$48,$AF$48,E150=$AB$49,$AF$49,E150=$AB$50,$AF$50,E150=$AB$51,$AF$51,E150=$AB$52,$AF$52,E150=$AB$53,$AF$53,E150=$AB$54,$AF$54,E150=$AB$55,$AF$55,E150=$AB$56,$AF$56,E150=$AB$57,$AF$57,E150=$AB$58,$AF$58,E150=$AB$59,$AF$59,E150=$AB$60,$AF$60,E150=$AB$61,$AF$61,E150=$AB$62,$AF$62,E150=$AB$63,$AF$63,E150=$AB$64,$AF$64,E150=$AB$65,$AF$65,E150=$AB$66,$AF$66,TRUE,"0")</f>
        <v>40 mins Back ANother Goal</v>
      </c>
      <c r="D150" s="270" t="str" cm="1">
        <f t="array" ref="D150">_xlfn.IFS(E150=$AB$42,$AD$42,E150=$AB$43,$AD$43,E150=$AB$44,$AD$44,E150=$AB$45,$AD$45,E150=$AB$46,$AD$46,E150=$AB$47,$AD$47,E150=$AB$48,$AD$48,E150=$AB$49,$AD$49,E150=$AB$50,$AD$50,E150=$AB$51,$AD$51,E150=$AB$52,$AD$52,E150=$AB$53,$AD$53,E150=$AB$54,$AD$54,E150=$AB$55,$AD$55,E150=$AB$56,$AD$56,E150=$AB$57,$AD$57,E150=$AB$58,$AD$58,E150=$AB$59,$AD$59,E150=$AB$60,$AD$60,E150=$AB$61,$AD$61,E150=$AB$62,$AD$62,E150=$AB$63,$AD$63,E150=$AB$64,$AD$64,E150=$AB$65,$AD$65,E150=$AB$66,$AD$66,TRUE,"0")</f>
        <v xml:space="preserve">  BANG</v>
      </c>
      <c r="E150" s="163" t="s">
        <v>10</v>
      </c>
      <c r="F150" s="7" t="s">
        <v>67</v>
      </c>
      <c r="G150" s="7" t="s">
        <v>68</v>
      </c>
      <c r="H150" s="24">
        <v>45318.822916666664</v>
      </c>
      <c r="I150" s="7" t="s">
        <v>257</v>
      </c>
      <c r="J150" s="7" t="s">
        <v>266</v>
      </c>
      <c r="K150" s="7">
        <v>1.85</v>
      </c>
      <c r="L150" s="7">
        <v>90</v>
      </c>
      <c r="M150" s="7">
        <v>70</v>
      </c>
      <c r="N150" s="7">
        <v>20</v>
      </c>
      <c r="O150" s="7">
        <v>62</v>
      </c>
      <c r="P150" s="43">
        <v>20</v>
      </c>
      <c r="Q150" s="1" t="s">
        <v>95</v>
      </c>
      <c r="R150" s="14" t="s">
        <v>216</v>
      </c>
      <c r="S150" s="13" t="s">
        <v>210</v>
      </c>
      <c r="T150" s="188">
        <f t="shared" si="16"/>
        <v>61.753230969556029</v>
      </c>
      <c r="U150" s="8">
        <f t="shared" si="15"/>
        <v>11.115581574520085</v>
      </c>
      <c r="V150" s="234">
        <f t="shared" si="19"/>
        <v>1246.1802009656406</v>
      </c>
      <c r="W150" s="15">
        <v>25</v>
      </c>
      <c r="X150" s="8">
        <f t="shared" si="17"/>
        <v>4.5</v>
      </c>
      <c r="Y150" s="233">
        <f t="shared" si="18"/>
        <v>964</v>
      </c>
    </row>
    <row r="151" spans="1:25">
      <c r="A151" s="156" t="e" cm="1">
        <f t="array" aca="1" ref="A151" ca="1">_xlfn.IFS(E151=$AB$42,$AC$42,E151=$AB$43,$AC$43,E151=$AB$44,$AC$44,E151=$AB$45,$AC$45,E151=$AB$46,$AC$46,E151=$AB$47,$AC$47,E151=$AB$48,$AC$48,E151=$AB$49,$AC$49,E151=$AB$50,$AC$50,E151=$AB$51,$AC$51,E151=$AB$52,$AC$52,E151=$AB$53,$AC$53,E151=$AB$54,$AC$54,E151=$AB$55,$AC$55,E151=$AB$56,$AC$56,E151=$AB$57,$AC$57,E151=$AB$58,$AC$58,E151=$AB$59,$AC$59,E151=$AB$60,$AC$60,E151=$AB$61,$AC$61,E151=$AB$62,$AC$62,E151=$AB$63,$AC$63,E151=$AB$64,$AC$64,E151=$AB$65,$AC$65,E151=$AB$66,$AC$66,TRUE,"0")</f>
        <v>#NAME?</v>
      </c>
      <c r="C151" s="161" t="str" cm="1">
        <f t="array" ref="C151">_xlfn.IFS(E151=$AB$42,$AF$42,E151=$AB$43,$AF$43,E151=$AB$44,$AF$44,E151=$AB$45,$AF$45,E151=$AB$46,$AF$46,E151=$AB$47,$AF$47,E151=$AB$48,$AF$48,E151=$AB$49,$AF$49,E151=$AB$50,$AF$50,E151=$AB$51,$AF$51,E151=$AB$52,$AF$52,E151=$AB$53,$AF$53,E151=$AB$54,$AF$54,E151=$AB$55,$AF$55,E151=$AB$56,$AF$56,E151=$AB$57,$AF$57,E151=$AB$58,$AF$58,E151=$AB$59,$AF$59,E151=$AB$60,$AF$60,E151=$AB$61,$AF$61,E151=$AB$62,$AF$62,E151=$AB$63,$AF$63,E151=$AB$64,$AF$64,E151=$AB$65,$AF$65,E151=$AB$66,$AF$66,TRUE,"0")</f>
        <v>B4 Match, lay HT 0-0 or BACK H1 +0.5 GOALS</v>
      </c>
      <c r="D151" s="270" t="str" cm="1">
        <f t="array" ref="D151">_xlfn.IFS(E151=$AB$42,$AD$42,E151=$AB$43,$AD$43,E151=$AB$44,$AD$44,E151=$AB$45,$AD$45,E151=$AB$46,$AD$46,E151=$AB$47,$AD$47,E151=$AB$48,$AD$48,E151=$AB$49,$AD$49,E151=$AB$50,$AD$50,E151=$AB$51,$AD$51,E151=$AB$52,$AD$52,E151=$AB$53,$AD$53,E151=$AB$54,$AD$54,E151=$AB$55,$AD$55,E151=$AB$56,$AD$56,E151=$AB$57,$AD$57,E151=$AB$58,$AD$58,E151=$AB$59,$AD$59,E151=$AB$60,$AD$60,E151=$AB$61,$AD$61,E151=$AB$62,$AD$62,E151=$AB$63,$AD$63,E151=$AB$64,$AD$64,E151=$AB$65,$AD$65,E151=$AB$66,$AD$66,TRUE,"0")</f>
        <v xml:space="preserve">BFM </v>
      </c>
      <c r="E151" s="163" t="s">
        <v>432</v>
      </c>
      <c r="F151" s="7" t="s">
        <v>145</v>
      </c>
      <c r="G151" s="7" t="s">
        <v>190</v>
      </c>
      <c r="H151" s="24">
        <v>45318.833333333336</v>
      </c>
      <c r="I151" s="7" t="s">
        <v>191</v>
      </c>
      <c r="J151" s="7" t="s">
        <v>364</v>
      </c>
      <c r="K151" s="7">
        <v>80</v>
      </c>
      <c r="L151" s="7">
        <v>23</v>
      </c>
      <c r="M151" s="7">
        <v>53</v>
      </c>
      <c r="N151" s="7">
        <v>0.44</v>
      </c>
      <c r="O151" s="7"/>
      <c r="P151" s="43"/>
      <c r="Q151" s="1" t="s">
        <v>95</v>
      </c>
      <c r="R151" s="14" t="s">
        <v>223</v>
      </c>
      <c r="S151" s="13" t="s">
        <v>210</v>
      </c>
      <c r="T151" s="188">
        <f t="shared" si="16"/>
        <v>62.309010048282033</v>
      </c>
      <c r="U151" s="8">
        <f t="shared" si="15"/>
        <v>11.215621808690766</v>
      </c>
      <c r="V151" s="234">
        <f t="shared" si="19"/>
        <v>1257.3958227743312</v>
      </c>
      <c r="W151" s="15">
        <v>25</v>
      </c>
      <c r="X151" s="8">
        <f t="shared" si="17"/>
        <v>4.5</v>
      </c>
      <c r="Y151" s="233">
        <f t="shared" si="18"/>
        <v>968.5</v>
      </c>
    </row>
    <row r="152" spans="1:25">
      <c r="A152" s="156" t="e" cm="1">
        <f t="array" aca="1" ref="A152" ca="1">_xlfn.IFS(E152=$AB$42,$AC$42,E152=$AB$43,$AC$43,E152=$AB$44,$AC$44,E152=$AB$45,$AC$45,E152=$AB$46,$AC$46,E152=$AB$47,$AC$47,E152=$AB$48,$AC$48,E152=$AB$49,$AC$49,E152=$AB$50,$AC$50,E152=$AB$51,$AC$51,E152=$AB$52,$AC$52,E152=$AB$53,$AC$53,E152=$AB$54,$AC$54,E152=$AB$55,$AC$55,E152=$AB$56,$AC$56,E152=$AB$57,$AC$57,E152=$AB$58,$AC$58,E152=$AB$59,$AC$59,E152=$AB$60,$AC$60,E152=$AB$61,$AC$61,E152=$AB$62,$AC$62,E152=$AB$63,$AC$63,E152=$AB$64,$AC$64,E152=$AB$65,$AC$65,E152=$AB$66,$AC$66,TRUE,"0")</f>
        <v>#NAME?</v>
      </c>
      <c r="C152" s="161" t="str" cm="1">
        <f t="array" ref="C152">_xlfn.IFS(E152=$AB$42,$AF$42,E152=$AB$43,$AF$43,E152=$AB$44,$AF$44,E152=$AB$45,$AF$45,E152=$AB$46,$AF$46,E152=$AB$47,$AF$47,E152=$AB$48,$AF$48,E152=$AB$49,$AF$49,E152=$AB$50,$AF$50,E152=$AB$51,$AF$51,E152=$AB$52,$AF$52,E152=$AB$53,$AF$53,E152=$AB$54,$AF$54,E152=$AB$55,$AF$55,E152=$AB$56,$AF$56,E152=$AB$57,$AF$57,E152=$AB$58,$AF$58,E152=$AB$59,$AF$59,E152=$AB$60,$AF$60,E152=$AB$61,$AF$61,E152=$AB$62,$AF$62,E152=$AB$63,$AF$63,E152=$AB$64,$AF$64,E152=$AB$65,$AF$65,E152=$AB$66,$AF$66,TRUE,"0")</f>
        <v>if 0-0, BACK+ 0.5 GOALS  @ 1.15+odds.  or @ 40 mins</v>
      </c>
      <c r="D152" s="270" t="str" cm="1">
        <f t="array" ref="D152">_xlfn.IFS(E152=$AB$42,$AD$42,E152=$AB$43,$AD$43,E152=$AB$44,$AD$44,E152=$AB$45,$AD$45,E152=$AB$46,$AD$46,E152=$AB$47,$AD$47,E152=$AB$48,$AD$48,E152=$AB$49,$AD$49,E152=$AB$50,$AD$50,E152=$AB$51,$AD$51,E152=$AB$52,$AD$52,E152=$AB$53,$AD$53,E152=$AB$54,$AD$54,E152=$AB$55,$AD$55,E152=$AB$56,$AD$56,E152=$AB$57,$AD$57,E152=$AB$58,$AD$58,E152=$AB$59,$AD$59,E152=$AB$60,$AD$60,E152=$AB$61,$AD$61,E152=$AB$62,$AD$62,E152=$AB$63,$AD$63,E152=$AB$64,$AD$64,E152=$AB$65,$AD$65,E152=$AB$66,$AD$66,TRUE,"0")</f>
        <v>IP</v>
      </c>
      <c r="E152" s="163" t="s">
        <v>270</v>
      </c>
      <c r="F152" s="2" t="s">
        <v>67</v>
      </c>
      <c r="G152" s="2" t="s">
        <v>68</v>
      </c>
      <c r="H152" s="3">
        <v>45319.520833333336</v>
      </c>
      <c r="I152" s="2" t="s">
        <v>342</v>
      </c>
      <c r="J152" s="2" t="s">
        <v>343</v>
      </c>
      <c r="K152" s="2">
        <v>64</v>
      </c>
      <c r="L152" s="2">
        <v>0</v>
      </c>
      <c r="M152" s="2">
        <v>20</v>
      </c>
      <c r="N152" s="2">
        <v>1.27</v>
      </c>
      <c r="O152" s="2"/>
      <c r="P152" s="2"/>
      <c r="Q152" s="1" t="s">
        <v>95</v>
      </c>
      <c r="R152" s="14" t="s">
        <v>193</v>
      </c>
      <c r="S152" s="13" t="s">
        <v>379</v>
      </c>
      <c r="T152" s="188">
        <f t="shared" si="16"/>
        <v>62.869791138716565</v>
      </c>
      <c r="U152" s="8">
        <f t="shared" si="15"/>
        <v>11.31656240496898</v>
      </c>
      <c r="V152" s="234">
        <f t="shared" si="19"/>
        <v>1268.7123851793003</v>
      </c>
      <c r="W152" s="15">
        <v>25</v>
      </c>
      <c r="X152" s="8">
        <f t="shared" si="17"/>
        <v>4.5</v>
      </c>
      <c r="Y152" s="233">
        <f t="shared" si="18"/>
        <v>973</v>
      </c>
    </row>
    <row r="153" spans="1:25">
      <c r="A153" s="156" t="e" cm="1">
        <f t="array" aca="1" ref="A153" ca="1">_xlfn.IFS(E153=$AB$42,$AC$42,E153=$AB$43,$AC$43,E153=$AB$44,$AC$44,E153=$AB$45,$AC$45,E153=$AB$46,$AC$46,E153=$AB$47,$AC$47,E153=$AB$48,$AC$48,E153=$AB$49,$AC$49,E153=$AB$50,$AC$50,E153=$AB$51,$AC$51,E153=$AB$52,$AC$52,E153=$AB$53,$AC$53,E153=$AB$54,$AC$54,E153=$AB$55,$AC$55,E153=$AB$56,$AC$56,E153=$AB$57,$AC$57,E153=$AB$58,$AC$58,E153=$AB$59,$AC$59,E153=$AB$60,$AC$60,E153=$AB$61,$AC$61,E153=$AB$62,$AC$62,E153=$AB$63,$AC$63,E153=$AB$64,$AC$64,E153=$AB$65,$AC$65,E153=$AB$66,$AC$66,TRUE,"0")</f>
        <v>#NAME?</v>
      </c>
      <c r="C153" s="161" t="str" cm="1">
        <f t="array" ref="C153">_xlfn.IFS(E153=$AB$42,$AF$42,E153=$AB$43,$AF$43,E153=$AB$44,$AF$44,E153=$AB$45,$AF$45,E153=$AB$46,$AF$46,E153=$AB$47,$AF$47,E153=$AB$48,$AF$48,E153=$AB$49,$AF$49,E153=$AB$50,$AF$50,E153=$AB$51,$AF$51,E153=$AB$52,$AF$52,E153=$AB$53,$AF$53,E153=$AB$54,$AF$54,E153=$AB$55,$AF$55,E153=$AB$56,$AF$56,E153=$AB$57,$AF$57,E153=$AB$58,$AF$58,E153=$AB$59,$AF$59,E153=$AB$60,$AF$60,E153=$AB$61,$AF$61,E153=$AB$62,$AF$62,E153=$AB$63,$AF$63,E153=$AB$64,$AF$64,E153=$AB$65,$AF$65,E153=$AB$66,$AF$66,TRUE,"0")</f>
        <v>B4 MATCH back over 2.5 goals.X after goal OR let run</v>
      </c>
      <c r="D153" s="270" t="str" cm="1">
        <f t="array" ref="D153">_xlfn.IFS(E153=$AB$42,$AD$42,E153=$AB$43,$AD$43,E153=$AB$44,$AD$44,E153=$AB$45,$AD$45,E153=$AB$46,$AD$46,E153=$AB$47,$AD$47,E153=$AB$48,$AD$48,E153=$AB$49,$AD$49,E153=$AB$50,$AD$50,E153=$AB$51,$AD$51,E153=$AB$52,$AD$52,E153=$AB$53,$AD$53,E153=$AB$54,$AD$54,E153=$AB$55,$AD$55,E153=$AB$56,$AD$56,E153=$AB$57,$AD$57,E153=$AB$58,$AD$58,E153=$AB$59,$AD$59,E153=$AB$60,$AD$60,E153=$AB$61,$AD$61,E153=$AB$62,$AD$62,E153=$AB$63,$AD$63,E153=$AB$64,$AD$64,E153=$AB$65,$AD$65,E153=$AB$66,$AD$66,TRUE,"0")</f>
        <v xml:space="preserve">BFM </v>
      </c>
      <c r="E153" s="163" t="s">
        <v>177</v>
      </c>
      <c r="F153" s="2" t="s">
        <v>149</v>
      </c>
      <c r="G153" s="2" t="s">
        <v>153</v>
      </c>
      <c r="H153" s="3">
        <v>45319.5625</v>
      </c>
      <c r="I153" s="2" t="s">
        <v>369</v>
      </c>
      <c r="J153" s="2" t="s">
        <v>241</v>
      </c>
      <c r="K153" s="2">
        <v>3.5</v>
      </c>
      <c r="L153" s="2">
        <v>95</v>
      </c>
      <c r="M153" s="2">
        <v>75</v>
      </c>
      <c r="N153" s="2">
        <v>28</v>
      </c>
      <c r="O153" s="2">
        <v>55</v>
      </c>
      <c r="P153" s="2">
        <v>2.42</v>
      </c>
      <c r="Q153" s="1" t="s">
        <v>95</v>
      </c>
      <c r="R153" s="14" t="s">
        <v>193</v>
      </c>
      <c r="S153" s="13" t="s">
        <v>210</v>
      </c>
      <c r="T153" s="188">
        <f t="shared" si="16"/>
        <v>63.435619258965019</v>
      </c>
      <c r="U153" s="8">
        <f t="shared" si="15"/>
        <v>11.418411466613703</v>
      </c>
      <c r="V153" s="234">
        <f t="shared" si="19"/>
        <v>1280.130796645914</v>
      </c>
      <c r="W153" s="15">
        <v>25</v>
      </c>
      <c r="X153" s="8">
        <f t="shared" si="17"/>
        <v>4.5</v>
      </c>
      <c r="Y153" s="233">
        <f t="shared" si="18"/>
        <v>977.5</v>
      </c>
    </row>
    <row r="154" spans="1:25">
      <c r="A154" s="156" t="e" cm="1">
        <f t="array" aca="1" ref="A154" ca="1">_xlfn.IFS(E154=$AB$42,$AC$42,E154=$AB$43,$AC$43,E154=$AB$44,$AC$44,E154=$AB$45,$AC$45,E154=$AB$46,$AC$46,E154=$AB$47,$AC$47,E154=$AB$48,$AC$48,E154=$AB$49,$AC$49,E154=$AB$50,$AC$50,E154=$AB$51,$AC$51,E154=$AB$52,$AC$52,E154=$AB$53,$AC$53,E154=$AB$54,$AC$54,E154=$AB$55,$AC$55,E154=$AB$56,$AC$56,E154=$AB$57,$AC$57,E154=$AB$58,$AC$58,E154=$AB$59,$AC$59,E154=$AB$60,$AC$60,E154=$AB$61,$AC$61,E154=$AB$62,$AC$62,E154=$AB$63,$AC$63,E154=$AB$64,$AC$64,E154=$AB$65,$AC$65,E154=$AB$66,$AC$66,TRUE,"0")</f>
        <v>#NAME?</v>
      </c>
      <c r="C154" s="161" t="str" cm="1">
        <f t="array" ref="C154">_xlfn.IFS(E154=$AB$42,$AF$42,E154=$AB$43,$AF$43,E154=$AB$44,$AF$44,E154=$AB$45,$AF$45,E154=$AB$46,$AF$46,E154=$AB$47,$AF$47,E154=$AB$48,$AF$48,E154=$AB$49,$AF$49,E154=$AB$50,$AF$50,E154=$AB$51,$AF$51,E154=$AB$52,$AF$52,E154=$AB$53,$AF$53,E154=$AB$54,$AF$54,E154=$AB$55,$AF$55,E154=$AB$56,$AF$56,E154=$AB$57,$AF$57,E154=$AB$58,$AF$58,E154=$AB$59,$AF$59,E154=$AB$60,$AF$60,E154=$AB$61,$AF$61,E154=$AB$62,$AF$62,E154=$AB$63,$AF$63,E154=$AB$64,$AF$64,E154=$AB$65,$AF$65,E154=$AB$66,$AF$66,TRUE,"0")</f>
        <v>B4 Match, lay HT 0-0 or BACK H1 +0.5 GOALS</v>
      </c>
      <c r="D154" s="270" t="str" cm="1">
        <f t="array" ref="D154">_xlfn.IFS(E154=$AB$42,$AD$42,E154=$AB$43,$AD$43,E154=$AB$44,$AD$44,E154=$AB$45,$AD$45,E154=$AB$46,$AD$46,E154=$AB$47,$AD$47,E154=$AB$48,$AD$48,E154=$AB$49,$AD$49,E154=$AB$50,$AD$50,E154=$AB$51,$AD$51,E154=$AB$52,$AD$52,E154=$AB$53,$AD$53,E154=$AB$54,$AD$54,E154=$AB$55,$AD$55,E154=$AB$56,$AD$56,E154=$AB$57,$AD$57,E154=$AB$58,$AD$58,E154=$AB$59,$AD$59,E154=$AB$60,$AD$60,E154=$AB$61,$AD$61,E154=$AB$62,$AD$62,E154=$AB$63,$AD$63,E154=$AB$64,$AD$64,E154=$AB$65,$AD$65,E154=$AB$66,$AD$66,TRUE,"0")</f>
        <v xml:space="preserve">BFM </v>
      </c>
      <c r="E154" s="163" t="s">
        <v>432</v>
      </c>
      <c r="F154" s="2" t="s">
        <v>20</v>
      </c>
      <c r="G154" s="2" t="s">
        <v>21</v>
      </c>
      <c r="H154" s="3">
        <v>45319.583333333336</v>
      </c>
      <c r="I154" s="2" t="s">
        <v>23</v>
      </c>
      <c r="J154" s="2" t="s">
        <v>370</v>
      </c>
      <c r="K154" s="2">
        <v>83</v>
      </c>
      <c r="L154" s="2">
        <v>25</v>
      </c>
      <c r="M154" s="2">
        <v>38</v>
      </c>
      <c r="N154" s="2">
        <v>0.56999999999999995</v>
      </c>
      <c r="O154" s="2"/>
      <c r="P154" s="2"/>
      <c r="Q154" s="1" t="s">
        <v>95</v>
      </c>
      <c r="R154" s="14" t="s">
        <v>214</v>
      </c>
      <c r="S154" s="13" t="s">
        <v>214</v>
      </c>
      <c r="T154" s="188">
        <f t="shared" si="16"/>
        <v>64.006539832295701</v>
      </c>
      <c r="U154" s="8">
        <f t="shared" si="15"/>
        <v>11.521177169813226</v>
      </c>
      <c r="V154" s="234">
        <f t="shared" si="19"/>
        <v>1291.6519738157272</v>
      </c>
      <c r="W154" s="15">
        <v>25</v>
      </c>
      <c r="X154" s="8">
        <f t="shared" si="17"/>
        <v>4.5</v>
      </c>
      <c r="Y154" s="233">
        <f t="shared" si="18"/>
        <v>982</v>
      </c>
    </row>
    <row r="155" spans="1:25">
      <c r="A155" s="156" t="e" cm="1">
        <f t="array" aca="1" ref="A155" ca="1">_xlfn.IFS(E155=$AB$42,$AC$42,E155=$AB$43,$AC$43,E155=$AB$44,$AC$44,E155=$AB$45,$AC$45,E155=$AB$46,$AC$46,E155=$AB$47,$AC$47,E155=$AB$48,$AC$48,E155=$AB$49,$AC$49,E155=$AB$50,$AC$50,E155=$AB$51,$AC$51,E155=$AB$52,$AC$52,E155=$AB$53,$AC$53,E155=$AB$54,$AC$54,E155=$AB$55,$AC$55,E155=$AB$56,$AC$56,E155=$AB$57,$AC$57,E155=$AB$58,$AC$58,E155=$AB$59,$AC$59,E155=$AB$60,$AC$60,E155=$AB$61,$AC$61,E155=$AB$62,$AC$62,E155=$AB$63,$AC$63,E155=$AB$64,$AC$64,E155=$AB$65,$AC$65,E155=$AB$66,$AC$66,TRUE,"0")</f>
        <v>#NAME?</v>
      </c>
      <c r="C155" s="161" t="str" cm="1">
        <f t="array" ref="C155">_xlfn.IFS(E155=$AB$42,$AF$42,E155=$AB$43,$AF$43,E155=$AB$44,$AF$44,E155=$AB$45,$AF$45,E155=$AB$46,$AF$46,E155=$AB$47,$AF$47,E155=$AB$48,$AF$48,E155=$AB$49,$AF$49,E155=$AB$50,$AF$50,E155=$AB$51,$AF$51,E155=$AB$52,$AF$52,E155=$AB$53,$AF$53,E155=$AB$54,$AF$54,E155=$AB$55,$AF$55,E155=$AB$56,$AF$56,E155=$AB$57,$AF$57,E155=$AB$58,$AF$58,E155=$AB$59,$AF$59,E155=$AB$60,$AF$60,E155=$AB$61,$AF$61,E155=$AB$62,$AF$62,E155=$AB$63,$AF$63,E155=$AB$64,$AF$64,E155=$AB$65,$AF$65,E155=$AB$66,$AF$66,TRUE,"0")</f>
        <v>if 0-0, BACK+ 0.5 GOALS  @ 1.15+odds.  or @ 40 mins</v>
      </c>
      <c r="D155" s="270" t="str" cm="1">
        <f t="array" ref="D155">_xlfn.IFS(E155=$AB$42,$AD$42,E155=$AB$43,$AD$43,E155=$AB$44,$AD$44,E155=$AB$45,$AD$45,E155=$AB$46,$AD$46,E155=$AB$47,$AD$47,E155=$AB$48,$AD$48,E155=$AB$49,$AD$49,E155=$AB$50,$AD$50,E155=$AB$51,$AD$51,E155=$AB$52,$AD$52,E155=$AB$53,$AD$53,E155=$AB$54,$AD$54,E155=$AB$55,$AD$55,E155=$AB$56,$AD$56,E155=$AB$57,$AD$57,E155=$AB$58,$AD$58,E155=$AB$59,$AD$59,E155=$AB$60,$AD$60,E155=$AB$61,$AD$61,E155=$AB$62,$AD$62,E155=$AB$63,$AD$63,E155=$AB$64,$AD$64,E155=$AB$65,$AD$65,E155=$AB$66,$AD$66,TRUE,"0")</f>
        <v>IP</v>
      </c>
      <c r="E155" s="163" t="s">
        <v>270</v>
      </c>
      <c r="F155" s="2" t="s">
        <v>77</v>
      </c>
      <c r="G155" s="2" t="s">
        <v>156</v>
      </c>
      <c r="H155" s="3">
        <v>45319.604166666664</v>
      </c>
      <c r="I155" s="2" t="s">
        <v>315</v>
      </c>
      <c r="J155" s="2" t="s">
        <v>345</v>
      </c>
      <c r="K155" s="2">
        <v>63</v>
      </c>
      <c r="L155" s="2">
        <v>0</v>
      </c>
      <c r="M155" s="2">
        <v>20</v>
      </c>
      <c r="N155" s="2">
        <v>2.2200000000000002</v>
      </c>
      <c r="O155" s="2"/>
      <c r="P155" s="2"/>
      <c r="Q155" s="1" t="s">
        <v>95</v>
      </c>
      <c r="R155" s="14" t="s">
        <v>221</v>
      </c>
      <c r="S155" s="13" t="s">
        <v>214</v>
      </c>
      <c r="T155" s="188">
        <f t="shared" si="16"/>
        <v>64.582598690786355</v>
      </c>
      <c r="U155" s="8">
        <f t="shared" si="15"/>
        <v>11.624867764341543</v>
      </c>
      <c r="V155" s="234">
        <f t="shared" si="19"/>
        <v>1303.2768415800688</v>
      </c>
      <c r="W155" s="15">
        <v>25</v>
      </c>
      <c r="X155" s="8">
        <f t="shared" si="17"/>
        <v>4.5</v>
      </c>
      <c r="Y155" s="233">
        <f t="shared" si="18"/>
        <v>986.5</v>
      </c>
    </row>
    <row r="156" spans="1:25">
      <c r="A156" s="156" t="e" cm="1">
        <f t="array" aca="1" ref="A156" ca="1">_xlfn.IFS(E156=$AB$42,$AC$42,E156=$AB$43,$AC$43,E156=$AB$44,$AC$44,E156=$AB$45,$AC$45,E156=$AB$46,$AC$46,E156=$AB$47,$AC$47,E156=$AB$48,$AC$48,E156=$AB$49,$AC$49,E156=$AB$50,$AC$50,E156=$AB$51,$AC$51,E156=$AB$52,$AC$52,E156=$AB$53,$AC$53,E156=$AB$54,$AC$54,E156=$AB$55,$AC$55,E156=$AB$56,$AC$56,E156=$AB$57,$AC$57,E156=$AB$58,$AC$58,E156=$AB$59,$AC$59,E156=$AB$60,$AC$60,E156=$AB$61,$AC$61,E156=$AB$62,$AC$62,E156=$AB$63,$AC$63,E156=$AB$64,$AC$64,E156=$AB$65,$AC$65,E156=$AB$66,$AC$66,TRUE,"0")</f>
        <v>#NAME?</v>
      </c>
      <c r="C156" s="161" t="str" cm="1">
        <f t="array" ref="C156">_xlfn.IFS(E156=$AB$42,$AF$42,E156=$AB$43,$AF$43,E156=$AB$44,$AF$44,E156=$AB$45,$AF$45,E156=$AB$46,$AF$46,E156=$AB$47,$AF$47,E156=$AB$48,$AF$48,E156=$AB$49,$AF$49,E156=$AB$50,$AF$50,E156=$AB$51,$AF$51,E156=$AB$52,$AF$52,E156=$AB$53,$AF$53,E156=$AB$54,$AF$54,E156=$AB$55,$AF$55,E156=$AB$56,$AF$56,E156=$AB$57,$AF$57,E156=$AB$58,$AF$58,E156=$AB$59,$AF$59,E156=$AB$60,$AF$60,E156=$AB$61,$AF$61,E156=$AB$62,$AF$62,E156=$AB$63,$AF$63,E156=$AB$64,$AF$64,E156=$AB$65,$AF$65,E156=$AB$66,$AF$66,TRUE,"0")</f>
        <v>40 mins Back ANother Goal</v>
      </c>
      <c r="D156" s="270" t="str" cm="1">
        <f t="array" ref="D156">_xlfn.IFS(E156=$AB$42,$AD$42,E156=$AB$43,$AD$43,E156=$AB$44,$AD$44,E156=$AB$45,$AD$45,E156=$AB$46,$AD$46,E156=$AB$47,$AD$47,E156=$AB$48,$AD$48,E156=$AB$49,$AD$49,E156=$AB$50,$AD$50,E156=$AB$51,$AD$51,E156=$AB$52,$AD$52,E156=$AB$53,$AD$53,E156=$AB$54,$AD$54,E156=$AB$55,$AD$55,E156=$AB$56,$AD$56,E156=$AB$57,$AD$57,E156=$AB$58,$AD$58,E156=$AB$59,$AD$59,E156=$AB$60,$AD$60,E156=$AB$61,$AD$61,E156=$AB$62,$AD$62,E156=$AB$63,$AD$63,E156=$AB$64,$AD$64,E156=$AB$65,$AD$65,E156=$AB$66,$AD$66,TRUE,"0")</f>
        <v xml:space="preserve">  BANG</v>
      </c>
      <c r="E156" s="163" t="s">
        <v>10</v>
      </c>
      <c r="F156" s="2" t="s">
        <v>67</v>
      </c>
      <c r="G156" s="2" t="s">
        <v>68</v>
      </c>
      <c r="H156" s="3">
        <v>45319.625</v>
      </c>
      <c r="I156" s="2" t="s">
        <v>88</v>
      </c>
      <c r="J156" s="2" t="s">
        <v>371</v>
      </c>
      <c r="K156" s="2">
        <v>1.9</v>
      </c>
      <c r="L156" s="2">
        <v>90</v>
      </c>
      <c r="M156" s="2">
        <v>65</v>
      </c>
      <c r="N156" s="2">
        <v>25</v>
      </c>
      <c r="O156" s="2">
        <v>66</v>
      </c>
      <c r="P156" s="2">
        <v>20</v>
      </c>
      <c r="Q156" s="1" t="s">
        <v>96</v>
      </c>
      <c r="R156" s="14" t="s">
        <v>214</v>
      </c>
      <c r="S156" s="13" t="s">
        <v>214</v>
      </c>
      <c r="T156" s="188">
        <f t="shared" si="16"/>
        <v>65.163842079003444</v>
      </c>
      <c r="U156" s="8">
        <f t="shared" si="15"/>
        <v>-65.163842079003444</v>
      </c>
      <c r="V156" s="234">
        <f t="shared" si="19"/>
        <v>1238.1129995010654</v>
      </c>
      <c r="W156" s="15">
        <v>25</v>
      </c>
      <c r="X156" s="8">
        <f t="shared" si="17"/>
        <v>-25</v>
      </c>
      <c r="Y156" s="233">
        <f t="shared" si="18"/>
        <v>961.5</v>
      </c>
    </row>
    <row r="157" spans="1:25">
      <c r="A157" s="156" t="e" cm="1">
        <f t="array" aca="1" ref="A157" ca="1">_xlfn.IFS(E157=$AB$42,$AC$42,E157=$AB$43,$AC$43,E157=$AB$44,$AC$44,E157=$AB$45,$AC$45,E157=$AB$46,$AC$46,E157=$AB$47,$AC$47,E157=$AB$48,$AC$48,E157=$AB$49,$AC$49,E157=$AB$50,$AC$50,E157=$AB$51,$AC$51,E157=$AB$52,$AC$52,E157=$AB$53,$AC$53,E157=$AB$54,$AC$54,E157=$AB$55,$AC$55,E157=$AB$56,$AC$56,E157=$AB$57,$AC$57,E157=$AB$58,$AC$58,E157=$AB$59,$AC$59,E157=$AB$60,$AC$60,E157=$AB$61,$AC$61,E157=$AB$62,$AC$62,E157=$AB$63,$AC$63,E157=$AB$64,$AC$64,E157=$AB$65,$AC$65,E157=$AB$66,$AC$66,TRUE,"0")</f>
        <v>#NAME?</v>
      </c>
      <c r="C157" s="161" t="str" cm="1">
        <f t="array" ref="C157">_xlfn.IFS(E157=$AB$42,$AF$42,E157=$AB$43,$AF$43,E157=$AB$44,$AF$44,E157=$AB$45,$AF$45,E157=$AB$46,$AF$46,E157=$AB$47,$AF$47,E157=$AB$48,$AF$48,E157=$AB$49,$AF$49,E157=$AB$50,$AF$50,E157=$AB$51,$AF$51,E157=$AB$52,$AF$52,E157=$AB$53,$AF$53,E157=$AB$54,$AF$54,E157=$AB$55,$AF$55,E157=$AB$56,$AF$56,E157=$AB$57,$AF$57,E157=$AB$58,$AF$58,E157=$AB$59,$AF$59,E157=$AB$60,$AF$60,E157=$AB$61,$AF$61,E157=$AB$62,$AF$62,E157=$AB$63,$AF$63,E157=$AB$64,$AF$64,E157=$AB$65,$AF$65,E157=$AB$66,$AF$66,TRUE,"0")</f>
        <v>40 mins Back ANother Goal</v>
      </c>
      <c r="D157" s="270" t="str" cm="1">
        <f t="array" ref="D157">_xlfn.IFS(E157=$AB$42,$AD$42,E157=$AB$43,$AD$43,E157=$AB$44,$AD$44,E157=$AB$45,$AD$45,E157=$AB$46,$AD$46,E157=$AB$47,$AD$47,E157=$AB$48,$AD$48,E157=$AB$49,$AD$49,E157=$AB$50,$AD$50,E157=$AB$51,$AD$51,E157=$AB$52,$AD$52,E157=$AB$53,$AD$53,E157=$AB$54,$AD$54,E157=$AB$55,$AD$55,E157=$AB$56,$AD$56,E157=$AB$57,$AD$57,E157=$AB$58,$AD$58,E157=$AB$59,$AD$59,E157=$AB$60,$AD$60,E157=$AB$61,$AD$61,E157=$AB$62,$AD$62,E157=$AB$63,$AD$63,E157=$AB$64,$AD$64,E157=$AB$65,$AD$65,E157=$AB$66,$AD$66,TRUE,"0")</f>
        <v xml:space="preserve">  BANG</v>
      </c>
      <c r="E157" s="163" t="s">
        <v>35</v>
      </c>
      <c r="F157" s="2" t="s">
        <v>296</v>
      </c>
      <c r="G157" s="2" t="s">
        <v>78</v>
      </c>
      <c r="H157" s="3">
        <v>45319.645833333336</v>
      </c>
      <c r="I157" s="2" t="s">
        <v>299</v>
      </c>
      <c r="J157" s="2" t="s">
        <v>346</v>
      </c>
      <c r="K157" s="2">
        <v>68</v>
      </c>
      <c r="L157" s="2">
        <v>89</v>
      </c>
      <c r="M157" s="2">
        <v>67</v>
      </c>
      <c r="N157" s="2">
        <v>39</v>
      </c>
      <c r="O157" s="2">
        <v>18</v>
      </c>
      <c r="P157" s="2">
        <v>0.5</v>
      </c>
      <c r="Q157" s="1" t="s">
        <v>95</v>
      </c>
      <c r="R157" s="14" t="s">
        <v>193</v>
      </c>
      <c r="S157" s="13" t="s">
        <v>222</v>
      </c>
      <c r="T157" s="188">
        <f t="shared" si="16"/>
        <v>61.905649975053272</v>
      </c>
      <c r="U157" s="8">
        <f t="shared" si="15"/>
        <v>11.143016995509589</v>
      </c>
      <c r="V157" s="234">
        <f t="shared" si="19"/>
        <v>1249.2560164965751</v>
      </c>
      <c r="W157" s="15">
        <v>25</v>
      </c>
      <c r="X157" s="8">
        <f t="shared" si="17"/>
        <v>4.5</v>
      </c>
      <c r="Y157" s="233">
        <f t="shared" si="18"/>
        <v>966</v>
      </c>
    </row>
    <row r="158" spans="1:25">
      <c r="A158" s="156" t="e" cm="1">
        <f t="array" aca="1" ref="A158" ca="1">_xlfn.IFS(E158=$AB$42,$AC$42,E158=$AB$43,$AC$43,E158=$AB$44,$AC$44,E158=$AB$45,$AC$45,E158=$AB$46,$AC$46,E158=$AB$47,$AC$47,E158=$AB$48,$AC$48,E158=$AB$49,$AC$49,E158=$AB$50,$AC$50,E158=$AB$51,$AC$51,E158=$AB$52,$AC$52,E158=$AB$53,$AC$53,E158=$AB$54,$AC$54,E158=$AB$55,$AC$55,E158=$AB$56,$AC$56,E158=$AB$57,$AC$57,E158=$AB$58,$AC$58,E158=$AB$59,$AC$59,E158=$AB$60,$AC$60,E158=$AB$61,$AC$61,E158=$AB$62,$AC$62,E158=$AB$63,$AC$63,E158=$AB$64,$AC$64,E158=$AB$65,$AC$65,E158=$AB$66,$AC$66,TRUE,"0")</f>
        <v>#NAME?</v>
      </c>
      <c r="C158" s="161" t="str" cm="1">
        <f t="array" ref="C158">_xlfn.IFS(E158=$AB$42,$AF$42,E158=$AB$43,$AF$43,E158=$AB$44,$AF$44,E158=$AB$45,$AF$45,E158=$AB$46,$AF$46,E158=$AB$47,$AF$47,E158=$AB$48,$AF$48,E158=$AB$49,$AF$49,E158=$AB$50,$AF$50,E158=$AB$51,$AF$51,E158=$AB$52,$AF$52,E158=$AB$53,$AF$53,E158=$AB$54,$AF$54,E158=$AB$55,$AF$55,E158=$AB$56,$AF$56,E158=$AB$57,$AF$57,E158=$AB$58,$AF$58,E158=$AB$59,$AF$59,E158=$AB$60,$AF$60,E158=$AB$61,$AF$61,E158=$AB$62,$AF$62,E158=$AB$63,$AF$63,E158=$AB$64,$AF$64,E158=$AB$65,$AF$65,E158=$AB$66,$AF$66,TRUE,"0")</f>
        <v>40 mins Back ANother Goal</v>
      </c>
      <c r="D158" s="270" t="str" cm="1">
        <f t="array" ref="D158">_xlfn.IFS(E158=$AB$42,$AD$42,E158=$AB$43,$AD$43,E158=$AB$44,$AD$44,E158=$AB$45,$AD$45,E158=$AB$46,$AD$46,E158=$AB$47,$AD$47,E158=$AB$48,$AD$48,E158=$AB$49,$AD$49,E158=$AB$50,$AD$50,E158=$AB$51,$AD$51,E158=$AB$52,$AD$52,E158=$AB$53,$AD$53,E158=$AB$54,$AD$54,E158=$AB$55,$AD$55,E158=$AB$56,$AD$56,E158=$AB$57,$AD$57,E158=$AB$58,$AD$58,E158=$AB$59,$AD$59,E158=$AB$60,$AD$60,E158=$AB$61,$AD$61,E158=$AB$62,$AD$62,E158=$AB$63,$AD$63,E158=$AB$64,$AD$64,E158=$AB$65,$AD$65,E158=$AB$66,$AD$66,TRUE,"0")</f>
        <v xml:space="preserve">  BANG</v>
      </c>
      <c r="E158" s="163" t="s">
        <v>35</v>
      </c>
      <c r="F158" s="2" t="s">
        <v>149</v>
      </c>
      <c r="G158" s="2" t="s">
        <v>153</v>
      </c>
      <c r="H158" s="3">
        <v>45319.65625</v>
      </c>
      <c r="I158" s="2" t="s">
        <v>244</v>
      </c>
      <c r="J158" s="2" t="s">
        <v>249</v>
      </c>
      <c r="K158" s="2">
        <v>70</v>
      </c>
      <c r="L158" s="2">
        <v>82</v>
      </c>
      <c r="M158" s="2">
        <v>65</v>
      </c>
      <c r="N158" s="2">
        <v>41</v>
      </c>
      <c r="O158" s="2">
        <v>17</v>
      </c>
      <c r="P158" s="2">
        <v>1.21</v>
      </c>
      <c r="Q158" s="1" t="s">
        <v>95</v>
      </c>
      <c r="R158" s="14" t="s">
        <v>221</v>
      </c>
      <c r="S158" s="13" t="s">
        <v>193</v>
      </c>
      <c r="T158" s="188">
        <f t="shared" si="16"/>
        <v>62.462800824828754</v>
      </c>
      <c r="U158" s="8">
        <f t="shared" si="15"/>
        <v>11.243304148469175</v>
      </c>
      <c r="V158" s="234">
        <f t="shared" si="19"/>
        <v>1260.4993206450442</v>
      </c>
      <c r="W158" s="15">
        <v>25</v>
      </c>
      <c r="X158" s="8">
        <f t="shared" si="17"/>
        <v>4.5</v>
      </c>
      <c r="Y158" s="233">
        <f t="shared" si="18"/>
        <v>970.5</v>
      </c>
    </row>
    <row r="159" spans="1:25">
      <c r="A159" s="156" t="e" cm="1">
        <f t="array" aca="1" ref="A159" ca="1">_xlfn.IFS(E159=$AB$42,$AC$42,E159=$AB$43,$AC$43,E159=$AB$44,$AC$44,E159=$AB$45,$AC$45,E159=$AB$46,$AC$46,E159=$AB$47,$AC$47,E159=$AB$48,$AC$48,E159=$AB$49,$AC$49,E159=$AB$50,$AC$50,E159=$AB$51,$AC$51,E159=$AB$52,$AC$52,E159=$AB$53,$AC$53,E159=$AB$54,$AC$54,E159=$AB$55,$AC$55,E159=$AB$56,$AC$56,E159=$AB$57,$AC$57,E159=$AB$58,$AC$58,E159=$AB$59,$AC$59,E159=$AB$60,$AC$60,E159=$AB$61,$AC$61,E159=$AB$62,$AC$62,E159=$AB$63,$AC$63,E159=$AB$64,$AC$64,E159=$AB$65,$AC$65,E159=$AB$66,$AC$66,TRUE,"0")</f>
        <v>#NAME?</v>
      </c>
      <c r="C159" s="161" t="str" cm="1">
        <f t="array" ref="C159">_xlfn.IFS(E159=$AB$42,$AF$42,E159=$AB$43,$AF$43,E159=$AB$44,$AF$44,E159=$AB$45,$AF$45,E159=$AB$46,$AF$46,E159=$AB$47,$AF$47,E159=$AB$48,$AF$48,E159=$AB$49,$AF$49,E159=$AB$50,$AF$50,E159=$AB$51,$AF$51,E159=$AB$52,$AF$52,E159=$AB$53,$AF$53,E159=$AB$54,$AF$54,E159=$AB$55,$AF$55,E159=$AB$56,$AF$56,E159=$AB$57,$AF$57,E159=$AB$58,$AF$58,E159=$AB$59,$AF$59,E159=$AB$60,$AF$60,E159=$AB$61,$AF$61,E159=$AB$62,$AF$62,E159=$AB$63,$AF$63,E159=$AB$64,$AF$64,E159=$AB$65,$AF$65,E159=$AB$66,$AF$66,TRUE,"0")</f>
        <v>40 mins Back ANother Goal</v>
      </c>
      <c r="D159" s="270" t="str" cm="1">
        <f t="array" ref="D159">_xlfn.IFS(E159=$AB$42,$AD$42,E159=$AB$43,$AD$43,E159=$AB$44,$AD$44,E159=$AB$45,$AD$45,E159=$AB$46,$AD$46,E159=$AB$47,$AD$47,E159=$AB$48,$AD$48,E159=$AB$49,$AD$49,E159=$AB$50,$AD$50,E159=$AB$51,$AD$51,E159=$AB$52,$AD$52,E159=$AB$53,$AD$53,E159=$AB$54,$AD$54,E159=$AB$55,$AD$55,E159=$AB$56,$AD$56,E159=$AB$57,$AD$57,E159=$AB$58,$AD$58,E159=$AB$59,$AD$59,E159=$AB$60,$AD$60,E159=$AB$61,$AD$61,E159=$AB$62,$AD$62,E159=$AB$63,$AD$63,E159=$AB$64,$AD$64,E159=$AB$65,$AD$65,E159=$AB$66,$AD$66,TRUE,"0")</f>
        <v xml:space="preserve">  BANG</v>
      </c>
      <c r="E159" s="163" t="s">
        <v>10</v>
      </c>
      <c r="F159" s="2" t="s">
        <v>119</v>
      </c>
      <c r="G159" s="2" t="s">
        <v>120</v>
      </c>
      <c r="H159" s="3">
        <v>45319.729166666664</v>
      </c>
      <c r="I159" s="2" t="s">
        <v>347</v>
      </c>
      <c r="J159" s="2" t="s">
        <v>348</v>
      </c>
      <c r="K159" s="2">
        <v>2</v>
      </c>
      <c r="L159" s="2">
        <v>100</v>
      </c>
      <c r="M159" s="2">
        <v>63</v>
      </c>
      <c r="N159" s="2">
        <v>32</v>
      </c>
      <c r="O159" s="2">
        <v>68</v>
      </c>
      <c r="P159" s="2">
        <v>19</v>
      </c>
      <c r="Q159" s="1" t="s">
        <v>95</v>
      </c>
      <c r="R159" s="14" t="s">
        <v>214</v>
      </c>
      <c r="S159" s="13" t="s">
        <v>216</v>
      </c>
      <c r="T159" s="188">
        <f t="shared" si="16"/>
        <v>63.024966032252216</v>
      </c>
      <c r="U159" s="8">
        <f t="shared" si="15"/>
        <v>11.344493885805399</v>
      </c>
      <c r="V159" s="234">
        <f t="shared" si="19"/>
        <v>1271.8438145308496</v>
      </c>
      <c r="W159" s="15">
        <v>25</v>
      </c>
      <c r="X159" s="8">
        <f t="shared" si="17"/>
        <v>4.5</v>
      </c>
      <c r="Y159" s="233">
        <f t="shared" si="18"/>
        <v>975</v>
      </c>
    </row>
    <row r="160" spans="1:25">
      <c r="A160" s="156" t="e" cm="1">
        <f t="array" aca="1" ref="A160" ca="1">_xlfn.IFS(E160=$AB$42,$AC$42,E160=$AB$43,$AC$43,E160=$AB$44,$AC$44,E160=$AB$45,$AC$45,E160=$AB$46,$AC$46,E160=$AB$47,$AC$47,E160=$AB$48,$AC$48,E160=$AB$49,$AC$49,E160=$AB$50,$AC$50,E160=$AB$51,$AC$51,E160=$AB$52,$AC$52,E160=$AB$53,$AC$53,E160=$AB$54,$AC$54,E160=$AB$55,$AC$55,E160=$AB$56,$AC$56,E160=$AB$57,$AC$57,E160=$AB$58,$AC$58,E160=$AB$59,$AC$59,E160=$AB$60,$AC$60,E160=$AB$61,$AC$61,E160=$AB$62,$AC$62,E160=$AB$63,$AC$63,E160=$AB$64,$AC$64,E160=$AB$65,$AC$65,E160=$AB$66,$AC$66,TRUE,"0")</f>
        <v>#NAME?</v>
      </c>
      <c r="C160" s="161" t="str" cm="1">
        <f t="array" ref="C160">_xlfn.IFS(E160=$AB$42,$AF$42,E160=$AB$43,$AF$43,E160=$AB$44,$AF$44,E160=$AB$45,$AF$45,E160=$AB$46,$AF$46,E160=$AB$47,$AF$47,E160=$AB$48,$AF$48,E160=$AB$49,$AF$49,E160=$AB$50,$AF$50,E160=$AB$51,$AF$51,E160=$AB$52,$AF$52,E160=$AB$53,$AF$53,E160=$AB$54,$AF$54,E160=$AB$55,$AF$55,E160=$AB$56,$AF$56,E160=$AB$57,$AF$57,E160=$AB$58,$AF$58,E160=$AB$59,$AF$59,E160=$AB$60,$AF$60,E160=$AB$61,$AF$61,E160=$AB$62,$AF$62,E160=$AB$63,$AF$63,E160=$AB$64,$AF$64,E160=$AB$65,$AF$65,E160=$AB$66,$AF$66,TRUE,"0")</f>
        <v>if 0-0, BACK+ 0.5 GOALS  @ 1.15+odds.  or @ 40 mins</v>
      </c>
      <c r="D160" s="270" t="str" cm="1">
        <f t="array" ref="D160">_xlfn.IFS(E160=$AB$42,$AD$42,E160=$AB$43,$AD$43,E160=$AB$44,$AD$44,E160=$AB$45,$AD$45,E160=$AB$46,$AD$46,E160=$AB$47,$AD$47,E160=$AB$48,$AD$48,E160=$AB$49,$AD$49,E160=$AB$50,$AD$50,E160=$AB$51,$AD$51,E160=$AB$52,$AD$52,E160=$AB$53,$AD$53,E160=$AB$54,$AD$54,E160=$AB$55,$AD$55,E160=$AB$56,$AD$56,E160=$AB$57,$AD$57,E160=$AB$58,$AD$58,E160=$AB$59,$AD$59,E160=$AB$60,$AD$60,E160=$AB$61,$AD$61,E160=$AB$62,$AD$62,E160=$AB$63,$AD$63,E160=$AB$64,$AD$64,E160=$AB$65,$AD$65,E160=$AB$66,$AD$66,TRUE,"0")</f>
        <v>IP</v>
      </c>
      <c r="E160" s="163" t="s">
        <v>270</v>
      </c>
      <c r="F160" s="2" t="s">
        <v>119</v>
      </c>
      <c r="G160" s="2" t="s">
        <v>120</v>
      </c>
      <c r="H160" s="3">
        <v>45319.729166666664</v>
      </c>
      <c r="I160" s="2" t="s">
        <v>347</v>
      </c>
      <c r="J160" s="2" t="s">
        <v>348</v>
      </c>
      <c r="K160" s="2">
        <v>62</v>
      </c>
      <c r="L160" s="2">
        <v>0</v>
      </c>
      <c r="M160" s="2">
        <v>20</v>
      </c>
      <c r="N160" s="2">
        <v>2.09</v>
      </c>
      <c r="O160" s="2"/>
      <c r="P160" s="2"/>
      <c r="Q160" s="1" t="s">
        <v>95</v>
      </c>
      <c r="R160" s="14" t="s">
        <v>214</v>
      </c>
      <c r="S160" s="13" t="s">
        <v>216</v>
      </c>
      <c r="T160" s="188">
        <f t="shared" si="16"/>
        <v>63.592190726542484</v>
      </c>
      <c r="U160" s="8">
        <f t="shared" si="15"/>
        <v>11.446594330777646</v>
      </c>
      <c r="V160" s="234">
        <f t="shared" si="19"/>
        <v>1283.2904088616272</v>
      </c>
      <c r="W160" s="15">
        <v>25</v>
      </c>
      <c r="X160" s="8">
        <f t="shared" si="17"/>
        <v>4.5</v>
      </c>
      <c r="Y160" s="233">
        <f t="shared" si="18"/>
        <v>979.5</v>
      </c>
    </row>
    <row r="161" spans="1:25">
      <c r="A161" s="156" t="e" cm="1">
        <f t="array" aca="1" ref="A161" ca="1">_xlfn.IFS(E161=$AB$42,$AC$42,E161=$AB$43,$AC$43,E161=$AB$44,$AC$44,E161=$AB$45,$AC$45,E161=$AB$46,$AC$46,E161=$AB$47,$AC$47,E161=$AB$48,$AC$48,E161=$AB$49,$AC$49,E161=$AB$50,$AC$50,E161=$AB$51,$AC$51,E161=$AB$52,$AC$52,E161=$AB$53,$AC$53,E161=$AB$54,$AC$54,E161=$AB$55,$AC$55,E161=$AB$56,$AC$56,E161=$AB$57,$AC$57,E161=$AB$58,$AC$58,E161=$AB$59,$AC$59,E161=$AB$60,$AC$60,E161=$AB$61,$AC$61,E161=$AB$62,$AC$62,E161=$AB$63,$AC$63,E161=$AB$64,$AC$64,E161=$AB$65,$AC$65,E161=$AB$66,$AC$66,TRUE,"0")</f>
        <v>#NAME?</v>
      </c>
      <c r="C161" s="161" t="str" cm="1">
        <f t="array" ref="C161">_xlfn.IFS(E161=$AB$42,$AF$42,E161=$AB$43,$AF$43,E161=$AB$44,$AF$44,E161=$AB$45,$AF$45,E161=$AB$46,$AF$46,E161=$AB$47,$AF$47,E161=$AB$48,$AF$48,E161=$AB$49,$AF$49,E161=$AB$50,$AF$50,E161=$AB$51,$AF$51,E161=$AB$52,$AF$52,E161=$AB$53,$AF$53,E161=$AB$54,$AF$54,E161=$AB$55,$AF$55,E161=$AB$56,$AF$56,E161=$AB$57,$AF$57,E161=$AB$58,$AF$58,E161=$AB$59,$AF$59,E161=$AB$60,$AF$60,E161=$AB$61,$AF$61,E161=$AB$62,$AF$62,E161=$AB$63,$AF$63,E161=$AB$64,$AF$64,E161=$AB$65,$AF$65,E161=$AB$66,$AF$66,TRUE,"0")</f>
        <v>if 0-0, BACK+ 0.5 GOALS  @ 1.15+odds.  or @ 40 mins</v>
      </c>
      <c r="D161" s="270" t="str" cm="1">
        <f t="array" ref="D161">_xlfn.IFS(E161=$AB$42,$AD$42,E161=$AB$43,$AD$43,E161=$AB$44,$AD$44,E161=$AB$45,$AD$45,E161=$AB$46,$AD$46,E161=$AB$47,$AD$47,E161=$AB$48,$AD$48,E161=$AB$49,$AD$49,E161=$AB$50,$AD$50,E161=$AB$51,$AD$51,E161=$AB$52,$AD$52,E161=$AB$53,$AD$53,E161=$AB$54,$AD$54,E161=$AB$55,$AD$55,E161=$AB$56,$AD$56,E161=$AB$57,$AD$57,E161=$AB$58,$AD$58,E161=$AB$59,$AD$59,E161=$AB$60,$AD$60,E161=$AB$61,$AD$61,E161=$AB$62,$AD$62,E161=$AB$63,$AD$63,E161=$AB$64,$AD$64,E161=$AB$65,$AD$65,E161=$AB$66,$AD$66,TRUE,"0")</f>
        <v>IP</v>
      </c>
      <c r="E161" s="163" t="s">
        <v>270</v>
      </c>
      <c r="F161" s="2" t="s">
        <v>119</v>
      </c>
      <c r="G161" s="2" t="s">
        <v>120</v>
      </c>
      <c r="H161" s="3">
        <v>45319.833333333336</v>
      </c>
      <c r="I161" s="2" t="s">
        <v>349</v>
      </c>
      <c r="J161" s="2" t="s">
        <v>350</v>
      </c>
      <c r="K161" s="2">
        <v>61</v>
      </c>
      <c r="L161" s="2">
        <v>0</v>
      </c>
      <c r="M161" s="2">
        <v>20</v>
      </c>
      <c r="N161" s="2">
        <v>2.5099999999999998</v>
      </c>
      <c r="O161" s="2"/>
      <c r="P161" s="2"/>
      <c r="Q161" s="1" t="s">
        <v>95</v>
      </c>
      <c r="R161" s="14" t="s">
        <v>214</v>
      </c>
      <c r="S161" s="13" t="s">
        <v>220</v>
      </c>
      <c r="T161" s="188">
        <f t="shared" si="16"/>
        <v>64.164520443081358</v>
      </c>
      <c r="U161" s="8">
        <f t="shared" si="15"/>
        <v>11.549613679754644</v>
      </c>
      <c r="V161" s="234">
        <f t="shared" si="19"/>
        <v>1294.8400225413818</v>
      </c>
      <c r="W161" s="15">
        <v>25</v>
      </c>
      <c r="X161" s="8">
        <f t="shared" si="17"/>
        <v>4.5</v>
      </c>
      <c r="Y161" s="233">
        <f t="shared" si="18"/>
        <v>984</v>
      </c>
    </row>
    <row r="162" spans="1:25">
      <c r="A162" s="156" t="e" cm="1">
        <f t="array" aca="1" ref="A162" ca="1">_xlfn.IFS(E162=$AB$42,$AC$42,E162=$AB$43,$AC$43,E162=$AB$44,$AC$44,E162=$AB$45,$AC$45,E162=$AB$46,$AC$46,E162=$AB$47,$AC$47,E162=$AB$48,$AC$48,E162=$AB$49,$AC$49,E162=$AB$50,$AC$50,E162=$AB$51,$AC$51,E162=$AB$52,$AC$52,E162=$AB$53,$AC$53,E162=$AB$54,$AC$54,E162=$AB$55,$AC$55,E162=$AB$56,$AC$56,E162=$AB$57,$AC$57,E162=$AB$58,$AC$58,E162=$AB$59,$AC$59,E162=$AB$60,$AC$60,E162=$AB$61,$AC$61,E162=$AB$62,$AC$62,E162=$AB$63,$AC$63,E162=$AB$64,$AC$64,E162=$AB$65,$AC$65,E162=$AB$66,$AC$66,TRUE,"0")</f>
        <v>#NAME?</v>
      </c>
      <c r="C162" s="161" t="str" cm="1">
        <f t="array" ref="C162">_xlfn.IFS(E162=$AB$42,$AF$42,E162=$AB$43,$AF$43,E162=$AB$44,$AF$44,E162=$AB$45,$AF$45,E162=$AB$46,$AF$46,E162=$AB$47,$AF$47,E162=$AB$48,$AF$48,E162=$AB$49,$AF$49,E162=$AB$50,$AF$50,E162=$AB$51,$AF$51,E162=$AB$52,$AF$52,E162=$AB$53,$AF$53,E162=$AB$54,$AF$54,E162=$AB$55,$AF$55,E162=$AB$56,$AF$56,E162=$AB$57,$AF$57,E162=$AB$58,$AF$58,E162=$AB$59,$AF$59,E162=$AB$60,$AF$60,E162=$AB$61,$AF$61,E162=$AB$62,$AF$62,E162=$AB$63,$AF$63,E162=$AB$64,$AF$64,E162=$AB$65,$AF$65,E162=$AB$66,$AF$66,TRUE,"0")</f>
        <v>40 mins Back ANother Goal</v>
      </c>
      <c r="D162" s="270" t="str" cm="1">
        <f t="array" ref="D162">_xlfn.IFS(E162=$AB$42,$AD$42,E162=$AB$43,$AD$43,E162=$AB$44,$AD$44,E162=$AB$45,$AD$45,E162=$AB$46,$AD$46,E162=$AB$47,$AD$47,E162=$AB$48,$AD$48,E162=$AB$49,$AD$49,E162=$AB$50,$AD$50,E162=$AB$51,$AD$51,E162=$AB$52,$AD$52,E162=$AB$53,$AD$53,E162=$AB$54,$AD$54,E162=$AB$55,$AD$55,E162=$AB$56,$AD$56,E162=$AB$57,$AD$57,E162=$AB$58,$AD$58,E162=$AB$59,$AD$59,E162=$AB$60,$AD$60,E162=$AB$61,$AD$61,E162=$AB$62,$AD$62,E162=$AB$63,$AD$63,E162=$AB$64,$AD$64,E162=$AB$65,$AD$65,E162=$AB$66,$AD$66,TRUE,"0")</f>
        <v xml:space="preserve">  BANG</v>
      </c>
      <c r="E162" s="163" t="s">
        <v>43</v>
      </c>
      <c r="F162" s="2" t="s">
        <v>20</v>
      </c>
      <c r="G162" s="2" t="s">
        <v>21</v>
      </c>
      <c r="H162" s="3">
        <v>45320.822916666664</v>
      </c>
      <c r="I162" s="2" t="s">
        <v>110</v>
      </c>
      <c r="J162" s="2" t="s">
        <v>380</v>
      </c>
      <c r="K162" s="2">
        <v>70</v>
      </c>
      <c r="L162" s="2">
        <v>70</v>
      </c>
      <c r="M162" s="2">
        <v>63</v>
      </c>
      <c r="N162" s="2">
        <v>1.75</v>
      </c>
      <c r="O162" s="2">
        <v>2.2000000000000002</v>
      </c>
      <c r="P162" s="2">
        <v>1.39</v>
      </c>
      <c r="Q162" s="1" t="s">
        <v>95</v>
      </c>
      <c r="R162" s="14" t="s">
        <v>221</v>
      </c>
      <c r="S162" s="13" t="s">
        <v>223</v>
      </c>
      <c r="T162" s="188">
        <f t="shared" si="16"/>
        <v>64.742001127069088</v>
      </c>
      <c r="U162" s="8">
        <f t="shared" si="15"/>
        <v>11.653560202872436</v>
      </c>
      <c r="V162" s="234">
        <f t="shared" si="19"/>
        <v>1306.4935827442544</v>
      </c>
      <c r="W162" s="15">
        <v>25</v>
      </c>
      <c r="X162" s="8">
        <f t="shared" si="17"/>
        <v>4.5</v>
      </c>
      <c r="Y162" s="233">
        <f t="shared" si="18"/>
        <v>988.5</v>
      </c>
    </row>
    <row r="163" spans="1:25">
      <c r="A163" s="156" t="e" cm="1">
        <f t="array" aca="1" ref="A163" ca="1">_xlfn.IFS(E163=$AB$42,$AC$42,E163=$AB$43,$AC$43,E163=$AB$44,$AC$44,E163=$AB$45,$AC$45,E163=$AB$46,$AC$46,E163=$AB$47,$AC$47,E163=$AB$48,$AC$48,E163=$AB$49,$AC$49,E163=$AB$50,$AC$50,E163=$AB$51,$AC$51,E163=$AB$52,$AC$52,E163=$AB$53,$AC$53,E163=$AB$54,$AC$54,E163=$AB$55,$AC$55,E163=$AB$56,$AC$56,E163=$AB$57,$AC$57,E163=$AB$58,$AC$58,E163=$AB$59,$AC$59,E163=$AB$60,$AC$60,E163=$AB$61,$AC$61,E163=$AB$62,$AC$62,E163=$AB$63,$AC$63,E163=$AB$64,$AC$64,E163=$AB$65,$AC$65,E163=$AB$66,$AC$66,TRUE,"0")</f>
        <v>#NAME?</v>
      </c>
      <c r="C163" s="161" t="str" cm="1">
        <f t="array" ref="C163">_xlfn.IFS(E163=$AB$42,$AF$42,E163=$AB$43,$AF$43,E163=$AB$44,$AF$44,E163=$AB$45,$AF$45,E163=$AB$46,$AF$46,E163=$AB$47,$AF$47,E163=$AB$48,$AF$48,E163=$AB$49,$AF$49,E163=$AB$50,$AF$50,E163=$AB$51,$AF$51,E163=$AB$52,$AF$52,E163=$AB$53,$AF$53,E163=$AB$54,$AF$54,E163=$AB$55,$AF$55,E163=$AB$56,$AF$56,E163=$AB$57,$AF$57,E163=$AB$58,$AF$58,E163=$AB$59,$AF$59,E163=$AB$60,$AF$60,E163=$AB$61,$AF$61,E163=$AB$62,$AF$62,E163=$AB$63,$AF$63,E163=$AB$64,$AF$64,E163=$AB$65,$AF$65,E163=$AB$66,$AF$66,TRUE,"0")</f>
        <v>if 0-0, BACK+ 0.5 GOALS  @ 1.15+odds.  or @ 40 mins</v>
      </c>
      <c r="D163" s="270" t="str" cm="1">
        <f t="array" ref="D163">_xlfn.IFS(E163=$AB$42,$AD$42,E163=$AB$43,$AD$43,E163=$AB$44,$AD$44,E163=$AB$45,$AD$45,E163=$AB$46,$AD$46,E163=$AB$47,$AD$47,E163=$AB$48,$AD$48,E163=$AB$49,$AD$49,E163=$AB$50,$AD$50,E163=$AB$51,$AD$51,E163=$AB$52,$AD$52,E163=$AB$53,$AD$53,E163=$AB$54,$AD$54,E163=$AB$55,$AD$55,E163=$AB$56,$AD$56,E163=$AB$57,$AD$57,E163=$AB$58,$AD$58,E163=$AB$59,$AD$59,E163=$AB$60,$AD$60,E163=$AB$61,$AD$61,E163=$AB$62,$AD$62,E163=$AB$63,$AD$63,E163=$AB$64,$AD$64,E163=$AB$65,$AD$65,E163=$AB$66,$AD$66,TRUE,"0")</f>
        <v>IP</v>
      </c>
      <c r="E163" s="163" t="s">
        <v>270</v>
      </c>
      <c r="F163" s="2" t="s">
        <v>58</v>
      </c>
      <c r="G163" s="2" t="s">
        <v>59</v>
      </c>
      <c r="H163" s="3">
        <v>45320.864583333336</v>
      </c>
      <c r="I163" s="2" t="s">
        <v>125</v>
      </c>
      <c r="J163" s="2" t="s">
        <v>111</v>
      </c>
      <c r="K163" s="2">
        <v>59</v>
      </c>
      <c r="L163" s="2">
        <v>0</v>
      </c>
      <c r="M163" s="2">
        <v>20</v>
      </c>
      <c r="N163" s="2">
        <v>1.76</v>
      </c>
      <c r="O163" s="2"/>
      <c r="P163" s="2"/>
      <c r="Q163" s="1" t="s">
        <v>95</v>
      </c>
      <c r="R163" s="14" t="s">
        <v>195</v>
      </c>
      <c r="S163" s="13" t="s">
        <v>381</v>
      </c>
      <c r="T163" s="188">
        <f t="shared" si="16"/>
        <v>65.324679137212726</v>
      </c>
      <c r="U163" s="8">
        <f t="shared" si="15"/>
        <v>11.758442244698291</v>
      </c>
      <c r="V163" s="234">
        <f t="shared" si="19"/>
        <v>1318.2520249889526</v>
      </c>
      <c r="W163" s="15">
        <v>25</v>
      </c>
      <c r="X163" s="8">
        <f t="shared" si="17"/>
        <v>4.5</v>
      </c>
      <c r="Y163" s="233">
        <f t="shared" si="18"/>
        <v>993</v>
      </c>
    </row>
    <row r="164" spans="1:25">
      <c r="A164" s="156" t="e" cm="1">
        <f t="array" aca="1" ref="A164" ca="1">_xlfn.IFS(E164=$AB$42,$AC$42,E164=$AB$43,$AC$43,E164=$AB$44,$AC$44,E164=$AB$45,$AC$45,E164=$AB$46,$AC$46,E164=$AB$47,$AC$47,E164=$AB$48,$AC$48,E164=$AB$49,$AC$49,E164=$AB$50,$AC$50,E164=$AB$51,$AC$51,E164=$AB$52,$AC$52,E164=$AB$53,$AC$53,E164=$AB$54,$AC$54,E164=$AB$55,$AC$55,E164=$AB$56,$AC$56,E164=$AB$57,$AC$57,E164=$AB$58,$AC$58,E164=$AB$59,$AC$59,E164=$AB$60,$AC$60,E164=$AB$61,$AC$61,E164=$AB$62,$AC$62,E164=$AB$63,$AC$63,E164=$AB$64,$AC$64,E164=$AB$65,$AC$65,E164=$AB$66,$AC$66,TRUE,"0")</f>
        <v>#NAME?</v>
      </c>
      <c r="C164" s="161" t="str" cm="1">
        <f t="array" ref="C164">_xlfn.IFS(E164=$AB$42,$AF$42,E164=$AB$43,$AF$43,E164=$AB$44,$AF$44,E164=$AB$45,$AF$45,E164=$AB$46,$AF$46,E164=$AB$47,$AF$47,E164=$AB$48,$AF$48,E164=$AB$49,$AF$49,E164=$AB$50,$AF$50,E164=$AB$51,$AF$51,E164=$AB$52,$AF$52,E164=$AB$53,$AF$53,E164=$AB$54,$AF$54,E164=$AB$55,$AF$55,E164=$AB$56,$AF$56,E164=$AB$57,$AF$57,E164=$AB$58,$AF$58,E164=$AB$59,$AF$59,E164=$AB$60,$AF$60,E164=$AB$61,$AF$61,E164=$AB$62,$AF$62,E164=$AB$63,$AF$63,E164=$AB$64,$AF$64,E164=$AB$65,$AF$65,E164=$AB$66,$AF$66,TRUE,"0")</f>
        <v>if 0-0, BACK+ 0.5 GOALS  @ 1.15+odds.  or @ 40 mins</v>
      </c>
      <c r="D164" s="270" t="str" cm="1">
        <f t="array" ref="D164">_xlfn.IFS(E164=$AB$42,$AD$42,E164=$AB$43,$AD$43,E164=$AB$44,$AD$44,E164=$AB$45,$AD$45,E164=$AB$46,$AD$46,E164=$AB$47,$AD$47,E164=$AB$48,$AD$48,E164=$AB$49,$AD$49,E164=$AB$50,$AD$50,E164=$AB$51,$AD$51,E164=$AB$52,$AD$52,E164=$AB$53,$AD$53,E164=$AB$54,$AD$54,E164=$AB$55,$AD$55,E164=$AB$56,$AD$56,E164=$AB$57,$AD$57,E164=$AB$58,$AD$58,E164=$AB$59,$AD$59,E164=$AB$60,$AD$60,E164=$AB$61,$AD$61,E164=$AB$62,$AD$62,E164=$AB$63,$AD$63,E164=$AB$64,$AD$64,E164=$AB$65,$AD$65,E164=$AB$66,$AD$66,TRUE,"0")</f>
        <v>IP</v>
      </c>
      <c r="E164" s="163" t="s">
        <v>270</v>
      </c>
      <c r="F164" s="2" t="s">
        <v>6</v>
      </c>
      <c r="G164" s="2" t="s">
        <v>62</v>
      </c>
      <c r="H164" s="3">
        <v>45321.8125</v>
      </c>
      <c r="I164" s="2" t="s">
        <v>264</v>
      </c>
      <c r="J164" s="2" t="s">
        <v>73</v>
      </c>
      <c r="K164" s="2">
        <v>67</v>
      </c>
      <c r="L164" s="2">
        <v>0</v>
      </c>
      <c r="M164" s="2">
        <v>20</v>
      </c>
      <c r="N164" s="2">
        <v>2.11</v>
      </c>
      <c r="O164" s="2"/>
      <c r="P164" s="2"/>
      <c r="Q164" s="2" t="s">
        <v>95</v>
      </c>
      <c r="R164" s="14" t="s">
        <v>221</v>
      </c>
      <c r="S164" s="13" t="s">
        <v>223</v>
      </c>
      <c r="T164" s="188">
        <f t="shared" si="16"/>
        <v>65.912601249447633</v>
      </c>
      <c r="U164" s="8">
        <f t="shared" si="15"/>
        <v>11.864268224900574</v>
      </c>
      <c r="V164" s="234">
        <f t="shared" ref="V164:V171" si="20">SUM(V163,U164)</f>
        <v>1330.1162932138532</v>
      </c>
      <c r="W164" s="15">
        <v>25</v>
      </c>
      <c r="X164" s="8">
        <f t="shared" si="17"/>
        <v>4.5</v>
      </c>
      <c r="Y164" s="233">
        <f t="shared" si="18"/>
        <v>997.5</v>
      </c>
    </row>
    <row r="165" spans="1:25">
      <c r="A165" s="156" t="e" cm="1">
        <f t="array" aca="1" ref="A165" ca="1">_xlfn.IFS(E165=$AB$42,$AC$42,E165=$AB$43,$AC$43,E165=$AB$44,$AC$44,E165=$AB$45,$AC$45,E165=$AB$46,$AC$46,E165=$AB$47,$AC$47,E165=$AB$48,$AC$48,E165=$AB$49,$AC$49,E165=$AB$50,$AC$50,E165=$AB$51,$AC$51,E165=$AB$52,$AC$52,E165=$AB$53,$AC$53,E165=$AB$54,$AC$54,E165=$AB$55,$AC$55,E165=$AB$56,$AC$56,E165=$AB$57,$AC$57,E165=$AB$58,$AC$58,E165=$AB$59,$AC$59,E165=$AB$60,$AC$60,E165=$AB$61,$AC$61,E165=$AB$62,$AC$62,E165=$AB$63,$AC$63,E165=$AB$64,$AC$64,E165=$AB$65,$AC$65,E165=$AB$66,$AC$66,TRUE,"0")</f>
        <v>#NAME?</v>
      </c>
      <c r="C165" s="161" t="str" cm="1">
        <f t="array" ref="C165">_xlfn.IFS(E165=$AB$42,$AF$42,E165=$AB$43,$AF$43,E165=$AB$44,$AF$44,E165=$AB$45,$AF$45,E165=$AB$46,$AF$46,E165=$AB$47,$AF$47,E165=$AB$48,$AF$48,E165=$AB$49,$AF$49,E165=$AB$50,$AF$50,E165=$AB$51,$AF$51,E165=$AB$52,$AF$52,E165=$AB$53,$AF$53,E165=$AB$54,$AF$54,E165=$AB$55,$AF$55,E165=$AB$56,$AF$56,E165=$AB$57,$AF$57,E165=$AB$58,$AF$58,E165=$AB$59,$AF$59,E165=$AB$60,$AF$60,E165=$AB$61,$AF$61,E165=$AB$62,$AF$62,E165=$AB$63,$AF$63,E165=$AB$64,$AF$64,E165=$AB$65,$AF$65,E165=$AB$66,$AF$66,TRUE,"0")</f>
        <v>B4 match BACK FT +1.5 goals. X AFTER  GOAL</v>
      </c>
      <c r="D165" s="270" t="str" cm="1">
        <f t="array" ref="D165">_xlfn.IFS(E165=$AB$42,$AD$42,E165=$AB$43,$AD$43,E165=$AB$44,$AD$44,E165=$AB$45,$AD$45,E165=$AB$46,$AD$46,E165=$AB$47,$AD$47,E165=$AB$48,$AD$48,E165=$AB$49,$AD$49,E165=$AB$50,$AD$50,E165=$AB$51,$AD$51,E165=$AB$52,$AD$52,E165=$AB$53,$AD$53,E165=$AB$54,$AD$54,E165=$AB$55,$AD$55,E165=$AB$56,$AD$56,E165=$AB$57,$AD$57,E165=$AB$58,$AD$58,E165=$AB$59,$AD$59,E165=$AB$60,$AD$60,E165=$AB$61,$AD$61,E165=$AB$62,$AD$62,E165=$AB$63,$AD$63,E165=$AB$64,$AD$64,E165=$AB$65,$AD$65,E165=$AB$66,$AD$66,TRUE,"0")</f>
        <v xml:space="preserve">BFM </v>
      </c>
      <c r="E165" s="163" t="s">
        <v>406</v>
      </c>
      <c r="F165" s="2" t="s">
        <v>6</v>
      </c>
      <c r="G165" s="2" t="s">
        <v>14</v>
      </c>
      <c r="H165" s="3">
        <v>45321.822916666664</v>
      </c>
      <c r="I165" s="2" t="s">
        <v>290</v>
      </c>
      <c r="J165" s="2" t="s">
        <v>377</v>
      </c>
      <c r="K165" s="2">
        <v>1.32</v>
      </c>
      <c r="L165" s="2">
        <v>12</v>
      </c>
      <c r="M165" s="2">
        <v>3.15</v>
      </c>
      <c r="N165" s="2">
        <v>4.7</v>
      </c>
      <c r="O165" s="2">
        <v>2.95</v>
      </c>
      <c r="P165" s="2"/>
      <c r="Q165" s="2" t="s">
        <v>95</v>
      </c>
      <c r="R165" s="14" t="s">
        <v>214</v>
      </c>
      <c r="S165" s="13" t="s">
        <v>215</v>
      </c>
      <c r="T165" s="188">
        <f t="shared" si="16"/>
        <v>66.505814660692664</v>
      </c>
      <c r="U165" s="8">
        <f t="shared" si="15"/>
        <v>11.97104663892468</v>
      </c>
      <c r="V165" s="234">
        <f t="shared" si="20"/>
        <v>1342.0873398527779</v>
      </c>
      <c r="W165" s="15">
        <v>25</v>
      </c>
      <c r="X165" s="8">
        <f t="shared" si="17"/>
        <v>4.5</v>
      </c>
      <c r="Y165" s="233">
        <f t="shared" si="18"/>
        <v>1002</v>
      </c>
    </row>
    <row r="166" spans="1:25">
      <c r="A166" s="156" t="e" cm="1">
        <f t="array" aca="1" ref="A166" ca="1">_xlfn.IFS(E166=$AB$42,$AC$42,E166=$AB$43,$AC$43,E166=$AB$44,$AC$44,E166=$AB$45,$AC$45,E166=$AB$46,$AC$46,E166=$AB$47,$AC$47,E166=$AB$48,$AC$48,E166=$AB$49,$AC$49,E166=$AB$50,$AC$50,E166=$AB$51,$AC$51,E166=$AB$52,$AC$52,E166=$AB$53,$AC$53,E166=$AB$54,$AC$54,E166=$AB$55,$AC$55,E166=$AB$56,$AC$56,E166=$AB$57,$AC$57,E166=$AB$58,$AC$58,E166=$AB$59,$AC$59,E166=$AB$60,$AC$60,E166=$AB$61,$AC$61,E166=$AB$62,$AC$62,E166=$AB$63,$AC$63,E166=$AB$64,$AC$64,E166=$AB$65,$AC$65,E166=$AB$66,$AC$66,TRUE,"0")</f>
        <v>#NAME?</v>
      </c>
      <c r="C166" s="161" t="str" cm="1">
        <f t="array" ref="C166">_xlfn.IFS(E166=$AB$42,$AF$42,E166=$AB$43,$AF$43,E166=$AB$44,$AF$44,E166=$AB$45,$AF$45,E166=$AB$46,$AF$46,E166=$AB$47,$AF$47,E166=$AB$48,$AF$48,E166=$AB$49,$AF$49,E166=$AB$50,$AF$50,E166=$AB$51,$AF$51,E166=$AB$52,$AF$52,E166=$AB$53,$AF$53,E166=$AB$54,$AF$54,E166=$AB$55,$AF$55,E166=$AB$56,$AF$56,E166=$AB$57,$AF$57,E166=$AB$58,$AF$58,E166=$AB$59,$AF$59,E166=$AB$60,$AF$60,E166=$AB$61,$AF$61,E166=$AB$62,$AF$62,E166=$AB$63,$AF$63,E166=$AB$64,$AF$64,E166=$AB$65,$AF$65,E166=$AB$66,$AF$66,TRUE,"0")</f>
        <v>if 0-0, BACK+ 0.5 GOALS  @ 1.15+odds.  or @ 40 mins</v>
      </c>
      <c r="D166" s="270" t="str" cm="1">
        <f t="array" ref="D166">_xlfn.IFS(E166=$AB$42,$AD$42,E166=$AB$43,$AD$43,E166=$AB$44,$AD$44,E166=$AB$45,$AD$45,E166=$AB$46,$AD$46,E166=$AB$47,$AD$47,E166=$AB$48,$AD$48,E166=$AB$49,$AD$49,E166=$AB$50,$AD$50,E166=$AB$51,$AD$51,E166=$AB$52,$AD$52,E166=$AB$53,$AD$53,E166=$AB$54,$AD$54,E166=$AB$55,$AD$55,E166=$AB$56,$AD$56,E166=$AB$57,$AD$57,E166=$AB$58,$AD$58,E166=$AB$59,$AD$59,E166=$AB$60,$AD$60,E166=$AB$61,$AD$61,E166=$AB$62,$AD$62,E166=$AB$63,$AD$63,E166=$AB$64,$AD$64,E166=$AB$65,$AD$65,E166=$AB$66,$AD$66,TRUE,"0")</f>
        <v>IP</v>
      </c>
      <c r="E166" s="163" t="s">
        <v>270</v>
      </c>
      <c r="F166" s="2" t="s">
        <v>6</v>
      </c>
      <c r="G166" s="2" t="s">
        <v>14</v>
      </c>
      <c r="H166" s="3">
        <v>45321.822916666664</v>
      </c>
      <c r="I166" s="2" t="s">
        <v>290</v>
      </c>
      <c r="J166" s="2" t="s">
        <v>377</v>
      </c>
      <c r="K166" s="2">
        <v>67</v>
      </c>
      <c r="L166" s="2">
        <v>0</v>
      </c>
      <c r="M166" s="2">
        <v>20</v>
      </c>
      <c r="N166" s="2">
        <v>2.95</v>
      </c>
      <c r="O166" s="2"/>
      <c r="P166" s="2"/>
      <c r="Q166" s="2" t="s">
        <v>95</v>
      </c>
      <c r="R166" s="14" t="s">
        <v>214</v>
      </c>
      <c r="S166" s="13" t="s">
        <v>215</v>
      </c>
      <c r="T166" s="188">
        <f t="shared" si="16"/>
        <v>67.104366992638901</v>
      </c>
      <c r="U166" s="8">
        <f t="shared" si="15"/>
        <v>12.078786058675002</v>
      </c>
      <c r="V166" s="234">
        <f t="shared" si="20"/>
        <v>1354.1661259114528</v>
      </c>
      <c r="W166" s="15">
        <v>25</v>
      </c>
      <c r="X166" s="8">
        <f t="shared" si="17"/>
        <v>4.5</v>
      </c>
      <c r="Y166" s="233">
        <f t="shared" si="18"/>
        <v>1006.5</v>
      </c>
    </row>
    <row r="167" spans="1:25">
      <c r="A167" s="156" t="e" cm="1">
        <f t="array" aca="1" ref="A167" ca="1">_xlfn.IFS(E167=$AB$42,$AC$42,E167=$AB$43,$AC$43,E167=$AB$44,$AC$44,E167=$AB$45,$AC$45,E167=$AB$46,$AC$46,E167=$AB$47,$AC$47,E167=$AB$48,$AC$48,E167=$AB$49,$AC$49,E167=$AB$50,$AC$50,E167=$AB$51,$AC$51,E167=$AB$52,$AC$52,E167=$AB$53,$AC$53,E167=$AB$54,$AC$54,E167=$AB$55,$AC$55,E167=$AB$56,$AC$56,E167=$AB$57,$AC$57,E167=$AB$58,$AC$58,E167=$AB$59,$AC$59,E167=$AB$60,$AC$60,E167=$AB$61,$AC$61,E167=$AB$62,$AC$62,E167=$AB$63,$AC$63,E167=$AB$64,$AC$64,E167=$AB$65,$AC$65,E167=$AB$66,$AC$66,TRUE,"0")</f>
        <v>#NAME?</v>
      </c>
      <c r="C167" s="161" t="str" cm="1">
        <f t="array" ref="C167">_xlfn.IFS(E167=$AB$42,$AF$42,E167=$AB$43,$AF$43,E167=$AB$44,$AF$44,E167=$AB$45,$AF$45,E167=$AB$46,$AF$46,E167=$AB$47,$AF$47,E167=$AB$48,$AF$48,E167=$AB$49,$AF$49,E167=$AB$50,$AF$50,E167=$AB$51,$AF$51,E167=$AB$52,$AF$52,E167=$AB$53,$AF$53,E167=$AB$54,$AF$54,E167=$AB$55,$AF$55,E167=$AB$56,$AF$56,E167=$AB$57,$AF$57,E167=$AB$58,$AF$58,E167=$AB$59,$AF$59,E167=$AB$60,$AF$60,E167=$AB$61,$AF$61,E167=$AB$62,$AF$62,E167=$AB$63,$AF$63,E167=$AB$64,$AF$64,E167=$AB$65,$AF$65,E167=$AB$66,$AF$66,TRUE,"0")</f>
        <v>40 mins Back ANother Goal</v>
      </c>
      <c r="D167" s="270" t="str" cm="1">
        <f t="array" ref="D167">_xlfn.IFS(E167=$AB$42,$AD$42,E167=$AB$43,$AD$43,E167=$AB$44,$AD$44,E167=$AB$45,$AD$45,E167=$AB$46,$AD$46,E167=$AB$47,$AD$47,E167=$AB$48,$AD$48,E167=$AB$49,$AD$49,E167=$AB$50,$AD$50,E167=$AB$51,$AD$51,E167=$AB$52,$AD$52,E167=$AB$53,$AD$53,E167=$AB$54,$AD$54,E167=$AB$55,$AD$55,E167=$AB$56,$AD$56,E167=$AB$57,$AD$57,E167=$AB$58,$AD$58,E167=$AB$59,$AD$59,E167=$AB$60,$AD$60,E167=$AB$61,$AD$61,E167=$AB$62,$AD$62,E167=$AB$63,$AD$63,E167=$AB$64,$AD$64,E167=$AB$65,$AD$65,E167=$AB$66,$AD$66,TRUE,"0")</f>
        <v xml:space="preserve">  BANG</v>
      </c>
      <c r="E167" s="163" t="s">
        <v>43</v>
      </c>
      <c r="F167" s="2" t="s">
        <v>13</v>
      </c>
      <c r="G167" s="2" t="s">
        <v>37</v>
      </c>
      <c r="H167" s="3">
        <v>45321.822916666664</v>
      </c>
      <c r="I167" s="2" t="s">
        <v>39</v>
      </c>
      <c r="J167" s="2" t="s">
        <v>323</v>
      </c>
      <c r="K167" s="2">
        <v>100</v>
      </c>
      <c r="L167" s="2">
        <v>100</v>
      </c>
      <c r="M167" s="2">
        <v>61</v>
      </c>
      <c r="N167" s="2">
        <v>1.9</v>
      </c>
      <c r="O167" s="2">
        <v>1.5</v>
      </c>
      <c r="P167" s="2">
        <v>1.27</v>
      </c>
      <c r="Q167" s="2" t="s">
        <v>95</v>
      </c>
      <c r="R167" s="14" t="s">
        <v>216</v>
      </c>
      <c r="S167" s="13" t="s">
        <v>210</v>
      </c>
      <c r="T167" s="188">
        <f t="shared" si="16"/>
        <v>67.70830629557264</v>
      </c>
      <c r="U167" s="8">
        <f t="shared" si="15"/>
        <v>12.187495133203075</v>
      </c>
      <c r="V167" s="234">
        <f t="shared" si="20"/>
        <v>1366.3536210446559</v>
      </c>
      <c r="W167" s="15">
        <v>25</v>
      </c>
      <c r="X167" s="8">
        <f t="shared" si="17"/>
        <v>4.5</v>
      </c>
      <c r="Y167" s="233">
        <f t="shared" si="18"/>
        <v>1011</v>
      </c>
    </row>
    <row r="168" spans="1:25">
      <c r="A168" s="156" t="e" cm="1">
        <f t="array" aca="1" ref="A168" ca="1">_xlfn.IFS(E168=$AB$42,$AC$42,E168=$AB$43,$AC$43,E168=$AB$44,$AC$44,E168=$AB$45,$AC$45,E168=$AB$46,$AC$46,E168=$AB$47,$AC$47,E168=$AB$48,$AC$48,E168=$AB$49,$AC$49,E168=$AB$50,$AC$50,E168=$AB$51,$AC$51,E168=$AB$52,$AC$52,E168=$AB$53,$AC$53,E168=$AB$54,$AC$54,E168=$AB$55,$AC$55,E168=$AB$56,$AC$56,E168=$AB$57,$AC$57,E168=$AB$58,$AC$58,E168=$AB$59,$AC$59,E168=$AB$60,$AC$60,E168=$AB$61,$AC$61,E168=$AB$62,$AC$62,E168=$AB$63,$AC$63,E168=$AB$64,$AC$64,E168=$AB$65,$AC$65,E168=$AB$66,$AC$66,TRUE,"0")</f>
        <v>#NAME?</v>
      </c>
      <c r="C168" s="161" t="str" cm="1">
        <f t="array" ref="C168">_xlfn.IFS(E168=$AB$42,$AF$42,E168=$AB$43,$AF$43,E168=$AB$44,$AF$44,E168=$AB$45,$AF$45,E168=$AB$46,$AF$46,E168=$AB$47,$AF$47,E168=$AB$48,$AF$48,E168=$AB$49,$AF$49,E168=$AB$50,$AF$50,E168=$AB$51,$AF$51,E168=$AB$52,$AF$52,E168=$AB$53,$AF$53,E168=$AB$54,$AF$54,E168=$AB$55,$AF$55,E168=$AB$56,$AF$56,E168=$AB$57,$AF$57,E168=$AB$58,$AF$58,E168=$AB$59,$AF$59,E168=$AB$60,$AF$60,E168=$AB$61,$AF$61,E168=$AB$62,$AF$62,E168=$AB$63,$AF$63,E168=$AB$64,$AF$64,E168=$AB$65,$AF$65,E168=$AB$66,$AF$66,TRUE,"0")</f>
        <v>40 mins Back ANother Goal</v>
      </c>
      <c r="D168" s="270" t="str" cm="1">
        <f t="array" ref="D168">_xlfn.IFS(E168=$AB$42,$AD$42,E168=$AB$43,$AD$43,E168=$AB$44,$AD$44,E168=$AB$45,$AD$45,E168=$AB$46,$AD$46,E168=$AB$47,$AD$47,E168=$AB$48,$AD$48,E168=$AB$49,$AD$49,E168=$AB$50,$AD$50,E168=$AB$51,$AD$51,E168=$AB$52,$AD$52,E168=$AB$53,$AD$53,E168=$AB$54,$AD$54,E168=$AB$55,$AD$55,E168=$AB$56,$AD$56,E168=$AB$57,$AD$57,E168=$AB$58,$AD$58,E168=$AB$59,$AD$59,E168=$AB$60,$AD$60,E168=$AB$61,$AD$61,E168=$AB$62,$AD$62,E168=$AB$63,$AD$63,E168=$AB$64,$AD$64,E168=$AB$65,$AD$65,E168=$AB$66,$AD$66,TRUE,"0")</f>
        <v xml:space="preserve">  BANG</v>
      </c>
      <c r="E168" s="163" t="s">
        <v>10</v>
      </c>
      <c r="F168" s="2" t="s">
        <v>6</v>
      </c>
      <c r="G168" s="2" t="s">
        <v>62</v>
      </c>
      <c r="H168" s="3">
        <v>45321.822916666664</v>
      </c>
      <c r="I168" s="2" t="s">
        <v>86</v>
      </c>
      <c r="J168" s="2" t="s">
        <v>267</v>
      </c>
      <c r="K168" s="2">
        <v>2.0499999999999998</v>
      </c>
      <c r="L168" s="2">
        <v>90</v>
      </c>
      <c r="M168" s="2">
        <v>70</v>
      </c>
      <c r="N168" s="2">
        <v>30</v>
      </c>
      <c r="O168" s="2">
        <v>65</v>
      </c>
      <c r="P168" s="2">
        <v>20</v>
      </c>
      <c r="Q168" s="2" t="s">
        <v>95</v>
      </c>
      <c r="R168" s="14" t="s">
        <v>207</v>
      </c>
      <c r="S168" s="13" t="s">
        <v>194</v>
      </c>
      <c r="T168" s="188">
        <f t="shared" si="16"/>
        <v>68.3176810522328</v>
      </c>
      <c r="U168" s="8">
        <f t="shared" si="15"/>
        <v>12.297182589401903</v>
      </c>
      <c r="V168" s="234">
        <f t="shared" si="20"/>
        <v>1378.6508036340579</v>
      </c>
      <c r="W168" s="15">
        <v>25</v>
      </c>
      <c r="X168" s="8">
        <f t="shared" si="17"/>
        <v>4.5</v>
      </c>
      <c r="Y168" s="233">
        <f t="shared" si="18"/>
        <v>1015.5</v>
      </c>
    </row>
    <row r="169" spans="1:25">
      <c r="A169" s="156" t="e" cm="1">
        <f t="array" aca="1" ref="A169" ca="1">_xlfn.IFS(E169=$AB$42,$AC$42,E169=$AB$43,$AC$43,E169=$AB$44,$AC$44,E169=$AB$45,$AC$45,E169=$AB$46,$AC$46,E169=$AB$47,$AC$47,E169=$AB$48,$AC$48,E169=$AB$49,$AC$49,E169=$AB$50,$AC$50,E169=$AB$51,$AC$51,E169=$AB$52,$AC$52,E169=$AB$53,$AC$53,E169=$AB$54,$AC$54,E169=$AB$55,$AC$55,E169=$AB$56,$AC$56,E169=$AB$57,$AC$57,E169=$AB$58,$AC$58,E169=$AB$59,$AC$59,E169=$AB$60,$AC$60,E169=$AB$61,$AC$61,E169=$AB$62,$AC$62,E169=$AB$63,$AC$63,E169=$AB$64,$AC$64,E169=$AB$65,$AC$65,E169=$AB$66,$AC$66,TRUE,"0")</f>
        <v>#NAME?</v>
      </c>
      <c r="C169" s="161" t="str" cm="1">
        <f t="array" ref="C169">_xlfn.IFS(E169=$AB$42,$AF$42,E169=$AB$43,$AF$43,E169=$AB$44,$AF$44,E169=$AB$45,$AF$45,E169=$AB$46,$AF$46,E169=$AB$47,$AF$47,E169=$AB$48,$AF$48,E169=$AB$49,$AF$49,E169=$AB$50,$AF$50,E169=$AB$51,$AF$51,E169=$AB$52,$AF$52,E169=$AB$53,$AF$53,E169=$AB$54,$AF$54,E169=$AB$55,$AF$55,E169=$AB$56,$AF$56,E169=$AB$57,$AF$57,E169=$AB$58,$AF$58,E169=$AB$59,$AF$59,E169=$AB$60,$AF$60,E169=$AB$61,$AF$61,E169=$AB$62,$AF$62,E169=$AB$63,$AF$63,E169=$AB$64,$AF$64,E169=$AB$65,$AF$65,E169=$AB$66,$AF$66,TRUE,"0")</f>
        <v>if 0-0, BACK+ 0.5 GOALS  @ 1.15+odds.  or @ 40 mins</v>
      </c>
      <c r="D169" s="270" t="str" cm="1">
        <f t="array" ref="D169">_xlfn.IFS(E169=$AB$42,$AD$42,E169=$AB$43,$AD$43,E169=$AB$44,$AD$44,E169=$AB$45,$AD$45,E169=$AB$46,$AD$46,E169=$AB$47,$AD$47,E169=$AB$48,$AD$48,E169=$AB$49,$AD$49,E169=$AB$50,$AD$50,E169=$AB$51,$AD$51,E169=$AB$52,$AD$52,E169=$AB$53,$AD$53,E169=$AB$54,$AD$54,E169=$AB$55,$AD$55,E169=$AB$56,$AD$56,E169=$AB$57,$AD$57,E169=$AB$58,$AD$58,E169=$AB$59,$AD$59,E169=$AB$60,$AD$60,E169=$AB$61,$AD$61,E169=$AB$62,$AD$62,E169=$AB$63,$AD$63,E169=$AB$64,$AD$64,E169=$AB$65,$AD$65,E169=$AB$66,$AD$66,TRUE,"0")</f>
        <v>IP</v>
      </c>
      <c r="E169" s="163" t="s">
        <v>270</v>
      </c>
      <c r="F169" s="2" t="s">
        <v>6</v>
      </c>
      <c r="G169" s="2" t="s">
        <v>7</v>
      </c>
      <c r="H169" s="3">
        <v>45321.822916666664</v>
      </c>
      <c r="I169" s="2" t="s">
        <v>84</v>
      </c>
      <c r="J169" s="2" t="s">
        <v>378</v>
      </c>
      <c r="K169" s="2">
        <v>59</v>
      </c>
      <c r="L169" s="2">
        <v>0</v>
      </c>
      <c r="M169" s="2">
        <v>20</v>
      </c>
      <c r="N169" s="2">
        <v>1.61</v>
      </c>
      <c r="O169" s="2"/>
      <c r="P169" s="2"/>
      <c r="Q169" s="2" t="s">
        <v>95</v>
      </c>
      <c r="R169" s="14" t="s">
        <v>221</v>
      </c>
      <c r="S169" s="13" t="s">
        <v>223</v>
      </c>
      <c r="T169" s="188">
        <f t="shared" si="16"/>
        <v>68.93254018170289</v>
      </c>
      <c r="U169" s="8">
        <f t="shared" si="15"/>
        <v>12.407857232706521</v>
      </c>
      <c r="V169" s="234">
        <f t="shared" si="20"/>
        <v>1391.0586608667643</v>
      </c>
      <c r="W169" s="15">
        <v>25</v>
      </c>
      <c r="X169" s="8">
        <f t="shared" si="17"/>
        <v>4.5</v>
      </c>
      <c r="Y169" s="233">
        <f t="shared" si="18"/>
        <v>1020</v>
      </c>
    </row>
    <row r="170" spans="1:25">
      <c r="A170" s="156" t="e" cm="1">
        <f t="array" aca="1" ref="A170" ca="1">_xlfn.IFS(E170=$AB$42,$AC$42,E170=$AB$43,$AC$43,E170=$AB$44,$AC$44,E170=$AB$45,$AC$45,E170=$AB$46,$AC$46,E170=$AB$47,$AC$47,E170=$AB$48,$AC$48,E170=$AB$49,$AC$49,E170=$AB$50,$AC$50,E170=$AB$51,$AC$51,E170=$AB$52,$AC$52,E170=$AB$53,$AC$53,E170=$AB$54,$AC$54,E170=$AB$55,$AC$55,E170=$AB$56,$AC$56,E170=$AB$57,$AC$57,E170=$AB$58,$AC$58,E170=$AB$59,$AC$59,E170=$AB$60,$AC$60,E170=$AB$61,$AC$61,E170=$AB$62,$AC$62,E170=$AB$63,$AC$63,E170=$AB$64,$AC$64,E170=$AB$65,$AC$65,E170=$AB$66,$AC$66,TRUE,"0")</f>
        <v>#NAME?</v>
      </c>
      <c r="C170" s="161" t="str" cm="1">
        <f t="array" ref="C170">_xlfn.IFS(E170=$AB$42,$AF$42,E170=$AB$43,$AF$43,E170=$AB$44,$AF$44,E170=$AB$45,$AF$45,E170=$AB$46,$AF$46,E170=$AB$47,$AF$47,E170=$AB$48,$AF$48,E170=$AB$49,$AF$49,E170=$AB$50,$AF$50,E170=$AB$51,$AF$51,E170=$AB$52,$AF$52,E170=$AB$53,$AF$53,E170=$AB$54,$AF$54,E170=$AB$55,$AF$55,E170=$AB$56,$AF$56,E170=$AB$57,$AF$57,E170=$AB$58,$AF$58,E170=$AB$59,$AF$59,E170=$AB$60,$AF$60,E170=$AB$61,$AF$61,E170=$AB$62,$AF$62,E170=$AB$63,$AF$63,E170=$AB$64,$AF$64,E170=$AB$65,$AF$65,E170=$AB$66,$AF$66,TRUE,"0")</f>
        <v>40 mins Back ANother Goal</v>
      </c>
      <c r="D170" s="270" t="str" cm="1">
        <f t="array" ref="D170">_xlfn.IFS(E170=$AB$42,$AD$42,E170=$AB$43,$AD$43,E170=$AB$44,$AD$44,E170=$AB$45,$AD$45,E170=$AB$46,$AD$46,E170=$AB$47,$AD$47,E170=$AB$48,$AD$48,E170=$AB$49,$AD$49,E170=$AB$50,$AD$50,E170=$AB$51,$AD$51,E170=$AB$52,$AD$52,E170=$AB$53,$AD$53,E170=$AB$54,$AD$54,E170=$AB$55,$AD$55,E170=$AB$56,$AD$56,E170=$AB$57,$AD$57,E170=$AB$58,$AD$58,E170=$AB$59,$AD$59,E170=$AB$60,$AD$60,E170=$AB$61,$AD$61,E170=$AB$62,$AD$62,E170=$AB$63,$AD$63,E170=$AB$64,$AD$64,E170=$AB$65,$AD$65,E170=$AB$66,$AD$66,TRUE,"0")</f>
        <v xml:space="preserve">  BANG</v>
      </c>
      <c r="E170" s="163" t="s">
        <v>35</v>
      </c>
      <c r="F170" s="2" t="s">
        <v>6</v>
      </c>
      <c r="G170" s="2" t="s">
        <v>62</v>
      </c>
      <c r="H170" s="3">
        <v>45321.833333333336</v>
      </c>
      <c r="I170" s="2" t="s">
        <v>66</v>
      </c>
      <c r="J170" s="2" t="s">
        <v>85</v>
      </c>
      <c r="K170" s="2">
        <v>73</v>
      </c>
      <c r="L170" s="2">
        <v>85</v>
      </c>
      <c r="M170" s="2">
        <v>55</v>
      </c>
      <c r="N170" s="2">
        <v>40</v>
      </c>
      <c r="O170" s="2">
        <v>20</v>
      </c>
      <c r="P170" s="2">
        <v>1.25</v>
      </c>
      <c r="Q170" s="2" t="s">
        <v>95</v>
      </c>
      <c r="R170" s="14" t="s">
        <v>210</v>
      </c>
      <c r="S170" s="13" t="s">
        <v>209</v>
      </c>
      <c r="T170" s="188">
        <f t="shared" si="16"/>
        <v>69.552933043338214</v>
      </c>
      <c r="U170" s="8">
        <f t="shared" si="15"/>
        <v>12.519527947800878</v>
      </c>
      <c r="V170" s="234">
        <f t="shared" si="20"/>
        <v>1403.5781888145652</v>
      </c>
      <c r="W170" s="15">
        <v>25</v>
      </c>
      <c r="X170" s="8">
        <f t="shared" si="17"/>
        <v>4.5</v>
      </c>
      <c r="Y170" s="233">
        <f t="shared" si="18"/>
        <v>1024.5</v>
      </c>
    </row>
    <row r="171" spans="1:25">
      <c r="A171" s="156" t="e" cm="1">
        <f t="array" aca="1" ref="A171" ca="1">_xlfn.IFS(E171=$AB$42,$AC$42,E171=$AB$43,$AC$43,E171=$AB$44,$AC$44,E171=$AB$45,$AC$45,E171=$AB$46,$AC$46,E171=$AB$47,$AC$47,E171=$AB$48,$AC$48,E171=$AB$49,$AC$49,E171=$AB$50,$AC$50,E171=$AB$51,$AC$51,E171=$AB$52,$AC$52,E171=$AB$53,$AC$53,E171=$AB$54,$AC$54,E171=$AB$55,$AC$55,E171=$AB$56,$AC$56,E171=$AB$57,$AC$57,E171=$AB$58,$AC$58,E171=$AB$59,$AC$59,E171=$AB$60,$AC$60,E171=$AB$61,$AC$61,E171=$AB$62,$AC$62,E171=$AB$63,$AC$63,E171=$AB$64,$AC$64,E171=$AB$65,$AC$65,E171=$AB$66,$AC$66,TRUE,"0")</f>
        <v>#NAME?</v>
      </c>
      <c r="C171" s="161" t="str" cm="1">
        <f t="array" ref="C171">_xlfn.IFS(E171=$AB$42,$AF$42,E171=$AB$43,$AF$43,E171=$AB$44,$AF$44,E171=$AB$45,$AF$45,E171=$AB$46,$AF$46,E171=$AB$47,$AF$47,E171=$AB$48,$AF$48,E171=$AB$49,$AF$49,E171=$AB$50,$AF$50,E171=$AB$51,$AF$51,E171=$AB$52,$AF$52,E171=$AB$53,$AF$53,E171=$AB$54,$AF$54,E171=$AB$55,$AF$55,E171=$AB$56,$AF$56,E171=$AB$57,$AF$57,E171=$AB$58,$AF$58,E171=$AB$59,$AF$59,E171=$AB$60,$AF$60,E171=$AB$61,$AF$61,E171=$AB$62,$AF$62,E171=$AB$63,$AF$63,E171=$AB$64,$AF$64,E171=$AB$65,$AF$65,E171=$AB$66,$AF$66,TRUE,"0")</f>
        <v>40 mins Back ANother Goal</v>
      </c>
      <c r="D171" s="270" t="str" cm="1">
        <f t="array" ref="D171">_xlfn.IFS(E171=$AB$42,$AD$42,E171=$AB$43,$AD$43,E171=$AB$44,$AD$44,E171=$AB$45,$AD$45,E171=$AB$46,$AD$46,E171=$AB$47,$AD$47,E171=$AB$48,$AD$48,E171=$AB$49,$AD$49,E171=$AB$50,$AD$50,E171=$AB$51,$AD$51,E171=$AB$52,$AD$52,E171=$AB$53,$AD$53,E171=$AB$54,$AD$54,E171=$AB$55,$AD$55,E171=$AB$56,$AD$56,E171=$AB$57,$AD$57,E171=$AB$58,$AD$58,E171=$AB$59,$AD$59,E171=$AB$60,$AD$60,E171=$AB$61,$AD$61,E171=$AB$62,$AD$62,E171=$AB$63,$AD$63,E171=$AB$64,$AD$64,E171=$AB$65,$AD$65,E171=$AB$66,$AD$66,TRUE,"0")</f>
        <v xml:space="preserve">  BANG</v>
      </c>
      <c r="E171" s="163" t="s">
        <v>10</v>
      </c>
      <c r="F171" s="2" t="s">
        <v>6</v>
      </c>
      <c r="G171" s="2" t="s">
        <v>62</v>
      </c>
      <c r="H171" s="3">
        <v>45321.84375</v>
      </c>
      <c r="I171" s="2" t="s">
        <v>102</v>
      </c>
      <c r="J171" s="2" t="s">
        <v>164</v>
      </c>
      <c r="K171" s="2">
        <v>2.5</v>
      </c>
      <c r="L171" s="2">
        <v>85</v>
      </c>
      <c r="M171" s="2">
        <v>75</v>
      </c>
      <c r="N171" s="2">
        <v>50</v>
      </c>
      <c r="O171" s="2">
        <v>61</v>
      </c>
      <c r="P171" s="2">
        <v>20</v>
      </c>
      <c r="Q171" s="2" t="s">
        <v>95</v>
      </c>
      <c r="R171" s="14" t="s">
        <v>217</v>
      </c>
      <c r="S171" s="13" t="s">
        <v>211</v>
      </c>
      <c r="T171" s="188">
        <f t="shared" si="16"/>
        <v>70.178909440728262</v>
      </c>
      <c r="U171" s="8">
        <f t="shared" si="15"/>
        <v>12.632203699331086</v>
      </c>
      <c r="V171" s="234">
        <f t="shared" si="20"/>
        <v>1416.2103925138963</v>
      </c>
      <c r="W171" s="15">
        <v>25</v>
      </c>
      <c r="X171" s="8">
        <f t="shared" si="17"/>
        <v>4.5</v>
      </c>
      <c r="Y171" s="233">
        <f t="shared" si="18"/>
        <v>1029</v>
      </c>
    </row>
    <row r="172" spans="1:25">
      <c r="A172" s="156" t="e" cm="1">
        <f t="array" aca="1" ref="A172" ca="1">_xlfn.IFS(E172=$AB$42,$AC$42,E172=$AB$43,$AC$43,E172=$AB$44,$AC$44,E172=$AB$45,$AC$45,E172=$AB$46,$AC$46,E172=$AB$47,$AC$47,E172=$AB$48,$AC$48,E172=$AB$49,$AC$49,E172=$AB$50,$AC$50,E172=$AB$51,$AC$51,E172=$AB$52,$AC$52,E172=$AB$53,$AC$53,E172=$AB$54,$AC$54,E172=$AB$55,$AC$55,E172=$AB$56,$AC$56,E172=$AB$57,$AC$57,E172=$AB$58,$AC$58,E172=$AB$59,$AC$59,E172=$AB$60,$AC$60,E172=$AB$61,$AC$61,E172=$AB$62,$AC$62,E172=$AB$63,$AC$63,E172=$AB$64,$AC$64,E172=$AB$65,$AC$65,E172=$AB$66,$AC$66,TRUE,"0")</f>
        <v>#NAME?</v>
      </c>
      <c r="C172" s="161" t="str" cm="1">
        <f t="array" ref="C172">_xlfn.IFS(E172=$AB$42,$AF$42,E172=$AB$43,$AF$43,E172=$AB$44,$AF$44,E172=$AB$45,$AF$45,E172=$AB$46,$AF$46,E172=$AB$47,$AF$47,E172=$AB$48,$AF$48,E172=$AB$49,$AF$49,E172=$AB$50,$AF$50,E172=$AB$51,$AF$51,E172=$AB$52,$AF$52,E172=$AB$53,$AF$53,E172=$AB$54,$AF$54,E172=$AB$55,$AF$55,E172=$AB$56,$AF$56,E172=$AB$57,$AF$57,E172=$AB$58,$AF$58,E172=$AB$59,$AF$59,E172=$AB$60,$AF$60,E172=$AB$61,$AF$61,E172=$AB$62,$AF$62,E172=$AB$63,$AF$63,E172=$AB$64,$AF$64,E172=$AB$65,$AF$65,E172=$AB$66,$AF$66,TRUE,"0")</f>
        <v>if 0-0, BACK+ 0.5 GOALS  @ 1.15+odds.  or @ 40 mins</v>
      </c>
      <c r="D172" s="270" t="str" cm="1">
        <f t="array" ref="D172">_xlfn.IFS(E172=$AB$42,$AD$42,E172=$AB$43,$AD$43,E172=$AB$44,$AD$44,E172=$AB$45,$AD$45,E172=$AB$46,$AD$46,E172=$AB$47,$AD$47,E172=$AB$48,$AD$48,E172=$AB$49,$AD$49,E172=$AB$50,$AD$50,E172=$AB$51,$AD$51,E172=$AB$52,$AD$52,E172=$AB$53,$AD$53,E172=$AB$54,$AD$54,E172=$AB$55,$AD$55,E172=$AB$56,$AD$56,E172=$AB$57,$AD$57,E172=$AB$58,$AD$58,E172=$AB$59,$AD$59,E172=$AB$60,$AD$60,E172=$AB$61,$AD$61,E172=$AB$62,$AD$62,E172=$AB$63,$AD$63,E172=$AB$64,$AD$64,E172=$AB$65,$AD$65,E172=$AB$66,$AD$66,TRUE,"0")</f>
        <v>IP</v>
      </c>
      <c r="E172" s="163" t="s">
        <v>270</v>
      </c>
      <c r="F172" s="2" t="s">
        <v>6</v>
      </c>
      <c r="G172" s="2" t="s">
        <v>62</v>
      </c>
      <c r="H172" s="3">
        <v>45321.84375</v>
      </c>
      <c r="I172" s="2" t="s">
        <v>102</v>
      </c>
      <c r="J172" s="2" t="s">
        <v>164</v>
      </c>
      <c r="K172" s="2">
        <v>67</v>
      </c>
      <c r="L172" s="2">
        <v>0</v>
      </c>
      <c r="M172" s="2">
        <v>20</v>
      </c>
      <c r="N172" s="2">
        <v>3.08</v>
      </c>
      <c r="O172" s="2"/>
      <c r="P172" s="2"/>
      <c r="Q172" s="2" t="s">
        <v>95</v>
      </c>
      <c r="R172" s="14" t="s">
        <v>217</v>
      </c>
      <c r="S172" s="13" t="s">
        <v>211</v>
      </c>
      <c r="T172" s="188">
        <f t="shared" si="16"/>
        <v>70.810519625694823</v>
      </c>
      <c r="U172" s="8">
        <f t="shared" si="15"/>
        <v>12.745893532625068</v>
      </c>
      <c r="V172" s="234">
        <f>SUM(V171,U172)</f>
        <v>1428.9562860465214</v>
      </c>
      <c r="W172" s="15">
        <v>25</v>
      </c>
      <c r="X172" s="8">
        <f t="shared" si="17"/>
        <v>4.5</v>
      </c>
      <c r="Y172" s="233">
        <f t="shared" si="18"/>
        <v>1033.5</v>
      </c>
    </row>
    <row r="173" spans="1:25">
      <c r="A173" s="156" t="e" cm="1">
        <f t="array" aca="1" ref="A173" ca="1">_xlfn.IFS(E173=$AB$42,$AC$42,E173=$AB$43,$AC$43,E173=$AB$44,$AC$44,E173=$AB$45,$AC$45,E173=$AB$46,$AC$46,E173=$AB$47,$AC$47,E173=$AB$48,$AC$48,E173=$AB$49,$AC$49,E173=$AB$50,$AC$50,E173=$AB$51,$AC$51,E173=$AB$52,$AC$52,E173=$AB$53,$AC$53,E173=$AB$54,$AC$54,E173=$AB$55,$AC$55,E173=$AB$56,$AC$56,E173=$AB$57,$AC$57,E173=$AB$58,$AC$58,E173=$AB$59,$AC$59,E173=$AB$60,$AC$60,E173=$AB$61,$AC$61,E173=$AB$62,$AC$62,E173=$AB$63,$AC$63,E173=$AB$64,$AC$64,E173=$AB$65,$AC$65,E173=$AB$66,$AC$66,TRUE,"0")</f>
        <v>#NAME?</v>
      </c>
      <c r="C173" s="161" t="str" cm="1">
        <f t="array" ref="C173">_xlfn.IFS(E173=$AB$42,$AF$42,E173=$AB$43,$AF$43,E173=$AB$44,$AF$44,E173=$AB$45,$AF$45,E173=$AB$46,$AF$46,E173=$AB$47,$AF$47,E173=$AB$48,$AF$48,E173=$AB$49,$AF$49,E173=$AB$50,$AF$50,E173=$AB$51,$AF$51,E173=$AB$52,$AF$52,E173=$AB$53,$AF$53,E173=$AB$54,$AF$54,E173=$AB$55,$AF$55,E173=$AB$56,$AF$56,E173=$AB$57,$AF$57,E173=$AB$58,$AF$58,E173=$AB$59,$AF$59,E173=$AB$60,$AF$60,E173=$AB$61,$AF$61,E173=$AB$62,$AF$62,E173=$AB$63,$AF$63,E173=$AB$64,$AF$64,E173=$AB$65,$AF$65,E173=$AB$66,$AF$66,TRUE,"0")</f>
        <v>40 mins Back ANother Goal</v>
      </c>
      <c r="D173" s="270" t="str" cm="1">
        <f t="array" ref="D173">_xlfn.IFS(E173=$AB$42,$AD$42,E173=$AB$43,$AD$43,E173=$AB$44,$AD$44,E173=$AB$45,$AD$45,E173=$AB$46,$AD$46,E173=$AB$47,$AD$47,E173=$AB$48,$AD$48,E173=$AB$49,$AD$49,E173=$AB$50,$AD$50,E173=$AB$51,$AD$51,E173=$AB$52,$AD$52,E173=$AB$53,$AD$53,E173=$AB$54,$AD$54,E173=$AB$55,$AD$55,E173=$AB$56,$AD$56,E173=$AB$57,$AD$57,E173=$AB$58,$AD$58,E173=$AB$59,$AD$59,E173=$AB$60,$AD$60,E173=$AB$61,$AD$61,E173=$AB$62,$AD$62,E173=$AB$63,$AD$63,E173=$AB$64,$AD$64,E173=$AB$65,$AD$65,E173=$AB$66,$AD$66,TRUE,"0")</f>
        <v xml:space="preserve">  BANG</v>
      </c>
      <c r="E173" s="163" t="s">
        <v>10</v>
      </c>
      <c r="F173" s="2" t="s">
        <v>67</v>
      </c>
      <c r="G173" s="2" t="s">
        <v>68</v>
      </c>
      <c r="H173" s="3">
        <v>45322.739583333336</v>
      </c>
      <c r="I173" s="2" t="s">
        <v>69</v>
      </c>
      <c r="J173" s="2" t="s">
        <v>88</v>
      </c>
      <c r="K173" s="2">
        <v>2.0499999999999998</v>
      </c>
      <c r="L173" s="2">
        <v>95</v>
      </c>
      <c r="M173" s="2">
        <v>65</v>
      </c>
      <c r="N173" s="2">
        <v>30</v>
      </c>
      <c r="O173" s="2">
        <v>66</v>
      </c>
      <c r="P173" s="2">
        <v>20</v>
      </c>
      <c r="Q173" s="2" t="s">
        <v>95</v>
      </c>
      <c r="R173" s="14" t="s">
        <v>221</v>
      </c>
      <c r="S173" s="13" t="s">
        <v>214</v>
      </c>
      <c r="T173" s="188">
        <f t="shared" si="16"/>
        <v>71.44781430232608</v>
      </c>
      <c r="U173" s="8">
        <f t="shared" si="15"/>
        <v>12.860606574418695</v>
      </c>
      <c r="V173" s="234">
        <f t="shared" ref="V173:V195" si="21">SUM(V172,U173)</f>
        <v>1441.8168926209401</v>
      </c>
      <c r="W173" s="15">
        <v>25</v>
      </c>
      <c r="X173" s="8">
        <f t="shared" si="17"/>
        <v>4.5</v>
      </c>
      <c r="Y173" s="233">
        <f t="shared" si="18"/>
        <v>1038</v>
      </c>
    </row>
    <row r="174" spans="1:25">
      <c r="A174" s="156" t="e" cm="1">
        <f t="array" aca="1" ref="A174" ca="1">_xlfn.IFS(E174=$AB$42,$AC$42,E174=$AB$43,$AC$43,E174=$AB$44,$AC$44,E174=$AB$45,$AC$45,E174=$AB$46,$AC$46,E174=$AB$47,$AC$47,E174=$AB$48,$AC$48,E174=$AB$49,$AC$49,E174=$AB$50,$AC$50,E174=$AB$51,$AC$51,E174=$AB$52,$AC$52,E174=$AB$53,$AC$53,E174=$AB$54,$AC$54,E174=$AB$55,$AC$55,E174=$AB$56,$AC$56,E174=$AB$57,$AC$57,E174=$AB$58,$AC$58,E174=$AB$59,$AC$59,E174=$AB$60,$AC$60,E174=$AB$61,$AC$61,E174=$AB$62,$AC$62,E174=$AB$63,$AC$63,E174=$AB$64,$AC$64,E174=$AB$65,$AC$65,E174=$AB$66,$AC$66,TRUE,"0")</f>
        <v>#NAME?</v>
      </c>
      <c r="C174" s="161" t="str" cm="1">
        <f t="array" ref="C174">_xlfn.IFS(E174=$AB$42,$AF$42,E174=$AB$43,$AF$43,E174=$AB$44,$AF$44,E174=$AB$45,$AF$45,E174=$AB$46,$AF$46,E174=$AB$47,$AF$47,E174=$AB$48,$AF$48,E174=$AB$49,$AF$49,E174=$AB$50,$AF$50,E174=$AB$51,$AF$51,E174=$AB$52,$AF$52,E174=$AB$53,$AF$53,E174=$AB$54,$AF$54,E174=$AB$55,$AF$55,E174=$AB$56,$AF$56,E174=$AB$57,$AF$57,E174=$AB$58,$AF$58,E174=$AB$59,$AF$59,E174=$AB$60,$AF$60,E174=$AB$61,$AF$61,E174=$AB$62,$AF$62,E174=$AB$63,$AF$63,E174=$AB$64,$AF$64,E174=$AB$65,$AF$65,E174=$AB$66,$AF$66,TRUE,"0")</f>
        <v>if 0-0, BACK+ 0.5 GOALS  @ 1.15+odds.  or @ 40 mins</v>
      </c>
      <c r="D174" s="270" t="str" cm="1">
        <f t="array" ref="D174">_xlfn.IFS(E174=$AB$42,$AD$42,E174=$AB$43,$AD$43,E174=$AB$44,$AD$44,E174=$AB$45,$AD$45,E174=$AB$46,$AD$46,E174=$AB$47,$AD$47,E174=$AB$48,$AD$48,E174=$AB$49,$AD$49,E174=$AB$50,$AD$50,E174=$AB$51,$AD$51,E174=$AB$52,$AD$52,E174=$AB$53,$AD$53,E174=$AB$54,$AD$54,E174=$AB$55,$AD$55,E174=$AB$56,$AD$56,E174=$AB$57,$AD$57,E174=$AB$58,$AD$58,E174=$AB$59,$AD$59,E174=$AB$60,$AD$60,E174=$AB$61,$AD$61,E174=$AB$62,$AD$62,E174=$AB$63,$AD$63,E174=$AB$64,$AD$64,E174=$AB$65,$AD$65,E174=$AB$66,$AD$66,TRUE,"0")</f>
        <v>IP</v>
      </c>
      <c r="E174" s="163" t="s">
        <v>270</v>
      </c>
      <c r="F174" s="2" t="s">
        <v>67</v>
      </c>
      <c r="G174" s="2" t="s">
        <v>68</v>
      </c>
      <c r="H174" s="3">
        <v>45322.739583333336</v>
      </c>
      <c r="I174" s="2" t="s">
        <v>69</v>
      </c>
      <c r="J174" s="2" t="s">
        <v>88</v>
      </c>
      <c r="K174" s="2">
        <v>68</v>
      </c>
      <c r="L174" s="2">
        <v>0</v>
      </c>
      <c r="M174" s="2">
        <v>20</v>
      </c>
      <c r="N174" s="2">
        <v>2.2799999999999998</v>
      </c>
      <c r="O174" s="2"/>
      <c r="P174" s="2"/>
      <c r="Q174" s="2" t="s">
        <v>95</v>
      </c>
      <c r="R174" s="14" t="s">
        <v>221</v>
      </c>
      <c r="S174" s="13" t="s">
        <v>214</v>
      </c>
      <c r="T174" s="188">
        <f t="shared" si="16"/>
        <v>72.090844631047005</v>
      </c>
      <c r="U174" s="8">
        <f t="shared" ref="U174:U237" si="22">IF(Q174="won",T174*0.18,-T174)</f>
        <v>12.97635203358846</v>
      </c>
      <c r="V174" s="234">
        <f t="shared" si="21"/>
        <v>1454.7932446545285</v>
      </c>
      <c r="W174" s="15">
        <v>25</v>
      </c>
      <c r="X174" s="8">
        <f t="shared" si="17"/>
        <v>4.5</v>
      </c>
      <c r="Y174" s="233">
        <f t="shared" si="18"/>
        <v>1042.5</v>
      </c>
    </row>
    <row r="175" spans="1:25">
      <c r="A175" s="156" t="e" cm="1">
        <f t="array" aca="1" ref="A175" ca="1">_xlfn.IFS(E175=$AB$42,$AC$42,E175=$AB$43,$AC$43,E175=$AB$44,$AC$44,E175=$AB$45,$AC$45,E175=$AB$46,$AC$46,E175=$AB$47,$AC$47,E175=$AB$48,$AC$48,E175=$AB$49,$AC$49,E175=$AB$50,$AC$50,E175=$AB$51,$AC$51,E175=$AB$52,$AC$52,E175=$AB$53,$AC$53,E175=$AB$54,$AC$54,E175=$AB$55,$AC$55,E175=$AB$56,$AC$56,E175=$AB$57,$AC$57,E175=$AB$58,$AC$58,E175=$AB$59,$AC$59,E175=$AB$60,$AC$60,E175=$AB$61,$AC$61,E175=$AB$62,$AC$62,E175=$AB$63,$AC$63,E175=$AB$64,$AC$64,E175=$AB$65,$AC$65,E175=$AB$66,$AC$66,TRUE,"0")</f>
        <v>#NAME?</v>
      </c>
      <c r="C175" s="161" t="str" cm="1">
        <f t="array" ref="C175">_xlfn.IFS(E175=$AB$42,$AF$42,E175=$AB$43,$AF$43,E175=$AB$44,$AF$44,E175=$AB$45,$AF$45,E175=$AB$46,$AF$46,E175=$AB$47,$AF$47,E175=$AB$48,$AF$48,E175=$AB$49,$AF$49,E175=$AB$50,$AF$50,E175=$AB$51,$AF$51,E175=$AB$52,$AF$52,E175=$AB$53,$AF$53,E175=$AB$54,$AF$54,E175=$AB$55,$AF$55,E175=$AB$56,$AF$56,E175=$AB$57,$AF$57,E175=$AB$58,$AF$58,E175=$AB$59,$AF$59,E175=$AB$60,$AF$60,E175=$AB$61,$AF$61,E175=$AB$62,$AF$62,E175=$AB$63,$AF$63,E175=$AB$64,$AF$64,E175=$AB$65,$AF$65,E175=$AB$66,$AF$66,TRUE,"0")</f>
        <v>if 0-0, BACK+ 0.5 GOALS  @ 1.15+odds.  or @ 40 mins</v>
      </c>
      <c r="D175" s="270" t="str" cm="1">
        <f t="array" ref="D175">_xlfn.IFS(E175=$AB$42,$AD$42,E175=$AB$43,$AD$43,E175=$AB$44,$AD$44,E175=$AB$45,$AD$45,E175=$AB$46,$AD$46,E175=$AB$47,$AD$47,E175=$AB$48,$AD$48,E175=$AB$49,$AD$49,E175=$AB$50,$AD$50,E175=$AB$51,$AD$51,E175=$AB$52,$AD$52,E175=$AB$53,$AD$53,E175=$AB$54,$AD$54,E175=$AB$55,$AD$55,E175=$AB$56,$AD$56,E175=$AB$57,$AD$57,E175=$AB$58,$AD$58,E175=$AB$59,$AD$59,E175=$AB$60,$AD$60,E175=$AB$61,$AD$61,E175=$AB$62,$AD$62,E175=$AB$63,$AD$63,E175=$AB$64,$AD$64,E175=$AB$65,$AD$65,E175=$AB$66,$AD$66,TRUE,"0")</f>
        <v>IP</v>
      </c>
      <c r="E175" s="163" t="s">
        <v>270</v>
      </c>
      <c r="F175" s="2" t="s">
        <v>67</v>
      </c>
      <c r="G175" s="2" t="s">
        <v>68</v>
      </c>
      <c r="H175" s="3">
        <v>45322.739583333336</v>
      </c>
      <c r="I175" s="2" t="s">
        <v>87</v>
      </c>
      <c r="J175" s="2" t="s">
        <v>343</v>
      </c>
      <c r="K175" s="2">
        <v>60</v>
      </c>
      <c r="L175" s="2">
        <v>0</v>
      </c>
      <c r="M175" s="2">
        <v>20</v>
      </c>
      <c r="N175" s="2">
        <v>1.49</v>
      </c>
      <c r="O175" s="2"/>
      <c r="P175" s="2"/>
      <c r="Q175" s="2" t="s">
        <v>95</v>
      </c>
      <c r="R175" s="14" t="s">
        <v>221</v>
      </c>
      <c r="S175" s="13" t="s">
        <v>222</v>
      </c>
      <c r="T175" s="188">
        <f t="shared" si="16"/>
        <v>72.739662232726431</v>
      </c>
      <c r="U175" s="8">
        <f t="shared" si="22"/>
        <v>13.093139201890757</v>
      </c>
      <c r="V175" s="234">
        <f t="shared" si="21"/>
        <v>1467.8863838564193</v>
      </c>
      <c r="W175" s="15">
        <v>25</v>
      </c>
      <c r="X175" s="8">
        <f t="shared" si="17"/>
        <v>4.5</v>
      </c>
      <c r="Y175" s="233">
        <f t="shared" si="18"/>
        <v>1047</v>
      </c>
    </row>
    <row r="176" spans="1:25">
      <c r="A176" s="156" t="e" cm="1">
        <f t="array" aca="1" ref="A176" ca="1">_xlfn.IFS(E176=$AB$42,$AC$42,E176=$AB$43,$AC$43,E176=$AB$44,$AC$44,E176=$AB$45,$AC$45,E176=$AB$46,$AC$46,E176=$AB$47,$AC$47,E176=$AB$48,$AC$48,E176=$AB$49,$AC$49,E176=$AB$50,$AC$50,E176=$AB$51,$AC$51,E176=$AB$52,$AC$52,E176=$AB$53,$AC$53,E176=$AB$54,$AC$54,E176=$AB$55,$AC$55,E176=$AB$56,$AC$56,E176=$AB$57,$AC$57,E176=$AB$58,$AC$58,E176=$AB$59,$AC$59,E176=$AB$60,$AC$60,E176=$AB$61,$AC$61,E176=$AB$62,$AC$62,E176=$AB$63,$AC$63,E176=$AB$64,$AC$64,E176=$AB$65,$AC$65,E176=$AB$66,$AC$66,TRUE,"0")</f>
        <v>#NAME?</v>
      </c>
      <c r="C176" s="161" t="str" cm="1">
        <f t="array" ref="C176">_xlfn.IFS(E176=$AB$42,$AF$42,E176=$AB$43,$AF$43,E176=$AB$44,$AF$44,E176=$AB$45,$AF$45,E176=$AB$46,$AF$46,E176=$AB$47,$AF$47,E176=$AB$48,$AF$48,E176=$AB$49,$AF$49,E176=$AB$50,$AF$50,E176=$AB$51,$AF$51,E176=$AB$52,$AF$52,E176=$AB$53,$AF$53,E176=$AB$54,$AF$54,E176=$AB$55,$AF$55,E176=$AB$56,$AF$56,E176=$AB$57,$AF$57,E176=$AB$58,$AF$58,E176=$AB$59,$AF$59,E176=$AB$60,$AF$60,E176=$AB$61,$AF$61,E176=$AB$62,$AF$62,E176=$AB$63,$AF$63,E176=$AB$64,$AF$64,E176=$AB$65,$AF$65,E176=$AB$66,$AF$66,TRUE,"0")</f>
        <v>40 mins Back ANother Goal</v>
      </c>
      <c r="D176" s="270" t="str" cm="1">
        <f t="array" ref="D176">_xlfn.IFS(E176=$AB$42,$AD$42,E176=$AB$43,$AD$43,E176=$AB$44,$AD$44,E176=$AB$45,$AD$45,E176=$AB$46,$AD$46,E176=$AB$47,$AD$47,E176=$AB$48,$AD$48,E176=$AB$49,$AD$49,E176=$AB$50,$AD$50,E176=$AB$51,$AD$51,E176=$AB$52,$AD$52,E176=$AB$53,$AD$53,E176=$AB$54,$AD$54,E176=$AB$55,$AD$55,E176=$AB$56,$AD$56,E176=$AB$57,$AD$57,E176=$AB$58,$AD$58,E176=$AB$59,$AD$59,E176=$AB$60,$AD$60,E176=$AB$61,$AD$61,E176=$AB$62,$AD$62,E176=$AB$63,$AD$63,E176=$AB$64,$AD$64,E176=$AB$65,$AD$65,E176=$AB$66,$AD$66,TRUE,"0")</f>
        <v xml:space="preserve">  BANG</v>
      </c>
      <c r="E176" s="163" t="s">
        <v>10</v>
      </c>
      <c r="F176" s="2" t="s">
        <v>119</v>
      </c>
      <c r="G176" s="2" t="s">
        <v>120</v>
      </c>
      <c r="H176" s="3">
        <v>45322.75</v>
      </c>
      <c r="I176" s="2" t="s">
        <v>361</v>
      </c>
      <c r="J176" s="2" t="s">
        <v>348</v>
      </c>
      <c r="K176" s="2">
        <v>2.35</v>
      </c>
      <c r="L176" s="2">
        <v>95</v>
      </c>
      <c r="M176" s="2">
        <v>65</v>
      </c>
      <c r="N176" s="2">
        <v>45</v>
      </c>
      <c r="O176" s="2">
        <v>67</v>
      </c>
      <c r="P176" s="2">
        <v>20</v>
      </c>
      <c r="Q176" s="2" t="s">
        <v>95</v>
      </c>
      <c r="R176" s="14" t="s">
        <v>221</v>
      </c>
      <c r="S176" s="13" t="s">
        <v>214</v>
      </c>
      <c r="T176" s="188">
        <f t="shared" si="16"/>
        <v>73.394319192820973</v>
      </c>
      <c r="U176" s="8">
        <f t="shared" si="22"/>
        <v>13.210977454707775</v>
      </c>
      <c r="V176" s="234">
        <f t="shared" si="21"/>
        <v>1481.0973613111271</v>
      </c>
      <c r="W176" s="15">
        <v>25</v>
      </c>
      <c r="X176" s="8">
        <f t="shared" si="17"/>
        <v>4.5</v>
      </c>
      <c r="Y176" s="233">
        <f t="shared" si="18"/>
        <v>1051.5</v>
      </c>
    </row>
    <row r="177" spans="1:25">
      <c r="A177" s="156" t="e" cm="1">
        <f t="array" aca="1" ref="A177" ca="1">_xlfn.IFS(E177=$AB$42,$AC$42,E177=$AB$43,$AC$43,E177=$AB$44,$AC$44,E177=$AB$45,$AC$45,E177=$AB$46,$AC$46,E177=$AB$47,$AC$47,E177=$AB$48,$AC$48,E177=$AB$49,$AC$49,E177=$AB$50,$AC$50,E177=$AB$51,$AC$51,E177=$AB$52,$AC$52,E177=$AB$53,$AC$53,E177=$AB$54,$AC$54,E177=$AB$55,$AC$55,E177=$AB$56,$AC$56,E177=$AB$57,$AC$57,E177=$AB$58,$AC$58,E177=$AB$59,$AC$59,E177=$AB$60,$AC$60,E177=$AB$61,$AC$61,E177=$AB$62,$AC$62,E177=$AB$63,$AC$63,E177=$AB$64,$AC$64,E177=$AB$65,$AC$65,E177=$AB$66,$AC$66,TRUE,"0")</f>
        <v>#NAME?</v>
      </c>
      <c r="C177" s="161" t="str" cm="1">
        <f t="array" ref="C177">_xlfn.IFS(E177=$AB$42,$AF$42,E177=$AB$43,$AF$43,E177=$AB$44,$AF$44,E177=$AB$45,$AF$45,E177=$AB$46,$AF$46,E177=$AB$47,$AF$47,E177=$AB$48,$AF$48,E177=$AB$49,$AF$49,E177=$AB$50,$AF$50,E177=$AB$51,$AF$51,E177=$AB$52,$AF$52,E177=$AB$53,$AF$53,E177=$AB$54,$AF$54,E177=$AB$55,$AF$55,E177=$AB$56,$AF$56,E177=$AB$57,$AF$57,E177=$AB$58,$AF$58,E177=$AB$59,$AF$59,E177=$AB$60,$AF$60,E177=$AB$61,$AF$61,E177=$AB$62,$AF$62,E177=$AB$63,$AF$63,E177=$AB$64,$AF$64,E177=$AB$65,$AF$65,E177=$AB$66,$AF$66,TRUE,"0")</f>
        <v>if 0-0, BACK+ 0.5 GOALS  @ 1.15+odds.  or @ 40 mins</v>
      </c>
      <c r="D177" s="270" t="str" cm="1">
        <f t="array" ref="D177">_xlfn.IFS(E177=$AB$42,$AD$42,E177=$AB$43,$AD$43,E177=$AB$44,$AD$44,E177=$AB$45,$AD$45,E177=$AB$46,$AD$46,E177=$AB$47,$AD$47,E177=$AB$48,$AD$48,E177=$AB$49,$AD$49,E177=$AB$50,$AD$50,E177=$AB$51,$AD$51,E177=$AB$52,$AD$52,E177=$AB$53,$AD$53,E177=$AB$54,$AD$54,E177=$AB$55,$AD$55,E177=$AB$56,$AD$56,E177=$AB$57,$AD$57,E177=$AB$58,$AD$58,E177=$AB$59,$AD$59,E177=$AB$60,$AD$60,E177=$AB$61,$AD$61,E177=$AB$62,$AD$62,E177=$AB$63,$AD$63,E177=$AB$64,$AD$64,E177=$AB$65,$AD$65,E177=$AB$66,$AD$66,TRUE,"0")</f>
        <v>IP</v>
      </c>
      <c r="E177" s="163" t="s">
        <v>270</v>
      </c>
      <c r="F177" s="2" t="s">
        <v>119</v>
      </c>
      <c r="G177" s="2" t="s">
        <v>120</v>
      </c>
      <c r="H177" s="3">
        <v>45322.75</v>
      </c>
      <c r="I177" s="2" t="s">
        <v>361</v>
      </c>
      <c r="J177" s="2" t="s">
        <v>348</v>
      </c>
      <c r="K177" s="2">
        <v>67</v>
      </c>
      <c r="L177" s="2">
        <v>0</v>
      </c>
      <c r="M177" s="2">
        <v>20</v>
      </c>
      <c r="N177" s="2">
        <v>2.81</v>
      </c>
      <c r="O177" s="2"/>
      <c r="P177" s="2"/>
      <c r="Q177" s="2" t="s">
        <v>95</v>
      </c>
      <c r="R177" s="14" t="s">
        <v>221</v>
      </c>
      <c r="S177" s="13" t="s">
        <v>216</v>
      </c>
      <c r="T177" s="188">
        <f t="shared" si="16"/>
        <v>74.054868065556363</v>
      </c>
      <c r="U177" s="8">
        <f t="shared" si="22"/>
        <v>13.329876251800146</v>
      </c>
      <c r="V177" s="234">
        <f t="shared" si="21"/>
        <v>1494.4272375629273</v>
      </c>
      <c r="W177" s="15">
        <v>25</v>
      </c>
      <c r="X177" s="8">
        <f t="shared" si="17"/>
        <v>4.5</v>
      </c>
      <c r="Y177" s="233">
        <f t="shared" si="18"/>
        <v>1056</v>
      </c>
    </row>
    <row r="178" spans="1:25">
      <c r="A178" s="156" t="e" cm="1">
        <f t="array" aca="1" ref="A178" ca="1">_xlfn.IFS(E178=$AB$42,$AC$42,E178=$AB$43,$AC$43,E178=$AB$44,$AC$44,E178=$AB$45,$AC$45,E178=$AB$46,$AC$46,E178=$AB$47,$AC$47,E178=$AB$48,$AC$48,E178=$AB$49,$AC$49,E178=$AB$50,$AC$50,E178=$AB$51,$AC$51,E178=$AB$52,$AC$52,E178=$AB$53,$AC$53,E178=$AB$54,$AC$54,E178=$AB$55,$AC$55,E178=$AB$56,$AC$56,E178=$AB$57,$AC$57,E178=$AB$58,$AC$58,E178=$AB$59,$AC$59,E178=$AB$60,$AC$60,E178=$AB$61,$AC$61,E178=$AB$62,$AC$62,E178=$AB$63,$AC$63,E178=$AB$64,$AC$64,E178=$AB$65,$AC$65,E178=$AB$66,$AC$66,TRUE,"0")</f>
        <v>#NAME?</v>
      </c>
      <c r="C178" s="161" t="str" cm="1">
        <f t="array" ref="C178">_xlfn.IFS(E178=$AB$42,$AF$42,E178=$AB$43,$AF$43,E178=$AB$44,$AF$44,E178=$AB$45,$AF$45,E178=$AB$46,$AF$46,E178=$AB$47,$AF$47,E178=$AB$48,$AF$48,E178=$AB$49,$AF$49,E178=$AB$50,$AF$50,E178=$AB$51,$AF$51,E178=$AB$52,$AF$52,E178=$AB$53,$AF$53,E178=$AB$54,$AF$54,E178=$AB$55,$AF$55,E178=$AB$56,$AF$56,E178=$AB$57,$AF$57,E178=$AB$58,$AF$58,E178=$AB$59,$AF$59,E178=$AB$60,$AF$60,E178=$AB$61,$AF$61,E178=$AB$62,$AF$62,E178=$AB$63,$AF$63,E178=$AB$64,$AF$64,E178=$AB$65,$AF$65,E178=$AB$66,$AF$66,TRUE,"0")</f>
        <v>if 0-0, BACK+ 0.5 GOALS  @ 1.15+odds.  or @ 40 mins</v>
      </c>
      <c r="D178" s="270" t="str" cm="1">
        <f t="array" ref="D178">_xlfn.IFS(E178=$AB$42,$AD$42,E178=$AB$43,$AD$43,E178=$AB$44,$AD$44,E178=$AB$45,$AD$45,E178=$AB$46,$AD$46,E178=$AB$47,$AD$47,E178=$AB$48,$AD$48,E178=$AB$49,$AD$49,E178=$AB$50,$AD$50,E178=$AB$51,$AD$51,E178=$AB$52,$AD$52,E178=$AB$53,$AD$53,E178=$AB$54,$AD$54,E178=$AB$55,$AD$55,E178=$AB$56,$AD$56,E178=$AB$57,$AD$57,E178=$AB$58,$AD$58,E178=$AB$59,$AD$59,E178=$AB$60,$AD$60,E178=$AB$61,$AD$61,E178=$AB$62,$AD$62,E178=$AB$63,$AD$63,E178=$AB$64,$AD$64,E178=$AB$65,$AD$65,E178=$AB$66,$AD$66,TRUE,"0")</f>
        <v>IP</v>
      </c>
      <c r="E178" s="163" t="s">
        <v>270</v>
      </c>
      <c r="F178" s="2" t="s">
        <v>58</v>
      </c>
      <c r="G178" s="2" t="s">
        <v>59</v>
      </c>
      <c r="H178" s="3">
        <v>45322.78125</v>
      </c>
      <c r="I178" s="2" t="s">
        <v>127</v>
      </c>
      <c r="J178" s="2" t="s">
        <v>105</v>
      </c>
      <c r="K178" s="2">
        <v>66</v>
      </c>
      <c r="L178" s="2">
        <v>0</v>
      </c>
      <c r="M178" s="2">
        <v>20</v>
      </c>
      <c r="N178" s="2">
        <v>1.86</v>
      </c>
      <c r="O178" s="2"/>
      <c r="P178" s="2"/>
      <c r="Q178" s="2" t="s">
        <v>95</v>
      </c>
      <c r="R178" s="14" t="s">
        <v>221</v>
      </c>
      <c r="S178" s="13" t="s">
        <v>216</v>
      </c>
      <c r="T178" s="188">
        <f t="shared" si="16"/>
        <v>74.721361878146368</v>
      </c>
      <c r="U178" s="8">
        <f t="shared" si="22"/>
        <v>13.449845138066346</v>
      </c>
      <c r="V178" s="234">
        <f t="shared" si="21"/>
        <v>1507.8770827009937</v>
      </c>
      <c r="W178" s="15">
        <v>25</v>
      </c>
      <c r="X178" s="8">
        <f t="shared" si="17"/>
        <v>4.5</v>
      </c>
      <c r="Y178" s="233">
        <f t="shared" si="18"/>
        <v>1060.5</v>
      </c>
    </row>
    <row r="179" spans="1:25">
      <c r="A179" s="156" t="e" cm="1">
        <f t="array" aca="1" ref="A179" ca="1">_xlfn.IFS(E179=$AB$42,$AC$42,E179=$AB$43,$AC$43,E179=$AB$44,$AC$44,E179=$AB$45,$AC$45,E179=$AB$46,$AC$46,E179=$AB$47,$AC$47,E179=$AB$48,$AC$48,E179=$AB$49,$AC$49,E179=$AB$50,$AC$50,E179=$AB$51,$AC$51,E179=$AB$52,$AC$52,E179=$AB$53,$AC$53,E179=$AB$54,$AC$54,E179=$AB$55,$AC$55,E179=$AB$56,$AC$56,E179=$AB$57,$AC$57,E179=$AB$58,$AC$58,E179=$AB$59,$AC$59,E179=$AB$60,$AC$60,E179=$AB$61,$AC$61,E179=$AB$62,$AC$62,E179=$AB$63,$AC$63,E179=$AB$64,$AC$64,E179=$AB$65,$AC$65,E179=$AB$66,$AC$66,TRUE,"0")</f>
        <v>#NAME?</v>
      </c>
      <c r="C179" s="161" t="str" cm="1">
        <f t="array" ref="C179">_xlfn.IFS(E179=$AB$42,$AF$42,E179=$AB$43,$AF$43,E179=$AB$44,$AF$44,E179=$AB$45,$AF$45,E179=$AB$46,$AF$46,E179=$AB$47,$AF$47,E179=$AB$48,$AF$48,E179=$AB$49,$AF$49,E179=$AB$50,$AF$50,E179=$AB$51,$AF$51,E179=$AB$52,$AF$52,E179=$AB$53,$AF$53,E179=$AB$54,$AF$54,E179=$AB$55,$AF$55,E179=$AB$56,$AF$56,E179=$AB$57,$AF$57,E179=$AB$58,$AF$58,E179=$AB$59,$AF$59,E179=$AB$60,$AF$60,E179=$AB$61,$AF$61,E179=$AB$62,$AF$62,E179=$AB$63,$AF$63,E179=$AB$64,$AF$64,E179=$AB$65,$AF$65,E179=$AB$66,$AF$66,TRUE,"0")</f>
        <v>if 0-0, BACK+ 0.5 GOALS  @ 1.15+odds.  or @ 40 mins</v>
      </c>
      <c r="D179" s="270" t="str" cm="1">
        <f t="array" ref="D179">_xlfn.IFS(E179=$AB$42,$AD$42,E179=$AB$43,$AD$43,E179=$AB$44,$AD$44,E179=$AB$45,$AD$45,E179=$AB$46,$AD$46,E179=$AB$47,$AD$47,E179=$AB$48,$AD$48,E179=$AB$49,$AD$49,E179=$AB$50,$AD$50,E179=$AB$51,$AD$51,E179=$AB$52,$AD$52,E179=$AB$53,$AD$53,E179=$AB$54,$AD$54,E179=$AB$55,$AD$55,E179=$AB$56,$AD$56,E179=$AB$57,$AD$57,E179=$AB$58,$AD$58,E179=$AB$59,$AD$59,E179=$AB$60,$AD$60,E179=$AB$61,$AD$61,E179=$AB$62,$AD$62,E179=$AB$63,$AD$63,E179=$AB$64,$AD$64,E179=$AB$65,$AD$65,E179=$AB$66,$AD$66,TRUE,"0")</f>
        <v>IP</v>
      </c>
      <c r="E179" s="163" t="s">
        <v>270</v>
      </c>
      <c r="F179" s="2" t="s">
        <v>6</v>
      </c>
      <c r="G179" s="2" t="s">
        <v>62</v>
      </c>
      <c r="H179" s="3">
        <v>45322.8125</v>
      </c>
      <c r="I179" s="2" t="s">
        <v>116</v>
      </c>
      <c r="J179" s="2" t="s">
        <v>63</v>
      </c>
      <c r="K179" s="2">
        <v>61</v>
      </c>
      <c r="L179" s="2">
        <v>0</v>
      </c>
      <c r="M179" s="2">
        <v>20</v>
      </c>
      <c r="N179" s="2">
        <v>2.6</v>
      </c>
      <c r="O179" s="2"/>
      <c r="P179" s="2"/>
      <c r="Q179" s="2" t="s">
        <v>95</v>
      </c>
      <c r="R179" s="14" t="s">
        <v>193</v>
      </c>
      <c r="S179" s="13" t="s">
        <v>209</v>
      </c>
      <c r="T179" s="188">
        <f t="shared" si="16"/>
        <v>75.393854135049693</v>
      </c>
      <c r="U179" s="8">
        <f t="shared" si="22"/>
        <v>13.570893744308945</v>
      </c>
      <c r="V179" s="234">
        <f t="shared" si="21"/>
        <v>1521.4479764453026</v>
      </c>
      <c r="W179" s="15">
        <v>25</v>
      </c>
      <c r="X179" s="8">
        <f t="shared" si="17"/>
        <v>4.5</v>
      </c>
      <c r="Y179" s="233">
        <f t="shared" si="18"/>
        <v>1065</v>
      </c>
    </row>
    <row r="180" spans="1:25">
      <c r="A180" s="156" t="e" cm="1">
        <f t="array" aca="1" ref="A180" ca="1">_xlfn.IFS(E180=$AB$42,$AC$42,E180=$AB$43,$AC$43,E180=$AB$44,$AC$44,E180=$AB$45,$AC$45,E180=$AB$46,$AC$46,E180=$AB$47,$AC$47,E180=$AB$48,$AC$48,E180=$AB$49,$AC$49,E180=$AB$50,$AC$50,E180=$AB$51,$AC$51,E180=$AB$52,$AC$52,E180=$AB$53,$AC$53,E180=$AB$54,$AC$54,E180=$AB$55,$AC$55,E180=$AB$56,$AC$56,E180=$AB$57,$AC$57,E180=$AB$58,$AC$58,E180=$AB$59,$AC$59,E180=$AB$60,$AC$60,E180=$AB$61,$AC$61,E180=$AB$62,$AC$62,E180=$AB$63,$AC$63,E180=$AB$64,$AC$64,E180=$AB$65,$AC$65,E180=$AB$66,$AC$66,TRUE,"0")</f>
        <v>#NAME?</v>
      </c>
      <c r="C180" s="161" t="str" cm="1">
        <f t="array" ref="C180">_xlfn.IFS(E180=$AB$42,$AF$42,E180=$AB$43,$AF$43,E180=$AB$44,$AF$44,E180=$AB$45,$AF$45,E180=$AB$46,$AF$46,E180=$AB$47,$AF$47,E180=$AB$48,$AF$48,E180=$AB$49,$AF$49,E180=$AB$50,$AF$50,E180=$AB$51,$AF$51,E180=$AB$52,$AF$52,E180=$AB$53,$AF$53,E180=$AB$54,$AF$54,E180=$AB$55,$AF$55,E180=$AB$56,$AF$56,E180=$AB$57,$AF$57,E180=$AB$58,$AF$58,E180=$AB$59,$AF$59,E180=$AB$60,$AF$60,E180=$AB$61,$AF$61,E180=$AB$62,$AF$62,E180=$AB$63,$AF$63,E180=$AB$64,$AF$64,E180=$AB$65,$AF$65,E180=$AB$66,$AF$66,TRUE,"0")</f>
        <v>B4 Match, lay HT 0-0 or BACK H1 +0.5 GOALS</v>
      </c>
      <c r="D180" s="270" t="str" cm="1">
        <f t="array" ref="D180">_xlfn.IFS(E180=$AB$42,$AD$42,E180=$AB$43,$AD$43,E180=$AB$44,$AD$44,E180=$AB$45,$AD$45,E180=$AB$46,$AD$46,E180=$AB$47,$AD$47,E180=$AB$48,$AD$48,E180=$AB$49,$AD$49,E180=$AB$50,$AD$50,E180=$AB$51,$AD$51,E180=$AB$52,$AD$52,E180=$AB$53,$AD$53,E180=$AB$54,$AD$54,E180=$AB$55,$AD$55,E180=$AB$56,$AD$56,E180=$AB$57,$AD$57,E180=$AB$58,$AD$58,E180=$AB$59,$AD$59,E180=$AB$60,$AD$60,E180=$AB$61,$AD$61,E180=$AB$62,$AD$62,E180=$AB$63,$AD$63,E180=$AB$64,$AD$64,E180=$AB$65,$AD$65,E180=$AB$66,$AD$66,TRUE,"0")</f>
        <v xml:space="preserve">BFM </v>
      </c>
      <c r="E180" s="163" t="s">
        <v>432</v>
      </c>
      <c r="F180" s="2" t="s">
        <v>48</v>
      </c>
      <c r="G180" s="2" t="s">
        <v>49</v>
      </c>
      <c r="H180" s="3">
        <v>45323.583333333336</v>
      </c>
      <c r="I180" s="2" t="s">
        <v>385</v>
      </c>
      <c r="J180" s="2" t="s">
        <v>51</v>
      </c>
      <c r="K180" s="2">
        <v>80</v>
      </c>
      <c r="L180" s="2">
        <v>25</v>
      </c>
      <c r="M180" s="2">
        <v>50</v>
      </c>
      <c r="N180" s="2">
        <v>0.16</v>
      </c>
      <c r="O180" s="2"/>
      <c r="P180" s="2"/>
      <c r="Q180" s="2" t="s">
        <v>95</v>
      </c>
      <c r="R180" s="14" t="s">
        <v>217</v>
      </c>
      <c r="S180" s="13" t="s">
        <v>217</v>
      </c>
      <c r="T180" s="188">
        <f t="shared" si="16"/>
        <v>76.072398822265129</v>
      </c>
      <c r="U180" s="8">
        <f t="shared" si="22"/>
        <v>13.693031788007723</v>
      </c>
      <c r="V180" s="234">
        <f t="shared" si="21"/>
        <v>1535.1410082333105</v>
      </c>
      <c r="W180" s="15">
        <v>25</v>
      </c>
      <c r="X180" s="8">
        <f t="shared" si="17"/>
        <v>4.5</v>
      </c>
      <c r="Y180" s="233">
        <f t="shared" si="18"/>
        <v>1069.5</v>
      </c>
    </row>
    <row r="181" spans="1:25">
      <c r="A181" s="156" t="e" cm="1">
        <f t="array" aca="1" ref="A181" ca="1">_xlfn.IFS(E181=$AB$42,$AC$42,E181=$AB$43,$AC$43,E181=$AB$44,$AC$44,E181=$AB$45,$AC$45,E181=$AB$46,$AC$46,E181=$AB$47,$AC$47,E181=$AB$48,$AC$48,E181=$AB$49,$AC$49,E181=$AB$50,$AC$50,E181=$AB$51,$AC$51,E181=$AB$52,$AC$52,E181=$AB$53,$AC$53,E181=$AB$54,$AC$54,E181=$AB$55,$AC$55,E181=$AB$56,$AC$56,E181=$AB$57,$AC$57,E181=$AB$58,$AC$58,E181=$AB$59,$AC$59,E181=$AB$60,$AC$60,E181=$AB$61,$AC$61,E181=$AB$62,$AC$62,E181=$AB$63,$AC$63,E181=$AB$64,$AC$64,E181=$AB$65,$AC$65,E181=$AB$66,$AC$66,TRUE,"0")</f>
        <v>#NAME?</v>
      </c>
      <c r="C181" s="161" t="str" cm="1">
        <f t="array" ref="C181">_xlfn.IFS(E181=$AB$42,$AF$42,E181=$AB$43,$AF$43,E181=$AB$44,$AF$44,E181=$AB$45,$AF$45,E181=$AB$46,$AF$46,E181=$AB$47,$AF$47,E181=$AB$48,$AF$48,E181=$AB$49,$AF$49,E181=$AB$50,$AF$50,E181=$AB$51,$AF$51,E181=$AB$52,$AF$52,E181=$AB$53,$AF$53,E181=$AB$54,$AF$54,E181=$AB$55,$AF$55,E181=$AB$56,$AF$56,E181=$AB$57,$AF$57,E181=$AB$58,$AF$58,E181=$AB$59,$AF$59,E181=$AB$60,$AF$60,E181=$AB$61,$AF$61,E181=$AB$62,$AF$62,E181=$AB$63,$AF$63,E181=$AB$64,$AF$64,E181=$AB$65,$AF$65,E181=$AB$66,$AF$66,TRUE,"0")</f>
        <v>40 mins Back ANother Goal</v>
      </c>
      <c r="D181" s="270" t="str" cm="1">
        <f t="array" ref="D181">_xlfn.IFS(E181=$AB$42,$AD$42,E181=$AB$43,$AD$43,E181=$AB$44,$AD$44,E181=$AB$45,$AD$45,E181=$AB$46,$AD$46,E181=$AB$47,$AD$47,E181=$AB$48,$AD$48,E181=$AB$49,$AD$49,E181=$AB$50,$AD$50,E181=$AB$51,$AD$51,E181=$AB$52,$AD$52,E181=$AB$53,$AD$53,E181=$AB$54,$AD$54,E181=$AB$55,$AD$55,E181=$AB$56,$AD$56,E181=$AB$57,$AD$57,E181=$AB$58,$AD$58,E181=$AB$59,$AD$59,E181=$AB$60,$AD$60,E181=$AB$61,$AD$61,E181=$AB$62,$AD$62,E181=$AB$63,$AD$63,E181=$AB$64,$AD$64,E181=$AB$65,$AD$65,E181=$AB$66,$AD$66,TRUE,"0")</f>
        <v xml:space="preserve">  BANG</v>
      </c>
      <c r="E181" s="163" t="s">
        <v>43</v>
      </c>
      <c r="F181" s="2" t="s">
        <v>44</v>
      </c>
      <c r="G181" s="2" t="s">
        <v>45</v>
      </c>
      <c r="H181" s="3">
        <v>45324.447916666664</v>
      </c>
      <c r="I181" s="2" t="s">
        <v>131</v>
      </c>
      <c r="J181" s="2" t="s">
        <v>126</v>
      </c>
      <c r="K181" s="2">
        <v>71</v>
      </c>
      <c r="L181" s="2">
        <v>69</v>
      </c>
      <c r="M181" s="2">
        <v>62</v>
      </c>
      <c r="N181" s="2">
        <v>2.15</v>
      </c>
      <c r="O181" s="2">
        <v>1.6</v>
      </c>
      <c r="P181" s="2">
        <v>0.95</v>
      </c>
      <c r="Q181" s="2" t="s">
        <v>95</v>
      </c>
      <c r="R181" s="14" t="s">
        <v>216</v>
      </c>
      <c r="S181" s="13" t="s">
        <v>277</v>
      </c>
      <c r="T181" s="188">
        <f t="shared" si="16"/>
        <v>76.757050411665531</v>
      </c>
      <c r="U181" s="8">
        <f t="shared" si="22"/>
        <v>13.816269074099795</v>
      </c>
      <c r="V181" s="234">
        <f>SUM(V180,U181)</f>
        <v>1548.9572773074103</v>
      </c>
      <c r="W181" s="15">
        <v>25</v>
      </c>
      <c r="X181" s="8">
        <f t="shared" si="17"/>
        <v>4.5</v>
      </c>
      <c r="Y181" s="233">
        <f t="shared" si="18"/>
        <v>1074</v>
      </c>
    </row>
    <row r="182" spans="1:25">
      <c r="A182" s="156" t="e" cm="1">
        <f t="array" aca="1" ref="A182" ca="1">_xlfn.IFS(E182=$AB$42,$AC$42,E182=$AB$43,$AC$43,E182=$AB$44,$AC$44,E182=$AB$45,$AC$45,E182=$AB$46,$AC$46,E182=$AB$47,$AC$47,E182=$AB$48,$AC$48,E182=$AB$49,$AC$49,E182=$AB$50,$AC$50,E182=$AB$51,$AC$51,E182=$AB$52,$AC$52,E182=$AB$53,$AC$53,E182=$AB$54,$AC$54,E182=$AB$55,$AC$55,E182=$AB$56,$AC$56,E182=$AB$57,$AC$57,E182=$AB$58,$AC$58,E182=$AB$59,$AC$59,E182=$AB$60,$AC$60,E182=$AB$61,$AC$61,E182=$AB$62,$AC$62,E182=$AB$63,$AC$63,E182=$AB$64,$AC$64,E182=$AB$65,$AC$65,E182=$AB$66,$AC$66,TRUE,"0")</f>
        <v>#NAME?</v>
      </c>
      <c r="C182" s="161" t="str" cm="1">
        <f t="array" ref="C182">_xlfn.IFS(E182=$AB$42,$AF$42,E182=$AB$43,$AF$43,E182=$AB$44,$AF$44,E182=$AB$45,$AF$45,E182=$AB$46,$AF$46,E182=$AB$47,$AF$47,E182=$AB$48,$AF$48,E182=$AB$49,$AF$49,E182=$AB$50,$AF$50,E182=$AB$51,$AF$51,E182=$AB$52,$AF$52,E182=$AB$53,$AF$53,E182=$AB$54,$AF$54,E182=$AB$55,$AF$55,E182=$AB$56,$AF$56,E182=$AB$57,$AF$57,E182=$AB$58,$AF$58,E182=$AB$59,$AF$59,E182=$AB$60,$AF$60,E182=$AB$61,$AF$61,E182=$AB$62,$AF$62,E182=$AB$63,$AF$63,E182=$AB$64,$AF$64,E182=$AB$65,$AF$65,E182=$AB$66,$AF$66,TRUE,"0")</f>
        <v>if 0-0, BACK+ 0.5 GOALS  @ 1.15+odds.  or @ 40 mins</v>
      </c>
      <c r="D182" s="270" t="str" cm="1">
        <f t="array" ref="D182">_xlfn.IFS(E182=$AB$42,$AD$42,E182=$AB$43,$AD$43,E182=$AB$44,$AD$44,E182=$AB$45,$AD$45,E182=$AB$46,$AD$46,E182=$AB$47,$AD$47,E182=$AB$48,$AD$48,E182=$AB$49,$AD$49,E182=$AB$50,$AD$50,E182=$AB$51,$AD$51,E182=$AB$52,$AD$52,E182=$AB$53,$AD$53,E182=$AB$54,$AD$54,E182=$AB$55,$AD$55,E182=$AB$56,$AD$56,E182=$AB$57,$AD$57,E182=$AB$58,$AD$58,E182=$AB$59,$AD$59,E182=$AB$60,$AD$60,E182=$AB$61,$AD$61,E182=$AB$62,$AD$62,E182=$AB$63,$AD$63,E182=$AB$64,$AD$64,E182=$AB$65,$AD$65,E182=$AB$66,$AD$66,TRUE,"0")</f>
        <v>IP</v>
      </c>
      <c r="E182" s="163" t="s">
        <v>270</v>
      </c>
      <c r="F182" s="2" t="s">
        <v>44</v>
      </c>
      <c r="G182" s="2" t="s">
        <v>45</v>
      </c>
      <c r="H182" s="3">
        <v>45324.447916666664</v>
      </c>
      <c r="I182" s="2" t="s">
        <v>131</v>
      </c>
      <c r="J182" s="2" t="s">
        <v>126</v>
      </c>
      <c r="K182" s="2">
        <v>62</v>
      </c>
      <c r="L182" s="2">
        <v>0</v>
      </c>
      <c r="M182" s="2">
        <v>20</v>
      </c>
      <c r="N182" s="2">
        <v>1.79</v>
      </c>
      <c r="O182" s="2"/>
      <c r="P182" s="2"/>
      <c r="Q182" s="2" t="s">
        <v>95</v>
      </c>
      <c r="R182" s="14" t="s">
        <v>216</v>
      </c>
      <c r="S182" s="13" t="s">
        <v>277</v>
      </c>
      <c r="T182" s="188">
        <f t="shared" si="16"/>
        <v>77.447863865370522</v>
      </c>
      <c r="U182" s="8">
        <f t="shared" si="22"/>
        <v>13.940615495766693</v>
      </c>
      <c r="V182" s="234">
        <f t="shared" si="21"/>
        <v>1562.897892803177</v>
      </c>
      <c r="W182" s="15">
        <v>25</v>
      </c>
      <c r="X182" s="8">
        <f t="shared" si="17"/>
        <v>4.5</v>
      </c>
      <c r="Y182" s="233">
        <f t="shared" si="18"/>
        <v>1078.5</v>
      </c>
    </row>
    <row r="183" spans="1:25">
      <c r="A183" s="156" t="e" cm="1">
        <f t="array" aca="1" ref="A183" ca="1">_xlfn.IFS(E183=$AB$42,$AC$42,E183=$AB$43,$AC$43,E183=$AB$44,$AC$44,E183=$AB$45,$AC$45,E183=$AB$46,$AC$46,E183=$AB$47,$AC$47,E183=$AB$48,$AC$48,E183=$AB$49,$AC$49,E183=$AB$50,$AC$50,E183=$AB$51,$AC$51,E183=$AB$52,$AC$52,E183=$AB$53,$AC$53,E183=$AB$54,$AC$54,E183=$AB$55,$AC$55,E183=$AB$56,$AC$56,E183=$AB$57,$AC$57,E183=$AB$58,$AC$58,E183=$AB$59,$AC$59,E183=$AB$60,$AC$60,E183=$AB$61,$AC$61,E183=$AB$62,$AC$62,E183=$AB$63,$AC$63,E183=$AB$64,$AC$64,E183=$AB$65,$AC$65,E183=$AB$66,$AC$66,TRUE,"0")</f>
        <v>#NAME?</v>
      </c>
      <c r="C183" s="161" t="str" cm="1">
        <f t="array" ref="C183">_xlfn.IFS(E183=$AB$42,$AF$42,E183=$AB$43,$AF$43,E183=$AB$44,$AF$44,E183=$AB$45,$AF$45,E183=$AB$46,$AF$46,E183=$AB$47,$AF$47,E183=$AB$48,$AF$48,E183=$AB$49,$AF$49,E183=$AB$50,$AF$50,E183=$AB$51,$AF$51,E183=$AB$52,$AF$52,E183=$AB$53,$AF$53,E183=$AB$54,$AF$54,E183=$AB$55,$AF$55,E183=$AB$56,$AF$56,E183=$AB$57,$AF$57,E183=$AB$58,$AF$58,E183=$AB$59,$AF$59,E183=$AB$60,$AF$60,E183=$AB$61,$AF$61,E183=$AB$62,$AF$62,E183=$AB$63,$AF$63,E183=$AB$64,$AF$64,E183=$AB$65,$AF$65,E183=$AB$66,$AF$66,TRUE,"0")</f>
        <v>if 0-0, BACK+ 0.5 GOALS  @ 1.15+odds.  or @ 40 mins</v>
      </c>
      <c r="D183" s="270" t="str" cm="1">
        <f t="array" ref="D183">_xlfn.IFS(E183=$AB$42,$AD$42,E183=$AB$43,$AD$43,E183=$AB$44,$AD$44,E183=$AB$45,$AD$45,E183=$AB$46,$AD$46,E183=$AB$47,$AD$47,E183=$AB$48,$AD$48,E183=$AB$49,$AD$49,E183=$AB$50,$AD$50,E183=$AB$51,$AD$51,E183=$AB$52,$AD$52,E183=$AB$53,$AD$53,E183=$AB$54,$AD$54,E183=$AB$55,$AD$55,E183=$AB$56,$AD$56,E183=$AB$57,$AD$57,E183=$AB$58,$AD$58,E183=$AB$59,$AD$59,E183=$AB$60,$AD$60,E183=$AB$61,$AD$61,E183=$AB$62,$AD$62,E183=$AB$63,$AD$63,E183=$AB$64,$AD$64,E183=$AB$65,$AD$65,E183=$AB$66,$AD$66,TRUE,"0")</f>
        <v>IP</v>
      </c>
      <c r="E183" s="163" t="s">
        <v>270</v>
      </c>
      <c r="F183" s="2" t="s">
        <v>67</v>
      </c>
      <c r="G183" s="2" t="s">
        <v>169</v>
      </c>
      <c r="H183" s="3">
        <v>45324.791666666664</v>
      </c>
      <c r="I183" s="2" t="s">
        <v>203</v>
      </c>
      <c r="J183" s="2" t="s">
        <v>171</v>
      </c>
      <c r="K183" s="2">
        <v>66</v>
      </c>
      <c r="L183" s="2">
        <v>0</v>
      </c>
      <c r="M183" s="2">
        <v>20</v>
      </c>
      <c r="N183" s="2">
        <v>1.07</v>
      </c>
      <c r="O183" s="2"/>
      <c r="P183" s="2"/>
      <c r="Q183" s="2" t="s">
        <v>95</v>
      </c>
      <c r="R183" s="14" t="s">
        <v>221</v>
      </c>
      <c r="S183" s="13" t="s">
        <v>193</v>
      </c>
      <c r="T183" s="188">
        <f t="shared" si="16"/>
        <v>78.144894640158853</v>
      </c>
      <c r="U183" s="8">
        <f t="shared" si="22"/>
        <v>14.066081035228594</v>
      </c>
      <c r="V183" s="234">
        <f t="shared" si="21"/>
        <v>1576.9639738384055</v>
      </c>
      <c r="W183" s="15">
        <v>25</v>
      </c>
      <c r="X183" s="8">
        <f t="shared" si="17"/>
        <v>4.5</v>
      </c>
      <c r="Y183" s="233">
        <f t="shared" si="18"/>
        <v>1083</v>
      </c>
    </row>
    <row r="184" spans="1:25">
      <c r="A184" s="156" t="e" cm="1">
        <f t="array" aca="1" ref="A184" ca="1">_xlfn.IFS(E184=$AB$42,$AC$42,E184=$AB$43,$AC$43,E184=$AB$44,$AC$44,E184=$AB$45,$AC$45,E184=$AB$46,$AC$46,E184=$AB$47,$AC$47,E184=$AB$48,$AC$48,E184=$AB$49,$AC$49,E184=$AB$50,$AC$50,E184=$AB$51,$AC$51,E184=$AB$52,$AC$52,E184=$AB$53,$AC$53,E184=$AB$54,$AC$54,E184=$AB$55,$AC$55,E184=$AB$56,$AC$56,E184=$AB$57,$AC$57,E184=$AB$58,$AC$58,E184=$AB$59,$AC$59,E184=$AB$60,$AC$60,E184=$AB$61,$AC$61,E184=$AB$62,$AC$62,E184=$AB$63,$AC$63,E184=$AB$64,$AC$64,E184=$AB$65,$AC$65,E184=$AB$66,$AC$66,TRUE,"0")</f>
        <v>#NAME?</v>
      </c>
      <c r="C184" s="161" t="str" cm="1">
        <f t="array" ref="C184">_xlfn.IFS(E184=$AB$42,$AF$42,E184=$AB$43,$AF$43,E184=$AB$44,$AF$44,E184=$AB$45,$AF$45,E184=$AB$46,$AF$46,E184=$AB$47,$AF$47,E184=$AB$48,$AF$48,E184=$AB$49,$AF$49,E184=$AB$50,$AF$50,E184=$AB$51,$AF$51,E184=$AB$52,$AF$52,E184=$AB$53,$AF$53,E184=$AB$54,$AF$54,E184=$AB$55,$AF$55,E184=$AB$56,$AF$56,E184=$AB$57,$AF$57,E184=$AB$58,$AF$58,E184=$AB$59,$AF$59,E184=$AB$60,$AF$60,E184=$AB$61,$AF$61,E184=$AB$62,$AF$62,E184=$AB$63,$AF$63,E184=$AB$64,$AF$64,E184=$AB$65,$AF$65,E184=$AB$66,$AF$66,TRUE,"0")</f>
        <v>B4 Match, lay HT 0-0 or BACK H1 +0.5 GOALS</v>
      </c>
      <c r="D184" s="270" t="str" cm="1">
        <f t="array" ref="D184">_xlfn.IFS(E184=$AB$42,$AD$42,E184=$AB$43,$AD$43,E184=$AB$44,$AD$44,E184=$AB$45,$AD$45,E184=$AB$46,$AD$46,E184=$AB$47,$AD$47,E184=$AB$48,$AD$48,E184=$AB$49,$AD$49,E184=$AB$50,$AD$50,E184=$AB$51,$AD$51,E184=$AB$52,$AD$52,E184=$AB$53,$AD$53,E184=$AB$54,$AD$54,E184=$AB$55,$AD$55,E184=$AB$56,$AD$56,E184=$AB$57,$AD$57,E184=$AB$58,$AD$58,E184=$AB$59,$AD$59,E184=$AB$60,$AD$60,E184=$AB$61,$AD$61,E184=$AB$62,$AD$62,E184=$AB$63,$AD$63,E184=$AB$64,$AD$64,E184=$AB$65,$AD$65,E184=$AB$66,$AD$66,TRUE,"0")</f>
        <v xml:space="preserve">BFM </v>
      </c>
      <c r="E184" s="163" t="s">
        <v>432</v>
      </c>
      <c r="F184" s="2" t="s">
        <v>44</v>
      </c>
      <c r="G184" s="2" t="s">
        <v>45</v>
      </c>
      <c r="H184" s="3">
        <v>45325.364583333336</v>
      </c>
      <c r="I184" s="2" t="s">
        <v>124</v>
      </c>
      <c r="J184" s="2" t="s">
        <v>180</v>
      </c>
      <c r="K184" s="2">
        <v>88</v>
      </c>
      <c r="L184" s="2">
        <v>24</v>
      </c>
      <c r="M184" s="2">
        <v>48</v>
      </c>
      <c r="N184" s="2">
        <v>0.4</v>
      </c>
      <c r="O184" s="2"/>
      <c r="P184" s="2"/>
      <c r="Q184" s="2" t="s">
        <v>95</v>
      </c>
      <c r="R184" s="14" t="s">
        <v>218</v>
      </c>
      <c r="S184" s="13" t="s">
        <v>288</v>
      </c>
      <c r="T184" s="188">
        <f t="shared" si="16"/>
        <v>78.848198691920288</v>
      </c>
      <c r="U184" s="8">
        <f t="shared" si="22"/>
        <v>14.192675764545651</v>
      </c>
      <c r="V184" s="234">
        <f t="shared" si="21"/>
        <v>1591.1566496029511</v>
      </c>
      <c r="W184" s="15">
        <v>25</v>
      </c>
      <c r="X184" s="8">
        <f t="shared" si="17"/>
        <v>4.5</v>
      </c>
      <c r="Y184" s="233">
        <f t="shared" si="18"/>
        <v>1087.5</v>
      </c>
    </row>
    <row r="185" spans="1:25">
      <c r="A185" s="156" t="e" cm="1">
        <f t="array" aca="1" ref="A185" ca="1">_xlfn.IFS(E185=$AB$42,$AC$42,E185=$AB$43,$AC$43,E185=$AB$44,$AC$44,E185=$AB$45,$AC$45,E185=$AB$46,$AC$46,E185=$AB$47,$AC$47,E185=$AB$48,$AC$48,E185=$AB$49,$AC$49,E185=$AB$50,$AC$50,E185=$AB$51,$AC$51,E185=$AB$52,$AC$52,E185=$AB$53,$AC$53,E185=$AB$54,$AC$54,E185=$AB$55,$AC$55,E185=$AB$56,$AC$56,E185=$AB$57,$AC$57,E185=$AB$58,$AC$58,E185=$AB$59,$AC$59,E185=$AB$60,$AC$60,E185=$AB$61,$AC$61,E185=$AB$62,$AC$62,E185=$AB$63,$AC$63,E185=$AB$64,$AC$64,E185=$AB$65,$AC$65,E185=$AB$66,$AC$66,TRUE,"0")</f>
        <v>#NAME?</v>
      </c>
      <c r="C185" s="161" t="str" cm="1">
        <f t="array" ref="C185">_xlfn.IFS(E185=$AB$42,$AF$42,E185=$AB$43,$AF$43,E185=$AB$44,$AF$44,E185=$AB$45,$AF$45,E185=$AB$46,$AF$46,E185=$AB$47,$AF$47,E185=$AB$48,$AF$48,E185=$AB$49,$AF$49,E185=$AB$50,$AF$50,E185=$AB$51,$AF$51,E185=$AB$52,$AF$52,E185=$AB$53,$AF$53,E185=$AB$54,$AF$54,E185=$AB$55,$AF$55,E185=$AB$56,$AF$56,E185=$AB$57,$AF$57,E185=$AB$58,$AF$58,E185=$AB$59,$AF$59,E185=$AB$60,$AF$60,E185=$AB$61,$AF$61,E185=$AB$62,$AF$62,E185=$AB$63,$AF$63,E185=$AB$64,$AF$64,E185=$AB$65,$AF$65,E185=$AB$66,$AF$66,TRUE,"0")</f>
        <v>40 mins Back ANother Goal</v>
      </c>
      <c r="D185" s="270" t="str" cm="1">
        <f t="array" ref="D185">_xlfn.IFS(E185=$AB$42,$AD$42,E185=$AB$43,$AD$43,E185=$AB$44,$AD$44,E185=$AB$45,$AD$45,E185=$AB$46,$AD$46,E185=$AB$47,$AD$47,E185=$AB$48,$AD$48,E185=$AB$49,$AD$49,E185=$AB$50,$AD$50,E185=$AB$51,$AD$51,E185=$AB$52,$AD$52,E185=$AB$53,$AD$53,E185=$AB$54,$AD$54,E185=$AB$55,$AD$55,E185=$AB$56,$AD$56,E185=$AB$57,$AD$57,E185=$AB$58,$AD$58,E185=$AB$59,$AD$59,E185=$AB$60,$AD$60,E185=$AB$61,$AD$61,E185=$AB$62,$AD$62,E185=$AB$63,$AD$63,E185=$AB$64,$AD$64,E185=$AB$65,$AD$65,E185=$AB$66,$AD$66,TRUE,"0")</f>
        <v xml:space="preserve">  BANG</v>
      </c>
      <c r="E185" s="163" t="s">
        <v>10</v>
      </c>
      <c r="F185" s="2" t="s">
        <v>6</v>
      </c>
      <c r="G185" s="2" t="s">
        <v>7</v>
      </c>
      <c r="H185" s="3">
        <v>45325.53125</v>
      </c>
      <c r="I185" s="2" t="s">
        <v>397</v>
      </c>
      <c r="J185" s="2" t="s">
        <v>163</v>
      </c>
      <c r="K185" s="2">
        <v>2.0499999999999998</v>
      </c>
      <c r="L185" s="2">
        <v>90</v>
      </c>
      <c r="M185" s="2">
        <v>65</v>
      </c>
      <c r="N185" s="2">
        <v>30</v>
      </c>
      <c r="O185" s="2">
        <v>62</v>
      </c>
      <c r="P185" s="2">
        <v>20</v>
      </c>
      <c r="Q185" s="2" t="s">
        <v>95</v>
      </c>
      <c r="R185" s="14" t="s">
        <v>221</v>
      </c>
      <c r="S185" s="13" t="s">
        <v>222</v>
      </c>
      <c r="T185" s="188">
        <f t="shared" si="16"/>
        <v>79.557832480147567</v>
      </c>
      <c r="U185" s="8">
        <f t="shared" si="22"/>
        <v>14.320409846426562</v>
      </c>
      <c r="V185" s="234">
        <f t="shared" si="21"/>
        <v>1605.4770594493777</v>
      </c>
      <c r="W185" s="15">
        <v>25</v>
      </c>
      <c r="X185" s="8">
        <f t="shared" si="17"/>
        <v>4.5</v>
      </c>
      <c r="Y185" s="233">
        <f t="shared" si="18"/>
        <v>1092</v>
      </c>
    </row>
    <row r="186" spans="1:25">
      <c r="A186" s="156" t="e" cm="1">
        <f t="array" aca="1" ref="A186" ca="1">_xlfn.IFS(E186=$AB$42,$AC$42,E186=$AB$43,$AC$43,E186=$AB$44,$AC$44,E186=$AB$45,$AC$45,E186=$AB$46,$AC$46,E186=$AB$47,$AC$47,E186=$AB$48,$AC$48,E186=$AB$49,$AC$49,E186=$AB$50,$AC$50,E186=$AB$51,$AC$51,E186=$AB$52,$AC$52,E186=$AB$53,$AC$53,E186=$AB$54,$AC$54,E186=$AB$55,$AC$55,E186=$AB$56,$AC$56,E186=$AB$57,$AC$57,E186=$AB$58,$AC$58,E186=$AB$59,$AC$59,E186=$AB$60,$AC$60,E186=$AB$61,$AC$61,E186=$AB$62,$AC$62,E186=$AB$63,$AC$63,E186=$AB$64,$AC$64,E186=$AB$65,$AC$65,E186=$AB$66,$AC$66,TRUE,"0")</f>
        <v>#NAME?</v>
      </c>
      <c r="C186" s="161" t="str" cm="1">
        <f t="array" ref="C186">_xlfn.IFS(E186=$AB$42,$AF$42,E186=$AB$43,$AF$43,E186=$AB$44,$AF$44,E186=$AB$45,$AF$45,E186=$AB$46,$AF$46,E186=$AB$47,$AF$47,E186=$AB$48,$AF$48,E186=$AB$49,$AF$49,E186=$AB$50,$AF$50,E186=$AB$51,$AF$51,E186=$AB$52,$AF$52,E186=$AB$53,$AF$53,E186=$AB$54,$AF$54,E186=$AB$55,$AF$55,E186=$AB$56,$AF$56,E186=$AB$57,$AF$57,E186=$AB$58,$AF$58,E186=$AB$59,$AF$59,E186=$AB$60,$AF$60,E186=$AB$61,$AF$61,E186=$AB$62,$AF$62,E186=$AB$63,$AF$63,E186=$AB$64,$AF$64,E186=$AB$65,$AF$65,E186=$AB$66,$AF$66,TRUE,"0")</f>
        <v>40 mins Back ANother Goal</v>
      </c>
      <c r="D186" s="270" t="str" cm="1">
        <f t="array" ref="D186">_xlfn.IFS(E186=$AB$42,$AD$42,E186=$AB$43,$AD$43,E186=$AB$44,$AD$44,E186=$AB$45,$AD$45,E186=$AB$46,$AD$46,E186=$AB$47,$AD$47,E186=$AB$48,$AD$48,E186=$AB$49,$AD$49,E186=$AB$50,$AD$50,E186=$AB$51,$AD$51,E186=$AB$52,$AD$52,E186=$AB$53,$AD$53,E186=$AB$54,$AD$54,E186=$AB$55,$AD$55,E186=$AB$56,$AD$56,E186=$AB$57,$AD$57,E186=$AB$58,$AD$58,E186=$AB$59,$AD$59,E186=$AB$60,$AD$60,E186=$AB$61,$AD$61,E186=$AB$62,$AD$62,E186=$AB$63,$AD$63,E186=$AB$64,$AD$64,E186=$AB$65,$AD$65,E186=$AB$66,$AD$66,TRUE,"0")</f>
        <v xml:space="preserve">  BANG</v>
      </c>
      <c r="E186" s="163" t="s">
        <v>10</v>
      </c>
      <c r="F186" s="2" t="s">
        <v>77</v>
      </c>
      <c r="G186" s="2" t="s">
        <v>251</v>
      </c>
      <c r="H186" s="3">
        <v>45325.541666666664</v>
      </c>
      <c r="I186" s="2" t="s">
        <v>258</v>
      </c>
      <c r="J186" s="2" t="s">
        <v>398</v>
      </c>
      <c r="K186" s="2">
        <v>1.85</v>
      </c>
      <c r="L186" s="2">
        <v>95</v>
      </c>
      <c r="M186" s="2">
        <v>65</v>
      </c>
      <c r="N186" s="2">
        <v>20</v>
      </c>
      <c r="O186" s="2">
        <v>64</v>
      </c>
      <c r="P186" s="2">
        <v>20</v>
      </c>
      <c r="Q186" s="2" t="s">
        <v>95</v>
      </c>
      <c r="R186" s="14" t="s">
        <v>214</v>
      </c>
      <c r="S186" s="13" t="s">
        <v>216</v>
      </c>
      <c r="T186" s="188">
        <f t="shared" si="16"/>
        <v>80.273852972468887</v>
      </c>
      <c r="U186" s="8">
        <f t="shared" si="22"/>
        <v>14.449293535044399</v>
      </c>
      <c r="V186" s="234">
        <f t="shared" si="21"/>
        <v>1619.9263529844222</v>
      </c>
      <c r="W186" s="15">
        <v>25</v>
      </c>
      <c r="X186" s="8">
        <f t="shared" si="17"/>
        <v>4.5</v>
      </c>
      <c r="Y186" s="233">
        <f t="shared" si="18"/>
        <v>1096.5</v>
      </c>
    </row>
    <row r="187" spans="1:25">
      <c r="A187" s="156" t="e" cm="1">
        <f t="array" aca="1" ref="A187" ca="1">_xlfn.IFS(E187=$AB$42,$AC$42,E187=$AB$43,$AC$43,E187=$AB$44,$AC$44,E187=$AB$45,$AC$45,E187=$AB$46,$AC$46,E187=$AB$47,$AC$47,E187=$AB$48,$AC$48,E187=$AB$49,$AC$49,E187=$AB$50,$AC$50,E187=$AB$51,$AC$51,E187=$AB$52,$AC$52,E187=$AB$53,$AC$53,E187=$AB$54,$AC$54,E187=$AB$55,$AC$55,E187=$AB$56,$AC$56,E187=$AB$57,$AC$57,E187=$AB$58,$AC$58,E187=$AB$59,$AC$59,E187=$AB$60,$AC$60,E187=$AB$61,$AC$61,E187=$AB$62,$AC$62,E187=$AB$63,$AC$63,E187=$AB$64,$AC$64,E187=$AB$65,$AC$65,E187=$AB$66,$AC$66,TRUE,"0")</f>
        <v>#NAME?</v>
      </c>
      <c r="C187" s="161" t="str" cm="1">
        <f t="array" ref="C187">_xlfn.IFS(E187=$AB$42,$AF$42,E187=$AB$43,$AF$43,E187=$AB$44,$AF$44,E187=$AB$45,$AF$45,E187=$AB$46,$AF$46,E187=$AB$47,$AF$47,E187=$AB$48,$AF$48,E187=$AB$49,$AF$49,E187=$AB$50,$AF$50,E187=$AB$51,$AF$51,E187=$AB$52,$AF$52,E187=$AB$53,$AF$53,E187=$AB$54,$AF$54,E187=$AB$55,$AF$55,E187=$AB$56,$AF$56,E187=$AB$57,$AF$57,E187=$AB$58,$AF$58,E187=$AB$59,$AF$59,E187=$AB$60,$AF$60,E187=$AB$61,$AF$61,E187=$AB$62,$AF$62,E187=$AB$63,$AF$63,E187=$AB$64,$AF$64,E187=$AB$65,$AF$65,E187=$AB$66,$AF$66,TRUE,"0")</f>
        <v>40 mins Back ANother Goal</v>
      </c>
      <c r="D187" s="270" t="str" cm="1">
        <f t="array" ref="D187">_xlfn.IFS(E187=$AB$42,$AD$42,E187=$AB$43,$AD$43,E187=$AB$44,$AD$44,E187=$AB$45,$AD$45,E187=$AB$46,$AD$46,E187=$AB$47,$AD$47,E187=$AB$48,$AD$48,E187=$AB$49,$AD$49,E187=$AB$50,$AD$50,E187=$AB$51,$AD$51,E187=$AB$52,$AD$52,E187=$AB$53,$AD$53,E187=$AB$54,$AD$54,E187=$AB$55,$AD$55,E187=$AB$56,$AD$56,E187=$AB$57,$AD$57,E187=$AB$58,$AD$58,E187=$AB$59,$AD$59,E187=$AB$60,$AD$60,E187=$AB$61,$AD$61,E187=$AB$62,$AD$62,E187=$AB$63,$AD$63,E187=$AB$64,$AD$64,E187=$AB$65,$AD$65,E187=$AB$66,$AD$66,TRUE,"0")</f>
        <v xml:space="preserve">  BANG</v>
      </c>
      <c r="E187" s="163" t="s">
        <v>43</v>
      </c>
      <c r="F187" s="2" t="s">
        <v>20</v>
      </c>
      <c r="G187" s="2" t="s">
        <v>322</v>
      </c>
      <c r="H187" s="3">
        <v>45325.541666666664</v>
      </c>
      <c r="I187" s="2" t="s">
        <v>399</v>
      </c>
      <c r="J187" s="2" t="s">
        <v>340</v>
      </c>
      <c r="K187" s="2">
        <v>71</v>
      </c>
      <c r="L187" s="2">
        <v>77</v>
      </c>
      <c r="M187" s="2">
        <v>62</v>
      </c>
      <c r="N187" s="2">
        <v>1.65</v>
      </c>
      <c r="O187" s="2">
        <v>2.29</v>
      </c>
      <c r="P187" s="2">
        <v>0.94</v>
      </c>
      <c r="Q187" s="2" t="s">
        <v>95</v>
      </c>
      <c r="R187" s="14" t="s">
        <v>216</v>
      </c>
      <c r="S187" s="13" t="s">
        <v>222</v>
      </c>
      <c r="T187" s="188">
        <f t="shared" si="16"/>
        <v>80.996317649221112</v>
      </c>
      <c r="U187" s="8">
        <f t="shared" si="22"/>
        <v>14.5793371768598</v>
      </c>
      <c r="V187" s="234">
        <f t="shared" si="21"/>
        <v>1634.505690161282</v>
      </c>
      <c r="W187" s="15">
        <v>25</v>
      </c>
      <c r="X187" s="8">
        <f t="shared" si="17"/>
        <v>4.5</v>
      </c>
      <c r="Y187" s="233">
        <f t="shared" si="18"/>
        <v>1101</v>
      </c>
    </row>
    <row r="188" spans="1:25">
      <c r="A188" s="156" t="e" cm="1">
        <f t="array" aca="1" ref="A188" ca="1">_xlfn.IFS(E188=$AB$42,$AC$42,E188=$AB$43,$AC$43,E188=$AB$44,$AC$44,E188=$AB$45,$AC$45,E188=$AB$46,$AC$46,E188=$AB$47,$AC$47,E188=$AB$48,$AC$48,E188=$AB$49,$AC$49,E188=$AB$50,$AC$50,E188=$AB$51,$AC$51,E188=$AB$52,$AC$52,E188=$AB$53,$AC$53,E188=$AB$54,$AC$54,E188=$AB$55,$AC$55,E188=$AB$56,$AC$56,E188=$AB$57,$AC$57,E188=$AB$58,$AC$58,E188=$AB$59,$AC$59,E188=$AB$60,$AC$60,E188=$AB$61,$AC$61,E188=$AB$62,$AC$62,E188=$AB$63,$AC$63,E188=$AB$64,$AC$64,E188=$AB$65,$AC$65,E188=$AB$66,$AC$66,TRUE,"0")</f>
        <v>#NAME?</v>
      </c>
      <c r="C188" s="161" t="str" cm="1">
        <f t="array" ref="C188">_xlfn.IFS(E188=$AB$42,$AF$42,E188=$AB$43,$AF$43,E188=$AB$44,$AF$44,E188=$AB$45,$AF$45,E188=$AB$46,$AF$46,E188=$AB$47,$AF$47,E188=$AB$48,$AF$48,E188=$AB$49,$AF$49,E188=$AB$50,$AF$50,E188=$AB$51,$AF$51,E188=$AB$52,$AF$52,E188=$AB$53,$AF$53,E188=$AB$54,$AF$54,E188=$AB$55,$AF$55,E188=$AB$56,$AF$56,E188=$AB$57,$AF$57,E188=$AB$58,$AF$58,E188=$AB$59,$AF$59,E188=$AB$60,$AF$60,E188=$AB$61,$AF$61,E188=$AB$62,$AF$62,E188=$AB$63,$AF$63,E188=$AB$64,$AF$64,E188=$AB$65,$AF$65,E188=$AB$66,$AF$66,TRUE,"0")</f>
        <v>if 0-0, BACK+ 0.5 GOALS  @ 1.15+odds.  or @ 40 mins</v>
      </c>
      <c r="D188" s="270" t="str" cm="1">
        <f t="array" ref="D188">_xlfn.IFS(E188=$AB$42,$AD$42,E188=$AB$43,$AD$43,E188=$AB$44,$AD$44,E188=$AB$45,$AD$45,E188=$AB$46,$AD$46,E188=$AB$47,$AD$47,E188=$AB$48,$AD$48,E188=$AB$49,$AD$49,E188=$AB$50,$AD$50,E188=$AB$51,$AD$51,E188=$AB$52,$AD$52,E188=$AB$53,$AD$53,E188=$AB$54,$AD$54,E188=$AB$55,$AD$55,E188=$AB$56,$AD$56,E188=$AB$57,$AD$57,E188=$AB$58,$AD$58,E188=$AB$59,$AD$59,E188=$AB$60,$AD$60,E188=$AB$61,$AD$61,E188=$AB$62,$AD$62,E188=$AB$63,$AD$63,E188=$AB$64,$AD$64,E188=$AB$65,$AD$65,E188=$AB$66,$AD$66,TRUE,"0")</f>
        <v>IP</v>
      </c>
      <c r="E188" s="163" t="s">
        <v>270</v>
      </c>
      <c r="F188" s="2" t="s">
        <v>77</v>
      </c>
      <c r="G188" s="2" t="s">
        <v>156</v>
      </c>
      <c r="H188" s="3">
        <v>45325.604166666664</v>
      </c>
      <c r="I188" s="2" t="s">
        <v>160</v>
      </c>
      <c r="J188" s="2" t="s">
        <v>254</v>
      </c>
      <c r="K188" s="2">
        <v>67</v>
      </c>
      <c r="L188" s="2">
        <v>0</v>
      </c>
      <c r="M188" s="2">
        <v>20</v>
      </c>
      <c r="N188" s="2">
        <v>2.2000000000000002</v>
      </c>
      <c r="O188" s="2"/>
      <c r="P188" s="2"/>
      <c r="Q188" s="2" t="s">
        <v>95</v>
      </c>
      <c r="R188" s="14" t="s">
        <v>193</v>
      </c>
      <c r="S188" s="13" t="s">
        <v>193</v>
      </c>
      <c r="T188" s="188">
        <f t="shared" si="16"/>
        <v>81.725284508064107</v>
      </c>
      <c r="U188" s="8">
        <f t="shared" si="22"/>
        <v>14.710551211451538</v>
      </c>
      <c r="V188" s="234">
        <f t="shared" si="21"/>
        <v>1649.2162413727335</v>
      </c>
      <c r="W188" s="15">
        <v>25</v>
      </c>
      <c r="X188" s="8">
        <f t="shared" si="17"/>
        <v>4.5</v>
      </c>
      <c r="Y188" s="233">
        <f t="shared" si="18"/>
        <v>1105.5</v>
      </c>
    </row>
    <row r="189" spans="1:25">
      <c r="A189" s="156" t="e" cm="1">
        <f t="array" aca="1" ref="A189" ca="1">_xlfn.IFS(E189=$AB$42,$AC$42,E189=$AB$43,$AC$43,E189=$AB$44,$AC$44,E189=$AB$45,$AC$45,E189=$AB$46,$AC$46,E189=$AB$47,$AC$47,E189=$AB$48,$AC$48,E189=$AB$49,$AC$49,E189=$AB$50,$AC$50,E189=$AB$51,$AC$51,E189=$AB$52,$AC$52,E189=$AB$53,$AC$53,E189=$AB$54,$AC$54,E189=$AB$55,$AC$55,E189=$AB$56,$AC$56,E189=$AB$57,$AC$57,E189=$AB$58,$AC$58,E189=$AB$59,$AC$59,E189=$AB$60,$AC$60,E189=$AB$61,$AC$61,E189=$AB$62,$AC$62,E189=$AB$63,$AC$63,E189=$AB$64,$AC$64,E189=$AB$65,$AC$65,E189=$AB$66,$AC$66,TRUE,"0")</f>
        <v>#NAME?</v>
      </c>
      <c r="C189" s="161" t="str" cm="1">
        <f t="array" ref="C189">_xlfn.IFS(E189=$AB$42,$AF$42,E189=$AB$43,$AF$43,E189=$AB$44,$AF$44,E189=$AB$45,$AF$45,E189=$AB$46,$AF$46,E189=$AB$47,$AF$47,E189=$AB$48,$AF$48,E189=$AB$49,$AF$49,E189=$AB$50,$AF$50,E189=$AB$51,$AF$51,E189=$AB$52,$AF$52,E189=$AB$53,$AF$53,E189=$AB$54,$AF$54,E189=$AB$55,$AF$55,E189=$AB$56,$AF$56,E189=$AB$57,$AF$57,E189=$AB$58,$AF$58,E189=$AB$59,$AF$59,E189=$AB$60,$AF$60,E189=$AB$61,$AF$61,E189=$AB$62,$AF$62,E189=$AB$63,$AF$63,E189=$AB$64,$AF$64,E189=$AB$65,$AF$65,E189=$AB$66,$AF$66,TRUE,"0")</f>
        <v>B4 Match, lay HT 0-0 or BACK H1 +0.5 GOALS</v>
      </c>
      <c r="D189" s="270" t="str" cm="1">
        <f t="array" ref="D189">_xlfn.IFS(E189=$AB$42,$AD$42,E189=$AB$43,$AD$43,E189=$AB$44,$AD$44,E189=$AB$45,$AD$45,E189=$AB$46,$AD$46,E189=$AB$47,$AD$47,E189=$AB$48,$AD$48,E189=$AB$49,$AD$49,E189=$AB$50,$AD$50,E189=$AB$51,$AD$51,E189=$AB$52,$AD$52,E189=$AB$53,$AD$53,E189=$AB$54,$AD$54,E189=$AB$55,$AD$55,E189=$AB$56,$AD$56,E189=$AB$57,$AD$57,E189=$AB$58,$AD$58,E189=$AB$59,$AD$59,E189=$AB$60,$AD$60,E189=$AB$61,$AD$61,E189=$AB$62,$AD$62,E189=$AB$63,$AD$63,E189=$AB$64,$AD$64,E189=$AB$65,$AD$65,E189=$AB$66,$AD$66,TRUE,"0")</f>
        <v xml:space="preserve">BFM </v>
      </c>
      <c r="E189" s="163" t="s">
        <v>432</v>
      </c>
      <c r="F189" s="2" t="s">
        <v>77</v>
      </c>
      <c r="G189" s="2" t="s">
        <v>156</v>
      </c>
      <c r="H189" s="3">
        <v>45325.604166666664</v>
      </c>
      <c r="I189" s="2" t="s">
        <v>157</v>
      </c>
      <c r="J189" s="2" t="s">
        <v>167</v>
      </c>
      <c r="K189" s="2">
        <v>80</v>
      </c>
      <c r="L189" s="2">
        <v>23</v>
      </c>
      <c r="M189" s="2">
        <v>48</v>
      </c>
      <c r="N189" s="2">
        <v>0.73</v>
      </c>
      <c r="O189" s="2"/>
      <c r="P189" s="2"/>
      <c r="Q189" s="2" t="s">
        <v>95</v>
      </c>
      <c r="R189" s="14" t="s">
        <v>216</v>
      </c>
      <c r="S189" s="13" t="s">
        <v>215</v>
      </c>
      <c r="T189" s="188">
        <f t="shared" si="16"/>
        <v>82.460812068636685</v>
      </c>
      <c r="U189" s="8">
        <f t="shared" si="22"/>
        <v>14.842946172354603</v>
      </c>
      <c r="V189" s="234">
        <f t="shared" si="21"/>
        <v>1664.0591875450882</v>
      </c>
      <c r="W189" s="15">
        <v>25</v>
      </c>
      <c r="X189" s="8">
        <f t="shared" si="17"/>
        <v>4.5</v>
      </c>
      <c r="Y189" s="233">
        <f t="shared" si="18"/>
        <v>1110</v>
      </c>
    </row>
    <row r="190" spans="1:25">
      <c r="A190" s="156" t="e" cm="1">
        <f t="array" aca="1" ref="A190" ca="1">_xlfn.IFS(E190=$AB$42,$AC$42,E190=$AB$43,$AC$43,E190=$AB$44,$AC$44,E190=$AB$45,$AC$45,E190=$AB$46,$AC$46,E190=$AB$47,$AC$47,E190=$AB$48,$AC$48,E190=$AB$49,$AC$49,E190=$AB$50,$AC$50,E190=$AB$51,$AC$51,E190=$AB$52,$AC$52,E190=$AB$53,$AC$53,E190=$AB$54,$AC$54,E190=$AB$55,$AC$55,E190=$AB$56,$AC$56,E190=$AB$57,$AC$57,E190=$AB$58,$AC$58,E190=$AB$59,$AC$59,E190=$AB$60,$AC$60,E190=$AB$61,$AC$61,E190=$AB$62,$AC$62,E190=$AB$63,$AC$63,E190=$AB$64,$AC$64,E190=$AB$65,$AC$65,E190=$AB$66,$AC$66,TRUE,"0")</f>
        <v>#NAME?</v>
      </c>
      <c r="C190" s="161" t="str" cm="1">
        <f t="array" ref="C190">_xlfn.IFS(E190=$AB$42,$AF$42,E190=$AB$43,$AF$43,E190=$AB$44,$AF$44,E190=$AB$45,$AF$45,E190=$AB$46,$AF$46,E190=$AB$47,$AF$47,E190=$AB$48,$AF$48,E190=$AB$49,$AF$49,E190=$AB$50,$AF$50,E190=$AB$51,$AF$51,E190=$AB$52,$AF$52,E190=$AB$53,$AF$53,E190=$AB$54,$AF$54,E190=$AB$55,$AF$55,E190=$AB$56,$AF$56,E190=$AB$57,$AF$57,E190=$AB$58,$AF$58,E190=$AB$59,$AF$59,E190=$AB$60,$AF$60,E190=$AB$61,$AF$61,E190=$AB$62,$AF$62,E190=$AB$63,$AF$63,E190=$AB$64,$AF$64,E190=$AB$65,$AF$65,E190=$AB$66,$AF$66,TRUE,"0")</f>
        <v>B4 Match, lay HT 0-0 or BACK H1 +0.5 GOALS</v>
      </c>
      <c r="D190" s="270" t="str" cm="1">
        <f t="array" ref="D190">_xlfn.IFS(E190=$AB$42,$AD$42,E190=$AB$43,$AD$43,E190=$AB$44,$AD$44,E190=$AB$45,$AD$45,E190=$AB$46,$AD$46,E190=$AB$47,$AD$47,E190=$AB$48,$AD$48,E190=$AB$49,$AD$49,E190=$AB$50,$AD$50,E190=$AB$51,$AD$51,E190=$AB$52,$AD$52,E190=$AB$53,$AD$53,E190=$AB$54,$AD$54,E190=$AB$55,$AD$55,E190=$AB$56,$AD$56,E190=$AB$57,$AD$57,E190=$AB$58,$AD$58,E190=$AB$59,$AD$59,E190=$AB$60,$AD$60,E190=$AB$61,$AD$61,E190=$AB$62,$AD$62,E190=$AB$63,$AD$63,E190=$AB$64,$AD$64,E190=$AB$65,$AD$65,E190=$AB$66,$AD$66,TRUE,"0")</f>
        <v xml:space="preserve">BFM </v>
      </c>
      <c r="E190" s="163" t="s">
        <v>432</v>
      </c>
      <c r="F190" s="2" t="s">
        <v>77</v>
      </c>
      <c r="G190" s="2" t="s">
        <v>156</v>
      </c>
      <c r="H190" s="3">
        <v>45325.604166666664</v>
      </c>
      <c r="I190" s="2" t="s">
        <v>239</v>
      </c>
      <c r="J190" s="2" t="s">
        <v>284</v>
      </c>
      <c r="K190" s="2">
        <v>88</v>
      </c>
      <c r="L190" s="2">
        <v>23</v>
      </c>
      <c r="M190" s="2">
        <v>58</v>
      </c>
      <c r="N190" s="2">
        <v>0.64</v>
      </c>
      <c r="O190" s="2"/>
      <c r="P190" s="2"/>
      <c r="Q190" s="2" t="s">
        <v>95</v>
      </c>
      <c r="R190" s="14" t="s">
        <v>214</v>
      </c>
      <c r="S190" s="13" t="s">
        <v>216</v>
      </c>
      <c r="T190" s="188">
        <f t="shared" si="16"/>
        <v>83.202959377254416</v>
      </c>
      <c r="U190" s="8">
        <f t="shared" si="22"/>
        <v>14.976532687905795</v>
      </c>
      <c r="V190" s="234">
        <f t="shared" si="21"/>
        <v>1679.035720232994</v>
      </c>
      <c r="W190" s="15">
        <v>25</v>
      </c>
      <c r="X190" s="8">
        <f t="shared" si="17"/>
        <v>4.5</v>
      </c>
      <c r="Y190" s="233">
        <f t="shared" si="18"/>
        <v>1114.5</v>
      </c>
    </row>
    <row r="191" spans="1:25">
      <c r="A191" s="156" t="e" cm="1">
        <f t="array" aca="1" ref="A191" ca="1">_xlfn.IFS(E191=$AB$42,$AC$42,E191=$AB$43,$AC$43,E191=$AB$44,$AC$44,E191=$AB$45,$AC$45,E191=$AB$46,$AC$46,E191=$AB$47,$AC$47,E191=$AB$48,$AC$48,E191=$AB$49,$AC$49,E191=$AB$50,$AC$50,E191=$AB$51,$AC$51,E191=$AB$52,$AC$52,E191=$AB$53,$AC$53,E191=$AB$54,$AC$54,E191=$AB$55,$AC$55,E191=$AB$56,$AC$56,E191=$AB$57,$AC$57,E191=$AB$58,$AC$58,E191=$AB$59,$AC$59,E191=$AB$60,$AC$60,E191=$AB$61,$AC$61,E191=$AB$62,$AC$62,E191=$AB$63,$AC$63,E191=$AB$64,$AC$64,E191=$AB$65,$AC$65,E191=$AB$66,$AC$66,TRUE,"0")</f>
        <v>#NAME?</v>
      </c>
      <c r="C191" s="161" t="str" cm="1">
        <f t="array" ref="C191">_xlfn.IFS(E191=$AB$42,$AF$42,E191=$AB$43,$AF$43,E191=$AB$44,$AF$44,E191=$AB$45,$AF$45,E191=$AB$46,$AF$46,E191=$AB$47,$AF$47,E191=$AB$48,$AF$48,E191=$AB$49,$AF$49,E191=$AB$50,$AF$50,E191=$AB$51,$AF$51,E191=$AB$52,$AF$52,E191=$AB$53,$AF$53,E191=$AB$54,$AF$54,E191=$AB$55,$AF$55,E191=$AB$56,$AF$56,E191=$AB$57,$AF$57,E191=$AB$58,$AF$58,E191=$AB$59,$AF$59,E191=$AB$60,$AF$60,E191=$AB$61,$AF$61,E191=$AB$62,$AF$62,E191=$AB$63,$AF$63,E191=$AB$64,$AF$64,E191=$AB$65,$AF$65,E191=$AB$66,$AF$66,TRUE,"0")</f>
        <v>40 mins Back ANother Goal</v>
      </c>
      <c r="D191" s="270" t="str" cm="1">
        <f t="array" ref="D191">_xlfn.IFS(E191=$AB$42,$AD$42,E191=$AB$43,$AD$43,E191=$AB$44,$AD$44,E191=$AB$45,$AD$45,E191=$AB$46,$AD$46,E191=$AB$47,$AD$47,E191=$AB$48,$AD$48,E191=$AB$49,$AD$49,E191=$AB$50,$AD$50,E191=$AB$51,$AD$51,E191=$AB$52,$AD$52,E191=$AB$53,$AD$53,E191=$AB$54,$AD$54,E191=$AB$55,$AD$55,E191=$AB$56,$AD$56,E191=$AB$57,$AD$57,E191=$AB$58,$AD$58,E191=$AB$59,$AD$59,E191=$AB$60,$AD$60,E191=$AB$61,$AD$61,E191=$AB$62,$AD$62,E191=$AB$63,$AD$63,E191=$AB$64,$AD$64,E191=$AB$65,$AD$65,E191=$AB$66,$AD$66,TRUE,"0")</f>
        <v xml:space="preserve">  BANG</v>
      </c>
      <c r="E191" s="163" t="s">
        <v>10</v>
      </c>
      <c r="F191" s="2" t="s">
        <v>6</v>
      </c>
      <c r="G191" s="2" t="s">
        <v>7</v>
      </c>
      <c r="H191" s="3">
        <v>45325.625</v>
      </c>
      <c r="I191" s="2" t="s">
        <v>27</v>
      </c>
      <c r="J191" s="2" t="s">
        <v>386</v>
      </c>
      <c r="K191" s="2">
        <v>2.2999999999999998</v>
      </c>
      <c r="L191" s="2">
        <v>85</v>
      </c>
      <c r="M191" s="2">
        <v>75</v>
      </c>
      <c r="N191" s="2">
        <v>40</v>
      </c>
      <c r="O191" s="2">
        <v>60</v>
      </c>
      <c r="P191" s="2">
        <v>20</v>
      </c>
      <c r="Q191" s="2" t="s">
        <v>95</v>
      </c>
      <c r="R191" s="14" t="s">
        <v>217</v>
      </c>
      <c r="S191" s="13" t="s">
        <v>279</v>
      </c>
      <c r="T191" s="188">
        <f t="shared" si="16"/>
        <v>83.951786011649702</v>
      </c>
      <c r="U191" s="8">
        <f t="shared" si="22"/>
        <v>15.111321482096946</v>
      </c>
      <c r="V191" s="234">
        <f t="shared" si="21"/>
        <v>1694.1470417150908</v>
      </c>
      <c r="W191" s="15">
        <v>25</v>
      </c>
      <c r="X191" s="8">
        <f t="shared" si="17"/>
        <v>4.5</v>
      </c>
      <c r="Y191" s="233">
        <f t="shared" si="18"/>
        <v>1119</v>
      </c>
    </row>
    <row r="192" spans="1:25">
      <c r="A192" s="156" t="e" cm="1">
        <f t="array" aca="1" ref="A192" ca="1">_xlfn.IFS(E192=$AB$42,$AC$42,E192=$AB$43,$AC$43,E192=$AB$44,$AC$44,E192=$AB$45,$AC$45,E192=$AB$46,$AC$46,E192=$AB$47,$AC$47,E192=$AB$48,$AC$48,E192=$AB$49,$AC$49,E192=$AB$50,$AC$50,E192=$AB$51,$AC$51,E192=$AB$52,$AC$52,E192=$AB$53,$AC$53,E192=$AB$54,$AC$54,E192=$AB$55,$AC$55,E192=$AB$56,$AC$56,E192=$AB$57,$AC$57,E192=$AB$58,$AC$58,E192=$AB$59,$AC$59,E192=$AB$60,$AC$60,E192=$AB$61,$AC$61,E192=$AB$62,$AC$62,E192=$AB$63,$AC$63,E192=$AB$64,$AC$64,E192=$AB$65,$AC$65,E192=$AB$66,$AC$66,TRUE,"0")</f>
        <v>#NAME?</v>
      </c>
      <c r="C192" s="161" t="str" cm="1">
        <f t="array" ref="C192">_xlfn.IFS(E192=$AB$42,$AF$42,E192=$AB$43,$AF$43,E192=$AB$44,$AF$44,E192=$AB$45,$AF$45,E192=$AB$46,$AF$46,E192=$AB$47,$AF$47,E192=$AB$48,$AF$48,E192=$AB$49,$AF$49,E192=$AB$50,$AF$50,E192=$AB$51,$AF$51,E192=$AB$52,$AF$52,E192=$AB$53,$AF$53,E192=$AB$54,$AF$54,E192=$AB$55,$AF$55,E192=$AB$56,$AF$56,E192=$AB$57,$AF$57,E192=$AB$58,$AF$58,E192=$AB$59,$AF$59,E192=$AB$60,$AF$60,E192=$AB$61,$AF$61,E192=$AB$62,$AF$62,E192=$AB$63,$AF$63,E192=$AB$64,$AF$64,E192=$AB$65,$AF$65,E192=$AB$66,$AF$66,TRUE,"0")</f>
        <v>40 mins Back ANother Goal</v>
      </c>
      <c r="D192" s="270" t="str" cm="1">
        <f t="array" ref="D192">_xlfn.IFS(E192=$AB$42,$AD$42,E192=$AB$43,$AD$43,E192=$AB$44,$AD$44,E192=$AB$45,$AD$45,E192=$AB$46,$AD$46,E192=$AB$47,$AD$47,E192=$AB$48,$AD$48,E192=$AB$49,$AD$49,E192=$AB$50,$AD$50,E192=$AB$51,$AD$51,E192=$AB$52,$AD$52,E192=$AB$53,$AD$53,E192=$AB$54,$AD$54,E192=$AB$55,$AD$55,E192=$AB$56,$AD$56,E192=$AB$57,$AD$57,E192=$AB$58,$AD$58,E192=$AB$59,$AD$59,E192=$AB$60,$AD$60,E192=$AB$61,$AD$61,E192=$AB$62,$AD$62,E192=$AB$63,$AD$63,E192=$AB$64,$AD$64,E192=$AB$65,$AD$65,E192=$AB$66,$AD$66,TRUE,"0")</f>
        <v xml:space="preserve">  BANG</v>
      </c>
      <c r="E192" s="163" t="s">
        <v>35</v>
      </c>
      <c r="F192" s="2" t="s">
        <v>6</v>
      </c>
      <c r="G192" s="2" t="s">
        <v>7</v>
      </c>
      <c r="H192" s="3">
        <v>45325.625</v>
      </c>
      <c r="I192" s="2" t="s">
        <v>27</v>
      </c>
      <c r="J192" s="2" t="s">
        <v>386</v>
      </c>
      <c r="K192" s="2">
        <v>68</v>
      </c>
      <c r="L192" s="2">
        <v>85</v>
      </c>
      <c r="M192" s="2">
        <v>75</v>
      </c>
      <c r="N192" s="2">
        <v>40</v>
      </c>
      <c r="O192" s="2">
        <v>20</v>
      </c>
      <c r="P192" s="2">
        <v>1.39</v>
      </c>
      <c r="Q192" s="1" t="s">
        <v>95</v>
      </c>
      <c r="R192" s="14" t="s">
        <v>217</v>
      </c>
      <c r="S192" s="13" t="s">
        <v>279</v>
      </c>
      <c r="T192" s="188">
        <f t="shared" si="16"/>
        <v>84.70735208575455</v>
      </c>
      <c r="U192" s="8">
        <f t="shared" si="22"/>
        <v>15.247323375435819</v>
      </c>
      <c r="V192" s="234">
        <f>SUM(V191,U192)</f>
        <v>1709.3943650905267</v>
      </c>
      <c r="W192" s="15">
        <v>25</v>
      </c>
      <c r="X192" s="8">
        <f t="shared" si="17"/>
        <v>4.5</v>
      </c>
      <c r="Y192" s="233">
        <f t="shared" si="18"/>
        <v>1123.5</v>
      </c>
    </row>
    <row r="193" spans="1:25">
      <c r="A193" s="156" t="e" cm="1">
        <f t="array" aca="1" ref="A193" ca="1">_xlfn.IFS(E193=$AB$42,$AC$42,E193=$AB$43,$AC$43,E193=$AB$44,$AC$44,E193=$AB$45,$AC$45,E193=$AB$46,$AC$46,E193=$AB$47,$AC$47,E193=$AB$48,$AC$48,E193=$AB$49,$AC$49,E193=$AB$50,$AC$50,E193=$AB$51,$AC$51,E193=$AB$52,$AC$52,E193=$AB$53,$AC$53,E193=$AB$54,$AC$54,E193=$AB$55,$AC$55,E193=$AB$56,$AC$56,E193=$AB$57,$AC$57,E193=$AB$58,$AC$58,E193=$AB$59,$AC$59,E193=$AB$60,$AC$60,E193=$AB$61,$AC$61,E193=$AB$62,$AC$62,E193=$AB$63,$AC$63,E193=$AB$64,$AC$64,E193=$AB$65,$AC$65,E193=$AB$66,$AC$66,TRUE,"0")</f>
        <v>#NAME?</v>
      </c>
      <c r="C193" s="161" t="str" cm="1">
        <f t="array" ref="C193">_xlfn.IFS(E193=$AB$42,$AF$42,E193=$AB$43,$AF$43,E193=$AB$44,$AF$44,E193=$AB$45,$AF$45,E193=$AB$46,$AF$46,E193=$AB$47,$AF$47,E193=$AB$48,$AF$48,E193=$AB$49,$AF$49,E193=$AB$50,$AF$50,E193=$AB$51,$AF$51,E193=$AB$52,$AF$52,E193=$AB$53,$AF$53,E193=$AB$54,$AF$54,E193=$AB$55,$AF$55,E193=$AB$56,$AF$56,E193=$AB$57,$AF$57,E193=$AB$58,$AF$58,E193=$AB$59,$AF$59,E193=$AB$60,$AF$60,E193=$AB$61,$AF$61,E193=$AB$62,$AF$62,E193=$AB$63,$AF$63,E193=$AB$64,$AF$64,E193=$AB$65,$AF$65,E193=$AB$66,$AF$66,TRUE,"0")</f>
        <v>B4 Match, lay HT 0-0 or BACK H1 +0.5 GOALS</v>
      </c>
      <c r="D193" s="270" t="str" cm="1">
        <f t="array" ref="D193">_xlfn.IFS(E193=$AB$42,$AD$42,E193=$AB$43,$AD$43,E193=$AB$44,$AD$44,E193=$AB$45,$AD$45,E193=$AB$46,$AD$46,E193=$AB$47,$AD$47,E193=$AB$48,$AD$48,E193=$AB$49,$AD$49,E193=$AB$50,$AD$50,E193=$AB$51,$AD$51,E193=$AB$52,$AD$52,E193=$AB$53,$AD$53,E193=$AB$54,$AD$54,E193=$AB$55,$AD$55,E193=$AB$56,$AD$56,E193=$AB$57,$AD$57,E193=$AB$58,$AD$58,E193=$AB$59,$AD$59,E193=$AB$60,$AD$60,E193=$AB$61,$AD$61,E193=$AB$62,$AD$62,E193=$AB$63,$AD$63,E193=$AB$64,$AD$64,E193=$AB$65,$AD$65,E193=$AB$66,$AD$66,TRUE,"0")</f>
        <v xml:space="preserve">BFM </v>
      </c>
      <c r="E193" s="163" t="s">
        <v>432</v>
      </c>
      <c r="F193" s="2" t="s">
        <v>6</v>
      </c>
      <c r="G193" s="2" t="s">
        <v>7</v>
      </c>
      <c r="H193" s="3">
        <v>45325.625</v>
      </c>
      <c r="I193" s="2" t="s">
        <v>55</v>
      </c>
      <c r="J193" s="2" t="s">
        <v>9</v>
      </c>
      <c r="K193" s="2">
        <v>95</v>
      </c>
      <c r="L193" s="2">
        <v>17</v>
      </c>
      <c r="M193" s="2">
        <v>55</v>
      </c>
      <c r="N193" s="2">
        <v>1.2</v>
      </c>
      <c r="O193" s="2"/>
      <c r="P193" s="2"/>
      <c r="Q193" s="1" t="s">
        <v>95</v>
      </c>
      <c r="R193" s="14" t="s">
        <v>216</v>
      </c>
      <c r="S193" s="13" t="s">
        <v>223</v>
      </c>
      <c r="T193" s="188">
        <f t="shared" si="16"/>
        <v>85.469718254526342</v>
      </c>
      <c r="U193" s="8">
        <f t="shared" si="22"/>
        <v>15.384549285814741</v>
      </c>
      <c r="V193" s="234">
        <f t="shared" si="21"/>
        <v>1724.7789143763414</v>
      </c>
      <c r="W193" s="15">
        <v>25</v>
      </c>
      <c r="X193" s="8">
        <f t="shared" si="17"/>
        <v>4.5</v>
      </c>
      <c r="Y193" s="233">
        <f t="shared" si="18"/>
        <v>1128</v>
      </c>
    </row>
    <row r="194" spans="1:25">
      <c r="A194" s="156" t="e" cm="1">
        <f t="array" aca="1" ref="A194" ca="1">_xlfn.IFS(E194=$AB$42,$AC$42,E194=$AB$43,$AC$43,E194=$AB$44,$AC$44,E194=$AB$45,$AC$45,E194=$AB$46,$AC$46,E194=$AB$47,$AC$47,E194=$AB$48,$AC$48,E194=$AB$49,$AC$49,E194=$AB$50,$AC$50,E194=$AB$51,$AC$51,E194=$AB$52,$AC$52,E194=$AB$53,$AC$53,E194=$AB$54,$AC$54,E194=$AB$55,$AC$55,E194=$AB$56,$AC$56,E194=$AB$57,$AC$57,E194=$AB$58,$AC$58,E194=$AB$59,$AC$59,E194=$AB$60,$AC$60,E194=$AB$61,$AC$61,E194=$AB$62,$AC$62,E194=$AB$63,$AC$63,E194=$AB$64,$AC$64,E194=$AB$65,$AC$65,E194=$AB$66,$AC$66,TRUE,"0")</f>
        <v>#NAME?</v>
      </c>
      <c r="C194" s="161" t="str" cm="1">
        <f t="array" ref="C194">_xlfn.IFS(E194=$AB$42,$AF$42,E194=$AB$43,$AF$43,E194=$AB$44,$AF$44,E194=$AB$45,$AF$45,E194=$AB$46,$AF$46,E194=$AB$47,$AF$47,E194=$AB$48,$AF$48,E194=$AB$49,$AF$49,E194=$AB$50,$AF$50,E194=$AB$51,$AF$51,E194=$AB$52,$AF$52,E194=$AB$53,$AF$53,E194=$AB$54,$AF$54,E194=$AB$55,$AF$55,E194=$AB$56,$AF$56,E194=$AB$57,$AF$57,E194=$AB$58,$AF$58,E194=$AB$59,$AF$59,E194=$AB$60,$AF$60,E194=$AB$61,$AF$61,E194=$AB$62,$AF$62,E194=$AB$63,$AF$63,E194=$AB$64,$AF$64,E194=$AB$65,$AF$65,E194=$AB$66,$AF$66,TRUE,"0")</f>
        <v>40 mins Back ANother Goal</v>
      </c>
      <c r="D194" s="270" t="str" cm="1">
        <f t="array" ref="D194">_xlfn.IFS(E194=$AB$42,$AD$42,E194=$AB$43,$AD$43,E194=$AB$44,$AD$44,E194=$AB$45,$AD$45,E194=$AB$46,$AD$46,E194=$AB$47,$AD$47,E194=$AB$48,$AD$48,E194=$AB$49,$AD$49,E194=$AB$50,$AD$50,E194=$AB$51,$AD$51,E194=$AB$52,$AD$52,E194=$AB$53,$AD$53,E194=$AB$54,$AD$54,E194=$AB$55,$AD$55,E194=$AB$56,$AD$56,E194=$AB$57,$AD$57,E194=$AB$58,$AD$58,E194=$AB$59,$AD$59,E194=$AB$60,$AD$60,E194=$AB$61,$AD$61,E194=$AB$62,$AD$62,E194=$AB$63,$AD$63,E194=$AB$64,$AD$64,E194=$AB$65,$AD$65,E194=$AB$66,$AD$66,TRUE,"0")</f>
        <v xml:space="preserve">  BANG</v>
      </c>
      <c r="E194" s="163" t="s">
        <v>10</v>
      </c>
      <c r="F194" s="2" t="s">
        <v>13</v>
      </c>
      <c r="G194" s="2" t="s">
        <v>11</v>
      </c>
      <c r="H194" s="3">
        <v>45325.625</v>
      </c>
      <c r="I194" s="2" t="s">
        <v>400</v>
      </c>
      <c r="J194" s="2" t="s">
        <v>139</v>
      </c>
      <c r="K194" s="2">
        <v>2</v>
      </c>
      <c r="L194" s="2">
        <v>100</v>
      </c>
      <c r="M194" s="2">
        <v>75</v>
      </c>
      <c r="N194" s="2">
        <v>20</v>
      </c>
      <c r="O194" s="2">
        <v>62</v>
      </c>
      <c r="P194" s="2">
        <v>20</v>
      </c>
      <c r="Q194" s="1" t="s">
        <v>95</v>
      </c>
      <c r="R194" s="14" t="s">
        <v>193</v>
      </c>
      <c r="S194" s="13" t="s">
        <v>218</v>
      </c>
      <c r="T194" s="188">
        <f t="shared" si="16"/>
        <v>86.238945718817078</v>
      </c>
      <c r="U194" s="8">
        <f t="shared" si="22"/>
        <v>15.523010229387074</v>
      </c>
      <c r="V194" s="234">
        <f t="shared" si="21"/>
        <v>1740.3019246057286</v>
      </c>
      <c r="W194" s="15">
        <v>25</v>
      </c>
      <c r="X194" s="8">
        <f t="shared" si="17"/>
        <v>4.5</v>
      </c>
      <c r="Y194" s="233">
        <f t="shared" si="18"/>
        <v>1132.5</v>
      </c>
    </row>
    <row r="195" spans="1:25">
      <c r="A195" s="156" t="e" cm="1">
        <f t="array" aca="1" ref="A195" ca="1">_xlfn.IFS(E195=$AB$42,$AC$42,E195=$AB$43,$AC$43,E195=$AB$44,$AC$44,E195=$AB$45,$AC$45,E195=$AB$46,$AC$46,E195=$AB$47,$AC$47,E195=$AB$48,$AC$48,E195=$AB$49,$AC$49,E195=$AB$50,$AC$50,E195=$AB$51,$AC$51,E195=$AB$52,$AC$52,E195=$AB$53,$AC$53,E195=$AB$54,$AC$54,E195=$AB$55,$AC$55,E195=$AB$56,$AC$56,E195=$AB$57,$AC$57,E195=$AB$58,$AC$58,E195=$AB$59,$AC$59,E195=$AB$60,$AC$60,E195=$AB$61,$AC$61,E195=$AB$62,$AC$62,E195=$AB$63,$AC$63,E195=$AB$64,$AC$64,E195=$AB$65,$AC$65,E195=$AB$66,$AC$66,TRUE,"0")</f>
        <v>#NAME?</v>
      </c>
      <c r="C195" s="161" t="str" cm="1">
        <f t="array" ref="C195">_xlfn.IFS(E195=$AB$42,$AF$42,E195=$AB$43,$AF$43,E195=$AB$44,$AF$44,E195=$AB$45,$AF$45,E195=$AB$46,$AF$46,E195=$AB$47,$AF$47,E195=$AB$48,$AF$48,E195=$AB$49,$AF$49,E195=$AB$50,$AF$50,E195=$AB$51,$AF$51,E195=$AB$52,$AF$52,E195=$AB$53,$AF$53,E195=$AB$54,$AF$54,E195=$AB$55,$AF$55,E195=$AB$56,$AF$56,E195=$AB$57,$AF$57,E195=$AB$58,$AF$58,E195=$AB$59,$AF$59,E195=$AB$60,$AF$60,E195=$AB$61,$AF$61,E195=$AB$62,$AF$62,E195=$AB$63,$AF$63,E195=$AB$64,$AF$64,E195=$AB$65,$AF$65,E195=$AB$66,$AF$66,TRUE,"0")</f>
        <v>if 0-0, BACK+ 0.5 GOALS  @ 1.15+odds.  or @ 40 mins</v>
      </c>
      <c r="D195" s="270" t="str" cm="1">
        <f t="array" ref="D195">_xlfn.IFS(E195=$AB$42,$AD$42,E195=$AB$43,$AD$43,E195=$AB$44,$AD$44,E195=$AB$45,$AD$45,E195=$AB$46,$AD$46,E195=$AB$47,$AD$47,E195=$AB$48,$AD$48,E195=$AB$49,$AD$49,E195=$AB$50,$AD$50,E195=$AB$51,$AD$51,E195=$AB$52,$AD$52,E195=$AB$53,$AD$53,E195=$AB$54,$AD$54,E195=$AB$55,$AD$55,E195=$AB$56,$AD$56,E195=$AB$57,$AD$57,E195=$AB$58,$AD$58,E195=$AB$59,$AD$59,E195=$AB$60,$AD$60,E195=$AB$61,$AD$61,E195=$AB$62,$AD$62,E195=$AB$63,$AD$63,E195=$AB$64,$AD$64,E195=$AB$65,$AD$65,E195=$AB$66,$AD$66,TRUE,"0")</f>
        <v>IP</v>
      </c>
      <c r="E195" s="163" t="s">
        <v>270</v>
      </c>
      <c r="F195" s="2" t="s">
        <v>6</v>
      </c>
      <c r="G195" s="2" t="s">
        <v>62</v>
      </c>
      <c r="H195" s="3">
        <v>45325.625</v>
      </c>
      <c r="I195" s="2" t="s">
        <v>164</v>
      </c>
      <c r="J195" s="2" t="s">
        <v>86</v>
      </c>
      <c r="K195" s="2">
        <v>66</v>
      </c>
      <c r="L195" s="2">
        <v>0</v>
      </c>
      <c r="M195" s="2">
        <v>20</v>
      </c>
      <c r="N195" s="2">
        <v>2.79</v>
      </c>
      <c r="O195" s="2"/>
      <c r="P195" s="2"/>
      <c r="Q195" s="1" t="s">
        <v>95</v>
      </c>
      <c r="R195" s="14" t="s">
        <v>210</v>
      </c>
      <c r="S195" s="13" t="s">
        <v>278</v>
      </c>
      <c r="T195" s="188">
        <f t="shared" ref="T195:T258" si="23">SUM(V194*0.05)</f>
        <v>87.015096230286431</v>
      </c>
      <c r="U195" s="8">
        <f t="shared" si="22"/>
        <v>15.662717321451558</v>
      </c>
      <c r="V195" s="234">
        <f t="shared" si="21"/>
        <v>1755.9646419271801</v>
      </c>
      <c r="W195" s="15">
        <v>25</v>
      </c>
      <c r="X195" s="8">
        <f t="shared" ref="X195:X258" si="24">IF(Q195="won",W195*0.18,-W195)</f>
        <v>4.5</v>
      </c>
      <c r="Y195" s="233">
        <f t="shared" ref="Y195:Y258" si="25">SUM(Y194,X195)</f>
        <v>1137</v>
      </c>
    </row>
    <row r="196" spans="1:25">
      <c r="A196" s="156" t="e" cm="1">
        <f t="array" aca="1" ref="A196" ca="1">_xlfn.IFS(E196=$AB$42,$AC$42,E196=$AB$43,$AC$43,E196=$AB$44,$AC$44,E196=$AB$45,$AC$45,E196=$AB$46,$AC$46,E196=$AB$47,$AC$47,E196=$AB$48,$AC$48,E196=$AB$49,$AC$49,E196=$AB$50,$AC$50,E196=$AB$51,$AC$51,E196=$AB$52,$AC$52,E196=$AB$53,$AC$53,E196=$AB$54,$AC$54,E196=$AB$55,$AC$55,E196=$AB$56,$AC$56,E196=$AB$57,$AC$57,E196=$AB$58,$AC$58,E196=$AB$59,$AC$59,E196=$AB$60,$AC$60,E196=$AB$61,$AC$61,E196=$AB$62,$AC$62,E196=$AB$63,$AC$63,E196=$AB$64,$AC$64,E196=$AB$65,$AC$65,E196=$AB$66,$AC$66,TRUE,"0")</f>
        <v>#NAME?</v>
      </c>
      <c r="C196" s="161" t="str" cm="1">
        <f t="array" ref="C196">_xlfn.IFS(E196=$AB$42,$AF$42,E196=$AB$43,$AF$43,E196=$AB$44,$AF$44,E196=$AB$45,$AF$45,E196=$AB$46,$AF$46,E196=$AB$47,$AF$47,E196=$AB$48,$AF$48,E196=$AB$49,$AF$49,E196=$AB$50,$AF$50,E196=$AB$51,$AF$51,E196=$AB$52,$AF$52,E196=$AB$53,$AF$53,E196=$AB$54,$AF$54,E196=$AB$55,$AF$55,E196=$AB$56,$AF$56,E196=$AB$57,$AF$57,E196=$AB$58,$AF$58,E196=$AB$59,$AF$59,E196=$AB$60,$AF$60,E196=$AB$61,$AF$61,E196=$AB$62,$AF$62,E196=$AB$63,$AF$63,E196=$AB$64,$AF$64,E196=$AB$65,$AF$65,E196=$AB$66,$AF$66,TRUE,"0")</f>
        <v>if 0-0, BACK+ 0.5 GOALS  @ 1.15+odds.  or @ 40 mins</v>
      </c>
      <c r="D196" s="270" t="str" cm="1">
        <f t="array" ref="D196">_xlfn.IFS(E196=$AB$42,$AD$42,E196=$AB$43,$AD$43,E196=$AB$44,$AD$44,E196=$AB$45,$AD$45,E196=$AB$46,$AD$46,E196=$AB$47,$AD$47,E196=$AB$48,$AD$48,E196=$AB$49,$AD$49,E196=$AB$50,$AD$50,E196=$AB$51,$AD$51,E196=$AB$52,$AD$52,E196=$AB$53,$AD$53,E196=$AB$54,$AD$54,E196=$AB$55,$AD$55,E196=$AB$56,$AD$56,E196=$AB$57,$AD$57,E196=$AB$58,$AD$58,E196=$AB$59,$AD$59,E196=$AB$60,$AD$60,E196=$AB$61,$AD$61,E196=$AB$62,$AD$62,E196=$AB$63,$AD$63,E196=$AB$64,$AD$64,E196=$AB$65,$AD$65,E196=$AB$66,$AD$66,TRUE,"0")</f>
        <v>IP</v>
      </c>
      <c r="E196" s="163" t="s">
        <v>270</v>
      </c>
      <c r="F196" s="2" t="s">
        <v>6</v>
      </c>
      <c r="G196" s="2" t="s">
        <v>14</v>
      </c>
      <c r="H196" s="3">
        <v>45325.625</v>
      </c>
      <c r="I196" s="2" t="s">
        <v>262</v>
      </c>
      <c r="J196" s="2" t="s">
        <v>56</v>
      </c>
      <c r="K196" s="2">
        <v>64</v>
      </c>
      <c r="L196" s="2">
        <v>0</v>
      </c>
      <c r="M196" s="2">
        <v>20</v>
      </c>
      <c r="N196" s="2">
        <v>2.02</v>
      </c>
      <c r="O196" s="2"/>
      <c r="P196" s="2"/>
      <c r="Q196" s="1" t="s">
        <v>95</v>
      </c>
      <c r="R196" s="14" t="s">
        <v>217</v>
      </c>
      <c r="S196" s="13" t="s">
        <v>217</v>
      </c>
      <c r="T196" s="188">
        <f t="shared" si="23"/>
        <v>87.798232096359015</v>
      </c>
      <c r="U196" s="8">
        <f t="shared" si="22"/>
        <v>15.803681777344622</v>
      </c>
      <c r="V196" s="234">
        <f t="shared" ref="V196:V214" si="26">SUM(V195,U196)</f>
        <v>1771.7683237045246</v>
      </c>
      <c r="W196" s="15">
        <v>25</v>
      </c>
      <c r="X196" s="8">
        <f t="shared" si="24"/>
        <v>4.5</v>
      </c>
      <c r="Y196" s="233">
        <f t="shared" si="25"/>
        <v>1141.5</v>
      </c>
    </row>
    <row r="197" spans="1:25">
      <c r="A197" s="156" t="e" cm="1">
        <f t="array" aca="1" ref="A197" ca="1">_xlfn.IFS(E197=$AB$42,$AC$42,E197=$AB$43,$AC$43,E197=$AB$44,$AC$44,E197=$AB$45,$AC$45,E197=$AB$46,$AC$46,E197=$AB$47,$AC$47,E197=$AB$48,$AC$48,E197=$AB$49,$AC$49,E197=$AB$50,$AC$50,E197=$AB$51,$AC$51,E197=$AB$52,$AC$52,E197=$AB$53,$AC$53,E197=$AB$54,$AC$54,E197=$AB$55,$AC$55,E197=$AB$56,$AC$56,E197=$AB$57,$AC$57,E197=$AB$58,$AC$58,E197=$AB$59,$AC$59,E197=$AB$60,$AC$60,E197=$AB$61,$AC$61,E197=$AB$62,$AC$62,E197=$AB$63,$AC$63,E197=$AB$64,$AC$64,E197=$AB$65,$AC$65,E197=$AB$66,$AC$66,TRUE,"0")</f>
        <v>#NAME?</v>
      </c>
      <c r="C197" s="161" t="str" cm="1">
        <f t="array" ref="C197">_xlfn.IFS(E197=$AB$42,$AF$42,E197=$AB$43,$AF$43,E197=$AB$44,$AF$44,E197=$AB$45,$AF$45,E197=$AB$46,$AF$46,E197=$AB$47,$AF$47,E197=$AB$48,$AF$48,E197=$AB$49,$AF$49,E197=$AB$50,$AF$50,E197=$AB$51,$AF$51,E197=$AB$52,$AF$52,E197=$AB$53,$AF$53,E197=$AB$54,$AF$54,E197=$AB$55,$AF$55,E197=$AB$56,$AF$56,E197=$AB$57,$AF$57,E197=$AB$58,$AF$58,E197=$AB$59,$AF$59,E197=$AB$60,$AF$60,E197=$AB$61,$AF$61,E197=$AB$62,$AF$62,E197=$AB$63,$AF$63,E197=$AB$64,$AF$64,E197=$AB$65,$AF$65,E197=$AB$66,$AF$66,TRUE,"0")</f>
        <v>if 0-0, BACK+ 0.5 GOALS  @ 1.15+odds.  or @ 40 mins</v>
      </c>
      <c r="D197" s="270" t="str" cm="1">
        <f t="array" ref="D197">_xlfn.IFS(E197=$AB$42,$AD$42,E197=$AB$43,$AD$43,E197=$AB$44,$AD$44,E197=$AB$45,$AD$45,E197=$AB$46,$AD$46,E197=$AB$47,$AD$47,E197=$AB$48,$AD$48,E197=$AB$49,$AD$49,E197=$AB$50,$AD$50,E197=$AB$51,$AD$51,E197=$AB$52,$AD$52,E197=$AB$53,$AD$53,E197=$AB$54,$AD$54,E197=$AB$55,$AD$55,E197=$AB$56,$AD$56,E197=$AB$57,$AD$57,E197=$AB$58,$AD$58,E197=$AB$59,$AD$59,E197=$AB$60,$AD$60,E197=$AB$61,$AD$61,E197=$AB$62,$AD$62,E197=$AB$63,$AD$63,E197=$AB$64,$AD$64,E197=$AB$65,$AD$65,E197=$AB$66,$AD$66,TRUE,"0")</f>
        <v>IP</v>
      </c>
      <c r="E197" s="163" t="s">
        <v>270</v>
      </c>
      <c r="F197" s="2" t="s">
        <v>80</v>
      </c>
      <c r="G197" s="2" t="s">
        <v>81</v>
      </c>
      <c r="H197" s="3">
        <v>45325.666666666664</v>
      </c>
      <c r="I197" s="2" t="s">
        <v>312</v>
      </c>
      <c r="J197" s="2" t="s">
        <v>83</v>
      </c>
      <c r="K197" s="2">
        <v>64</v>
      </c>
      <c r="L197" s="2">
        <v>0</v>
      </c>
      <c r="M197" s="2">
        <v>20</v>
      </c>
      <c r="N197" s="2">
        <v>1.59</v>
      </c>
      <c r="O197" s="2"/>
      <c r="P197" s="2"/>
      <c r="Q197" s="1" t="s">
        <v>95</v>
      </c>
      <c r="R197" s="14" t="s">
        <v>193</v>
      </c>
      <c r="S197" s="13" t="s">
        <v>216</v>
      </c>
      <c r="T197" s="188">
        <f t="shared" si="23"/>
        <v>88.588416185226237</v>
      </c>
      <c r="U197" s="8">
        <f t="shared" si="22"/>
        <v>15.945914913340722</v>
      </c>
      <c r="V197" s="234">
        <f t="shared" ref="V197" si="27">SUM(V196,U197)</f>
        <v>1787.7142386178652</v>
      </c>
      <c r="W197" s="15">
        <v>25</v>
      </c>
      <c r="X197" s="8">
        <f t="shared" si="24"/>
        <v>4.5</v>
      </c>
      <c r="Y197" s="233">
        <f t="shared" si="25"/>
        <v>1146</v>
      </c>
    </row>
    <row r="198" spans="1:25">
      <c r="A198" s="156" t="e" cm="1">
        <f t="array" aca="1" ref="A198" ca="1">_xlfn.IFS(E198=$AB$42,$AC$42,E198=$AB$43,$AC$43,E198=$AB$44,$AC$44,E198=$AB$45,$AC$45,E198=$AB$46,$AC$46,E198=$AB$47,$AC$47,E198=$AB$48,$AC$48,E198=$AB$49,$AC$49,E198=$AB$50,$AC$50,E198=$AB$51,$AC$51,E198=$AB$52,$AC$52,E198=$AB$53,$AC$53,E198=$AB$54,$AC$54,E198=$AB$55,$AC$55,E198=$AB$56,$AC$56,E198=$AB$57,$AC$57,E198=$AB$58,$AC$58,E198=$AB$59,$AC$59,E198=$AB$60,$AC$60,E198=$AB$61,$AC$61,E198=$AB$62,$AC$62,E198=$AB$63,$AC$63,E198=$AB$64,$AC$64,E198=$AB$65,$AC$65,E198=$AB$66,$AC$66,TRUE,"0")</f>
        <v>#NAME?</v>
      </c>
      <c r="C198" s="161" t="str" cm="1">
        <f t="array" ref="C198">_xlfn.IFS(E198=$AB$42,$AF$42,E198=$AB$43,$AF$43,E198=$AB$44,$AF$44,E198=$AB$45,$AF$45,E198=$AB$46,$AF$46,E198=$AB$47,$AF$47,E198=$AB$48,$AF$48,E198=$AB$49,$AF$49,E198=$AB$50,$AF$50,E198=$AB$51,$AF$51,E198=$AB$52,$AF$52,E198=$AB$53,$AF$53,E198=$AB$54,$AF$54,E198=$AB$55,$AF$55,E198=$AB$56,$AF$56,E198=$AB$57,$AF$57,E198=$AB$58,$AF$58,E198=$AB$59,$AF$59,E198=$AB$60,$AF$60,E198=$AB$61,$AF$61,E198=$AB$62,$AF$62,E198=$AB$63,$AF$63,E198=$AB$64,$AF$64,E198=$AB$65,$AF$65,E198=$AB$66,$AF$66,TRUE,"0")</f>
        <v>if 0-0, BACK+ 0.5 GOALS  @ 1.15+odds.  or @ 40 mins</v>
      </c>
      <c r="D198" s="270" t="str" cm="1">
        <f t="array" ref="D198">_xlfn.IFS(E198=$AB$42,$AD$42,E198=$AB$43,$AD$43,E198=$AB$44,$AD$44,E198=$AB$45,$AD$45,E198=$AB$46,$AD$46,E198=$AB$47,$AD$47,E198=$AB$48,$AD$48,E198=$AB$49,$AD$49,E198=$AB$50,$AD$50,E198=$AB$51,$AD$51,E198=$AB$52,$AD$52,E198=$AB$53,$AD$53,E198=$AB$54,$AD$54,E198=$AB$55,$AD$55,E198=$AB$56,$AD$56,E198=$AB$57,$AD$57,E198=$AB$58,$AD$58,E198=$AB$59,$AD$59,E198=$AB$60,$AD$60,E198=$AB$61,$AD$61,E198=$AB$62,$AD$62,E198=$AB$63,$AD$63,E198=$AB$64,$AD$64,E198=$AB$65,$AD$65,E198=$AB$66,$AD$66,TRUE,"0")</f>
        <v>IP</v>
      </c>
      <c r="E198" s="163" t="s">
        <v>270</v>
      </c>
      <c r="F198" s="2" t="s">
        <v>145</v>
      </c>
      <c r="G198" s="2" t="s">
        <v>190</v>
      </c>
      <c r="H198" s="3">
        <v>45325.666666666664</v>
      </c>
      <c r="I198" s="2" t="s">
        <v>339</v>
      </c>
      <c r="J198" s="2" t="s">
        <v>390</v>
      </c>
      <c r="K198" s="2">
        <v>59</v>
      </c>
      <c r="L198" s="2">
        <v>0</v>
      </c>
      <c r="M198" s="2">
        <v>20</v>
      </c>
      <c r="N198" s="2">
        <v>1.78</v>
      </c>
      <c r="O198" s="2"/>
      <c r="P198" s="2"/>
      <c r="Q198" s="1" t="s">
        <v>95</v>
      </c>
      <c r="R198" s="14" t="s">
        <v>214</v>
      </c>
      <c r="S198" s="13" t="s">
        <v>222</v>
      </c>
      <c r="T198" s="188">
        <f t="shared" si="23"/>
        <v>89.385711930893265</v>
      </c>
      <c r="U198" s="8">
        <f t="shared" si="22"/>
        <v>16.089428147560788</v>
      </c>
      <c r="V198" s="234">
        <f t="shared" si="26"/>
        <v>1803.803666765426</v>
      </c>
      <c r="W198" s="15">
        <v>25</v>
      </c>
      <c r="X198" s="8">
        <f t="shared" si="24"/>
        <v>4.5</v>
      </c>
      <c r="Y198" s="233">
        <f t="shared" si="25"/>
        <v>1150.5</v>
      </c>
    </row>
    <row r="199" spans="1:25">
      <c r="A199" s="156" t="e" cm="1">
        <f t="array" aca="1" ref="A199" ca="1">_xlfn.IFS(E199=$AB$42,$AC$42,E199=$AB$43,$AC$43,E199=$AB$44,$AC$44,E199=$AB$45,$AC$45,E199=$AB$46,$AC$46,E199=$AB$47,$AC$47,E199=$AB$48,$AC$48,E199=$AB$49,$AC$49,E199=$AB$50,$AC$50,E199=$AB$51,$AC$51,E199=$AB$52,$AC$52,E199=$AB$53,$AC$53,E199=$AB$54,$AC$54,E199=$AB$55,$AC$55,E199=$AB$56,$AC$56,E199=$AB$57,$AC$57,E199=$AB$58,$AC$58,E199=$AB$59,$AC$59,E199=$AB$60,$AC$60,E199=$AB$61,$AC$61,E199=$AB$62,$AC$62,E199=$AB$63,$AC$63,E199=$AB$64,$AC$64,E199=$AB$65,$AC$65,E199=$AB$66,$AC$66,TRUE,"0")</f>
        <v>#NAME?</v>
      </c>
      <c r="C199" s="161" t="str" cm="1">
        <f t="array" ref="C199">_xlfn.IFS(E199=$AB$42,$AF$42,E199=$AB$43,$AF$43,E199=$AB$44,$AF$44,E199=$AB$45,$AF$45,E199=$AB$46,$AF$46,E199=$AB$47,$AF$47,E199=$AB$48,$AF$48,E199=$AB$49,$AF$49,E199=$AB$50,$AF$50,E199=$AB$51,$AF$51,E199=$AB$52,$AF$52,E199=$AB$53,$AF$53,E199=$AB$54,$AF$54,E199=$AB$55,$AF$55,E199=$AB$56,$AF$56,E199=$AB$57,$AF$57,E199=$AB$58,$AF$58,E199=$AB$59,$AF$59,E199=$AB$60,$AF$60,E199=$AB$61,$AF$61,E199=$AB$62,$AF$62,E199=$AB$63,$AF$63,E199=$AB$64,$AF$64,E199=$AB$65,$AF$65,E199=$AB$66,$AF$66,TRUE,"0")</f>
        <v>40 mins Back ANother Goal</v>
      </c>
      <c r="D199" s="270" t="str" cm="1">
        <f t="array" ref="D199">_xlfn.IFS(E199=$AB$42,$AD$42,E199=$AB$43,$AD$43,E199=$AB$44,$AD$44,E199=$AB$45,$AD$45,E199=$AB$46,$AD$46,E199=$AB$47,$AD$47,E199=$AB$48,$AD$48,E199=$AB$49,$AD$49,E199=$AB$50,$AD$50,E199=$AB$51,$AD$51,E199=$AB$52,$AD$52,E199=$AB$53,$AD$53,E199=$AB$54,$AD$54,E199=$AB$55,$AD$55,E199=$AB$56,$AD$56,E199=$AB$57,$AD$57,E199=$AB$58,$AD$58,E199=$AB$59,$AD$59,E199=$AB$60,$AD$60,E199=$AB$61,$AD$61,E199=$AB$62,$AD$62,E199=$AB$63,$AD$63,E199=$AB$64,$AD$64,E199=$AB$65,$AD$65,E199=$AB$66,$AD$66,TRUE,"0")</f>
        <v xml:space="preserve">  BANG</v>
      </c>
      <c r="E199" s="163" t="s">
        <v>10</v>
      </c>
      <c r="F199" s="2" t="s">
        <v>20</v>
      </c>
      <c r="G199" s="2" t="s">
        <v>21</v>
      </c>
      <c r="H199" s="3">
        <v>45325.708333333336</v>
      </c>
      <c r="I199" s="2" t="s">
        <v>402</v>
      </c>
      <c r="J199" s="2" t="s">
        <v>109</v>
      </c>
      <c r="K199" s="2">
        <v>2</v>
      </c>
      <c r="L199" s="2">
        <v>95</v>
      </c>
      <c r="M199" s="2">
        <v>65</v>
      </c>
      <c r="N199" s="2">
        <v>35</v>
      </c>
      <c r="O199" s="2">
        <v>64</v>
      </c>
      <c r="P199" s="2">
        <v>20</v>
      </c>
      <c r="Q199" s="1" t="s">
        <v>95</v>
      </c>
      <c r="R199" s="14" t="s">
        <v>216</v>
      </c>
      <c r="S199" s="13" t="s">
        <v>213</v>
      </c>
      <c r="T199" s="188">
        <f t="shared" si="23"/>
        <v>90.190183338271311</v>
      </c>
      <c r="U199" s="8">
        <f t="shared" si="22"/>
        <v>16.234233000888835</v>
      </c>
      <c r="V199" s="234">
        <f t="shared" si="26"/>
        <v>1820.0378997663149</v>
      </c>
      <c r="W199" s="15">
        <v>25</v>
      </c>
      <c r="X199" s="8">
        <f t="shared" si="24"/>
        <v>4.5</v>
      </c>
      <c r="Y199" s="233">
        <f t="shared" si="25"/>
        <v>1155</v>
      </c>
    </row>
    <row r="200" spans="1:25">
      <c r="A200" s="156" t="e" cm="1">
        <f t="array" aca="1" ref="A200" ca="1">_xlfn.IFS(E200=$AB$42,$AC$42,E200=$AB$43,$AC$43,E200=$AB$44,$AC$44,E200=$AB$45,$AC$45,E200=$AB$46,$AC$46,E200=$AB$47,$AC$47,E200=$AB$48,$AC$48,E200=$AB$49,$AC$49,E200=$AB$50,$AC$50,E200=$AB$51,$AC$51,E200=$AB$52,$AC$52,E200=$AB$53,$AC$53,E200=$AB$54,$AC$54,E200=$AB$55,$AC$55,E200=$AB$56,$AC$56,E200=$AB$57,$AC$57,E200=$AB$58,$AC$58,E200=$AB$59,$AC$59,E200=$AB$60,$AC$60,E200=$AB$61,$AC$61,E200=$AB$62,$AC$62,E200=$AB$63,$AC$63,E200=$AB$64,$AC$64,E200=$AB$65,$AC$65,E200=$AB$66,$AC$66,TRUE,"0")</f>
        <v>#NAME?</v>
      </c>
      <c r="C200" s="161" t="str" cm="1">
        <f t="array" ref="C200">_xlfn.IFS(E200=$AB$42,$AF$42,E200=$AB$43,$AF$43,E200=$AB$44,$AF$44,E200=$AB$45,$AF$45,E200=$AB$46,$AF$46,E200=$AB$47,$AF$47,E200=$AB$48,$AF$48,E200=$AB$49,$AF$49,E200=$AB$50,$AF$50,E200=$AB$51,$AF$51,E200=$AB$52,$AF$52,E200=$AB$53,$AF$53,E200=$AB$54,$AF$54,E200=$AB$55,$AF$55,E200=$AB$56,$AF$56,E200=$AB$57,$AF$57,E200=$AB$58,$AF$58,E200=$AB$59,$AF$59,E200=$AB$60,$AF$60,E200=$AB$61,$AF$61,E200=$AB$62,$AF$62,E200=$AB$63,$AF$63,E200=$AB$64,$AF$64,E200=$AB$65,$AF$65,E200=$AB$66,$AF$66,TRUE,"0")</f>
        <v>if 0-0, BACK+ 0.5 GOALS  @ 1.15+odds.  or @ 40 mins</v>
      </c>
      <c r="D200" s="270" t="str" cm="1">
        <f t="array" ref="D200">_xlfn.IFS(E200=$AB$42,$AD$42,E200=$AB$43,$AD$43,E200=$AB$44,$AD$44,E200=$AB$45,$AD$45,E200=$AB$46,$AD$46,E200=$AB$47,$AD$47,E200=$AB$48,$AD$48,E200=$AB$49,$AD$49,E200=$AB$50,$AD$50,E200=$AB$51,$AD$51,E200=$AB$52,$AD$52,E200=$AB$53,$AD$53,E200=$AB$54,$AD$54,E200=$AB$55,$AD$55,E200=$AB$56,$AD$56,E200=$AB$57,$AD$57,E200=$AB$58,$AD$58,E200=$AB$59,$AD$59,E200=$AB$60,$AD$60,E200=$AB$61,$AD$61,E200=$AB$62,$AD$62,E200=$AB$63,$AD$63,E200=$AB$64,$AD$64,E200=$AB$65,$AD$65,E200=$AB$66,$AD$66,TRUE,"0")</f>
        <v>IP</v>
      </c>
      <c r="E200" s="163" t="s">
        <v>270</v>
      </c>
      <c r="F200" s="2" t="s">
        <v>149</v>
      </c>
      <c r="G200" s="2" t="s">
        <v>153</v>
      </c>
      <c r="H200" s="3">
        <v>45325.791666666664</v>
      </c>
      <c r="I200" s="2" t="s">
        <v>363</v>
      </c>
      <c r="J200" s="2" t="s">
        <v>188</v>
      </c>
      <c r="K200" s="2">
        <v>62</v>
      </c>
      <c r="L200" s="2">
        <v>0</v>
      </c>
      <c r="M200" s="2">
        <v>20</v>
      </c>
      <c r="N200" s="2">
        <v>2.5</v>
      </c>
      <c r="O200" s="2"/>
      <c r="P200" s="2"/>
      <c r="Q200" s="1" t="s">
        <v>95</v>
      </c>
      <c r="R200" s="14" t="s">
        <v>216</v>
      </c>
      <c r="S200" s="13" t="s">
        <v>216</v>
      </c>
      <c r="T200" s="188">
        <f t="shared" si="23"/>
        <v>91.001894988315755</v>
      </c>
      <c r="U200" s="8">
        <f t="shared" si="22"/>
        <v>16.380341097896835</v>
      </c>
      <c r="V200" s="234">
        <f t="shared" si="26"/>
        <v>1836.4182408642118</v>
      </c>
      <c r="W200" s="15">
        <v>25</v>
      </c>
      <c r="X200" s="8">
        <f t="shared" si="24"/>
        <v>4.5</v>
      </c>
      <c r="Y200" s="233">
        <f t="shared" si="25"/>
        <v>1159.5</v>
      </c>
    </row>
    <row r="201" spans="1:25">
      <c r="A201" s="156" t="e" cm="1">
        <f t="array" aca="1" ref="A201" ca="1">_xlfn.IFS(E201=$AB$42,$AC$42,E201=$AB$43,$AC$43,E201=$AB$44,$AC$44,E201=$AB$45,$AC$45,E201=$AB$46,$AC$46,E201=$AB$47,$AC$47,E201=$AB$48,$AC$48,E201=$AB$49,$AC$49,E201=$AB$50,$AC$50,E201=$AB$51,$AC$51,E201=$AB$52,$AC$52,E201=$AB$53,$AC$53,E201=$AB$54,$AC$54,E201=$AB$55,$AC$55,E201=$AB$56,$AC$56,E201=$AB$57,$AC$57,E201=$AB$58,$AC$58,E201=$AB$59,$AC$59,E201=$AB$60,$AC$60,E201=$AB$61,$AC$61,E201=$AB$62,$AC$62,E201=$AB$63,$AC$63,E201=$AB$64,$AC$64,E201=$AB$65,$AC$65,E201=$AB$66,$AC$66,TRUE,"0")</f>
        <v>#NAME?</v>
      </c>
      <c r="C201" s="161" t="str" cm="1">
        <f t="array" ref="C201">_xlfn.IFS(E201=$AB$42,$AF$42,E201=$AB$43,$AF$43,E201=$AB$44,$AF$44,E201=$AB$45,$AF$45,E201=$AB$46,$AF$46,E201=$AB$47,$AF$47,E201=$AB$48,$AF$48,E201=$AB$49,$AF$49,E201=$AB$50,$AF$50,E201=$AB$51,$AF$51,E201=$AB$52,$AF$52,E201=$AB$53,$AF$53,E201=$AB$54,$AF$54,E201=$AB$55,$AF$55,E201=$AB$56,$AF$56,E201=$AB$57,$AF$57,E201=$AB$58,$AF$58,E201=$AB$59,$AF$59,E201=$AB$60,$AF$60,E201=$AB$61,$AF$61,E201=$AB$62,$AF$62,E201=$AB$63,$AF$63,E201=$AB$64,$AF$64,E201=$AB$65,$AF$65,E201=$AB$66,$AF$66,TRUE,"0")</f>
        <v>40 mins Back ANother Goal</v>
      </c>
      <c r="D201" s="270" t="str" cm="1">
        <f t="array" ref="D201">_xlfn.IFS(E201=$AB$42,$AD$42,E201=$AB$43,$AD$43,E201=$AB$44,$AD$44,E201=$AB$45,$AD$45,E201=$AB$46,$AD$46,E201=$AB$47,$AD$47,E201=$AB$48,$AD$48,E201=$AB$49,$AD$49,E201=$AB$50,$AD$50,E201=$AB$51,$AD$51,E201=$AB$52,$AD$52,E201=$AB$53,$AD$53,E201=$AB$54,$AD$54,E201=$AB$55,$AD$55,E201=$AB$56,$AD$56,E201=$AB$57,$AD$57,E201=$AB$58,$AD$58,E201=$AB$59,$AD$59,E201=$AB$60,$AD$60,E201=$AB$61,$AD$61,E201=$AB$62,$AD$62,E201=$AB$63,$AD$63,E201=$AB$64,$AD$64,E201=$AB$65,$AD$65,E201=$AB$66,$AD$66,TRUE,"0")</f>
        <v xml:space="preserve">  BANG</v>
      </c>
      <c r="E201" s="163" t="s">
        <v>35</v>
      </c>
      <c r="F201" s="2" t="s">
        <v>296</v>
      </c>
      <c r="G201" s="2" t="s">
        <v>78</v>
      </c>
      <c r="H201" s="3">
        <v>45325.8125</v>
      </c>
      <c r="I201" s="2" t="s">
        <v>392</v>
      </c>
      <c r="J201" s="2" t="s">
        <v>368</v>
      </c>
      <c r="K201" s="2">
        <v>72</v>
      </c>
      <c r="L201" s="2">
        <v>95</v>
      </c>
      <c r="M201" s="2">
        <v>80</v>
      </c>
      <c r="N201" s="2">
        <v>40</v>
      </c>
      <c r="O201" s="2">
        <v>20</v>
      </c>
      <c r="P201" s="2">
        <v>0.59</v>
      </c>
      <c r="Q201" s="1" t="s">
        <v>95</v>
      </c>
      <c r="R201" s="14" t="s">
        <v>221</v>
      </c>
      <c r="S201" s="13" t="s">
        <v>193</v>
      </c>
      <c r="T201" s="188">
        <f t="shared" si="23"/>
        <v>91.820912043210598</v>
      </c>
      <c r="U201" s="8">
        <f t="shared" si="22"/>
        <v>16.527764167777907</v>
      </c>
      <c r="V201" s="234">
        <f t="shared" si="26"/>
        <v>1852.9460050319897</v>
      </c>
      <c r="W201" s="15">
        <v>25</v>
      </c>
      <c r="X201" s="8">
        <f t="shared" si="24"/>
        <v>4.5</v>
      </c>
      <c r="Y201" s="233">
        <f t="shared" si="25"/>
        <v>1164</v>
      </c>
    </row>
    <row r="202" spans="1:25">
      <c r="A202" s="156" t="e" cm="1">
        <f t="array" aca="1" ref="A202" ca="1">_xlfn.IFS(E202=$AB$42,$AC$42,E202=$AB$43,$AC$43,E202=$AB$44,$AC$44,E202=$AB$45,$AC$45,E202=$AB$46,$AC$46,E202=$AB$47,$AC$47,E202=$AB$48,$AC$48,E202=$AB$49,$AC$49,E202=$AB$50,$AC$50,E202=$AB$51,$AC$51,E202=$AB$52,$AC$52,E202=$AB$53,$AC$53,E202=$AB$54,$AC$54,E202=$AB$55,$AC$55,E202=$AB$56,$AC$56,E202=$AB$57,$AC$57,E202=$AB$58,$AC$58,E202=$AB$59,$AC$59,E202=$AB$60,$AC$60,E202=$AB$61,$AC$61,E202=$AB$62,$AC$62,E202=$AB$63,$AC$63,E202=$AB$64,$AC$64,E202=$AB$65,$AC$65,E202=$AB$66,$AC$66,TRUE,"0")</f>
        <v>#NAME?</v>
      </c>
      <c r="C202" s="161" t="str" cm="1">
        <f t="array" ref="C202">_xlfn.IFS(E202=$AB$42,$AF$42,E202=$AB$43,$AF$43,E202=$AB$44,$AF$44,E202=$AB$45,$AF$45,E202=$AB$46,$AF$46,E202=$AB$47,$AF$47,E202=$AB$48,$AF$48,E202=$AB$49,$AF$49,E202=$AB$50,$AF$50,E202=$AB$51,$AF$51,E202=$AB$52,$AF$52,E202=$AB$53,$AF$53,E202=$AB$54,$AF$54,E202=$AB$55,$AF$55,E202=$AB$56,$AF$56,E202=$AB$57,$AF$57,E202=$AB$58,$AF$58,E202=$AB$59,$AF$59,E202=$AB$60,$AF$60,E202=$AB$61,$AF$61,E202=$AB$62,$AF$62,E202=$AB$63,$AF$63,E202=$AB$64,$AF$64,E202=$AB$65,$AF$65,E202=$AB$66,$AF$66,TRUE,"0")</f>
        <v>if 0-0, BACK+ 0.5 GOALS  @ 1.15+odds.  or @ 40 mins</v>
      </c>
      <c r="D202" s="270" t="str" cm="1">
        <f t="array" ref="D202">_xlfn.IFS(E202=$AB$42,$AD$42,E202=$AB$43,$AD$43,E202=$AB$44,$AD$44,E202=$AB$45,$AD$45,E202=$AB$46,$AD$46,E202=$AB$47,$AD$47,E202=$AB$48,$AD$48,E202=$AB$49,$AD$49,E202=$AB$50,$AD$50,E202=$AB$51,$AD$51,E202=$AB$52,$AD$52,E202=$AB$53,$AD$53,E202=$AB$54,$AD$54,E202=$AB$55,$AD$55,E202=$AB$56,$AD$56,E202=$AB$57,$AD$57,E202=$AB$58,$AD$58,E202=$AB$59,$AD$59,E202=$AB$60,$AD$60,E202=$AB$61,$AD$61,E202=$AB$62,$AD$62,E202=$AB$63,$AD$63,E202=$AB$64,$AD$64,E202=$AB$65,$AD$65,E202=$AB$66,$AD$66,TRUE,"0")</f>
        <v>IP</v>
      </c>
      <c r="E202" s="163" t="s">
        <v>270</v>
      </c>
      <c r="F202" s="2" t="s">
        <v>149</v>
      </c>
      <c r="G202" s="2" t="s">
        <v>153</v>
      </c>
      <c r="H202" s="3">
        <v>45325.833333333336</v>
      </c>
      <c r="I202" s="2" t="s">
        <v>241</v>
      </c>
      <c r="J202" s="2" t="s">
        <v>155</v>
      </c>
      <c r="K202" s="2">
        <v>63</v>
      </c>
      <c r="L202" s="2">
        <v>0</v>
      </c>
      <c r="M202" s="2">
        <v>20</v>
      </c>
      <c r="N202" s="2">
        <v>2.2599999999999998</v>
      </c>
      <c r="O202" s="2"/>
      <c r="P202" s="2"/>
      <c r="Q202" s="1" t="s">
        <v>95</v>
      </c>
      <c r="R202" s="14" t="s">
        <v>193</v>
      </c>
      <c r="S202" s="13" t="s">
        <v>215</v>
      </c>
      <c r="T202" s="188">
        <f t="shared" si="23"/>
        <v>92.647300251599489</v>
      </c>
      <c r="U202" s="8">
        <f t="shared" si="22"/>
        <v>16.676514045287906</v>
      </c>
      <c r="V202" s="234">
        <f t="shared" si="26"/>
        <v>1869.6225190772775</v>
      </c>
      <c r="W202" s="15">
        <v>25</v>
      </c>
      <c r="X202" s="8">
        <f t="shared" si="24"/>
        <v>4.5</v>
      </c>
      <c r="Y202" s="233">
        <f t="shared" si="25"/>
        <v>1168.5</v>
      </c>
    </row>
    <row r="203" spans="1:25">
      <c r="A203" s="156" t="e" cm="1">
        <f t="array" aca="1" ref="A203" ca="1">_xlfn.IFS(E203=$AB$42,$AC$42,E203=$AB$43,$AC$43,E203=$AB$44,$AC$44,E203=$AB$45,$AC$45,E203=$AB$46,$AC$46,E203=$AB$47,$AC$47,E203=$AB$48,$AC$48,E203=$AB$49,$AC$49,E203=$AB$50,$AC$50,E203=$AB$51,$AC$51,E203=$AB$52,$AC$52,E203=$AB$53,$AC$53,E203=$AB$54,$AC$54,E203=$AB$55,$AC$55,E203=$AB$56,$AC$56,E203=$AB$57,$AC$57,E203=$AB$58,$AC$58,E203=$AB$59,$AC$59,E203=$AB$60,$AC$60,E203=$AB$61,$AC$61,E203=$AB$62,$AC$62,E203=$AB$63,$AC$63,E203=$AB$64,$AC$64,E203=$AB$65,$AC$65,E203=$AB$66,$AC$66,TRUE,"0")</f>
        <v>#NAME?</v>
      </c>
      <c r="C203" s="161" t="str" cm="1">
        <f t="array" ref="C203">_xlfn.IFS(E203=$AB$42,$AF$42,E203=$AB$43,$AF$43,E203=$AB$44,$AF$44,E203=$AB$45,$AF$45,E203=$AB$46,$AF$46,E203=$AB$47,$AF$47,E203=$AB$48,$AF$48,E203=$AB$49,$AF$49,E203=$AB$50,$AF$50,E203=$AB$51,$AF$51,E203=$AB$52,$AF$52,E203=$AB$53,$AF$53,E203=$AB$54,$AF$54,E203=$AB$55,$AF$55,E203=$AB$56,$AF$56,E203=$AB$57,$AF$57,E203=$AB$58,$AF$58,E203=$AB$59,$AF$59,E203=$AB$60,$AF$60,E203=$AB$61,$AF$61,E203=$AB$62,$AF$62,E203=$AB$63,$AF$63,E203=$AB$64,$AF$64,E203=$AB$65,$AF$65,E203=$AB$66,$AF$66,TRUE,"0")</f>
        <v>if 0-0, BACK+ 0.5 GOALS  @ 1.15+odds.  or @ 40 mins</v>
      </c>
      <c r="D203" s="270" t="str" cm="1">
        <f t="array" ref="D203">_xlfn.IFS(E203=$AB$42,$AD$42,E203=$AB$43,$AD$43,E203=$AB$44,$AD$44,E203=$AB$45,$AD$45,E203=$AB$46,$AD$46,E203=$AB$47,$AD$47,E203=$AB$48,$AD$48,E203=$AB$49,$AD$49,E203=$AB$50,$AD$50,E203=$AB$51,$AD$51,E203=$AB$52,$AD$52,E203=$AB$53,$AD$53,E203=$AB$54,$AD$54,E203=$AB$55,$AD$55,E203=$AB$56,$AD$56,E203=$AB$57,$AD$57,E203=$AB$58,$AD$58,E203=$AB$59,$AD$59,E203=$AB$60,$AD$60,E203=$AB$61,$AD$61,E203=$AB$62,$AD$62,E203=$AB$63,$AD$63,E203=$AB$64,$AD$64,E203=$AB$65,$AD$65,E203=$AB$66,$AD$66,TRUE,"0")</f>
        <v>IP</v>
      </c>
      <c r="E203" s="163" t="s">
        <v>270</v>
      </c>
      <c r="F203" s="2" t="s">
        <v>44</v>
      </c>
      <c r="G203" s="2" t="s">
        <v>45</v>
      </c>
      <c r="H203" s="3">
        <v>45326.333333333336</v>
      </c>
      <c r="I203" s="2" t="s">
        <v>143</v>
      </c>
      <c r="J203" s="2" t="s">
        <v>321</v>
      </c>
      <c r="K203" s="2">
        <v>63</v>
      </c>
      <c r="L203" s="2">
        <v>0</v>
      </c>
      <c r="M203" s="2">
        <v>20</v>
      </c>
      <c r="N203" s="2">
        <v>2.04</v>
      </c>
      <c r="O203" s="2"/>
      <c r="P203" s="2"/>
      <c r="Q203" s="1" t="s">
        <v>95</v>
      </c>
      <c r="R203" s="14" t="s">
        <v>279</v>
      </c>
      <c r="S203" s="13" t="s">
        <v>212</v>
      </c>
      <c r="T203" s="188">
        <f t="shared" si="23"/>
        <v>93.481125953863881</v>
      </c>
      <c r="U203" s="8">
        <f t="shared" si="22"/>
        <v>16.826602671695497</v>
      </c>
      <c r="V203" s="234">
        <f t="shared" si="26"/>
        <v>1886.4491217489731</v>
      </c>
      <c r="W203" s="15">
        <v>25</v>
      </c>
      <c r="X203" s="8">
        <f t="shared" si="24"/>
        <v>4.5</v>
      </c>
      <c r="Y203" s="233">
        <f t="shared" si="25"/>
        <v>1173</v>
      </c>
    </row>
    <row r="204" spans="1:25">
      <c r="A204" s="156" t="e" cm="1">
        <f t="array" aca="1" ref="A204" ca="1">_xlfn.IFS(E204=$AB$42,$AC$42,E204=$AB$43,$AC$43,E204=$AB$44,$AC$44,E204=$AB$45,$AC$45,E204=$AB$46,$AC$46,E204=$AB$47,$AC$47,E204=$AB$48,$AC$48,E204=$AB$49,$AC$49,E204=$AB$50,$AC$50,E204=$AB$51,$AC$51,E204=$AB$52,$AC$52,E204=$AB$53,$AC$53,E204=$AB$54,$AC$54,E204=$AB$55,$AC$55,E204=$AB$56,$AC$56,E204=$AB$57,$AC$57,E204=$AB$58,$AC$58,E204=$AB$59,$AC$59,E204=$AB$60,$AC$60,E204=$AB$61,$AC$61,E204=$AB$62,$AC$62,E204=$AB$63,$AC$63,E204=$AB$64,$AC$64,E204=$AB$65,$AC$65,E204=$AB$66,$AC$66,TRUE,"0")</f>
        <v>#NAME?</v>
      </c>
      <c r="C204" s="161" t="str" cm="1">
        <f t="array" ref="C204">_xlfn.IFS(E204=$AB$42,$AF$42,E204=$AB$43,$AF$43,E204=$AB$44,$AF$44,E204=$AB$45,$AF$45,E204=$AB$46,$AF$46,E204=$AB$47,$AF$47,E204=$AB$48,$AF$48,E204=$AB$49,$AF$49,E204=$AB$50,$AF$50,E204=$AB$51,$AF$51,E204=$AB$52,$AF$52,E204=$AB$53,$AF$53,E204=$AB$54,$AF$54,E204=$AB$55,$AF$55,E204=$AB$56,$AF$56,E204=$AB$57,$AF$57,E204=$AB$58,$AF$58,E204=$AB$59,$AF$59,E204=$AB$60,$AF$60,E204=$AB$61,$AF$61,E204=$AB$62,$AF$62,E204=$AB$63,$AF$63,E204=$AB$64,$AF$64,E204=$AB$65,$AF$65,E204=$AB$66,$AF$66,TRUE,"0")</f>
        <v>if 0-0, BACK+ 0.5 GOALS  @ 1.15+odds.  or @ 40 mins</v>
      </c>
      <c r="D204" s="270" t="str" cm="1">
        <f t="array" ref="D204">_xlfn.IFS(E204=$AB$42,$AD$42,E204=$AB$43,$AD$43,E204=$AB$44,$AD$44,E204=$AB$45,$AD$45,E204=$AB$46,$AD$46,E204=$AB$47,$AD$47,E204=$AB$48,$AD$48,E204=$AB$49,$AD$49,E204=$AB$50,$AD$50,E204=$AB$51,$AD$51,E204=$AB$52,$AD$52,E204=$AB$53,$AD$53,E204=$AB$54,$AD$54,E204=$AB$55,$AD$55,E204=$AB$56,$AD$56,E204=$AB$57,$AD$57,E204=$AB$58,$AD$58,E204=$AB$59,$AD$59,E204=$AB$60,$AD$60,E204=$AB$61,$AD$61,E204=$AB$62,$AD$62,E204=$AB$63,$AD$63,E204=$AB$64,$AD$64,E204=$AB$65,$AD$65,E204=$AB$66,$AD$66,TRUE,"0")</f>
        <v>IP</v>
      </c>
      <c r="E204" s="163" t="s">
        <v>270</v>
      </c>
      <c r="F204" s="2" t="s">
        <v>67</v>
      </c>
      <c r="G204" s="2" t="s">
        <v>169</v>
      </c>
      <c r="H204" s="3">
        <v>45326.520833333336</v>
      </c>
      <c r="I204" s="2" t="s">
        <v>393</v>
      </c>
      <c r="J204" s="2" t="s">
        <v>170</v>
      </c>
      <c r="K204" s="2">
        <v>60</v>
      </c>
      <c r="L204" s="2">
        <v>0</v>
      </c>
      <c r="M204" s="2">
        <v>20</v>
      </c>
      <c r="N204" s="2">
        <v>1.07</v>
      </c>
      <c r="O204" s="2"/>
      <c r="P204" s="2"/>
      <c r="Q204" s="1" t="s">
        <v>95</v>
      </c>
      <c r="R204" s="14" t="s">
        <v>218</v>
      </c>
      <c r="S204" s="13" t="s">
        <v>211</v>
      </c>
      <c r="T204" s="188">
        <f t="shared" si="23"/>
        <v>94.322456087448657</v>
      </c>
      <c r="U204" s="8">
        <f t="shared" si="22"/>
        <v>16.978042095740758</v>
      </c>
      <c r="V204" s="234">
        <f t="shared" si="26"/>
        <v>1903.4271638447137</v>
      </c>
      <c r="W204" s="15">
        <v>25</v>
      </c>
      <c r="X204" s="8">
        <f t="shared" si="24"/>
        <v>4.5</v>
      </c>
      <c r="Y204" s="233">
        <f t="shared" si="25"/>
        <v>1177.5</v>
      </c>
    </row>
    <row r="205" spans="1:25">
      <c r="A205" s="156" t="e" cm="1">
        <f t="array" aca="1" ref="A205" ca="1">_xlfn.IFS(E205=$AB$42,$AC$42,E205=$AB$43,$AC$43,E205=$AB$44,$AC$44,E205=$AB$45,$AC$45,E205=$AB$46,$AC$46,E205=$AB$47,$AC$47,E205=$AB$48,$AC$48,E205=$AB$49,$AC$49,E205=$AB$50,$AC$50,E205=$AB$51,$AC$51,E205=$AB$52,$AC$52,E205=$AB$53,$AC$53,E205=$AB$54,$AC$54,E205=$AB$55,$AC$55,E205=$AB$56,$AC$56,E205=$AB$57,$AC$57,E205=$AB$58,$AC$58,E205=$AB$59,$AC$59,E205=$AB$60,$AC$60,E205=$AB$61,$AC$61,E205=$AB$62,$AC$62,E205=$AB$63,$AC$63,E205=$AB$64,$AC$64,E205=$AB$65,$AC$65,E205=$AB$66,$AC$66,TRUE,"0")</f>
        <v>#NAME?</v>
      </c>
      <c r="C205" s="161" t="str" cm="1">
        <f t="array" ref="C205">_xlfn.IFS(E205=$AB$42,$AF$42,E205=$AB$43,$AF$43,E205=$AB$44,$AF$44,E205=$AB$45,$AF$45,E205=$AB$46,$AF$46,E205=$AB$47,$AF$47,E205=$AB$48,$AF$48,E205=$AB$49,$AF$49,E205=$AB$50,$AF$50,E205=$AB$51,$AF$51,E205=$AB$52,$AF$52,E205=$AB$53,$AF$53,E205=$AB$54,$AF$54,E205=$AB$55,$AF$55,E205=$AB$56,$AF$56,E205=$AB$57,$AF$57,E205=$AB$58,$AF$58,E205=$AB$59,$AF$59,E205=$AB$60,$AF$60,E205=$AB$61,$AF$61,E205=$AB$62,$AF$62,E205=$AB$63,$AF$63,E205=$AB$64,$AF$64,E205=$AB$65,$AF$65,E205=$AB$66,$AF$66,TRUE,"0")</f>
        <v>B4 Match, lay HT 0-0 or BACK H1 +0.5 GOALS</v>
      </c>
      <c r="D205" s="270" t="str" cm="1">
        <f t="array" ref="D205">_xlfn.IFS(E205=$AB$42,$AD$42,E205=$AB$43,$AD$43,E205=$AB$44,$AD$44,E205=$AB$45,$AD$45,E205=$AB$46,$AD$46,E205=$AB$47,$AD$47,E205=$AB$48,$AD$48,E205=$AB$49,$AD$49,E205=$AB$50,$AD$50,E205=$AB$51,$AD$51,E205=$AB$52,$AD$52,E205=$AB$53,$AD$53,E205=$AB$54,$AD$54,E205=$AB$55,$AD$55,E205=$AB$56,$AD$56,E205=$AB$57,$AD$57,E205=$AB$58,$AD$58,E205=$AB$59,$AD$59,E205=$AB$60,$AD$60,E205=$AB$61,$AD$61,E205=$AB$62,$AD$62,E205=$AB$63,$AD$63,E205=$AB$64,$AD$64,E205=$AB$65,$AD$65,E205=$AB$66,$AD$66,TRUE,"0")</f>
        <v xml:space="preserve">BFM </v>
      </c>
      <c r="E205" s="163" t="s">
        <v>432</v>
      </c>
      <c r="F205" s="2" t="s">
        <v>149</v>
      </c>
      <c r="G205" s="2" t="s">
        <v>153</v>
      </c>
      <c r="H205" s="3">
        <v>45326.5625</v>
      </c>
      <c r="I205" s="2" t="s">
        <v>245</v>
      </c>
      <c r="J205" s="2" t="s">
        <v>282</v>
      </c>
      <c r="K205" s="2">
        <v>95</v>
      </c>
      <c r="L205" s="2">
        <v>17</v>
      </c>
      <c r="M205" s="2">
        <v>50</v>
      </c>
      <c r="N205" s="2">
        <v>1.1599999999999999</v>
      </c>
      <c r="O205" s="2"/>
      <c r="P205" s="2"/>
      <c r="Q205" s="1" t="s">
        <v>95</v>
      </c>
      <c r="R205" s="14" t="s">
        <v>193</v>
      </c>
      <c r="S205" s="13" t="s">
        <v>193</v>
      </c>
      <c r="T205" s="188">
        <f t="shared" si="23"/>
        <v>95.171358192235687</v>
      </c>
      <c r="U205" s="8">
        <f t="shared" si="22"/>
        <v>17.130844474602423</v>
      </c>
      <c r="V205" s="234">
        <f t="shared" si="26"/>
        <v>1920.5580083193161</v>
      </c>
      <c r="W205" s="15">
        <v>25</v>
      </c>
      <c r="X205" s="8">
        <f t="shared" si="24"/>
        <v>4.5</v>
      </c>
      <c r="Y205" s="233">
        <f t="shared" si="25"/>
        <v>1182</v>
      </c>
    </row>
    <row r="206" spans="1:25">
      <c r="A206" s="156" t="e" cm="1">
        <f t="array" aca="1" ref="A206" ca="1">_xlfn.IFS(E206=$AB$42,$AC$42,E206=$AB$43,$AC$43,E206=$AB$44,$AC$44,E206=$AB$45,$AC$45,E206=$AB$46,$AC$46,E206=$AB$47,$AC$47,E206=$AB$48,$AC$48,E206=$AB$49,$AC$49,E206=$AB$50,$AC$50,E206=$AB$51,$AC$51,E206=$AB$52,$AC$52,E206=$AB$53,$AC$53,E206=$AB$54,$AC$54,E206=$AB$55,$AC$55,E206=$AB$56,$AC$56,E206=$AB$57,$AC$57,E206=$AB$58,$AC$58,E206=$AB$59,$AC$59,E206=$AB$60,$AC$60,E206=$AB$61,$AC$61,E206=$AB$62,$AC$62,E206=$AB$63,$AC$63,E206=$AB$64,$AC$64,E206=$AB$65,$AC$65,E206=$AB$66,$AC$66,TRUE,"0")</f>
        <v>#NAME?</v>
      </c>
      <c r="C206" s="161" t="str" cm="1">
        <f t="array" ref="C206">_xlfn.IFS(E206=$AB$42,$AF$42,E206=$AB$43,$AF$43,E206=$AB$44,$AF$44,E206=$AB$45,$AF$45,E206=$AB$46,$AF$46,E206=$AB$47,$AF$47,E206=$AB$48,$AF$48,E206=$AB$49,$AF$49,E206=$AB$50,$AF$50,E206=$AB$51,$AF$51,E206=$AB$52,$AF$52,E206=$AB$53,$AF$53,E206=$AB$54,$AF$54,E206=$AB$55,$AF$55,E206=$AB$56,$AF$56,E206=$AB$57,$AF$57,E206=$AB$58,$AF$58,E206=$AB$59,$AF$59,E206=$AB$60,$AF$60,E206=$AB$61,$AF$61,E206=$AB$62,$AF$62,E206=$AB$63,$AF$63,E206=$AB$64,$AF$64,E206=$AB$65,$AF$65,E206=$AB$66,$AF$66,TRUE,"0")</f>
        <v>if 0-0, BACK+ 0.5 GOALS  @ 1.15+odds.  or @ 40 mins</v>
      </c>
      <c r="D206" s="270" t="str" cm="1">
        <f t="array" ref="D206">_xlfn.IFS(E206=$AB$42,$AD$42,E206=$AB$43,$AD$43,E206=$AB$44,$AD$44,E206=$AB$45,$AD$45,E206=$AB$46,$AD$46,E206=$AB$47,$AD$47,E206=$AB$48,$AD$48,E206=$AB$49,$AD$49,E206=$AB$50,$AD$50,E206=$AB$51,$AD$51,E206=$AB$52,$AD$52,E206=$AB$53,$AD$53,E206=$AB$54,$AD$54,E206=$AB$55,$AD$55,E206=$AB$56,$AD$56,E206=$AB$57,$AD$57,E206=$AB$58,$AD$58,E206=$AB$59,$AD$59,E206=$AB$60,$AD$60,E206=$AB$61,$AD$61,E206=$AB$62,$AD$62,E206=$AB$63,$AD$63,E206=$AB$64,$AD$64,E206=$AB$65,$AD$65,E206=$AB$66,$AD$66,TRUE,"0")</f>
        <v>IP</v>
      </c>
      <c r="E206" s="163" t="s">
        <v>270</v>
      </c>
      <c r="F206" s="2" t="s">
        <v>149</v>
      </c>
      <c r="G206" s="2" t="s">
        <v>153</v>
      </c>
      <c r="H206" s="3">
        <v>45326.5625</v>
      </c>
      <c r="I206" s="2" t="s">
        <v>250</v>
      </c>
      <c r="J206" s="2" t="s">
        <v>244</v>
      </c>
      <c r="K206" s="2">
        <v>63</v>
      </c>
      <c r="L206" s="2">
        <v>0</v>
      </c>
      <c r="M206" s="2">
        <v>20</v>
      </c>
      <c r="N206" s="2">
        <v>2.4700000000000002</v>
      </c>
      <c r="O206" s="2"/>
      <c r="P206" s="2"/>
      <c r="Q206" s="1" t="s">
        <v>95</v>
      </c>
      <c r="R206" s="14" t="s">
        <v>222</v>
      </c>
      <c r="S206" s="13" t="s">
        <v>277</v>
      </c>
      <c r="T206" s="188">
        <f t="shared" si="23"/>
        <v>96.027900415965803</v>
      </c>
      <c r="U206" s="8">
        <f t="shared" si="22"/>
        <v>17.285022074873844</v>
      </c>
      <c r="V206" s="234">
        <f t="shared" si="26"/>
        <v>1937.84303039419</v>
      </c>
      <c r="W206" s="15">
        <v>25</v>
      </c>
      <c r="X206" s="8">
        <f t="shared" si="24"/>
        <v>4.5</v>
      </c>
      <c r="Y206" s="233">
        <f t="shared" si="25"/>
        <v>1186.5</v>
      </c>
    </row>
    <row r="207" spans="1:25">
      <c r="A207" s="156" t="e" cm="1">
        <f t="array" aca="1" ref="A207" ca="1">_xlfn.IFS(E207=$AB$42,$AC$42,E207=$AB$43,$AC$43,E207=$AB$44,$AC$44,E207=$AB$45,$AC$45,E207=$AB$46,$AC$46,E207=$AB$47,$AC$47,E207=$AB$48,$AC$48,E207=$AB$49,$AC$49,E207=$AB$50,$AC$50,E207=$AB$51,$AC$51,E207=$AB$52,$AC$52,E207=$AB$53,$AC$53,E207=$AB$54,$AC$54,E207=$AB$55,$AC$55,E207=$AB$56,$AC$56,E207=$AB$57,$AC$57,E207=$AB$58,$AC$58,E207=$AB$59,$AC$59,E207=$AB$60,$AC$60,E207=$AB$61,$AC$61,E207=$AB$62,$AC$62,E207=$AB$63,$AC$63,E207=$AB$64,$AC$64,E207=$AB$65,$AC$65,E207=$AB$66,$AC$66,TRUE,"0")</f>
        <v>#NAME?</v>
      </c>
      <c r="C207" s="161" t="str" cm="1">
        <f t="array" ref="C207">_xlfn.IFS(E207=$AB$42,$AF$42,E207=$AB$43,$AF$43,E207=$AB$44,$AF$44,E207=$AB$45,$AF$45,E207=$AB$46,$AF$46,E207=$AB$47,$AF$47,E207=$AB$48,$AF$48,E207=$AB$49,$AF$49,E207=$AB$50,$AF$50,E207=$AB$51,$AF$51,E207=$AB$52,$AF$52,E207=$AB$53,$AF$53,E207=$AB$54,$AF$54,E207=$AB$55,$AF$55,E207=$AB$56,$AF$56,E207=$AB$57,$AF$57,E207=$AB$58,$AF$58,E207=$AB$59,$AF$59,E207=$AB$60,$AF$60,E207=$AB$61,$AF$61,E207=$AB$62,$AF$62,E207=$AB$63,$AF$63,E207=$AB$64,$AF$64,E207=$AB$65,$AF$65,E207=$AB$66,$AF$66,TRUE,"0")</f>
        <v>40 mins Back ANother Goal</v>
      </c>
      <c r="D207" s="270" t="str" cm="1">
        <f t="array" ref="D207">_xlfn.IFS(E207=$AB$42,$AD$42,E207=$AB$43,$AD$43,E207=$AB$44,$AD$44,E207=$AB$45,$AD$45,E207=$AB$46,$AD$46,E207=$AB$47,$AD$47,E207=$AB$48,$AD$48,E207=$AB$49,$AD$49,E207=$AB$50,$AD$50,E207=$AB$51,$AD$51,E207=$AB$52,$AD$52,E207=$AB$53,$AD$53,E207=$AB$54,$AD$54,E207=$AB$55,$AD$55,E207=$AB$56,$AD$56,E207=$AB$57,$AD$57,E207=$AB$58,$AD$58,E207=$AB$59,$AD$59,E207=$AB$60,$AD$60,E207=$AB$61,$AD$61,E207=$AB$62,$AD$62,E207=$AB$63,$AD$63,E207=$AB$64,$AD$64,E207=$AB$65,$AD$65,E207=$AB$66,$AD$66,TRUE,"0")</f>
        <v xml:space="preserve">  BANG</v>
      </c>
      <c r="E207" s="163" t="s">
        <v>10</v>
      </c>
      <c r="F207" s="2" t="s">
        <v>6</v>
      </c>
      <c r="G207" s="2" t="s">
        <v>62</v>
      </c>
      <c r="H207" s="3">
        <v>45326.583333333336</v>
      </c>
      <c r="I207" s="2" t="s">
        <v>383</v>
      </c>
      <c r="J207" s="2" t="s">
        <v>74</v>
      </c>
      <c r="K207" s="2">
        <v>2</v>
      </c>
      <c r="L207" s="2">
        <v>95</v>
      </c>
      <c r="M207" s="2">
        <v>75</v>
      </c>
      <c r="N207" s="2">
        <v>25</v>
      </c>
      <c r="O207" s="2">
        <v>61</v>
      </c>
      <c r="P207" s="2">
        <v>20</v>
      </c>
      <c r="Q207" s="1" t="s">
        <v>95</v>
      </c>
      <c r="R207" s="14" t="s">
        <v>214</v>
      </c>
      <c r="S207" s="13" t="s">
        <v>207</v>
      </c>
      <c r="T207" s="188">
        <f t="shared" si="23"/>
        <v>96.8921515197095</v>
      </c>
      <c r="U207" s="8">
        <f t="shared" si="22"/>
        <v>17.44058727354771</v>
      </c>
      <c r="V207" s="234">
        <f t="shared" si="26"/>
        <v>1955.2836176677376</v>
      </c>
      <c r="W207" s="15">
        <v>25</v>
      </c>
      <c r="X207" s="8">
        <f t="shared" si="24"/>
        <v>4.5</v>
      </c>
      <c r="Y207" s="233">
        <f t="shared" si="25"/>
        <v>1191</v>
      </c>
    </row>
    <row r="208" spans="1:25">
      <c r="A208" s="156" t="e" cm="1">
        <f t="array" aca="1" ref="A208" ca="1">_xlfn.IFS(E208=$AB$42,$AC$42,E208=$AB$43,$AC$43,E208=$AB$44,$AC$44,E208=$AB$45,$AC$45,E208=$AB$46,$AC$46,E208=$AB$47,$AC$47,E208=$AB$48,$AC$48,E208=$AB$49,$AC$49,E208=$AB$50,$AC$50,E208=$AB$51,$AC$51,E208=$AB$52,$AC$52,E208=$AB$53,$AC$53,E208=$AB$54,$AC$54,E208=$AB$55,$AC$55,E208=$AB$56,$AC$56,E208=$AB$57,$AC$57,E208=$AB$58,$AC$58,E208=$AB$59,$AC$59,E208=$AB$60,$AC$60,E208=$AB$61,$AC$61,E208=$AB$62,$AC$62,E208=$AB$63,$AC$63,E208=$AB$64,$AC$64,E208=$AB$65,$AC$65,E208=$AB$66,$AC$66,TRUE,"0")</f>
        <v>#NAME?</v>
      </c>
      <c r="C208" s="161" t="str" cm="1">
        <f t="array" ref="C208">_xlfn.IFS(E208=$AB$42,$AF$42,E208=$AB$43,$AF$43,E208=$AB$44,$AF$44,E208=$AB$45,$AF$45,E208=$AB$46,$AF$46,E208=$AB$47,$AF$47,E208=$AB$48,$AF$48,E208=$AB$49,$AF$49,E208=$AB$50,$AF$50,E208=$AB$51,$AF$51,E208=$AB$52,$AF$52,E208=$AB$53,$AF$53,E208=$AB$54,$AF$54,E208=$AB$55,$AF$55,E208=$AB$56,$AF$56,E208=$AB$57,$AF$57,E208=$AB$58,$AF$58,E208=$AB$59,$AF$59,E208=$AB$60,$AF$60,E208=$AB$61,$AF$61,E208=$AB$62,$AF$62,E208=$AB$63,$AF$63,E208=$AB$64,$AF$64,E208=$AB$65,$AF$65,E208=$AB$66,$AF$66,TRUE,"0")</f>
        <v>B4 Match, lay HT 0-0 or BACK H1 +0.5 GOALS</v>
      </c>
      <c r="D208" s="270" t="str" cm="1">
        <f t="array" ref="D208">_xlfn.IFS(E208=$AB$42,$AD$42,E208=$AB$43,$AD$43,E208=$AB$44,$AD$44,E208=$AB$45,$AD$45,E208=$AB$46,$AD$46,E208=$AB$47,$AD$47,E208=$AB$48,$AD$48,E208=$AB$49,$AD$49,E208=$AB$50,$AD$50,E208=$AB$51,$AD$51,E208=$AB$52,$AD$52,E208=$AB$53,$AD$53,E208=$AB$54,$AD$54,E208=$AB$55,$AD$55,E208=$AB$56,$AD$56,E208=$AB$57,$AD$57,E208=$AB$58,$AD$58,E208=$AB$59,$AD$59,E208=$AB$60,$AD$60,E208=$AB$61,$AD$61,E208=$AB$62,$AD$62,E208=$AB$63,$AD$63,E208=$AB$64,$AD$64,E208=$AB$65,$AD$65,E208=$AB$66,$AD$66,TRUE,"0")</f>
        <v xml:space="preserve">BFM </v>
      </c>
      <c r="E208" s="163" t="s">
        <v>432</v>
      </c>
      <c r="F208" s="2" t="s">
        <v>6</v>
      </c>
      <c r="G208" s="2" t="s">
        <v>62</v>
      </c>
      <c r="H208" s="3">
        <v>45326.583333333336</v>
      </c>
      <c r="I208" s="2" t="s">
        <v>383</v>
      </c>
      <c r="J208" s="2" t="s">
        <v>74</v>
      </c>
      <c r="K208" s="2">
        <v>83</v>
      </c>
      <c r="L208" s="2">
        <v>25</v>
      </c>
      <c r="M208" s="2">
        <v>35</v>
      </c>
      <c r="N208" s="2">
        <v>0.68</v>
      </c>
      <c r="O208" s="2"/>
      <c r="P208" s="2"/>
      <c r="Q208" s="1" t="s">
        <v>95</v>
      </c>
      <c r="R208" s="14" t="s">
        <v>214</v>
      </c>
      <c r="S208" s="13" t="s">
        <v>207</v>
      </c>
      <c r="T208" s="188">
        <f t="shared" si="23"/>
        <v>97.764180883386885</v>
      </c>
      <c r="U208" s="8">
        <f t="shared" si="22"/>
        <v>17.597552559009639</v>
      </c>
      <c r="V208" s="234">
        <f t="shared" si="26"/>
        <v>1972.8811702267474</v>
      </c>
      <c r="W208" s="15">
        <v>25</v>
      </c>
      <c r="X208" s="8">
        <f t="shared" si="24"/>
        <v>4.5</v>
      </c>
      <c r="Y208" s="233">
        <f t="shared" si="25"/>
        <v>1195.5</v>
      </c>
    </row>
    <row r="209" spans="1:25">
      <c r="A209" s="156" t="e" cm="1">
        <f t="array" aca="1" ref="A209" ca="1">_xlfn.IFS(E209=$AB$42,$AC$42,E209=$AB$43,$AC$43,E209=$AB$44,$AC$44,E209=$AB$45,$AC$45,E209=$AB$46,$AC$46,E209=$AB$47,$AC$47,E209=$AB$48,$AC$48,E209=$AB$49,$AC$49,E209=$AB$50,$AC$50,E209=$AB$51,$AC$51,E209=$AB$52,$AC$52,E209=$AB$53,$AC$53,E209=$AB$54,$AC$54,E209=$AB$55,$AC$55,E209=$AB$56,$AC$56,E209=$AB$57,$AC$57,E209=$AB$58,$AC$58,E209=$AB$59,$AC$59,E209=$AB$60,$AC$60,E209=$AB$61,$AC$61,E209=$AB$62,$AC$62,E209=$AB$63,$AC$63,E209=$AB$64,$AC$64,E209=$AB$65,$AC$65,E209=$AB$66,$AC$66,TRUE,"0")</f>
        <v>#NAME?</v>
      </c>
      <c r="C209" s="161" t="str" cm="1">
        <f t="array" ref="C209">_xlfn.IFS(E209=$AB$42,$AF$42,E209=$AB$43,$AF$43,E209=$AB$44,$AF$44,E209=$AB$45,$AF$45,E209=$AB$46,$AF$46,E209=$AB$47,$AF$47,E209=$AB$48,$AF$48,E209=$AB$49,$AF$49,E209=$AB$50,$AF$50,E209=$AB$51,$AF$51,E209=$AB$52,$AF$52,E209=$AB$53,$AF$53,E209=$AB$54,$AF$54,E209=$AB$55,$AF$55,E209=$AB$56,$AF$56,E209=$AB$57,$AF$57,E209=$AB$58,$AF$58,E209=$AB$59,$AF$59,E209=$AB$60,$AF$60,E209=$AB$61,$AF$61,E209=$AB$62,$AF$62,E209=$AB$63,$AF$63,E209=$AB$64,$AF$64,E209=$AB$65,$AF$65,E209=$AB$66,$AF$66,TRUE,"0")</f>
        <v>B4 Match, lay HT 0-0 or BACK H1 +0.5 GOALS</v>
      </c>
      <c r="D209" s="270" t="str" cm="1">
        <f t="array" ref="D209">_xlfn.IFS(E209=$AB$42,$AD$42,E209=$AB$43,$AD$43,E209=$AB$44,$AD$44,E209=$AB$45,$AD$45,E209=$AB$46,$AD$46,E209=$AB$47,$AD$47,E209=$AB$48,$AD$48,E209=$AB$49,$AD$49,E209=$AB$50,$AD$50,E209=$AB$51,$AD$51,E209=$AB$52,$AD$52,E209=$AB$53,$AD$53,E209=$AB$54,$AD$54,E209=$AB$55,$AD$55,E209=$AB$56,$AD$56,E209=$AB$57,$AD$57,E209=$AB$58,$AD$58,E209=$AB$59,$AD$59,E209=$AB$60,$AD$60,E209=$AB$61,$AD$61,E209=$AB$62,$AD$62,E209=$AB$63,$AD$63,E209=$AB$64,$AD$64,E209=$AB$65,$AD$65,E209=$AB$66,$AD$66,TRUE,"0")</f>
        <v xml:space="preserve">BFM </v>
      </c>
      <c r="E209" s="163" t="s">
        <v>432</v>
      </c>
      <c r="F209" s="2" t="s">
        <v>77</v>
      </c>
      <c r="G209" s="2" t="s">
        <v>156</v>
      </c>
      <c r="H209" s="3">
        <v>45326.604166666664</v>
      </c>
      <c r="I209" s="2" t="s">
        <v>161</v>
      </c>
      <c r="J209" s="2" t="s">
        <v>158</v>
      </c>
      <c r="K209" s="2">
        <v>83</v>
      </c>
      <c r="L209" s="2">
        <v>25</v>
      </c>
      <c r="M209" s="2">
        <v>43</v>
      </c>
      <c r="N209" s="2">
        <v>0.68</v>
      </c>
      <c r="O209" s="2"/>
      <c r="P209" s="2"/>
      <c r="Q209" s="1" t="s">
        <v>95</v>
      </c>
      <c r="R209" s="14" t="s">
        <v>193</v>
      </c>
      <c r="S209" s="13" t="s">
        <v>210</v>
      </c>
      <c r="T209" s="188">
        <f t="shared" si="23"/>
        <v>98.644058511337377</v>
      </c>
      <c r="U209" s="8">
        <f t="shared" si="22"/>
        <v>17.755930532040725</v>
      </c>
      <c r="V209" s="234">
        <f t="shared" si="26"/>
        <v>1990.6371007587882</v>
      </c>
      <c r="W209" s="15">
        <v>25</v>
      </c>
      <c r="X209" s="8">
        <f t="shared" si="24"/>
        <v>4.5</v>
      </c>
      <c r="Y209" s="233">
        <f t="shared" si="25"/>
        <v>1200</v>
      </c>
    </row>
    <row r="210" spans="1:25">
      <c r="A210" s="156" t="e" cm="1">
        <f t="array" aca="1" ref="A210" ca="1">_xlfn.IFS(E210=$AB$42,$AC$42,E210=$AB$43,$AC$43,E210=$AB$44,$AC$44,E210=$AB$45,$AC$45,E210=$AB$46,$AC$46,E210=$AB$47,$AC$47,E210=$AB$48,$AC$48,E210=$AB$49,$AC$49,E210=$AB$50,$AC$50,E210=$AB$51,$AC$51,E210=$AB$52,$AC$52,E210=$AB$53,$AC$53,E210=$AB$54,$AC$54,E210=$AB$55,$AC$55,E210=$AB$56,$AC$56,E210=$AB$57,$AC$57,E210=$AB$58,$AC$58,E210=$AB$59,$AC$59,E210=$AB$60,$AC$60,E210=$AB$61,$AC$61,E210=$AB$62,$AC$62,E210=$AB$63,$AC$63,E210=$AB$64,$AC$64,E210=$AB$65,$AC$65,E210=$AB$66,$AC$66,TRUE,"0")</f>
        <v>#NAME?</v>
      </c>
      <c r="C210" s="161" t="str" cm="1">
        <f t="array" ref="C210">_xlfn.IFS(E210=$AB$42,$AF$42,E210=$AB$43,$AF$43,E210=$AB$44,$AF$44,E210=$AB$45,$AF$45,E210=$AB$46,$AF$46,E210=$AB$47,$AF$47,E210=$AB$48,$AF$48,E210=$AB$49,$AF$49,E210=$AB$50,$AF$50,E210=$AB$51,$AF$51,E210=$AB$52,$AF$52,E210=$AB$53,$AF$53,E210=$AB$54,$AF$54,E210=$AB$55,$AF$55,E210=$AB$56,$AF$56,E210=$AB$57,$AF$57,E210=$AB$58,$AF$58,E210=$AB$59,$AF$59,E210=$AB$60,$AF$60,E210=$AB$61,$AF$61,E210=$AB$62,$AF$62,E210=$AB$63,$AF$63,E210=$AB$64,$AF$64,E210=$AB$65,$AF$65,E210=$AB$66,$AF$66,TRUE,"0")</f>
        <v>40 mins Back ANother Goal</v>
      </c>
      <c r="D210" s="270" t="str" cm="1">
        <f t="array" ref="D210">_xlfn.IFS(E210=$AB$42,$AD$42,E210=$AB$43,$AD$43,E210=$AB$44,$AD$44,E210=$AB$45,$AD$45,E210=$AB$46,$AD$46,E210=$AB$47,$AD$47,E210=$AB$48,$AD$48,E210=$AB$49,$AD$49,E210=$AB$50,$AD$50,E210=$AB$51,$AD$51,E210=$AB$52,$AD$52,E210=$AB$53,$AD$53,E210=$AB$54,$AD$54,E210=$AB$55,$AD$55,E210=$AB$56,$AD$56,E210=$AB$57,$AD$57,E210=$AB$58,$AD$58,E210=$AB$59,$AD$59,E210=$AB$60,$AD$60,E210=$AB$61,$AD$61,E210=$AB$62,$AD$62,E210=$AB$63,$AD$63,E210=$AB$64,$AD$64,E210=$AB$65,$AD$65,E210=$AB$66,$AD$66,TRUE,"0")</f>
        <v xml:space="preserve">  BANG</v>
      </c>
      <c r="E210" s="163" t="s">
        <v>10</v>
      </c>
      <c r="F210" s="2" t="s">
        <v>58</v>
      </c>
      <c r="G210" s="2" t="s">
        <v>59</v>
      </c>
      <c r="H210" s="3">
        <v>45326.645833333336</v>
      </c>
      <c r="I210" s="2" t="s">
        <v>165</v>
      </c>
      <c r="J210" s="2" t="s">
        <v>106</v>
      </c>
      <c r="K210" s="2">
        <v>1.83</v>
      </c>
      <c r="L210" s="2">
        <v>89</v>
      </c>
      <c r="M210" s="2">
        <v>61</v>
      </c>
      <c r="N210" s="2">
        <v>28</v>
      </c>
      <c r="O210" s="2">
        <v>65</v>
      </c>
      <c r="P210" s="2">
        <v>18</v>
      </c>
      <c r="Q210" s="1" t="s">
        <v>95</v>
      </c>
      <c r="R210" s="14" t="s">
        <v>193</v>
      </c>
      <c r="S210" s="13" t="s">
        <v>216</v>
      </c>
      <c r="T210" s="188">
        <f t="shared" si="23"/>
        <v>99.531855037939408</v>
      </c>
      <c r="U210" s="8">
        <f t="shared" si="22"/>
        <v>17.915733906829093</v>
      </c>
      <c r="V210" s="234">
        <f t="shared" si="26"/>
        <v>2008.5528346656172</v>
      </c>
      <c r="W210" s="15">
        <v>25</v>
      </c>
      <c r="X210" s="8">
        <f t="shared" si="24"/>
        <v>4.5</v>
      </c>
      <c r="Y210" s="233">
        <f t="shared" si="25"/>
        <v>1204.5</v>
      </c>
    </row>
    <row r="211" spans="1:25">
      <c r="A211" s="156" t="e" cm="1">
        <f t="array" aca="1" ref="A211" ca="1">_xlfn.IFS(E211=$AB$42,$AC$42,E211=$AB$43,$AC$43,E211=$AB$44,$AC$44,E211=$AB$45,$AC$45,E211=$AB$46,$AC$46,E211=$AB$47,$AC$47,E211=$AB$48,$AC$48,E211=$AB$49,$AC$49,E211=$AB$50,$AC$50,E211=$AB$51,$AC$51,E211=$AB$52,$AC$52,E211=$AB$53,$AC$53,E211=$AB$54,$AC$54,E211=$AB$55,$AC$55,E211=$AB$56,$AC$56,E211=$AB$57,$AC$57,E211=$AB$58,$AC$58,E211=$AB$59,$AC$59,E211=$AB$60,$AC$60,E211=$AB$61,$AC$61,E211=$AB$62,$AC$62,E211=$AB$63,$AC$63,E211=$AB$64,$AC$64,E211=$AB$65,$AC$65,E211=$AB$66,$AC$66,TRUE,"0")</f>
        <v>#NAME?</v>
      </c>
      <c r="C211" s="161" t="str" cm="1">
        <f t="array" ref="C211">_xlfn.IFS(E211=$AB$42,$AF$42,E211=$AB$43,$AF$43,E211=$AB$44,$AF$44,E211=$AB$45,$AF$45,E211=$AB$46,$AF$46,E211=$AB$47,$AF$47,E211=$AB$48,$AF$48,E211=$AB$49,$AF$49,E211=$AB$50,$AF$50,E211=$AB$51,$AF$51,E211=$AB$52,$AF$52,E211=$AB$53,$AF$53,E211=$AB$54,$AF$54,E211=$AB$55,$AF$55,E211=$AB$56,$AF$56,E211=$AB$57,$AF$57,E211=$AB$58,$AF$58,E211=$AB$59,$AF$59,E211=$AB$60,$AF$60,E211=$AB$61,$AF$61,E211=$AB$62,$AF$62,E211=$AB$63,$AF$63,E211=$AB$64,$AF$64,E211=$AB$65,$AF$65,E211=$AB$66,$AF$66,TRUE,"0")</f>
        <v>if 0-0, BACK+ 0.5 GOALS  @ 1.15+odds.  or @ 40 mins</v>
      </c>
      <c r="D211" s="270" t="str" cm="1">
        <f t="array" ref="D211">_xlfn.IFS(E211=$AB$42,$AD$42,E211=$AB$43,$AD$43,E211=$AB$44,$AD$44,E211=$AB$45,$AD$45,E211=$AB$46,$AD$46,E211=$AB$47,$AD$47,E211=$AB$48,$AD$48,E211=$AB$49,$AD$49,E211=$AB$50,$AD$50,E211=$AB$51,$AD$51,E211=$AB$52,$AD$52,E211=$AB$53,$AD$53,E211=$AB$54,$AD$54,E211=$AB$55,$AD$55,E211=$AB$56,$AD$56,E211=$AB$57,$AD$57,E211=$AB$58,$AD$58,E211=$AB$59,$AD$59,E211=$AB$60,$AD$60,E211=$AB$61,$AD$61,E211=$AB$62,$AD$62,E211=$AB$63,$AD$63,E211=$AB$64,$AD$64,E211=$AB$65,$AD$65,E211=$AB$66,$AD$66,TRUE,"0")</f>
        <v>IP</v>
      </c>
      <c r="E211" s="163" t="s">
        <v>270</v>
      </c>
      <c r="F211" s="2" t="s">
        <v>296</v>
      </c>
      <c r="G211" s="2" t="s">
        <v>78</v>
      </c>
      <c r="H211" s="3">
        <v>45326.645833333336</v>
      </c>
      <c r="I211" s="2" t="s">
        <v>299</v>
      </c>
      <c r="J211" s="2" t="s">
        <v>367</v>
      </c>
      <c r="K211" s="2">
        <v>61</v>
      </c>
      <c r="L211" s="2">
        <v>0</v>
      </c>
      <c r="M211" s="2">
        <v>20</v>
      </c>
      <c r="N211" s="2">
        <v>1.05</v>
      </c>
      <c r="O211" s="2"/>
      <c r="P211" s="2"/>
      <c r="Q211" s="1" t="s">
        <v>95</v>
      </c>
      <c r="R211" s="14" t="s">
        <v>221</v>
      </c>
      <c r="S211" s="13" t="s">
        <v>214</v>
      </c>
      <c r="T211" s="188">
        <f t="shared" si="23"/>
        <v>100.42764173328086</v>
      </c>
      <c r="U211" s="8">
        <f t="shared" si="22"/>
        <v>18.076975511990554</v>
      </c>
      <c r="V211" s="234">
        <f t="shared" si="26"/>
        <v>2026.6298101776079</v>
      </c>
      <c r="W211" s="15">
        <v>25</v>
      </c>
      <c r="X211" s="8">
        <f t="shared" si="24"/>
        <v>4.5</v>
      </c>
      <c r="Y211" s="233">
        <f t="shared" si="25"/>
        <v>1209</v>
      </c>
    </row>
    <row r="212" spans="1:25">
      <c r="A212" s="156" t="e" cm="1">
        <f t="array" aca="1" ref="A212" ca="1">_xlfn.IFS(E212=$AB$42,$AC$42,E212=$AB$43,$AC$43,E212=$AB$44,$AC$44,E212=$AB$45,$AC$45,E212=$AB$46,$AC$46,E212=$AB$47,$AC$47,E212=$AB$48,$AC$48,E212=$AB$49,$AC$49,E212=$AB$50,$AC$50,E212=$AB$51,$AC$51,E212=$AB$52,$AC$52,E212=$AB$53,$AC$53,E212=$AB$54,$AC$54,E212=$AB$55,$AC$55,E212=$AB$56,$AC$56,E212=$AB$57,$AC$57,E212=$AB$58,$AC$58,E212=$AB$59,$AC$59,E212=$AB$60,$AC$60,E212=$AB$61,$AC$61,E212=$AB$62,$AC$62,E212=$AB$63,$AC$63,E212=$AB$64,$AC$64,E212=$AB$65,$AC$65,E212=$AB$66,$AC$66,TRUE,"0")</f>
        <v>#NAME?</v>
      </c>
      <c r="C212" s="161" t="str" cm="1">
        <f t="array" ref="C212">_xlfn.IFS(E212=$AB$42,$AF$42,E212=$AB$43,$AF$43,E212=$AB$44,$AF$44,E212=$AB$45,$AF$45,E212=$AB$46,$AF$46,E212=$AB$47,$AF$47,E212=$AB$48,$AF$48,E212=$AB$49,$AF$49,E212=$AB$50,$AF$50,E212=$AB$51,$AF$51,E212=$AB$52,$AF$52,E212=$AB$53,$AF$53,E212=$AB$54,$AF$54,E212=$AB$55,$AF$55,E212=$AB$56,$AF$56,E212=$AB$57,$AF$57,E212=$AB$58,$AF$58,E212=$AB$59,$AF$59,E212=$AB$60,$AF$60,E212=$AB$61,$AF$61,E212=$AB$62,$AF$62,E212=$AB$63,$AF$63,E212=$AB$64,$AF$64,E212=$AB$65,$AF$65,E212=$AB$66,$AF$66,TRUE,"0")</f>
        <v>40 mins Back ANother Goal</v>
      </c>
      <c r="D212" s="270" t="str" cm="1">
        <f t="array" ref="D212">_xlfn.IFS(E212=$AB$42,$AD$42,E212=$AB$43,$AD$43,E212=$AB$44,$AD$44,E212=$AB$45,$AD$45,E212=$AB$46,$AD$46,E212=$AB$47,$AD$47,E212=$AB$48,$AD$48,E212=$AB$49,$AD$49,E212=$AB$50,$AD$50,E212=$AB$51,$AD$51,E212=$AB$52,$AD$52,E212=$AB$53,$AD$53,E212=$AB$54,$AD$54,E212=$AB$55,$AD$55,E212=$AB$56,$AD$56,E212=$AB$57,$AD$57,E212=$AB$58,$AD$58,E212=$AB$59,$AD$59,E212=$AB$60,$AD$60,E212=$AB$61,$AD$61,E212=$AB$62,$AD$62,E212=$AB$63,$AD$63,E212=$AB$64,$AD$64,E212=$AB$65,$AD$65,E212=$AB$66,$AD$66,TRUE,"0")</f>
        <v xml:space="preserve">  BANG</v>
      </c>
      <c r="E212" s="163" t="s">
        <v>35</v>
      </c>
      <c r="F212" s="2" t="s">
        <v>149</v>
      </c>
      <c r="G212" s="2" t="s">
        <v>153</v>
      </c>
      <c r="H212" s="3">
        <v>45326.65625</v>
      </c>
      <c r="I212" s="2" t="s">
        <v>395</v>
      </c>
      <c r="J212" s="2" t="s">
        <v>205</v>
      </c>
      <c r="K212" s="2">
        <v>75</v>
      </c>
      <c r="L212" s="2">
        <v>94</v>
      </c>
      <c r="M212" s="2">
        <v>78</v>
      </c>
      <c r="N212" s="2">
        <v>44</v>
      </c>
      <c r="O212" s="2">
        <v>18</v>
      </c>
      <c r="P212" s="2">
        <v>1.76</v>
      </c>
      <c r="Q212" s="1" t="s">
        <v>95</v>
      </c>
      <c r="R212" s="14" t="s">
        <v>193</v>
      </c>
      <c r="S212" s="13" t="s">
        <v>217</v>
      </c>
      <c r="T212" s="188">
        <f t="shared" si="23"/>
        <v>101.33149050888039</v>
      </c>
      <c r="U212" s="8">
        <f t="shared" si="22"/>
        <v>18.23966829159847</v>
      </c>
      <c r="V212" s="234">
        <f t="shared" si="26"/>
        <v>2044.8694784692063</v>
      </c>
      <c r="W212" s="15">
        <v>25</v>
      </c>
      <c r="X212" s="8">
        <f t="shared" si="24"/>
        <v>4.5</v>
      </c>
      <c r="Y212" s="233">
        <f t="shared" si="25"/>
        <v>1213.5</v>
      </c>
    </row>
    <row r="213" spans="1:25">
      <c r="A213" s="156" t="e" cm="1">
        <f t="array" aca="1" ref="A213" ca="1">_xlfn.IFS(E213=$AB$42,$AC$42,E213=$AB$43,$AC$43,E213=$AB$44,$AC$44,E213=$AB$45,$AC$45,E213=$AB$46,$AC$46,E213=$AB$47,$AC$47,E213=$AB$48,$AC$48,E213=$AB$49,$AC$49,E213=$AB$50,$AC$50,E213=$AB$51,$AC$51,E213=$AB$52,$AC$52,E213=$AB$53,$AC$53,E213=$AB$54,$AC$54,E213=$AB$55,$AC$55,E213=$AB$56,$AC$56,E213=$AB$57,$AC$57,E213=$AB$58,$AC$58,E213=$AB$59,$AC$59,E213=$AB$60,$AC$60,E213=$AB$61,$AC$61,E213=$AB$62,$AC$62,E213=$AB$63,$AC$63,E213=$AB$64,$AC$64,E213=$AB$65,$AC$65,E213=$AB$66,$AC$66,TRUE,"0")</f>
        <v>#NAME?</v>
      </c>
      <c r="C213" s="161" t="str" cm="1">
        <f t="array" ref="C213">_xlfn.IFS(E213=$AB$42,$AF$42,E213=$AB$43,$AF$43,E213=$AB$44,$AF$44,E213=$AB$45,$AF$45,E213=$AB$46,$AF$46,E213=$AB$47,$AF$47,E213=$AB$48,$AF$48,E213=$AB$49,$AF$49,E213=$AB$50,$AF$50,E213=$AB$51,$AF$51,E213=$AB$52,$AF$52,E213=$AB$53,$AF$53,E213=$AB$54,$AF$54,E213=$AB$55,$AF$55,E213=$AB$56,$AF$56,E213=$AB$57,$AF$57,E213=$AB$58,$AF$58,E213=$AB$59,$AF$59,E213=$AB$60,$AF$60,E213=$AB$61,$AF$61,E213=$AB$62,$AF$62,E213=$AB$63,$AF$63,E213=$AB$64,$AF$64,E213=$AB$65,$AF$65,E213=$AB$66,$AF$66,TRUE,"0")</f>
        <v>if 0-0, BACK+ 0.5 GOALS  @ 1.15+odds.  or @ 40 mins</v>
      </c>
      <c r="D213" s="270" t="str" cm="1">
        <f t="array" ref="D213">_xlfn.IFS(E213=$AB$42,$AD$42,E213=$AB$43,$AD$43,E213=$AB$44,$AD$44,E213=$AB$45,$AD$45,E213=$AB$46,$AD$46,E213=$AB$47,$AD$47,E213=$AB$48,$AD$48,E213=$AB$49,$AD$49,E213=$AB$50,$AD$50,E213=$AB$51,$AD$51,E213=$AB$52,$AD$52,E213=$AB$53,$AD$53,E213=$AB$54,$AD$54,E213=$AB$55,$AD$55,E213=$AB$56,$AD$56,E213=$AB$57,$AD$57,E213=$AB$58,$AD$58,E213=$AB$59,$AD$59,E213=$AB$60,$AD$60,E213=$AB$61,$AD$61,E213=$AB$62,$AD$62,E213=$AB$63,$AD$63,E213=$AB$64,$AD$64,E213=$AB$65,$AD$65,E213=$AB$66,$AD$66,TRUE,"0")</f>
        <v>IP</v>
      </c>
      <c r="E213" s="163" t="s">
        <v>270</v>
      </c>
      <c r="F213" s="2" t="s">
        <v>149</v>
      </c>
      <c r="G213" s="2" t="s">
        <v>153</v>
      </c>
      <c r="H213" s="3">
        <v>45326.65625</v>
      </c>
      <c r="I213" s="2" t="s">
        <v>395</v>
      </c>
      <c r="J213" s="2" t="s">
        <v>205</v>
      </c>
      <c r="K213" s="2">
        <v>73</v>
      </c>
      <c r="L213" s="2">
        <v>0</v>
      </c>
      <c r="M213" s="2">
        <v>20</v>
      </c>
      <c r="N213" s="2">
        <v>2.5099999999999998</v>
      </c>
      <c r="O213" s="2"/>
      <c r="P213" s="2"/>
      <c r="Q213" s="1" t="s">
        <v>95</v>
      </c>
      <c r="R213" s="14" t="s">
        <v>193</v>
      </c>
      <c r="S213" s="13" t="s">
        <v>217</v>
      </c>
      <c r="T213" s="188">
        <f t="shared" si="23"/>
        <v>102.24347392346033</v>
      </c>
      <c r="U213" s="8">
        <f t="shared" si="22"/>
        <v>18.40382530622286</v>
      </c>
      <c r="V213" s="234">
        <f t="shared" si="26"/>
        <v>2063.2733037754292</v>
      </c>
      <c r="W213" s="15">
        <v>25</v>
      </c>
      <c r="X213" s="8">
        <f t="shared" si="24"/>
        <v>4.5</v>
      </c>
      <c r="Y213" s="233">
        <f t="shared" si="25"/>
        <v>1218</v>
      </c>
    </row>
    <row r="214" spans="1:25">
      <c r="A214" s="156" t="e" cm="1">
        <f t="array" aca="1" ref="A214" ca="1">_xlfn.IFS(E214=$AB$42,$AC$42,E214=$AB$43,$AC$43,E214=$AB$44,$AC$44,E214=$AB$45,$AC$45,E214=$AB$46,$AC$46,E214=$AB$47,$AC$47,E214=$AB$48,$AC$48,E214=$AB$49,$AC$49,E214=$AB$50,$AC$50,E214=$AB$51,$AC$51,E214=$AB$52,$AC$52,E214=$AB$53,$AC$53,E214=$AB$54,$AC$54,E214=$AB$55,$AC$55,E214=$AB$56,$AC$56,E214=$AB$57,$AC$57,E214=$AB$58,$AC$58,E214=$AB$59,$AC$59,E214=$AB$60,$AC$60,E214=$AB$61,$AC$61,E214=$AB$62,$AC$62,E214=$AB$63,$AC$63,E214=$AB$64,$AC$64,E214=$AB$65,$AC$65,E214=$AB$66,$AC$66,TRUE,"0")</f>
        <v>#NAME?</v>
      </c>
      <c r="C214" s="161" t="str" cm="1">
        <f t="array" ref="C214">_xlfn.IFS(E214=$AB$42,$AF$42,E214=$AB$43,$AF$43,E214=$AB$44,$AF$44,E214=$AB$45,$AF$45,E214=$AB$46,$AF$46,E214=$AB$47,$AF$47,E214=$AB$48,$AF$48,E214=$AB$49,$AF$49,E214=$AB$50,$AF$50,E214=$AB$51,$AF$51,E214=$AB$52,$AF$52,E214=$AB$53,$AF$53,E214=$AB$54,$AF$54,E214=$AB$55,$AF$55,E214=$AB$56,$AF$56,E214=$AB$57,$AF$57,E214=$AB$58,$AF$58,E214=$AB$59,$AF$59,E214=$AB$60,$AF$60,E214=$AB$61,$AF$61,E214=$AB$62,$AF$62,E214=$AB$63,$AF$63,E214=$AB$64,$AF$64,E214=$AB$65,$AF$65,E214=$AB$66,$AF$66,TRUE,"0")</f>
        <v>if 0-0, BACK+ 0.5 GOALS  @ 1.15+odds.  or @ 40 mins</v>
      </c>
      <c r="D214" s="270" t="str" cm="1">
        <f t="array" ref="D214">_xlfn.IFS(E214=$AB$42,$AD$42,E214=$AB$43,$AD$43,E214=$AB$44,$AD$44,E214=$AB$45,$AD$45,E214=$AB$46,$AD$46,E214=$AB$47,$AD$47,E214=$AB$48,$AD$48,E214=$AB$49,$AD$49,E214=$AB$50,$AD$50,E214=$AB$51,$AD$51,E214=$AB$52,$AD$52,E214=$AB$53,$AD$53,E214=$AB$54,$AD$54,E214=$AB$55,$AD$55,E214=$AB$56,$AD$56,E214=$AB$57,$AD$57,E214=$AB$58,$AD$58,E214=$AB$59,$AD$59,E214=$AB$60,$AD$60,E214=$AB$61,$AD$61,E214=$AB$62,$AD$62,E214=$AB$63,$AD$63,E214=$AB$64,$AD$64,E214=$AB$65,$AD$65,E214=$AB$66,$AD$66,TRUE,"0")</f>
        <v>IP</v>
      </c>
      <c r="E214" s="163" t="s">
        <v>270</v>
      </c>
      <c r="F214" s="2" t="s">
        <v>6</v>
      </c>
      <c r="G214" s="2" t="s">
        <v>62</v>
      </c>
      <c r="H214" s="3">
        <v>45326.6875</v>
      </c>
      <c r="I214" s="2" t="s">
        <v>73</v>
      </c>
      <c r="J214" s="2" t="s">
        <v>285</v>
      </c>
      <c r="K214" s="2">
        <v>65</v>
      </c>
      <c r="L214" s="2">
        <v>0</v>
      </c>
      <c r="M214" s="2">
        <v>20</v>
      </c>
      <c r="N214" s="2">
        <v>2.86</v>
      </c>
      <c r="O214" s="2"/>
      <c r="P214" s="2"/>
      <c r="Q214" s="1" t="s">
        <v>95</v>
      </c>
      <c r="R214" s="14" t="s">
        <v>216</v>
      </c>
      <c r="S214" s="13" t="s">
        <v>215</v>
      </c>
      <c r="T214" s="188">
        <f t="shared" si="23"/>
        <v>103.16366518877146</v>
      </c>
      <c r="U214" s="8">
        <f t="shared" si="22"/>
        <v>18.569459733978864</v>
      </c>
      <c r="V214" s="234">
        <f t="shared" si="26"/>
        <v>2081.8427635094081</v>
      </c>
      <c r="W214" s="15">
        <v>25</v>
      </c>
      <c r="X214" s="8">
        <f t="shared" si="24"/>
        <v>4.5</v>
      </c>
      <c r="Y214" s="233">
        <f t="shared" si="25"/>
        <v>1222.5</v>
      </c>
    </row>
    <row r="215" spans="1:25">
      <c r="A215" s="156" t="e" cm="1">
        <f t="array" aca="1" ref="A215" ca="1">_xlfn.IFS(E215=$AB$42,$AC$42,E215=$AB$43,$AC$43,E215=$AB$44,$AC$44,E215=$AB$45,$AC$45,E215=$AB$46,$AC$46,E215=$AB$47,$AC$47,E215=$AB$48,$AC$48,E215=$AB$49,$AC$49,E215=$AB$50,$AC$50,E215=$AB$51,$AC$51,E215=$AB$52,$AC$52,E215=$AB$53,$AC$53,E215=$AB$54,$AC$54,E215=$AB$55,$AC$55,E215=$AB$56,$AC$56,E215=$AB$57,$AC$57,E215=$AB$58,$AC$58,E215=$AB$59,$AC$59,E215=$AB$60,$AC$60,E215=$AB$61,$AC$61,E215=$AB$62,$AC$62,E215=$AB$63,$AC$63,E215=$AB$64,$AC$64,E215=$AB$65,$AC$65,E215=$AB$66,$AC$66,TRUE,"0")</f>
        <v>#NAME?</v>
      </c>
      <c r="C215" s="161" t="str" cm="1">
        <f t="array" ref="C215">_xlfn.IFS(E215=$AB$42,$AF$42,E215=$AB$43,$AF$43,E215=$AB$44,$AF$44,E215=$AB$45,$AF$45,E215=$AB$46,$AF$46,E215=$AB$47,$AF$47,E215=$AB$48,$AF$48,E215=$AB$49,$AF$49,E215=$AB$50,$AF$50,E215=$AB$51,$AF$51,E215=$AB$52,$AF$52,E215=$AB$53,$AF$53,E215=$AB$54,$AF$54,E215=$AB$55,$AF$55,E215=$AB$56,$AF$56,E215=$AB$57,$AF$57,E215=$AB$58,$AF$58,E215=$AB$59,$AF$59,E215=$AB$60,$AF$60,E215=$AB$61,$AF$61,E215=$AB$62,$AF$62,E215=$AB$63,$AF$63,E215=$AB$64,$AF$64,E215=$AB$65,$AF$65,E215=$AB$66,$AF$66,TRUE,"0")</f>
        <v>B4 match BACK FT +1.5 goals. X AFTER  GOAL</v>
      </c>
      <c r="D215" s="270" t="str" cm="1">
        <f t="array" ref="D215">_xlfn.IFS(E215=$AB$42,$AD$42,E215=$AB$43,$AD$43,E215=$AB$44,$AD$44,E215=$AB$45,$AD$45,E215=$AB$46,$AD$46,E215=$AB$47,$AD$47,E215=$AB$48,$AD$48,E215=$AB$49,$AD$49,E215=$AB$50,$AD$50,E215=$AB$51,$AD$51,E215=$AB$52,$AD$52,E215=$AB$53,$AD$53,E215=$AB$54,$AD$54,E215=$AB$55,$AD$55,E215=$AB$56,$AD$56,E215=$AB$57,$AD$57,E215=$AB$58,$AD$58,E215=$AB$59,$AD$59,E215=$AB$60,$AD$60,E215=$AB$61,$AD$61,E215=$AB$62,$AD$62,E215=$AB$63,$AD$63,E215=$AB$64,$AD$64,E215=$AB$65,$AD$65,E215=$AB$66,$AD$66,TRUE,"0")</f>
        <v xml:space="preserve">BFM </v>
      </c>
      <c r="E215" s="163" t="s">
        <v>406</v>
      </c>
      <c r="F215" s="2" t="s">
        <v>77</v>
      </c>
      <c r="G215" s="2" t="s">
        <v>156</v>
      </c>
      <c r="H215" s="3">
        <v>45326.6875</v>
      </c>
      <c r="I215" s="2" t="s">
        <v>181</v>
      </c>
      <c r="J215" s="2" t="s">
        <v>315</v>
      </c>
      <c r="K215" s="2">
        <v>1.4</v>
      </c>
      <c r="L215" s="2">
        <v>9.8000000000000007</v>
      </c>
      <c r="M215" s="2">
        <v>3.21</v>
      </c>
      <c r="N215" s="2">
        <v>5.0999999999999996</v>
      </c>
      <c r="O215" s="2">
        <v>2.64</v>
      </c>
      <c r="P215" s="2"/>
      <c r="Q215" s="1" t="s">
        <v>95</v>
      </c>
      <c r="R215" s="14" t="s">
        <v>214</v>
      </c>
      <c r="S215" s="13" t="s">
        <v>220</v>
      </c>
      <c r="T215" s="188">
        <f t="shared" si="23"/>
        <v>104.09213817547041</v>
      </c>
      <c r="U215" s="8">
        <f t="shared" si="22"/>
        <v>18.736584871584672</v>
      </c>
      <c r="V215" s="234">
        <f>SUM(V214,U215)</f>
        <v>2100.5793483809925</v>
      </c>
      <c r="W215" s="15">
        <v>25</v>
      </c>
      <c r="X215" s="8">
        <f t="shared" si="24"/>
        <v>4.5</v>
      </c>
      <c r="Y215" s="233">
        <f t="shared" si="25"/>
        <v>1227</v>
      </c>
    </row>
    <row r="216" spans="1:25">
      <c r="A216" s="156" t="e" cm="1">
        <f t="array" aca="1" ref="A216" ca="1">_xlfn.IFS(E216=$AB$42,$AC$42,E216=$AB$43,$AC$43,E216=$AB$44,$AC$44,E216=$AB$45,$AC$45,E216=$AB$46,$AC$46,E216=$AB$47,$AC$47,E216=$AB$48,$AC$48,E216=$AB$49,$AC$49,E216=$AB$50,$AC$50,E216=$AB$51,$AC$51,E216=$AB$52,$AC$52,E216=$AB$53,$AC$53,E216=$AB$54,$AC$54,E216=$AB$55,$AC$55,E216=$AB$56,$AC$56,E216=$AB$57,$AC$57,E216=$AB$58,$AC$58,E216=$AB$59,$AC$59,E216=$AB$60,$AC$60,E216=$AB$61,$AC$61,E216=$AB$62,$AC$62,E216=$AB$63,$AC$63,E216=$AB$64,$AC$64,E216=$AB$65,$AC$65,E216=$AB$66,$AC$66,TRUE,"0")</f>
        <v>#NAME?</v>
      </c>
      <c r="C216" s="161" t="str" cm="1">
        <f t="array" ref="C216">_xlfn.IFS(E216=$AB$42,$AF$42,E216=$AB$43,$AF$43,E216=$AB$44,$AF$44,E216=$AB$45,$AF$45,E216=$AB$46,$AF$46,E216=$AB$47,$AF$47,E216=$AB$48,$AF$48,E216=$AB$49,$AF$49,E216=$AB$50,$AF$50,E216=$AB$51,$AF$51,E216=$AB$52,$AF$52,E216=$AB$53,$AF$53,E216=$AB$54,$AF$54,E216=$AB$55,$AF$55,E216=$AB$56,$AF$56,E216=$AB$57,$AF$57,E216=$AB$58,$AF$58,E216=$AB$59,$AF$59,E216=$AB$60,$AF$60,E216=$AB$61,$AF$61,E216=$AB$62,$AF$62,E216=$AB$63,$AF$63,E216=$AB$64,$AF$64,E216=$AB$65,$AF$65,E216=$AB$66,$AF$66,TRUE,"0")</f>
        <v>40 mins Back ANother Goal</v>
      </c>
      <c r="D216" s="270" t="str" cm="1">
        <f t="array" ref="D216">_xlfn.IFS(E216=$AB$42,$AD$42,E216=$AB$43,$AD$43,E216=$AB$44,$AD$44,E216=$AB$45,$AD$45,E216=$AB$46,$AD$46,E216=$AB$47,$AD$47,E216=$AB$48,$AD$48,E216=$AB$49,$AD$49,E216=$AB$50,$AD$50,E216=$AB$51,$AD$51,E216=$AB$52,$AD$52,E216=$AB$53,$AD$53,E216=$AB$54,$AD$54,E216=$AB$55,$AD$55,E216=$AB$56,$AD$56,E216=$AB$57,$AD$57,E216=$AB$58,$AD$58,E216=$AB$59,$AD$59,E216=$AB$60,$AD$60,E216=$AB$61,$AD$61,E216=$AB$62,$AD$62,E216=$AB$63,$AD$63,E216=$AB$64,$AD$64,E216=$AB$65,$AD$65,E216=$AB$66,$AD$66,TRUE,"0")</f>
        <v xml:space="preserve">  BANG</v>
      </c>
      <c r="E216" s="163" t="s">
        <v>10</v>
      </c>
      <c r="F216" s="2" t="s">
        <v>58</v>
      </c>
      <c r="G216" s="2" t="s">
        <v>59</v>
      </c>
      <c r="H216" s="3">
        <v>45326.75</v>
      </c>
      <c r="I216" s="2" t="s">
        <v>60</v>
      </c>
      <c r="J216" s="2" t="s">
        <v>107</v>
      </c>
      <c r="K216" s="2">
        <v>1.78</v>
      </c>
      <c r="L216" s="2">
        <v>100</v>
      </c>
      <c r="M216" s="2">
        <v>61</v>
      </c>
      <c r="N216" s="2">
        <v>17</v>
      </c>
      <c r="O216" s="2">
        <v>68</v>
      </c>
      <c r="P216" s="2">
        <v>18</v>
      </c>
      <c r="Q216" s="1" t="s">
        <v>95</v>
      </c>
      <c r="R216" s="14" t="s">
        <v>220</v>
      </c>
      <c r="S216" s="13" t="s">
        <v>207</v>
      </c>
      <c r="T216" s="188">
        <f t="shared" si="23"/>
        <v>105.02896741904964</v>
      </c>
      <c r="U216" s="8">
        <f t="shared" si="22"/>
        <v>18.905214135428935</v>
      </c>
      <c r="V216" s="234">
        <f>SUM(V215,U216)</f>
        <v>2119.4845625164216</v>
      </c>
      <c r="W216" s="15">
        <v>25</v>
      </c>
      <c r="X216" s="8">
        <f t="shared" si="24"/>
        <v>4.5</v>
      </c>
      <c r="Y216" s="233">
        <f t="shared" si="25"/>
        <v>1231.5</v>
      </c>
    </row>
    <row r="217" spans="1:25">
      <c r="A217" s="156" t="e" cm="1">
        <f t="array" aca="1" ref="A217" ca="1">_xlfn.IFS(E217=$AB$42,$AC$42,E217=$AB$43,$AC$43,E217=$AB$44,$AC$44,E217=$AB$45,$AC$45,E217=$AB$46,$AC$46,E217=$AB$47,$AC$47,E217=$AB$48,$AC$48,E217=$AB$49,$AC$49,E217=$AB$50,$AC$50,E217=$AB$51,$AC$51,E217=$AB$52,$AC$52,E217=$AB$53,$AC$53,E217=$AB$54,$AC$54,E217=$AB$55,$AC$55,E217=$AB$56,$AC$56,E217=$AB$57,$AC$57,E217=$AB$58,$AC$58,E217=$AB$59,$AC$59,E217=$AB$60,$AC$60,E217=$AB$61,$AC$61,E217=$AB$62,$AC$62,E217=$AB$63,$AC$63,E217=$AB$64,$AC$64,E217=$AB$65,$AC$65,E217=$AB$66,$AC$66,TRUE,"0")</f>
        <v>#NAME?</v>
      </c>
      <c r="C217" s="161" t="str" cm="1">
        <f t="array" ref="C217">_xlfn.IFS(E217=$AB$42,$AF$42,E217=$AB$43,$AF$43,E217=$AB$44,$AF$44,E217=$AB$45,$AF$45,E217=$AB$46,$AF$46,E217=$AB$47,$AF$47,E217=$AB$48,$AF$48,E217=$AB$49,$AF$49,E217=$AB$50,$AF$50,E217=$AB$51,$AF$51,E217=$AB$52,$AF$52,E217=$AB$53,$AF$53,E217=$AB$54,$AF$54,E217=$AB$55,$AF$55,E217=$AB$56,$AF$56,E217=$AB$57,$AF$57,E217=$AB$58,$AF$58,E217=$AB$59,$AF$59,E217=$AB$60,$AF$60,E217=$AB$61,$AF$61,E217=$AB$62,$AF$62,E217=$AB$63,$AF$63,E217=$AB$64,$AF$64,E217=$AB$65,$AF$65,E217=$AB$66,$AF$66,TRUE,"0")</f>
        <v>if 0-0, BACK+ 0.5 GOALS  @ 1.15+odds.  or @ 40 mins</v>
      </c>
      <c r="D217" s="270" t="str" cm="1">
        <f t="array" ref="D217">_xlfn.IFS(E217=$AB$42,$AD$42,E217=$AB$43,$AD$43,E217=$AB$44,$AD$44,E217=$AB$45,$AD$45,E217=$AB$46,$AD$46,E217=$AB$47,$AD$47,E217=$AB$48,$AD$48,E217=$AB$49,$AD$49,E217=$AB$50,$AD$50,E217=$AB$51,$AD$51,E217=$AB$52,$AD$52,E217=$AB$53,$AD$53,E217=$AB$54,$AD$54,E217=$AB$55,$AD$55,E217=$AB$56,$AD$56,E217=$AB$57,$AD$57,E217=$AB$58,$AD$58,E217=$AB$59,$AD$59,E217=$AB$60,$AD$60,E217=$AB$61,$AD$61,E217=$AB$62,$AD$62,E217=$AB$63,$AD$63,E217=$AB$64,$AD$64,E217=$AB$65,$AD$65,E217=$AB$66,$AD$66,TRUE,"0")</f>
        <v>IP</v>
      </c>
      <c r="E217" s="163" t="s">
        <v>270</v>
      </c>
      <c r="F217" s="2" t="s">
        <v>58</v>
      </c>
      <c r="G217" s="2" t="s">
        <v>59</v>
      </c>
      <c r="H217" s="3">
        <v>45326.75</v>
      </c>
      <c r="I217" s="2" t="s">
        <v>60</v>
      </c>
      <c r="J217" s="2" t="s">
        <v>107</v>
      </c>
      <c r="K217" s="2">
        <v>62</v>
      </c>
      <c r="L217" s="2">
        <v>0</v>
      </c>
      <c r="M217" s="2">
        <v>20</v>
      </c>
      <c r="N217" s="2">
        <v>2.16</v>
      </c>
      <c r="O217" s="2"/>
      <c r="P217" s="2"/>
      <c r="Q217" s="1" t="s">
        <v>95</v>
      </c>
      <c r="R217" s="14" t="s">
        <v>220</v>
      </c>
      <c r="S217" s="13" t="s">
        <v>207</v>
      </c>
      <c r="T217" s="188">
        <f t="shared" si="23"/>
        <v>105.97422812582109</v>
      </c>
      <c r="U217" s="8">
        <f t="shared" si="22"/>
        <v>19.075361062647794</v>
      </c>
      <c r="V217" s="234">
        <f>SUM(V216,U217)</f>
        <v>2138.5599235790696</v>
      </c>
      <c r="W217" s="15">
        <v>25</v>
      </c>
      <c r="X217" s="8">
        <f t="shared" si="24"/>
        <v>4.5</v>
      </c>
      <c r="Y217" s="233">
        <f t="shared" si="25"/>
        <v>1236</v>
      </c>
    </row>
    <row r="218" spans="1:25">
      <c r="A218" s="156" t="e" cm="1">
        <f t="array" aca="1" ref="A218" ca="1">_xlfn.IFS(E218=$AB$42,$AC$42,E218=$AB$43,$AC$43,E218=$AB$44,$AC$44,E218=$AB$45,$AC$45,E218=$AB$46,$AC$46,E218=$AB$47,$AC$47,E218=$AB$48,$AC$48,E218=$AB$49,$AC$49,E218=$AB$50,$AC$50,E218=$AB$51,$AC$51,E218=$AB$52,$AC$52,E218=$AB$53,$AC$53,E218=$AB$54,$AC$54,E218=$AB$55,$AC$55,E218=$AB$56,$AC$56,E218=$AB$57,$AC$57,E218=$AB$58,$AC$58,E218=$AB$59,$AC$59,E218=$AB$60,$AC$60,E218=$AB$61,$AC$61,E218=$AB$62,$AC$62,E218=$AB$63,$AC$63,E218=$AB$64,$AC$64,E218=$AB$65,$AC$65,E218=$AB$66,$AC$66,TRUE,"0")</f>
        <v>#NAME?</v>
      </c>
      <c r="C218" s="161" t="str" cm="1">
        <f t="array" ref="C218">_xlfn.IFS(E218=$AB$42,$AF$42,E218=$AB$43,$AF$43,E218=$AB$44,$AF$44,E218=$AB$45,$AF$45,E218=$AB$46,$AF$46,E218=$AB$47,$AF$47,E218=$AB$48,$AF$48,E218=$AB$49,$AF$49,E218=$AB$50,$AF$50,E218=$AB$51,$AF$51,E218=$AB$52,$AF$52,E218=$AB$53,$AF$53,E218=$AB$54,$AF$54,E218=$AB$55,$AF$55,E218=$AB$56,$AF$56,E218=$AB$57,$AF$57,E218=$AB$58,$AF$58,E218=$AB$59,$AF$59,E218=$AB$60,$AF$60,E218=$AB$61,$AF$61,E218=$AB$62,$AF$62,E218=$AB$63,$AF$63,E218=$AB$64,$AF$64,E218=$AB$65,$AF$65,E218=$AB$66,$AF$66,TRUE,"0")</f>
        <v>40 mins Back ANother Goal</v>
      </c>
      <c r="D218" s="270" t="str" cm="1">
        <f t="array" ref="D218">_xlfn.IFS(E218=$AB$42,$AD$42,E218=$AB$43,$AD$43,E218=$AB$44,$AD$44,E218=$AB$45,$AD$45,E218=$AB$46,$AD$46,E218=$AB$47,$AD$47,E218=$AB$48,$AD$48,E218=$AB$49,$AD$49,E218=$AB$50,$AD$50,E218=$AB$51,$AD$51,E218=$AB$52,$AD$52,E218=$AB$53,$AD$53,E218=$AB$54,$AD$54,E218=$AB$55,$AD$55,E218=$AB$56,$AD$56,E218=$AB$57,$AD$57,E218=$AB$58,$AD$58,E218=$AB$59,$AD$59,E218=$AB$60,$AD$60,E218=$AB$61,$AD$61,E218=$AB$62,$AD$62,E218=$AB$63,$AD$63,E218=$AB$64,$AD$64,E218=$AB$65,$AD$65,E218=$AB$66,$AD$66,TRUE,"0")</f>
        <v xml:space="preserve">  BANG</v>
      </c>
      <c r="E218" s="163" t="s">
        <v>10</v>
      </c>
      <c r="F218" s="2" t="s">
        <v>67</v>
      </c>
      <c r="G218" s="2" t="s">
        <v>68</v>
      </c>
      <c r="H218" s="3">
        <v>45326.760416666664</v>
      </c>
      <c r="I218" s="2" t="s">
        <v>337</v>
      </c>
      <c r="J218" s="2" t="s">
        <v>342</v>
      </c>
      <c r="K218" s="2">
        <v>1.75</v>
      </c>
      <c r="L218" s="2">
        <v>95</v>
      </c>
      <c r="M218" s="2">
        <v>65</v>
      </c>
      <c r="N218" s="2">
        <v>15</v>
      </c>
      <c r="O218" s="2">
        <v>65</v>
      </c>
      <c r="P218" s="2">
        <v>20</v>
      </c>
      <c r="Q218" s="1" t="s">
        <v>95</v>
      </c>
      <c r="R218" s="14" t="s">
        <v>220</v>
      </c>
      <c r="S218" s="13" t="s">
        <v>196</v>
      </c>
      <c r="T218" s="188">
        <f t="shared" si="23"/>
        <v>106.92799617895349</v>
      </c>
      <c r="U218" s="8">
        <f t="shared" si="22"/>
        <v>19.247039312211626</v>
      </c>
      <c r="V218" s="234">
        <f>SUM(V217,U218)</f>
        <v>2157.8069628912813</v>
      </c>
      <c r="W218" s="15">
        <v>25</v>
      </c>
      <c r="X218" s="8">
        <f t="shared" si="24"/>
        <v>4.5</v>
      </c>
      <c r="Y218" s="233">
        <f t="shared" si="25"/>
        <v>1240.5</v>
      </c>
    </row>
    <row r="219" spans="1:25">
      <c r="A219" s="156" t="e" cm="1">
        <f t="array" aca="1" ref="A219" ca="1">_xlfn.IFS(E219=$AB$42,$AC$42,E219=$AB$43,$AC$43,E219=$AB$44,$AC$44,E219=$AB$45,$AC$45,E219=$AB$46,$AC$46,E219=$AB$47,$AC$47,E219=$AB$48,$AC$48,E219=$AB$49,$AC$49,E219=$AB$50,$AC$50,E219=$AB$51,$AC$51,E219=$AB$52,$AC$52,E219=$AB$53,$AC$53,E219=$AB$54,$AC$54,E219=$AB$55,$AC$55,E219=$AB$56,$AC$56,E219=$AB$57,$AC$57,E219=$AB$58,$AC$58,E219=$AB$59,$AC$59,E219=$AB$60,$AC$60,E219=$AB$61,$AC$61,E219=$AB$62,$AC$62,E219=$AB$63,$AC$63,E219=$AB$64,$AC$64,E219=$AB$65,$AC$65,E219=$AB$66,$AC$66,TRUE,"0")</f>
        <v>#NAME?</v>
      </c>
      <c r="C219" s="161" t="str" cm="1">
        <f t="array" ref="C219">_xlfn.IFS(E219=$AB$42,$AF$42,E219=$AB$43,$AF$43,E219=$AB$44,$AF$44,E219=$AB$45,$AF$45,E219=$AB$46,$AF$46,E219=$AB$47,$AF$47,E219=$AB$48,$AF$48,E219=$AB$49,$AF$49,E219=$AB$50,$AF$50,E219=$AB$51,$AF$51,E219=$AB$52,$AF$52,E219=$AB$53,$AF$53,E219=$AB$54,$AF$54,E219=$AB$55,$AF$55,E219=$AB$56,$AF$56,E219=$AB$57,$AF$57,E219=$AB$58,$AF$58,E219=$AB$59,$AF$59,E219=$AB$60,$AF$60,E219=$AB$61,$AF$61,E219=$AB$62,$AF$62,E219=$AB$63,$AF$63,E219=$AB$64,$AF$64,E219=$AB$65,$AF$65,E219=$AB$66,$AF$66,TRUE,"0")</f>
        <v>if 0-0, BACK+ 0.5 GOALS  @ 1.15+odds.  or @ 40 mins</v>
      </c>
      <c r="D219" s="270" t="str" cm="1">
        <f t="array" ref="D219">_xlfn.IFS(E219=$AB$42,$AD$42,E219=$AB$43,$AD$43,E219=$AB$44,$AD$44,E219=$AB$45,$AD$45,E219=$AB$46,$AD$46,E219=$AB$47,$AD$47,E219=$AB$48,$AD$48,E219=$AB$49,$AD$49,E219=$AB$50,$AD$50,E219=$AB$51,$AD$51,E219=$AB$52,$AD$52,E219=$AB$53,$AD$53,E219=$AB$54,$AD$54,E219=$AB$55,$AD$55,E219=$AB$56,$AD$56,E219=$AB$57,$AD$57,E219=$AB$58,$AD$58,E219=$AB$59,$AD$59,E219=$AB$60,$AD$60,E219=$AB$61,$AD$61,E219=$AB$62,$AD$62,E219=$AB$63,$AD$63,E219=$AB$64,$AD$64,E219=$AB$65,$AD$65,E219=$AB$66,$AD$66,TRUE,"0")</f>
        <v>IP</v>
      </c>
      <c r="E219" s="163" t="s">
        <v>270</v>
      </c>
      <c r="F219" s="2" t="s">
        <v>67</v>
      </c>
      <c r="G219" s="2" t="s">
        <v>169</v>
      </c>
      <c r="H219" s="3">
        <v>45326.760416666664</v>
      </c>
      <c r="I219" s="2" t="s">
        <v>372</v>
      </c>
      <c r="J219" s="2" t="s">
        <v>396</v>
      </c>
      <c r="K219" s="2">
        <v>64</v>
      </c>
      <c r="L219" s="2">
        <v>0</v>
      </c>
      <c r="M219" s="2">
        <v>20</v>
      </c>
      <c r="N219" s="2">
        <v>1.31</v>
      </c>
      <c r="O219" s="2"/>
      <c r="P219" s="2"/>
      <c r="Q219" s="1" t="s">
        <v>95</v>
      </c>
      <c r="R219" s="14" t="s">
        <v>193</v>
      </c>
      <c r="S219" s="13" t="s">
        <v>225</v>
      </c>
      <c r="T219" s="188">
        <f t="shared" si="23"/>
        <v>107.89034814456407</v>
      </c>
      <c r="U219" s="8">
        <f t="shared" si="22"/>
        <v>19.420262666021532</v>
      </c>
      <c r="V219" s="234">
        <f t="shared" ref="V219:V230" si="28">SUM(V218,U219)</f>
        <v>2177.227225557303</v>
      </c>
      <c r="W219" s="15">
        <v>25</v>
      </c>
      <c r="X219" s="8">
        <f t="shared" si="24"/>
        <v>4.5</v>
      </c>
      <c r="Y219" s="233">
        <f t="shared" si="25"/>
        <v>1245</v>
      </c>
    </row>
    <row r="220" spans="1:25">
      <c r="A220" s="156" t="e" cm="1">
        <f t="array" aca="1" ref="A220" ca="1">_xlfn.IFS(E220=$AB$42,$AC$42,E220=$AB$43,$AC$43,E220=$AB$44,$AC$44,E220=$AB$45,$AC$45,E220=$AB$46,$AC$46,E220=$AB$47,$AC$47,E220=$AB$48,$AC$48,E220=$AB$49,$AC$49,E220=$AB$50,$AC$50,E220=$AB$51,$AC$51,E220=$AB$52,$AC$52,E220=$AB$53,$AC$53,E220=$AB$54,$AC$54,E220=$AB$55,$AC$55,E220=$AB$56,$AC$56,E220=$AB$57,$AC$57,E220=$AB$58,$AC$58,E220=$AB$59,$AC$59,E220=$AB$60,$AC$60,E220=$AB$61,$AC$61,E220=$AB$62,$AC$62,E220=$AB$63,$AC$63,E220=$AB$64,$AC$64,E220=$AB$65,$AC$65,E220=$AB$66,$AC$66,TRUE,"0")</f>
        <v>#NAME?</v>
      </c>
      <c r="C220" s="161" t="str" cm="1">
        <f t="array" ref="C220">_xlfn.IFS(E220=$AB$42,$AF$42,E220=$AB$43,$AF$43,E220=$AB$44,$AF$44,E220=$AB$45,$AF$45,E220=$AB$46,$AF$46,E220=$AB$47,$AF$47,E220=$AB$48,$AF$48,E220=$AB$49,$AF$49,E220=$AB$50,$AF$50,E220=$AB$51,$AF$51,E220=$AB$52,$AF$52,E220=$AB$53,$AF$53,E220=$AB$54,$AF$54,E220=$AB$55,$AF$55,E220=$AB$56,$AF$56,E220=$AB$57,$AF$57,E220=$AB$58,$AF$58,E220=$AB$59,$AF$59,E220=$AB$60,$AF$60,E220=$AB$61,$AF$61,E220=$AB$62,$AF$62,E220=$AB$63,$AF$63,E220=$AB$64,$AF$64,E220=$AB$65,$AF$65,E220=$AB$66,$AF$66,TRUE,"0")</f>
        <v>40 mins Back ANother Goal</v>
      </c>
      <c r="D220" s="270" t="str" cm="1">
        <f t="array" ref="D220">_xlfn.IFS(E220=$AB$42,$AD$42,E220=$AB$43,$AD$43,E220=$AB$44,$AD$44,E220=$AB$45,$AD$45,E220=$AB$46,$AD$46,E220=$AB$47,$AD$47,E220=$AB$48,$AD$48,E220=$AB$49,$AD$49,E220=$AB$50,$AD$50,E220=$AB$51,$AD$51,E220=$AB$52,$AD$52,E220=$AB$53,$AD$53,E220=$AB$54,$AD$54,E220=$AB$55,$AD$55,E220=$AB$56,$AD$56,E220=$AB$57,$AD$57,E220=$AB$58,$AD$58,E220=$AB$59,$AD$59,E220=$AB$60,$AD$60,E220=$AB$61,$AD$61,E220=$AB$62,$AD$62,E220=$AB$63,$AD$63,E220=$AB$64,$AD$64,E220=$AB$65,$AD$65,E220=$AB$66,$AD$66,TRUE,"0")</f>
        <v xml:space="preserve">  BANG</v>
      </c>
      <c r="E220" s="163" t="s">
        <v>10</v>
      </c>
      <c r="F220" s="2" t="s">
        <v>133</v>
      </c>
      <c r="G220" s="2" t="s">
        <v>78</v>
      </c>
      <c r="H220" s="3">
        <v>45326.770833333336</v>
      </c>
      <c r="I220" s="2" t="s">
        <v>135</v>
      </c>
      <c r="J220" s="2" t="s">
        <v>137</v>
      </c>
      <c r="K220" s="2">
        <v>2.16</v>
      </c>
      <c r="L220" s="2">
        <v>89</v>
      </c>
      <c r="M220" s="2">
        <v>63</v>
      </c>
      <c r="N220" s="2">
        <v>37</v>
      </c>
      <c r="O220" s="2">
        <v>61</v>
      </c>
      <c r="P220" s="2">
        <v>19</v>
      </c>
      <c r="Q220" s="1" t="s">
        <v>95</v>
      </c>
      <c r="R220" s="14" t="s">
        <v>221</v>
      </c>
      <c r="S220" s="13" t="s">
        <v>217</v>
      </c>
      <c r="T220" s="188">
        <f t="shared" si="23"/>
        <v>108.86136127786516</v>
      </c>
      <c r="U220" s="8">
        <f t="shared" si="22"/>
        <v>19.595045030015729</v>
      </c>
      <c r="V220" s="234">
        <f t="shared" si="28"/>
        <v>2196.8222705873186</v>
      </c>
      <c r="W220" s="15">
        <v>25</v>
      </c>
      <c r="X220" s="8">
        <f t="shared" si="24"/>
        <v>4.5</v>
      </c>
      <c r="Y220" s="233">
        <f t="shared" si="25"/>
        <v>1249.5</v>
      </c>
    </row>
    <row r="221" spans="1:25">
      <c r="A221" s="156" t="e" cm="1">
        <f t="array" aca="1" ref="A221" ca="1">_xlfn.IFS(E221=$AB$42,$AC$42,E221=$AB$43,$AC$43,E221=$AB$44,$AC$44,E221=$AB$45,$AC$45,E221=$AB$46,$AC$46,E221=$AB$47,$AC$47,E221=$AB$48,$AC$48,E221=$AB$49,$AC$49,E221=$AB$50,$AC$50,E221=$AB$51,$AC$51,E221=$AB$52,$AC$52,E221=$AB$53,$AC$53,E221=$AB$54,$AC$54,E221=$AB$55,$AC$55,E221=$AB$56,$AC$56,E221=$AB$57,$AC$57,E221=$AB$58,$AC$58,E221=$AB$59,$AC$59,E221=$AB$60,$AC$60,E221=$AB$61,$AC$61,E221=$AB$62,$AC$62,E221=$AB$63,$AC$63,E221=$AB$64,$AC$64,E221=$AB$65,$AC$65,E221=$AB$66,$AC$66,TRUE,"0")</f>
        <v>#NAME?</v>
      </c>
      <c r="C221" s="161" t="str" cm="1">
        <f t="array" ref="C221">_xlfn.IFS(E221=$AB$42,$AF$42,E221=$AB$43,$AF$43,E221=$AB$44,$AF$44,E221=$AB$45,$AF$45,E221=$AB$46,$AF$46,E221=$AB$47,$AF$47,E221=$AB$48,$AF$48,E221=$AB$49,$AF$49,E221=$AB$50,$AF$50,E221=$AB$51,$AF$51,E221=$AB$52,$AF$52,E221=$AB$53,$AF$53,E221=$AB$54,$AF$54,E221=$AB$55,$AF$55,E221=$AB$56,$AF$56,E221=$AB$57,$AF$57,E221=$AB$58,$AF$58,E221=$AB$59,$AF$59,E221=$AB$60,$AF$60,E221=$AB$61,$AF$61,E221=$AB$62,$AF$62,E221=$AB$63,$AF$63,E221=$AB$64,$AF$64,E221=$AB$65,$AF$65,E221=$AB$66,$AF$66,TRUE,"0")</f>
        <v>B4 Match, lay HT 0-0 or BACK H1 +0.5 GOALS</v>
      </c>
      <c r="D221" s="270" t="str" cm="1">
        <f t="array" ref="D221">_xlfn.IFS(E221=$AB$42,$AD$42,E221=$AB$43,$AD$43,E221=$AB$44,$AD$44,E221=$AB$45,$AD$45,E221=$AB$46,$AD$46,E221=$AB$47,$AD$47,E221=$AB$48,$AD$48,E221=$AB$49,$AD$49,E221=$AB$50,$AD$50,E221=$AB$51,$AD$51,E221=$AB$52,$AD$52,E221=$AB$53,$AD$53,E221=$AB$54,$AD$54,E221=$AB$55,$AD$55,E221=$AB$56,$AD$56,E221=$AB$57,$AD$57,E221=$AB$58,$AD$58,E221=$AB$59,$AD$59,E221=$AB$60,$AD$60,E221=$AB$61,$AD$61,E221=$AB$62,$AD$62,E221=$AB$63,$AD$63,E221=$AB$64,$AD$64,E221=$AB$65,$AD$65,E221=$AB$66,$AD$66,TRUE,"0")</f>
        <v xml:space="preserve">BFM </v>
      </c>
      <c r="E221" s="163" t="s">
        <v>432</v>
      </c>
      <c r="F221" s="2" t="s">
        <v>20</v>
      </c>
      <c r="G221" s="2" t="s">
        <v>21</v>
      </c>
      <c r="H221" s="3">
        <v>45326.822916666664</v>
      </c>
      <c r="I221" s="2" t="s">
        <v>25</v>
      </c>
      <c r="J221" s="2" t="s">
        <v>358</v>
      </c>
      <c r="K221" s="2">
        <v>10</v>
      </c>
      <c r="L221" s="2">
        <v>10</v>
      </c>
      <c r="M221" s="2">
        <v>20</v>
      </c>
      <c r="N221" s="2">
        <v>20</v>
      </c>
      <c r="O221" s="2">
        <v>100</v>
      </c>
      <c r="P221" s="2">
        <v>3.55</v>
      </c>
      <c r="Q221" s="1" t="s">
        <v>95</v>
      </c>
      <c r="R221" s="14" t="s">
        <v>216</v>
      </c>
      <c r="S221" s="13" t="s">
        <v>225</v>
      </c>
      <c r="T221" s="188">
        <f t="shared" si="23"/>
        <v>109.84111352936594</v>
      </c>
      <c r="U221" s="8">
        <f t="shared" si="22"/>
        <v>19.771400435285869</v>
      </c>
      <c r="V221" s="234">
        <f t="shared" si="28"/>
        <v>2216.5936710226047</v>
      </c>
      <c r="W221" s="15">
        <v>25</v>
      </c>
      <c r="X221" s="8">
        <f t="shared" si="24"/>
        <v>4.5</v>
      </c>
      <c r="Y221" s="233">
        <f t="shared" si="25"/>
        <v>1254</v>
      </c>
    </row>
    <row r="222" spans="1:25">
      <c r="A222" s="156" t="e" cm="1">
        <f t="array" aca="1" ref="A222" ca="1">_xlfn.IFS(E222=$AB$42,$AC$42,E222=$AB$43,$AC$43,E222=$AB$44,$AC$44,E222=$AB$45,$AC$45,E222=$AB$46,$AC$46,E222=$AB$47,$AC$47,E222=$AB$48,$AC$48,E222=$AB$49,$AC$49,E222=$AB$50,$AC$50,E222=$AB$51,$AC$51,E222=$AB$52,$AC$52,E222=$AB$53,$AC$53,E222=$AB$54,$AC$54,E222=$AB$55,$AC$55,E222=$AB$56,$AC$56,E222=$AB$57,$AC$57,E222=$AB$58,$AC$58,E222=$AB$59,$AC$59,E222=$AB$60,$AC$60,E222=$AB$61,$AC$61,E222=$AB$62,$AC$62,E222=$AB$63,$AC$63,E222=$AB$64,$AC$64,E222=$AB$65,$AC$65,E222=$AB$66,$AC$66,TRUE,"0")</f>
        <v>#NAME?</v>
      </c>
      <c r="C222" s="161" t="str" cm="1">
        <f t="array" ref="C222">_xlfn.IFS(E222=$AB$42,$AF$42,E222=$AB$43,$AF$43,E222=$AB$44,$AF$44,E222=$AB$45,$AF$45,E222=$AB$46,$AF$46,E222=$AB$47,$AF$47,E222=$AB$48,$AF$48,E222=$AB$49,$AF$49,E222=$AB$50,$AF$50,E222=$AB$51,$AF$51,E222=$AB$52,$AF$52,E222=$AB$53,$AF$53,E222=$AB$54,$AF$54,E222=$AB$55,$AF$55,E222=$AB$56,$AF$56,E222=$AB$57,$AF$57,E222=$AB$58,$AF$58,E222=$AB$59,$AF$59,E222=$AB$60,$AF$60,E222=$AB$61,$AF$61,E222=$AB$62,$AF$62,E222=$AB$63,$AF$63,E222=$AB$64,$AF$64,E222=$AB$65,$AF$65,E222=$AB$66,$AF$66,TRUE,"0")</f>
        <v>if 0-0, BACK+ 0.5 GOALS  @ 1.15+odds.  or @ 40 mins</v>
      </c>
      <c r="D222" s="270" t="str" cm="1">
        <f t="array" ref="D222">_xlfn.IFS(E222=$AB$42,$AD$42,E222=$AB$43,$AD$43,E222=$AB$44,$AD$44,E222=$AB$45,$AD$45,E222=$AB$46,$AD$46,E222=$AB$47,$AD$47,E222=$AB$48,$AD$48,E222=$AB$49,$AD$49,E222=$AB$50,$AD$50,E222=$AB$51,$AD$51,E222=$AB$52,$AD$52,E222=$AB$53,$AD$53,E222=$AB$54,$AD$54,E222=$AB$55,$AD$55,E222=$AB$56,$AD$56,E222=$AB$57,$AD$57,E222=$AB$58,$AD$58,E222=$AB$59,$AD$59,E222=$AB$60,$AD$60,E222=$AB$61,$AD$61,E222=$AB$62,$AD$62,E222=$AB$63,$AD$63,E222=$AB$64,$AD$64,E222=$AB$65,$AD$65,E222=$AB$66,$AD$66,TRUE,"0")</f>
        <v>IP</v>
      </c>
      <c r="E222" s="163" t="s">
        <v>270</v>
      </c>
      <c r="F222" s="2" t="s">
        <v>20</v>
      </c>
      <c r="G222" s="2" t="s">
        <v>21</v>
      </c>
      <c r="H222" s="3">
        <v>45327.822916666664</v>
      </c>
      <c r="I222" s="2" t="s">
        <v>380</v>
      </c>
      <c r="J222" s="2" t="s">
        <v>335</v>
      </c>
      <c r="K222" s="2">
        <v>68</v>
      </c>
      <c r="L222" s="2">
        <v>0</v>
      </c>
      <c r="M222" s="2">
        <v>20</v>
      </c>
      <c r="N222" s="2">
        <v>2.33</v>
      </c>
      <c r="O222" s="2"/>
      <c r="P222" s="2"/>
      <c r="Q222" s="1" t="s">
        <v>95</v>
      </c>
      <c r="R222" s="14" t="s">
        <v>220</v>
      </c>
      <c r="S222" s="13" t="s">
        <v>194</v>
      </c>
      <c r="T222" s="188">
        <f t="shared" si="23"/>
        <v>110.82968355113024</v>
      </c>
      <c r="U222" s="8">
        <f t="shared" si="22"/>
        <v>19.949343039203445</v>
      </c>
      <c r="V222" s="234">
        <f t="shared" si="28"/>
        <v>2236.5430140618082</v>
      </c>
      <c r="W222" s="15">
        <v>25</v>
      </c>
      <c r="X222" s="8">
        <f t="shared" si="24"/>
        <v>4.5</v>
      </c>
      <c r="Y222" s="233">
        <f t="shared" si="25"/>
        <v>1258.5</v>
      </c>
    </row>
    <row r="223" spans="1:25">
      <c r="A223" s="156" t="e" cm="1">
        <f t="array" aca="1" ref="A223" ca="1">_xlfn.IFS(E223=$AB$42,$AC$42,E223=$AB$43,$AC$43,E223=$AB$44,$AC$44,E223=$AB$45,$AC$45,E223=$AB$46,$AC$46,E223=$AB$47,$AC$47,E223=$AB$48,$AC$48,E223=$AB$49,$AC$49,E223=$AB$50,$AC$50,E223=$AB$51,$AC$51,E223=$AB$52,$AC$52,E223=$AB$53,$AC$53,E223=$AB$54,$AC$54,E223=$AB$55,$AC$55,E223=$AB$56,$AC$56,E223=$AB$57,$AC$57,E223=$AB$58,$AC$58,E223=$AB$59,$AC$59,E223=$AB$60,$AC$60,E223=$AB$61,$AC$61,E223=$AB$62,$AC$62,E223=$AB$63,$AC$63,E223=$AB$64,$AC$64,E223=$AB$65,$AC$65,E223=$AB$66,$AC$66,TRUE,"0")</f>
        <v>#NAME?</v>
      </c>
      <c r="C223" s="161" t="str" cm="1">
        <f t="array" ref="C223">_xlfn.IFS(E223=$AB$42,$AF$42,E223=$AB$43,$AF$43,E223=$AB$44,$AF$44,E223=$AB$45,$AF$45,E223=$AB$46,$AF$46,E223=$AB$47,$AF$47,E223=$AB$48,$AF$48,E223=$AB$49,$AF$49,E223=$AB$50,$AF$50,E223=$AB$51,$AF$51,E223=$AB$52,$AF$52,E223=$AB$53,$AF$53,E223=$AB$54,$AF$54,E223=$AB$55,$AF$55,E223=$AB$56,$AF$56,E223=$AB$57,$AF$57,E223=$AB$58,$AF$58,E223=$AB$59,$AF$59,E223=$AB$60,$AF$60,E223=$AB$61,$AF$61,E223=$AB$62,$AF$62,E223=$AB$63,$AF$63,E223=$AB$64,$AF$64,E223=$AB$65,$AF$65,E223=$AB$66,$AF$66,TRUE,"0")</f>
        <v>40 mins Back ANother Goal</v>
      </c>
      <c r="D223" s="270" t="str" cm="1">
        <f t="array" ref="D223">_xlfn.IFS(E223=$AB$42,$AD$42,E223=$AB$43,$AD$43,E223=$AB$44,$AD$44,E223=$AB$45,$AD$45,E223=$AB$46,$AD$46,E223=$AB$47,$AD$47,E223=$AB$48,$AD$48,E223=$AB$49,$AD$49,E223=$AB$50,$AD$50,E223=$AB$51,$AD$51,E223=$AB$52,$AD$52,E223=$AB$53,$AD$53,E223=$AB$54,$AD$54,E223=$AB$55,$AD$55,E223=$AB$56,$AD$56,E223=$AB$57,$AD$57,E223=$AB$58,$AD$58,E223=$AB$59,$AD$59,E223=$AB$60,$AD$60,E223=$AB$61,$AD$61,E223=$AB$62,$AD$62,E223=$AB$63,$AD$63,E223=$AB$64,$AD$64,E223=$AB$65,$AD$65,E223=$AB$66,$AD$66,TRUE,"0")</f>
        <v xml:space="preserve">  BANG</v>
      </c>
      <c r="E223" s="163" t="s">
        <v>10</v>
      </c>
      <c r="F223" s="2" t="s">
        <v>6</v>
      </c>
      <c r="G223" s="2" t="s">
        <v>62</v>
      </c>
      <c r="H223" s="3">
        <v>45327.833333333336</v>
      </c>
      <c r="I223" s="2" t="s">
        <v>63</v>
      </c>
      <c r="J223" s="2" t="s">
        <v>72</v>
      </c>
      <c r="K223" s="2">
        <v>2.15</v>
      </c>
      <c r="L223" s="2">
        <v>100</v>
      </c>
      <c r="M223" s="2">
        <v>75</v>
      </c>
      <c r="N223" s="2">
        <v>30</v>
      </c>
      <c r="O223" s="2">
        <v>65</v>
      </c>
      <c r="P223" s="2">
        <v>20</v>
      </c>
      <c r="Q223" s="1" t="s">
        <v>95</v>
      </c>
      <c r="R223" s="14" t="s">
        <v>216</v>
      </c>
      <c r="S223" s="13" t="s">
        <v>211</v>
      </c>
      <c r="T223" s="188">
        <f t="shared" si="23"/>
        <v>111.82715070309041</v>
      </c>
      <c r="U223" s="8">
        <f t="shared" si="22"/>
        <v>20.128887126556272</v>
      </c>
      <c r="V223" s="234">
        <f t="shared" si="28"/>
        <v>2256.6719011883647</v>
      </c>
      <c r="W223" s="15">
        <v>25</v>
      </c>
      <c r="X223" s="8">
        <f t="shared" si="24"/>
        <v>4.5</v>
      </c>
      <c r="Y223" s="233">
        <f t="shared" si="25"/>
        <v>1263</v>
      </c>
    </row>
    <row r="224" spans="1:25">
      <c r="A224" s="156" t="e" cm="1">
        <f t="array" aca="1" ref="A224" ca="1">_xlfn.IFS(E224=$AB$42,$AC$42,E224=$AB$43,$AC$43,E224=$AB$44,$AC$44,E224=$AB$45,$AC$45,E224=$AB$46,$AC$46,E224=$AB$47,$AC$47,E224=$AB$48,$AC$48,E224=$AB$49,$AC$49,E224=$AB$50,$AC$50,E224=$AB$51,$AC$51,E224=$AB$52,$AC$52,E224=$AB$53,$AC$53,E224=$AB$54,$AC$54,E224=$AB$55,$AC$55,E224=$AB$56,$AC$56,E224=$AB$57,$AC$57,E224=$AB$58,$AC$58,E224=$AB$59,$AC$59,E224=$AB$60,$AC$60,E224=$AB$61,$AC$61,E224=$AB$62,$AC$62,E224=$AB$63,$AC$63,E224=$AB$64,$AC$64,E224=$AB$65,$AC$65,E224=$AB$66,$AC$66,TRUE,"0")</f>
        <v>#NAME?</v>
      </c>
      <c r="C224" s="161" t="str" cm="1">
        <f t="array" ref="C224">_xlfn.IFS(E224=$AB$42,$AF$42,E224=$AB$43,$AF$43,E224=$AB$44,$AF$44,E224=$AB$45,$AF$45,E224=$AB$46,$AF$46,E224=$AB$47,$AF$47,E224=$AB$48,$AF$48,E224=$AB$49,$AF$49,E224=$AB$50,$AF$50,E224=$AB$51,$AF$51,E224=$AB$52,$AF$52,E224=$AB$53,$AF$53,E224=$AB$54,$AF$54,E224=$AB$55,$AF$55,E224=$AB$56,$AF$56,E224=$AB$57,$AF$57,E224=$AB$58,$AF$58,E224=$AB$59,$AF$59,E224=$AB$60,$AF$60,E224=$AB$61,$AF$61,E224=$AB$62,$AF$62,E224=$AB$63,$AF$63,E224=$AB$64,$AF$64,E224=$AB$65,$AF$65,E224=$AB$66,$AF$66,TRUE,"0")</f>
        <v>if 0-0, BACK+ 0.5 GOALS  @ 1.15+odds.  or @ 40 mins</v>
      </c>
      <c r="D224" s="270" t="str" cm="1">
        <f t="array" ref="D224">_xlfn.IFS(E224=$AB$42,$AD$42,E224=$AB$43,$AD$43,E224=$AB$44,$AD$44,E224=$AB$45,$AD$45,E224=$AB$46,$AD$46,E224=$AB$47,$AD$47,E224=$AB$48,$AD$48,E224=$AB$49,$AD$49,E224=$AB$50,$AD$50,E224=$AB$51,$AD$51,E224=$AB$52,$AD$52,E224=$AB$53,$AD$53,E224=$AB$54,$AD$54,E224=$AB$55,$AD$55,E224=$AB$56,$AD$56,E224=$AB$57,$AD$57,E224=$AB$58,$AD$58,E224=$AB$59,$AD$59,E224=$AB$60,$AD$60,E224=$AB$61,$AD$61,E224=$AB$62,$AD$62,E224=$AB$63,$AD$63,E224=$AB$64,$AD$64,E224=$AB$65,$AD$65,E224=$AB$66,$AD$66,TRUE,"0")</f>
        <v>IP</v>
      </c>
      <c r="E224" s="163" t="s">
        <v>270</v>
      </c>
      <c r="F224" s="2" t="s">
        <v>6</v>
      </c>
      <c r="G224" s="2" t="s">
        <v>62</v>
      </c>
      <c r="H224" s="3">
        <v>45327.833333333336</v>
      </c>
      <c r="I224" s="2" t="s">
        <v>63</v>
      </c>
      <c r="J224" s="2" t="s">
        <v>72</v>
      </c>
      <c r="K224" s="2">
        <v>61</v>
      </c>
      <c r="L224" s="2">
        <v>0</v>
      </c>
      <c r="M224" s="2">
        <v>20</v>
      </c>
      <c r="N224" s="2">
        <v>2.89</v>
      </c>
      <c r="O224" s="2"/>
      <c r="P224" s="2"/>
      <c r="Q224" s="1" t="s">
        <v>95</v>
      </c>
      <c r="R224" s="14" t="s">
        <v>216</v>
      </c>
      <c r="S224" s="13" t="s">
        <v>211</v>
      </c>
      <c r="T224" s="188">
        <f t="shared" si="23"/>
        <v>112.83359505941824</v>
      </c>
      <c r="U224" s="8">
        <f t="shared" si="22"/>
        <v>20.310047110695283</v>
      </c>
      <c r="V224" s="234">
        <f t="shared" si="28"/>
        <v>2276.9819482990602</v>
      </c>
      <c r="W224" s="15">
        <v>25</v>
      </c>
      <c r="X224" s="8">
        <f t="shared" si="24"/>
        <v>4.5</v>
      </c>
      <c r="Y224" s="233">
        <f t="shared" si="25"/>
        <v>1267.5</v>
      </c>
    </row>
    <row r="225" spans="1:25">
      <c r="A225" s="156" t="e" cm="1">
        <f t="array" aca="1" ref="A225" ca="1">_xlfn.IFS(E225=$AB$42,$AC$42,E225=$AB$43,$AC$43,E225=$AB$44,$AC$44,E225=$AB$45,$AC$45,E225=$AB$46,$AC$46,E225=$AB$47,$AC$47,E225=$AB$48,$AC$48,E225=$AB$49,$AC$49,E225=$AB$50,$AC$50,E225=$AB$51,$AC$51,E225=$AB$52,$AC$52,E225=$AB$53,$AC$53,E225=$AB$54,$AC$54,E225=$AB$55,$AC$55,E225=$AB$56,$AC$56,E225=$AB$57,$AC$57,E225=$AB$58,$AC$58,E225=$AB$59,$AC$59,E225=$AB$60,$AC$60,E225=$AB$61,$AC$61,E225=$AB$62,$AC$62,E225=$AB$63,$AC$63,E225=$AB$64,$AC$64,E225=$AB$65,$AC$65,E225=$AB$66,$AC$66,TRUE,"0")</f>
        <v>#NAME?</v>
      </c>
      <c r="C225" s="161" t="str" cm="1">
        <f t="array" ref="C225">_xlfn.IFS(E225=$AB$42,$AF$42,E225=$AB$43,$AF$43,E225=$AB$44,$AF$44,E225=$AB$45,$AF$45,E225=$AB$46,$AF$46,E225=$AB$47,$AF$47,E225=$AB$48,$AF$48,E225=$AB$49,$AF$49,E225=$AB$50,$AF$50,E225=$AB$51,$AF$51,E225=$AB$52,$AF$52,E225=$AB$53,$AF$53,E225=$AB$54,$AF$54,E225=$AB$55,$AF$55,E225=$AB$56,$AF$56,E225=$AB$57,$AF$57,E225=$AB$58,$AF$58,E225=$AB$59,$AF$59,E225=$AB$60,$AF$60,E225=$AB$61,$AF$61,E225=$AB$62,$AF$62,E225=$AB$63,$AF$63,E225=$AB$64,$AF$64,E225=$AB$65,$AF$65,E225=$AB$66,$AF$66,TRUE,"0")</f>
        <v>B4 Match, lay HT 0-0 or BACK H1 +0.5 GOALS</v>
      </c>
      <c r="D225" s="270" t="str" cm="1">
        <f t="array" ref="D225">_xlfn.IFS(E225=$AB$42,$AD$42,E225=$AB$43,$AD$43,E225=$AB$44,$AD$44,E225=$AB$45,$AD$45,E225=$AB$46,$AD$46,E225=$AB$47,$AD$47,E225=$AB$48,$AD$48,E225=$AB$49,$AD$49,E225=$AB$50,$AD$50,E225=$AB$51,$AD$51,E225=$AB$52,$AD$52,E225=$AB$53,$AD$53,E225=$AB$54,$AD$54,E225=$AB$55,$AD$55,E225=$AB$56,$AD$56,E225=$AB$57,$AD$57,E225=$AB$58,$AD$58,E225=$AB$59,$AD$59,E225=$AB$60,$AD$60,E225=$AB$61,$AD$61,E225=$AB$62,$AD$62,E225=$AB$63,$AD$63,E225=$AB$64,$AD$64,E225=$AB$65,$AD$65,E225=$AB$66,$AD$66,TRUE,"0")</f>
        <v xml:space="preserve">BFM </v>
      </c>
      <c r="E225" s="163" t="s">
        <v>432</v>
      </c>
      <c r="F225" s="2" t="s">
        <v>6</v>
      </c>
      <c r="G225" s="2" t="s">
        <v>11</v>
      </c>
      <c r="H225" s="3">
        <v>45328.822916666664</v>
      </c>
      <c r="I225" s="2" t="s">
        <v>303</v>
      </c>
      <c r="J225" s="2" t="s">
        <v>405</v>
      </c>
      <c r="K225" s="2">
        <v>85</v>
      </c>
      <c r="L225" s="2">
        <v>23</v>
      </c>
      <c r="M225" s="2">
        <v>45</v>
      </c>
      <c r="N225" s="2">
        <v>3</v>
      </c>
      <c r="O225" s="2">
        <v>1.4</v>
      </c>
      <c r="P225" s="2">
        <v>40</v>
      </c>
      <c r="Q225" s="1" t="s">
        <v>95</v>
      </c>
      <c r="R225" s="14" t="s">
        <v>193</v>
      </c>
      <c r="S225" s="13" t="s">
        <v>217</v>
      </c>
      <c r="T225" s="188">
        <f t="shared" si="23"/>
        <v>113.84909741495301</v>
      </c>
      <c r="U225" s="8">
        <f t="shared" si="22"/>
        <v>20.492837534691542</v>
      </c>
      <c r="V225" s="234">
        <f t="shared" si="28"/>
        <v>2297.4747858337519</v>
      </c>
      <c r="W225" s="15">
        <v>25</v>
      </c>
      <c r="X225" s="8">
        <f t="shared" si="24"/>
        <v>4.5</v>
      </c>
      <c r="Y225" s="233">
        <f t="shared" si="25"/>
        <v>1272</v>
      </c>
    </row>
    <row r="226" spans="1:25">
      <c r="A226" s="156" t="e" cm="1">
        <f t="array" aca="1" ref="A226" ca="1">_xlfn.IFS(E226=$AB$42,$AC$42,E226=$AB$43,$AC$43,E226=$AB$44,$AC$44,E226=$AB$45,$AC$45,E226=$AB$46,$AC$46,E226=$AB$47,$AC$47,E226=$AB$48,$AC$48,E226=$AB$49,$AC$49,E226=$AB$50,$AC$50,E226=$AB$51,$AC$51,E226=$AB$52,$AC$52,E226=$AB$53,$AC$53,E226=$AB$54,$AC$54,E226=$AB$55,$AC$55,E226=$AB$56,$AC$56,E226=$AB$57,$AC$57,E226=$AB$58,$AC$58,E226=$AB$59,$AC$59,E226=$AB$60,$AC$60,E226=$AB$61,$AC$61,E226=$AB$62,$AC$62,E226=$AB$63,$AC$63,E226=$AB$64,$AC$64,E226=$AB$65,$AC$65,E226=$AB$66,$AC$66,TRUE,"0")</f>
        <v>#NAME?</v>
      </c>
      <c r="C226" s="161" t="str" cm="1">
        <f t="array" ref="C226">_xlfn.IFS(E226=$AB$42,$AF$42,E226=$AB$43,$AF$43,E226=$AB$44,$AF$44,E226=$AB$45,$AF$45,E226=$AB$46,$AF$46,E226=$AB$47,$AF$47,E226=$AB$48,$AF$48,E226=$AB$49,$AF$49,E226=$AB$50,$AF$50,E226=$AB$51,$AF$51,E226=$AB$52,$AF$52,E226=$AB$53,$AF$53,E226=$AB$54,$AF$54,E226=$AB$55,$AF$55,E226=$AB$56,$AF$56,E226=$AB$57,$AF$57,E226=$AB$58,$AF$58,E226=$AB$59,$AF$59,E226=$AB$60,$AF$60,E226=$AB$61,$AF$61,E226=$AB$62,$AF$62,E226=$AB$63,$AF$63,E226=$AB$64,$AF$64,E226=$AB$65,$AF$65,E226=$AB$66,$AF$66,TRUE,"0")</f>
        <v>40 mins Back ANother Goal</v>
      </c>
      <c r="D226" s="270" t="str" cm="1">
        <f t="array" ref="D226">_xlfn.IFS(E226=$AB$42,$AD$42,E226=$AB$43,$AD$43,E226=$AB$44,$AD$44,E226=$AB$45,$AD$45,E226=$AB$46,$AD$46,E226=$AB$47,$AD$47,E226=$AB$48,$AD$48,E226=$AB$49,$AD$49,E226=$AB$50,$AD$50,E226=$AB$51,$AD$51,E226=$AB$52,$AD$52,E226=$AB$53,$AD$53,E226=$AB$54,$AD$54,E226=$AB$55,$AD$55,E226=$AB$56,$AD$56,E226=$AB$57,$AD$57,E226=$AB$58,$AD$58,E226=$AB$59,$AD$59,E226=$AB$60,$AD$60,E226=$AB$61,$AD$61,E226=$AB$62,$AD$62,E226=$AB$63,$AD$63,E226=$AB$64,$AD$64,E226=$AB$65,$AD$65,E226=$AB$66,$AD$66,TRUE,"0")</f>
        <v xml:space="preserve">  BANG</v>
      </c>
      <c r="E226" s="163" t="s">
        <v>43</v>
      </c>
      <c r="F226" s="2" t="s">
        <v>13</v>
      </c>
      <c r="G226" s="2" t="s">
        <v>37</v>
      </c>
      <c r="H226" s="3">
        <v>45328.822916666664</v>
      </c>
      <c r="I226" s="2" t="s">
        <v>38</v>
      </c>
      <c r="J226" s="2" t="s">
        <v>323</v>
      </c>
      <c r="K226" s="2">
        <v>67</v>
      </c>
      <c r="L226" s="2">
        <v>90</v>
      </c>
      <c r="M226" s="2">
        <v>63</v>
      </c>
      <c r="N226" s="2">
        <v>2.1</v>
      </c>
      <c r="O226" s="2">
        <v>1.36</v>
      </c>
      <c r="P226" s="2"/>
      <c r="Q226" s="1" t="s">
        <v>95</v>
      </c>
      <c r="R226" s="14" t="s">
        <v>207</v>
      </c>
      <c r="S226" s="13" t="s">
        <v>195</v>
      </c>
      <c r="T226" s="188">
        <f t="shared" si="23"/>
        <v>114.8737392916876</v>
      </c>
      <c r="U226" s="8">
        <f t="shared" si="22"/>
        <v>20.677273072503766</v>
      </c>
      <c r="V226" s="234">
        <f t="shared" si="28"/>
        <v>2318.1520589062557</v>
      </c>
      <c r="W226" s="15">
        <v>25</v>
      </c>
      <c r="X226" s="8">
        <f t="shared" si="24"/>
        <v>4.5</v>
      </c>
      <c r="Y226" s="233">
        <f t="shared" si="25"/>
        <v>1276.5</v>
      </c>
    </row>
    <row r="227" spans="1:25">
      <c r="A227" s="156" t="e" cm="1">
        <f t="array" aca="1" ref="A227" ca="1">_xlfn.IFS(E227=$AB$42,$AC$42,E227=$AB$43,$AC$43,E227=$AB$44,$AC$44,E227=$AB$45,$AC$45,E227=$AB$46,$AC$46,E227=$AB$47,$AC$47,E227=$AB$48,$AC$48,E227=$AB$49,$AC$49,E227=$AB$50,$AC$50,E227=$AB$51,$AC$51,E227=$AB$52,$AC$52,E227=$AB$53,$AC$53,E227=$AB$54,$AC$54,E227=$AB$55,$AC$55,E227=$AB$56,$AC$56,E227=$AB$57,$AC$57,E227=$AB$58,$AC$58,E227=$AB$59,$AC$59,E227=$AB$60,$AC$60,E227=$AB$61,$AC$61,E227=$AB$62,$AC$62,E227=$AB$63,$AC$63,E227=$AB$64,$AC$64,E227=$AB$65,$AC$65,E227=$AB$66,$AC$66,TRUE,"0")</f>
        <v>#NAME?</v>
      </c>
      <c r="C227" s="161" t="str" cm="1">
        <f t="array" ref="C227">_xlfn.IFS(E227=$AB$42,$AF$42,E227=$AB$43,$AF$43,E227=$AB$44,$AF$44,E227=$AB$45,$AF$45,E227=$AB$46,$AF$46,E227=$AB$47,$AF$47,E227=$AB$48,$AF$48,E227=$AB$49,$AF$49,E227=$AB$50,$AF$50,E227=$AB$51,$AF$51,E227=$AB$52,$AF$52,E227=$AB$53,$AF$53,E227=$AB$54,$AF$54,E227=$AB$55,$AF$55,E227=$AB$56,$AF$56,E227=$AB$57,$AF$57,E227=$AB$58,$AF$58,E227=$AB$59,$AF$59,E227=$AB$60,$AF$60,E227=$AB$61,$AF$61,E227=$AB$62,$AF$62,E227=$AB$63,$AF$63,E227=$AB$64,$AF$64,E227=$AB$65,$AF$65,E227=$AB$66,$AF$66,TRUE,"0")</f>
        <v>B4 match BACK FT +1.5 goals. X AFTER  GOAL</v>
      </c>
      <c r="D227" s="270" t="str" cm="1">
        <f t="array" ref="D227">_xlfn.IFS(E227=$AB$42,$AD$42,E227=$AB$43,$AD$43,E227=$AB$44,$AD$44,E227=$AB$45,$AD$45,E227=$AB$46,$AD$46,E227=$AB$47,$AD$47,E227=$AB$48,$AD$48,E227=$AB$49,$AD$49,E227=$AB$50,$AD$50,E227=$AB$51,$AD$51,E227=$AB$52,$AD$52,E227=$AB$53,$AD$53,E227=$AB$54,$AD$54,E227=$AB$55,$AD$55,E227=$AB$56,$AD$56,E227=$AB$57,$AD$57,E227=$AB$58,$AD$58,E227=$AB$59,$AD$59,E227=$AB$60,$AD$60,E227=$AB$61,$AD$61,E227=$AB$62,$AD$62,E227=$AB$63,$AD$63,E227=$AB$64,$AD$64,E227=$AB$65,$AD$65,E227=$AB$66,$AD$66,TRUE,"0")</f>
        <v xml:space="preserve">BFM </v>
      </c>
      <c r="E227" s="163" t="s">
        <v>406</v>
      </c>
      <c r="F227" s="2" t="s">
        <v>13</v>
      </c>
      <c r="G227" s="2" t="s">
        <v>37</v>
      </c>
      <c r="H227" s="3">
        <v>45328.833333333336</v>
      </c>
      <c r="I227" s="2" t="s">
        <v>79</v>
      </c>
      <c r="J227" s="2" t="s">
        <v>319</v>
      </c>
      <c r="K227" s="2">
        <v>1.25</v>
      </c>
      <c r="L227" s="2">
        <v>16</v>
      </c>
      <c r="M227" s="2">
        <v>3.05</v>
      </c>
      <c r="N227" s="2">
        <v>4</v>
      </c>
      <c r="O227" s="2">
        <v>2.84</v>
      </c>
      <c r="P227" s="2"/>
      <c r="Q227" s="1" t="s">
        <v>95</v>
      </c>
      <c r="R227" s="14" t="s">
        <v>216</v>
      </c>
      <c r="S227" s="13" t="s">
        <v>222</v>
      </c>
      <c r="T227" s="188">
        <f t="shared" si="23"/>
        <v>115.90760294531279</v>
      </c>
      <c r="U227" s="8">
        <f t="shared" si="22"/>
        <v>20.863368530156301</v>
      </c>
      <c r="V227" s="234">
        <f t="shared" si="28"/>
        <v>2339.0154274364118</v>
      </c>
      <c r="W227" s="15">
        <v>25</v>
      </c>
      <c r="X227" s="8">
        <f t="shared" si="24"/>
        <v>4.5</v>
      </c>
      <c r="Y227" s="233">
        <f t="shared" si="25"/>
        <v>1281</v>
      </c>
    </row>
    <row r="228" spans="1:25">
      <c r="A228" s="156" t="e" cm="1">
        <f t="array" aca="1" ref="A228" ca="1">_xlfn.IFS(E228=$AB$42,$AC$42,E228=$AB$43,$AC$43,E228=$AB$44,$AC$44,E228=$AB$45,$AC$45,E228=$AB$46,$AC$46,E228=$AB$47,$AC$47,E228=$AB$48,$AC$48,E228=$AB$49,$AC$49,E228=$AB$50,$AC$50,E228=$AB$51,$AC$51,E228=$AB$52,$AC$52,E228=$AB$53,$AC$53,E228=$AB$54,$AC$54,E228=$AB$55,$AC$55,E228=$AB$56,$AC$56,E228=$AB$57,$AC$57,E228=$AB$58,$AC$58,E228=$AB$59,$AC$59,E228=$AB$60,$AC$60,E228=$AB$61,$AC$61,E228=$AB$62,$AC$62,E228=$AB$63,$AC$63,E228=$AB$64,$AC$64,E228=$AB$65,$AC$65,E228=$AB$66,$AC$66,TRUE,"0")</f>
        <v>#NAME?</v>
      </c>
      <c r="C228" s="161" t="str" cm="1">
        <f t="array" ref="C228">_xlfn.IFS(E228=$AB$42,$AF$42,E228=$AB$43,$AF$43,E228=$AB$44,$AF$44,E228=$AB$45,$AF$45,E228=$AB$46,$AF$46,E228=$AB$47,$AF$47,E228=$AB$48,$AF$48,E228=$AB$49,$AF$49,E228=$AB$50,$AF$50,E228=$AB$51,$AF$51,E228=$AB$52,$AF$52,E228=$AB$53,$AF$53,E228=$AB$54,$AF$54,E228=$AB$55,$AF$55,E228=$AB$56,$AF$56,E228=$AB$57,$AF$57,E228=$AB$58,$AF$58,E228=$AB$59,$AF$59,E228=$AB$60,$AF$60,E228=$AB$61,$AF$61,E228=$AB$62,$AF$62,E228=$AB$63,$AF$63,E228=$AB$64,$AF$64,E228=$AB$65,$AF$65,E228=$AB$66,$AF$66,TRUE,"0")</f>
        <v>if 0-0, BACK+ 0.5 GOALS  @ 1.15+odds.  or @ 40 mins</v>
      </c>
      <c r="D228" s="270" t="str" cm="1">
        <f t="array" ref="D228">_xlfn.IFS(E228=$AB$42,$AD$42,E228=$AB$43,$AD$43,E228=$AB$44,$AD$44,E228=$AB$45,$AD$45,E228=$AB$46,$AD$46,E228=$AB$47,$AD$47,E228=$AB$48,$AD$48,E228=$AB$49,$AD$49,E228=$AB$50,$AD$50,E228=$AB$51,$AD$51,E228=$AB$52,$AD$52,E228=$AB$53,$AD$53,E228=$AB$54,$AD$54,E228=$AB$55,$AD$55,E228=$AB$56,$AD$56,E228=$AB$57,$AD$57,E228=$AB$58,$AD$58,E228=$AB$59,$AD$59,E228=$AB$60,$AD$60,E228=$AB$61,$AD$61,E228=$AB$62,$AD$62,E228=$AB$63,$AD$63,E228=$AB$64,$AD$64,E228=$AB$65,$AD$65,E228=$AB$66,$AD$66,TRUE,"0")</f>
        <v>IP</v>
      </c>
      <c r="E228" s="163" t="s">
        <v>270</v>
      </c>
      <c r="F228" s="2" t="s">
        <v>67</v>
      </c>
      <c r="G228" s="2" t="s">
        <v>169</v>
      </c>
      <c r="H228" s="3">
        <v>45329.791666666664</v>
      </c>
      <c r="I228" s="2" t="s">
        <v>204</v>
      </c>
      <c r="J228" s="2" t="s">
        <v>396</v>
      </c>
      <c r="K228" s="2">
        <v>59</v>
      </c>
      <c r="L228" s="2">
        <v>0</v>
      </c>
      <c r="M228" s="2">
        <v>20</v>
      </c>
      <c r="N228" s="2">
        <v>1.34</v>
      </c>
      <c r="O228" s="2"/>
      <c r="P228" s="2"/>
      <c r="Q228" s="1" t="s">
        <v>95</v>
      </c>
      <c r="R228" s="14" t="s">
        <v>220</v>
      </c>
      <c r="S228" s="13" t="s">
        <v>207</v>
      </c>
      <c r="T228" s="188">
        <f t="shared" si="23"/>
        <v>116.95077137182059</v>
      </c>
      <c r="U228" s="8">
        <f t="shared" si="22"/>
        <v>21.051138846927707</v>
      </c>
      <c r="V228" s="234">
        <f t="shared" si="28"/>
        <v>2360.0665662833394</v>
      </c>
      <c r="W228" s="15">
        <v>25</v>
      </c>
      <c r="X228" s="8">
        <f t="shared" si="24"/>
        <v>4.5</v>
      </c>
      <c r="Y228" s="233">
        <f t="shared" si="25"/>
        <v>1285.5</v>
      </c>
    </row>
    <row r="229" spans="1:25">
      <c r="A229" s="156" t="e" cm="1">
        <f t="array" aca="1" ref="A229" ca="1">_xlfn.IFS(E229=$AB$42,$AC$42,E229=$AB$43,$AC$43,E229=$AB$44,$AC$44,E229=$AB$45,$AC$45,E229=$AB$46,$AC$46,E229=$AB$47,$AC$47,E229=$AB$48,$AC$48,E229=$AB$49,$AC$49,E229=$AB$50,$AC$50,E229=$AB$51,$AC$51,E229=$AB$52,$AC$52,E229=$AB$53,$AC$53,E229=$AB$54,$AC$54,E229=$AB$55,$AC$55,E229=$AB$56,$AC$56,E229=$AB$57,$AC$57,E229=$AB$58,$AC$58,E229=$AB$59,$AC$59,E229=$AB$60,$AC$60,E229=$AB$61,$AC$61,E229=$AB$62,$AC$62,E229=$AB$63,$AC$63,E229=$AB$64,$AC$64,E229=$AB$65,$AC$65,E229=$AB$66,$AC$66,TRUE,"0")</f>
        <v>#NAME?</v>
      </c>
      <c r="C229" s="161" t="str" cm="1">
        <f t="array" ref="C229">_xlfn.IFS(E229=$AB$42,$AF$42,E229=$AB$43,$AF$43,E229=$AB$44,$AF$44,E229=$AB$45,$AF$45,E229=$AB$46,$AF$46,E229=$AB$47,$AF$47,E229=$AB$48,$AF$48,E229=$AB$49,$AF$49,E229=$AB$50,$AF$50,E229=$AB$51,$AF$51,E229=$AB$52,$AF$52,E229=$AB$53,$AF$53,E229=$AB$54,$AF$54,E229=$AB$55,$AF$55,E229=$AB$56,$AF$56,E229=$AB$57,$AF$57,E229=$AB$58,$AF$58,E229=$AB$59,$AF$59,E229=$AB$60,$AF$60,E229=$AB$61,$AF$61,E229=$AB$62,$AF$62,E229=$AB$63,$AF$63,E229=$AB$64,$AF$64,E229=$AB$65,$AF$65,E229=$AB$66,$AF$66,TRUE,"0")</f>
        <v>if 0-0, BACK+ 0.5 GOALS  @ 1.15+odds.  or @ 40 mins</v>
      </c>
      <c r="D229" s="270" t="str" cm="1">
        <f t="array" ref="D229">_xlfn.IFS(E229=$AB$42,$AD$42,E229=$AB$43,$AD$43,E229=$AB$44,$AD$44,E229=$AB$45,$AD$45,E229=$AB$46,$AD$46,E229=$AB$47,$AD$47,E229=$AB$48,$AD$48,E229=$AB$49,$AD$49,E229=$AB$50,$AD$50,E229=$AB$51,$AD$51,E229=$AB$52,$AD$52,E229=$AB$53,$AD$53,E229=$AB$54,$AD$54,E229=$AB$55,$AD$55,E229=$AB$56,$AD$56,E229=$AB$57,$AD$57,E229=$AB$58,$AD$58,E229=$AB$59,$AD$59,E229=$AB$60,$AD$60,E229=$AB$61,$AD$61,E229=$AB$62,$AD$62,E229=$AB$63,$AD$63,E229=$AB$64,$AD$64,E229=$AB$65,$AD$65,E229=$AB$66,$AD$66,TRUE,"0")</f>
        <v>IP</v>
      </c>
      <c r="E229" s="163" t="s">
        <v>270</v>
      </c>
      <c r="F229" s="2" t="s">
        <v>13</v>
      </c>
      <c r="G229" s="2" t="s">
        <v>37</v>
      </c>
      <c r="H229" s="3">
        <v>45329.822916666664</v>
      </c>
      <c r="I229" s="2" t="s">
        <v>318</v>
      </c>
      <c r="J229" s="2" t="s">
        <v>305</v>
      </c>
      <c r="K229" s="2">
        <v>62</v>
      </c>
      <c r="L229" s="2">
        <v>0</v>
      </c>
      <c r="M229" s="2">
        <v>20</v>
      </c>
      <c r="N229" s="2">
        <v>2.3199999999999998</v>
      </c>
      <c r="O229" s="2"/>
      <c r="P229" s="2"/>
      <c r="Q229" s="1" t="s">
        <v>95</v>
      </c>
      <c r="R229" s="14" t="s">
        <v>221</v>
      </c>
      <c r="S229" s="13" t="s">
        <v>193</v>
      </c>
      <c r="T229" s="188">
        <f t="shared" si="23"/>
        <v>118.00332831416698</v>
      </c>
      <c r="U229" s="8">
        <f t="shared" si="22"/>
        <v>21.240599096550056</v>
      </c>
      <c r="V229" s="234">
        <f t="shared" si="28"/>
        <v>2381.3071653798893</v>
      </c>
      <c r="W229" s="15">
        <v>25</v>
      </c>
      <c r="X229" s="8">
        <f t="shared" si="24"/>
        <v>4.5</v>
      </c>
      <c r="Y229" s="233">
        <f t="shared" si="25"/>
        <v>1290</v>
      </c>
    </row>
    <row r="230" spans="1:25">
      <c r="A230" s="156" t="e" cm="1">
        <f t="array" aca="1" ref="A230" ca="1">_xlfn.IFS(E230=$AB$42,$AC$42,E230=$AB$43,$AC$43,E230=$AB$44,$AC$44,E230=$AB$45,$AC$45,E230=$AB$46,$AC$46,E230=$AB$47,$AC$47,E230=$AB$48,$AC$48,E230=$AB$49,$AC$49,E230=$AB$50,$AC$50,E230=$AB$51,$AC$51,E230=$AB$52,$AC$52,E230=$AB$53,$AC$53,E230=$AB$54,$AC$54,E230=$AB$55,$AC$55,E230=$AB$56,$AC$56,E230=$AB$57,$AC$57,E230=$AB$58,$AC$58,E230=$AB$59,$AC$59,E230=$AB$60,$AC$60,E230=$AB$61,$AC$61,E230=$AB$62,$AC$62,E230=$AB$63,$AC$63,E230=$AB$64,$AC$64,E230=$AB$65,$AC$65,E230=$AB$66,$AC$66,TRUE,"0")</f>
        <v>#NAME?</v>
      </c>
      <c r="C230" s="161" t="str" cm="1">
        <f t="array" ref="C230">_xlfn.IFS(E230=$AB$42,$AF$42,E230=$AB$43,$AF$43,E230=$AB$44,$AF$44,E230=$AB$45,$AF$45,E230=$AB$46,$AF$46,E230=$AB$47,$AF$47,E230=$AB$48,$AF$48,E230=$AB$49,$AF$49,E230=$AB$50,$AF$50,E230=$AB$51,$AF$51,E230=$AB$52,$AF$52,E230=$AB$53,$AF$53,E230=$AB$54,$AF$54,E230=$AB$55,$AF$55,E230=$AB$56,$AF$56,E230=$AB$57,$AF$57,E230=$AB$58,$AF$58,E230=$AB$59,$AF$59,E230=$AB$60,$AF$60,E230=$AB$61,$AF$61,E230=$AB$62,$AF$62,E230=$AB$63,$AF$63,E230=$AB$64,$AF$64,E230=$AB$65,$AF$65,E230=$AB$66,$AF$66,TRUE,"0")</f>
        <v>B4 Match, lay HT 0-0 or BACK H1 +0.5 GOALS</v>
      </c>
      <c r="D230" s="270" t="str" cm="1">
        <f t="array" ref="D230">_xlfn.IFS(E230=$AB$42,$AD$42,E230=$AB$43,$AD$43,E230=$AB$44,$AD$44,E230=$AB$45,$AD$45,E230=$AB$46,$AD$46,E230=$AB$47,$AD$47,E230=$AB$48,$AD$48,E230=$AB$49,$AD$49,E230=$AB$50,$AD$50,E230=$AB$51,$AD$51,E230=$AB$52,$AD$52,E230=$AB$53,$AD$53,E230=$AB$54,$AD$54,E230=$AB$55,$AD$55,E230=$AB$56,$AD$56,E230=$AB$57,$AD$57,E230=$AB$58,$AD$58,E230=$AB$59,$AD$59,E230=$AB$60,$AD$60,E230=$AB$61,$AD$61,E230=$AB$62,$AD$62,E230=$AB$63,$AD$63,E230=$AB$64,$AD$64,E230=$AB$65,$AD$65,E230=$AB$66,$AD$66,TRUE,"0")</f>
        <v xml:space="preserve">BFM </v>
      </c>
      <c r="E230" s="163" t="s">
        <v>432</v>
      </c>
      <c r="F230" s="2" t="s">
        <v>44</v>
      </c>
      <c r="G230" s="2" t="s">
        <v>45</v>
      </c>
      <c r="H230" s="3">
        <v>45331.364583333336</v>
      </c>
      <c r="I230" s="2" t="s">
        <v>124</v>
      </c>
      <c r="J230" s="2" t="s">
        <v>131</v>
      </c>
      <c r="K230" s="2">
        <v>80</v>
      </c>
      <c r="L230" s="2">
        <v>23</v>
      </c>
      <c r="M230" s="2">
        <v>50</v>
      </c>
      <c r="N230" s="2">
        <v>5</v>
      </c>
      <c r="O230" s="2">
        <v>1.7</v>
      </c>
      <c r="P230" s="2">
        <v>20</v>
      </c>
      <c r="Q230" s="1" t="s">
        <v>95</v>
      </c>
      <c r="R230" s="14" t="s">
        <v>222</v>
      </c>
      <c r="S230" s="13" t="s">
        <v>210</v>
      </c>
      <c r="T230" s="188">
        <f t="shared" si="23"/>
        <v>119.06535826899447</v>
      </c>
      <c r="U230" s="8">
        <f t="shared" si="22"/>
        <v>21.431764488419006</v>
      </c>
      <c r="V230" s="234">
        <f t="shared" si="28"/>
        <v>2402.7389298683083</v>
      </c>
      <c r="W230" s="15">
        <v>25</v>
      </c>
      <c r="X230" s="8">
        <f t="shared" si="24"/>
        <v>4.5</v>
      </c>
      <c r="Y230" s="233">
        <f t="shared" si="25"/>
        <v>1294.5</v>
      </c>
    </row>
    <row r="231" spans="1:25">
      <c r="A231" s="156" t="e" cm="1">
        <f t="array" aca="1" ref="A231" ca="1">_xlfn.IFS(E231=$AB$42,$AC$42,E231=$AB$43,$AC$43,E231=$AB$44,$AC$44,E231=$AB$45,$AC$45,E231=$AB$46,$AC$46,E231=$AB$47,$AC$47,E231=$AB$48,$AC$48,E231=$AB$49,$AC$49,E231=$AB$50,$AC$50,E231=$AB$51,$AC$51,E231=$AB$52,$AC$52,E231=$AB$53,$AC$53,E231=$AB$54,$AC$54,E231=$AB$55,$AC$55,E231=$AB$56,$AC$56,E231=$AB$57,$AC$57,E231=$AB$58,$AC$58,E231=$AB$59,$AC$59,E231=$AB$60,$AC$60,E231=$AB$61,$AC$61,E231=$AB$62,$AC$62,E231=$AB$63,$AC$63,E231=$AB$64,$AC$64,E231=$AB$65,$AC$65,E231=$AB$66,$AC$66,TRUE,"0")</f>
        <v>#NAME?</v>
      </c>
      <c r="C231" s="161" t="str" cm="1">
        <f t="array" ref="C231">_xlfn.IFS(E231=$AB$42,$AF$42,E231=$AB$43,$AF$43,E231=$AB$44,$AF$44,E231=$AB$45,$AF$45,E231=$AB$46,$AF$46,E231=$AB$47,$AF$47,E231=$AB$48,$AF$48,E231=$AB$49,$AF$49,E231=$AB$50,$AF$50,E231=$AB$51,$AF$51,E231=$AB$52,$AF$52,E231=$AB$53,$AF$53,E231=$AB$54,$AF$54,E231=$AB$55,$AF$55,E231=$AB$56,$AF$56,E231=$AB$57,$AF$57,E231=$AB$58,$AF$58,E231=$AB$59,$AF$59,E231=$AB$60,$AF$60,E231=$AB$61,$AF$61,E231=$AB$62,$AF$62,E231=$AB$63,$AF$63,E231=$AB$64,$AF$64,E231=$AB$65,$AF$65,E231=$AB$66,$AF$66,TRUE,"0")</f>
        <v>B4 Match, lay HT 0-0 or BACK H1 +0.5 GOALS</v>
      </c>
      <c r="D231" s="270" t="str" cm="1">
        <f t="array" ref="D231">_xlfn.IFS(E231=$AB$42,$AD$42,E231=$AB$43,$AD$43,E231=$AB$44,$AD$44,E231=$AB$45,$AD$45,E231=$AB$46,$AD$46,E231=$AB$47,$AD$47,E231=$AB$48,$AD$48,E231=$AB$49,$AD$49,E231=$AB$50,$AD$50,E231=$AB$51,$AD$51,E231=$AB$52,$AD$52,E231=$AB$53,$AD$53,E231=$AB$54,$AD$54,E231=$AB$55,$AD$55,E231=$AB$56,$AD$56,E231=$AB$57,$AD$57,E231=$AB$58,$AD$58,E231=$AB$59,$AD$59,E231=$AB$60,$AD$60,E231=$AB$61,$AD$61,E231=$AB$62,$AD$62,E231=$AB$63,$AD$63,E231=$AB$64,$AD$64,E231=$AB$65,$AD$65,E231=$AB$66,$AD$66,TRUE,"0")</f>
        <v xml:space="preserve">BFM </v>
      </c>
      <c r="E231" s="163" t="s">
        <v>432</v>
      </c>
      <c r="F231" s="2" t="s">
        <v>48</v>
      </c>
      <c r="G231" s="2" t="s">
        <v>49</v>
      </c>
      <c r="H231" s="3">
        <v>45331.583333333336</v>
      </c>
      <c r="I231" s="2" t="s">
        <v>409</v>
      </c>
      <c r="J231" s="2" t="s">
        <v>51</v>
      </c>
      <c r="K231" s="2">
        <v>90</v>
      </c>
      <c r="L231" s="2">
        <v>23</v>
      </c>
      <c r="M231" s="2">
        <v>65</v>
      </c>
      <c r="N231" s="2">
        <v>5</v>
      </c>
      <c r="O231" s="2">
        <v>1.9</v>
      </c>
      <c r="P231" s="2">
        <v>20</v>
      </c>
      <c r="Q231" s="1" t="s">
        <v>95</v>
      </c>
      <c r="R231" s="14" t="s">
        <v>216</v>
      </c>
      <c r="S231" s="13" t="s">
        <v>216</v>
      </c>
      <c r="T231" s="188">
        <f t="shared" si="23"/>
        <v>120.13694649341542</v>
      </c>
      <c r="U231" s="8">
        <f t="shared" si="22"/>
        <v>21.624650368814777</v>
      </c>
      <c r="V231" s="234">
        <f t="shared" ref="V231:V242" si="29">SUM(V230,U231)</f>
        <v>2424.3635802371232</v>
      </c>
      <c r="W231" s="15">
        <v>25</v>
      </c>
      <c r="X231" s="8">
        <f t="shared" si="24"/>
        <v>4.5</v>
      </c>
      <c r="Y231" s="233">
        <f t="shared" si="25"/>
        <v>1299</v>
      </c>
    </row>
    <row r="232" spans="1:25">
      <c r="A232" s="156" t="e" cm="1">
        <f t="array" aca="1" ref="A232" ca="1">_xlfn.IFS(E232=$AB$42,$AC$42,E232=$AB$43,$AC$43,E232=$AB$44,$AC$44,E232=$AB$45,$AC$45,E232=$AB$46,$AC$46,E232=$AB$47,$AC$47,E232=$AB$48,$AC$48,E232=$AB$49,$AC$49,E232=$AB$50,$AC$50,E232=$AB$51,$AC$51,E232=$AB$52,$AC$52,E232=$AB$53,$AC$53,E232=$AB$54,$AC$54,E232=$AB$55,$AC$55,E232=$AB$56,$AC$56,E232=$AB$57,$AC$57,E232=$AB$58,$AC$58,E232=$AB$59,$AC$59,E232=$AB$60,$AC$60,E232=$AB$61,$AC$61,E232=$AB$62,$AC$62,E232=$AB$63,$AC$63,E232=$AB$64,$AC$64,E232=$AB$65,$AC$65,E232=$AB$66,$AC$66,TRUE,"0")</f>
        <v>#NAME?</v>
      </c>
      <c r="C232" s="161" t="str" cm="1">
        <f t="array" ref="C232">_xlfn.IFS(E232=$AB$42,$AF$42,E232=$AB$43,$AF$43,E232=$AB$44,$AF$44,E232=$AB$45,$AF$45,E232=$AB$46,$AF$46,E232=$AB$47,$AF$47,E232=$AB$48,$AF$48,E232=$AB$49,$AF$49,E232=$AB$50,$AF$50,E232=$AB$51,$AF$51,E232=$AB$52,$AF$52,E232=$AB$53,$AF$53,E232=$AB$54,$AF$54,E232=$AB$55,$AF$55,E232=$AB$56,$AF$56,E232=$AB$57,$AF$57,E232=$AB$58,$AF$58,E232=$AB$59,$AF$59,E232=$AB$60,$AF$60,E232=$AB$61,$AF$61,E232=$AB$62,$AF$62,E232=$AB$63,$AF$63,E232=$AB$64,$AF$64,E232=$AB$65,$AF$65,E232=$AB$66,$AF$66,TRUE,"0")</f>
        <v>if 0-0, BACK+ 0.5 GOALS  @ 1.15+odds.  or @ 40 mins</v>
      </c>
      <c r="D232" s="270" t="str" cm="1">
        <f t="array" ref="D232">_xlfn.IFS(E232=$AB$42,$AD$42,E232=$AB$43,$AD$43,E232=$AB$44,$AD$44,E232=$AB$45,$AD$45,E232=$AB$46,$AD$46,E232=$AB$47,$AD$47,E232=$AB$48,$AD$48,E232=$AB$49,$AD$49,E232=$AB$50,$AD$50,E232=$AB$51,$AD$51,E232=$AB$52,$AD$52,E232=$AB$53,$AD$53,E232=$AB$54,$AD$54,E232=$AB$55,$AD$55,E232=$AB$56,$AD$56,E232=$AB$57,$AD$57,E232=$AB$58,$AD$58,E232=$AB$59,$AD$59,E232=$AB$60,$AD$60,E232=$AB$61,$AD$61,E232=$AB$62,$AD$62,E232=$AB$63,$AD$63,E232=$AB$64,$AD$64,E232=$AB$65,$AD$65,E232=$AB$66,$AD$66,TRUE,"0")</f>
        <v>IP</v>
      </c>
      <c r="E232" s="163" t="s">
        <v>270</v>
      </c>
      <c r="F232" s="2" t="s">
        <v>77</v>
      </c>
      <c r="G232" s="2" t="s">
        <v>234</v>
      </c>
      <c r="H232" s="3">
        <v>45331.729166666664</v>
      </c>
      <c r="I232" s="2" t="s">
        <v>407</v>
      </c>
      <c r="J232" s="2" t="s">
        <v>328</v>
      </c>
      <c r="K232" s="2">
        <v>61</v>
      </c>
      <c r="L232" s="2">
        <v>0</v>
      </c>
      <c r="M232" s="2">
        <v>20</v>
      </c>
      <c r="N232" s="2">
        <v>2.34</v>
      </c>
      <c r="O232" s="2"/>
      <c r="P232" s="2"/>
      <c r="Q232" s="1" t="s">
        <v>95</v>
      </c>
      <c r="R232" s="14" t="s">
        <v>221</v>
      </c>
      <c r="S232" s="13" t="s">
        <v>216</v>
      </c>
      <c r="T232" s="188">
        <f t="shared" si="23"/>
        <v>121.21817901185617</v>
      </c>
      <c r="U232" s="8">
        <f t="shared" si="22"/>
        <v>21.81927222213411</v>
      </c>
      <c r="V232" s="234">
        <f t="shared" si="29"/>
        <v>2446.1828524592574</v>
      </c>
      <c r="W232" s="15">
        <v>25</v>
      </c>
      <c r="X232" s="8">
        <f t="shared" si="24"/>
        <v>4.5</v>
      </c>
      <c r="Y232" s="233">
        <f t="shared" si="25"/>
        <v>1303.5</v>
      </c>
    </row>
    <row r="233" spans="1:25">
      <c r="A233" s="156" t="e" cm="1">
        <f t="array" aca="1" ref="A233" ca="1">_xlfn.IFS(E233=$AB$42,$AC$42,E233=$AB$43,$AC$43,E233=$AB$44,$AC$44,E233=$AB$45,$AC$45,E233=$AB$46,$AC$46,E233=$AB$47,$AC$47,E233=$AB$48,$AC$48,E233=$AB$49,$AC$49,E233=$AB$50,$AC$50,E233=$AB$51,$AC$51,E233=$AB$52,$AC$52,E233=$AB$53,$AC$53,E233=$AB$54,$AC$54,E233=$AB$55,$AC$55,E233=$AB$56,$AC$56,E233=$AB$57,$AC$57,E233=$AB$58,$AC$58,E233=$AB$59,$AC$59,E233=$AB$60,$AC$60,E233=$AB$61,$AC$61,E233=$AB$62,$AC$62,E233=$AB$63,$AC$63,E233=$AB$64,$AC$64,E233=$AB$65,$AC$65,E233=$AB$66,$AC$66,TRUE,"0")</f>
        <v>#NAME?</v>
      </c>
      <c r="C233" s="161" t="str" cm="1">
        <f t="array" ref="C233">_xlfn.IFS(E233=$AB$42,$AF$42,E233=$AB$43,$AF$43,E233=$AB$44,$AF$44,E233=$AB$45,$AF$45,E233=$AB$46,$AF$46,E233=$AB$47,$AF$47,E233=$AB$48,$AF$48,E233=$AB$49,$AF$49,E233=$AB$50,$AF$50,E233=$AB$51,$AF$51,E233=$AB$52,$AF$52,E233=$AB$53,$AF$53,E233=$AB$54,$AF$54,E233=$AB$55,$AF$55,E233=$AB$56,$AF$56,E233=$AB$57,$AF$57,E233=$AB$58,$AF$58,E233=$AB$59,$AF$59,E233=$AB$60,$AF$60,E233=$AB$61,$AF$61,E233=$AB$62,$AF$62,E233=$AB$63,$AF$63,E233=$AB$64,$AF$64,E233=$AB$65,$AF$65,E233=$AB$66,$AF$66,TRUE,"0")</f>
        <v>if 0-0, BACK+ 0.5 GOALS  @ 1.15+odds.  or @ 40 mins</v>
      </c>
      <c r="D233" s="270" t="str" cm="1">
        <f t="array" ref="D233">_xlfn.IFS(E233=$AB$42,$AD$42,E233=$AB$43,$AD$43,E233=$AB$44,$AD$44,E233=$AB$45,$AD$45,E233=$AB$46,$AD$46,E233=$AB$47,$AD$47,E233=$AB$48,$AD$48,E233=$AB$49,$AD$49,E233=$AB$50,$AD$50,E233=$AB$51,$AD$51,E233=$AB$52,$AD$52,E233=$AB$53,$AD$53,E233=$AB$54,$AD$54,E233=$AB$55,$AD$55,E233=$AB$56,$AD$56,E233=$AB$57,$AD$57,E233=$AB$58,$AD$58,E233=$AB$59,$AD$59,E233=$AB$60,$AD$60,E233=$AB$61,$AD$61,E233=$AB$62,$AD$62,E233=$AB$63,$AD$63,E233=$AB$64,$AD$64,E233=$AB$65,$AD$65,E233=$AB$66,$AD$66,TRUE,"0")</f>
        <v>IP</v>
      </c>
      <c r="E233" s="163" t="s">
        <v>270</v>
      </c>
      <c r="F233" s="2" t="s">
        <v>149</v>
      </c>
      <c r="G233" s="2" t="s">
        <v>153</v>
      </c>
      <c r="H233" s="3">
        <v>45331.791666666664</v>
      </c>
      <c r="I233" s="2" t="s">
        <v>154</v>
      </c>
      <c r="J233" s="2" t="s">
        <v>241</v>
      </c>
      <c r="K233" s="2">
        <v>60</v>
      </c>
      <c r="L233" s="2">
        <v>0</v>
      </c>
      <c r="M233" s="2">
        <v>20</v>
      </c>
      <c r="N233" s="2">
        <v>2.76</v>
      </c>
      <c r="O233" s="2"/>
      <c r="P233" s="2"/>
      <c r="Q233" s="1" t="s">
        <v>95</v>
      </c>
      <c r="R233" s="14" t="s">
        <v>220</v>
      </c>
      <c r="S233" s="13" t="s">
        <v>220</v>
      </c>
      <c r="T233" s="188">
        <f t="shared" si="23"/>
        <v>122.30914262296288</v>
      </c>
      <c r="U233" s="8">
        <f t="shared" si="22"/>
        <v>22.015645672133317</v>
      </c>
      <c r="V233" s="234">
        <f t="shared" si="29"/>
        <v>2468.1984981313908</v>
      </c>
      <c r="W233" s="15">
        <v>25</v>
      </c>
      <c r="X233" s="8">
        <f t="shared" si="24"/>
        <v>4.5</v>
      </c>
      <c r="Y233" s="233">
        <f t="shared" si="25"/>
        <v>1308</v>
      </c>
    </row>
    <row r="234" spans="1:25">
      <c r="A234" s="156" t="e" cm="1">
        <f t="array" aca="1" ref="A234" ca="1">_xlfn.IFS(E234=$AB$42,$AC$42,E234=$AB$43,$AC$43,E234=$AB$44,$AC$44,E234=$AB$45,$AC$45,E234=$AB$46,$AC$46,E234=$AB$47,$AC$47,E234=$AB$48,$AC$48,E234=$AB$49,$AC$49,E234=$AB$50,$AC$50,E234=$AB$51,$AC$51,E234=$AB$52,$AC$52,E234=$AB$53,$AC$53,E234=$AB$54,$AC$54,E234=$AB$55,$AC$55,E234=$AB$56,$AC$56,E234=$AB$57,$AC$57,E234=$AB$58,$AC$58,E234=$AB$59,$AC$59,E234=$AB$60,$AC$60,E234=$AB$61,$AC$61,E234=$AB$62,$AC$62,E234=$AB$63,$AC$63,E234=$AB$64,$AC$64,E234=$AB$65,$AC$65,E234=$AB$66,$AC$66,TRUE,"0")</f>
        <v>#NAME?</v>
      </c>
      <c r="C234" s="161" t="str" cm="1">
        <f t="array" ref="C234">_xlfn.IFS(E234=$AB$42,$AF$42,E234=$AB$43,$AF$43,E234=$AB$44,$AF$44,E234=$AB$45,$AF$45,E234=$AB$46,$AF$46,E234=$AB$47,$AF$47,E234=$AB$48,$AF$48,E234=$AB$49,$AF$49,E234=$AB$50,$AF$50,E234=$AB$51,$AF$51,E234=$AB$52,$AF$52,E234=$AB$53,$AF$53,E234=$AB$54,$AF$54,E234=$AB$55,$AF$55,E234=$AB$56,$AF$56,E234=$AB$57,$AF$57,E234=$AB$58,$AF$58,E234=$AB$59,$AF$59,E234=$AB$60,$AF$60,E234=$AB$61,$AF$61,E234=$AB$62,$AF$62,E234=$AB$63,$AF$63,E234=$AB$64,$AF$64,E234=$AB$65,$AF$65,E234=$AB$66,$AF$66,TRUE,"0")</f>
        <v>40 mins Back ANother Goal</v>
      </c>
      <c r="D234" s="270" t="str" cm="1">
        <f t="array" ref="D234">_xlfn.IFS(E234=$AB$42,$AD$42,E234=$AB$43,$AD$43,E234=$AB$44,$AD$44,E234=$AB$45,$AD$45,E234=$AB$46,$AD$46,E234=$AB$47,$AD$47,E234=$AB$48,$AD$48,E234=$AB$49,$AD$49,E234=$AB$50,$AD$50,E234=$AB$51,$AD$51,E234=$AB$52,$AD$52,E234=$AB$53,$AD$53,E234=$AB$54,$AD$54,E234=$AB$55,$AD$55,E234=$AB$56,$AD$56,E234=$AB$57,$AD$57,E234=$AB$58,$AD$58,E234=$AB$59,$AD$59,E234=$AB$60,$AD$60,E234=$AB$61,$AD$61,E234=$AB$62,$AD$62,E234=$AB$63,$AD$63,E234=$AB$64,$AD$64,E234=$AB$65,$AD$65,E234=$AB$66,$AD$66,TRUE,"0")</f>
        <v xml:space="preserve">  BANG</v>
      </c>
      <c r="E234" s="163" t="s">
        <v>43</v>
      </c>
      <c r="F234" s="2" t="s">
        <v>20</v>
      </c>
      <c r="G234" s="2" t="s">
        <v>21</v>
      </c>
      <c r="H234" s="3">
        <v>45331.822916666664</v>
      </c>
      <c r="I234" s="2" t="s">
        <v>110</v>
      </c>
      <c r="J234" s="2" t="s">
        <v>359</v>
      </c>
      <c r="K234" s="2">
        <v>73</v>
      </c>
      <c r="L234" s="2">
        <v>86</v>
      </c>
      <c r="M234" s="2">
        <v>65</v>
      </c>
      <c r="N234" s="2">
        <v>1.85</v>
      </c>
      <c r="O234" s="2">
        <v>1.36</v>
      </c>
      <c r="P234" s="2"/>
      <c r="Q234" s="1" t="s">
        <v>95</v>
      </c>
      <c r="R234" s="14" t="s">
        <v>193</v>
      </c>
      <c r="S234" s="13" t="s">
        <v>211</v>
      </c>
      <c r="T234" s="188">
        <f t="shared" si="23"/>
        <v>123.40992490656954</v>
      </c>
      <c r="U234" s="8">
        <f t="shared" si="22"/>
        <v>22.213786483182517</v>
      </c>
      <c r="V234" s="234">
        <f t="shared" si="29"/>
        <v>2490.4122846145733</v>
      </c>
      <c r="W234" s="15">
        <v>25</v>
      </c>
      <c r="X234" s="8">
        <f t="shared" si="24"/>
        <v>4.5</v>
      </c>
      <c r="Y234" s="233">
        <f t="shared" si="25"/>
        <v>1312.5</v>
      </c>
    </row>
    <row r="235" spans="1:25">
      <c r="A235" s="156" t="e" cm="1">
        <f t="array" aca="1" ref="A235" ca="1">_xlfn.IFS(E235=$AB$42,$AC$42,E235=$AB$43,$AC$43,E235=$AB$44,$AC$44,E235=$AB$45,$AC$45,E235=$AB$46,$AC$46,E235=$AB$47,$AC$47,E235=$AB$48,$AC$48,E235=$AB$49,$AC$49,E235=$AB$50,$AC$50,E235=$AB$51,$AC$51,E235=$AB$52,$AC$52,E235=$AB$53,$AC$53,E235=$AB$54,$AC$54,E235=$AB$55,$AC$55,E235=$AB$56,$AC$56,E235=$AB$57,$AC$57,E235=$AB$58,$AC$58,E235=$AB$59,$AC$59,E235=$AB$60,$AC$60,E235=$AB$61,$AC$61,E235=$AB$62,$AC$62,E235=$AB$63,$AC$63,E235=$AB$64,$AC$64,E235=$AB$65,$AC$65,E235=$AB$66,$AC$66,TRUE,"0")</f>
        <v>#NAME?</v>
      </c>
      <c r="C235" s="161" t="str" cm="1">
        <f t="array" ref="C235">_xlfn.IFS(E235=$AB$42,$AF$42,E235=$AB$43,$AF$43,E235=$AB$44,$AF$44,E235=$AB$45,$AF$45,E235=$AB$46,$AF$46,E235=$AB$47,$AF$47,E235=$AB$48,$AF$48,E235=$AB$49,$AF$49,E235=$AB$50,$AF$50,E235=$AB$51,$AF$51,E235=$AB$52,$AF$52,E235=$AB$53,$AF$53,E235=$AB$54,$AF$54,E235=$AB$55,$AF$55,E235=$AB$56,$AF$56,E235=$AB$57,$AF$57,E235=$AB$58,$AF$58,E235=$AB$59,$AF$59,E235=$AB$60,$AF$60,E235=$AB$61,$AF$61,E235=$AB$62,$AF$62,E235=$AB$63,$AF$63,E235=$AB$64,$AF$64,E235=$AB$65,$AF$65,E235=$AB$66,$AF$66,TRUE,"0")</f>
        <v>if 0-0, BACK+ 0.5 GOALS  @ 1.15+odds.  or @ 40 mins</v>
      </c>
      <c r="D235" s="270" t="str" cm="1">
        <f t="array" ref="D235">_xlfn.IFS(E235=$AB$42,$AD$42,E235=$AB$43,$AD$43,E235=$AB$44,$AD$44,E235=$AB$45,$AD$45,E235=$AB$46,$AD$46,E235=$AB$47,$AD$47,E235=$AB$48,$AD$48,E235=$AB$49,$AD$49,E235=$AB$50,$AD$50,E235=$AB$51,$AD$51,E235=$AB$52,$AD$52,E235=$AB$53,$AD$53,E235=$AB$54,$AD$54,E235=$AB$55,$AD$55,E235=$AB$56,$AD$56,E235=$AB$57,$AD$57,E235=$AB$58,$AD$58,E235=$AB$59,$AD$59,E235=$AB$60,$AD$60,E235=$AB$61,$AD$61,E235=$AB$62,$AD$62,E235=$AB$63,$AD$63,E235=$AB$64,$AD$64,E235=$AB$65,$AD$65,E235=$AB$66,$AD$66,TRUE,"0")</f>
        <v>IP</v>
      </c>
      <c r="E235" s="163" t="s">
        <v>270</v>
      </c>
      <c r="F235" s="2" t="s">
        <v>67</v>
      </c>
      <c r="G235" s="2" t="s">
        <v>68</v>
      </c>
      <c r="H235" s="3">
        <v>45331.822916666664</v>
      </c>
      <c r="I235" s="2" t="s">
        <v>342</v>
      </c>
      <c r="J235" s="2" t="s">
        <v>408</v>
      </c>
      <c r="K235" s="2">
        <v>61</v>
      </c>
      <c r="L235" s="2">
        <v>0</v>
      </c>
      <c r="M235" s="2">
        <v>20</v>
      </c>
      <c r="N235" s="2">
        <v>2.04</v>
      </c>
      <c r="O235" s="2"/>
      <c r="P235" s="2"/>
      <c r="Q235" s="1" t="s">
        <v>95</v>
      </c>
      <c r="R235" s="14" t="s">
        <v>214</v>
      </c>
      <c r="S235" s="13" t="s">
        <v>214</v>
      </c>
      <c r="T235" s="188">
        <f t="shared" si="23"/>
        <v>124.52061423072867</v>
      </c>
      <c r="U235" s="8">
        <f t="shared" si="22"/>
        <v>22.413710561531161</v>
      </c>
      <c r="V235" s="234">
        <f t="shared" si="29"/>
        <v>2512.8259951761047</v>
      </c>
      <c r="W235" s="15">
        <v>25</v>
      </c>
      <c r="X235" s="8">
        <f t="shared" si="24"/>
        <v>4.5</v>
      </c>
      <c r="Y235" s="233">
        <f t="shared" si="25"/>
        <v>1317</v>
      </c>
    </row>
    <row r="236" spans="1:25">
      <c r="A236" s="156" t="e" cm="1">
        <f t="array" aca="1" ref="A236" ca="1">_xlfn.IFS(E236=$AB$42,$AC$42,E236=$AB$43,$AC$43,E236=$AB$44,$AC$44,E236=$AB$45,$AC$45,E236=$AB$46,$AC$46,E236=$AB$47,$AC$47,E236=$AB$48,$AC$48,E236=$AB$49,$AC$49,E236=$AB$50,$AC$50,E236=$AB$51,$AC$51,E236=$AB$52,$AC$52,E236=$AB$53,$AC$53,E236=$AB$54,$AC$54,E236=$AB$55,$AC$55,E236=$AB$56,$AC$56,E236=$AB$57,$AC$57,E236=$AB$58,$AC$58,E236=$AB$59,$AC$59,E236=$AB$60,$AC$60,E236=$AB$61,$AC$61,E236=$AB$62,$AC$62,E236=$AB$63,$AC$63,E236=$AB$64,$AC$64,E236=$AB$65,$AC$65,E236=$AB$66,$AC$66,TRUE,"0")</f>
        <v>#NAME?</v>
      </c>
      <c r="C236" s="161" t="str" cm="1">
        <f t="array" ref="C236">_xlfn.IFS(E236=$AB$42,$AF$42,E236=$AB$43,$AF$43,E236=$AB$44,$AF$44,E236=$AB$45,$AF$45,E236=$AB$46,$AF$46,E236=$AB$47,$AF$47,E236=$AB$48,$AF$48,E236=$AB$49,$AF$49,E236=$AB$50,$AF$50,E236=$AB$51,$AF$51,E236=$AB$52,$AF$52,E236=$AB$53,$AF$53,E236=$AB$54,$AF$54,E236=$AB$55,$AF$55,E236=$AB$56,$AF$56,E236=$AB$57,$AF$57,E236=$AB$58,$AF$58,E236=$AB$59,$AF$59,E236=$AB$60,$AF$60,E236=$AB$61,$AF$61,E236=$AB$62,$AF$62,E236=$AB$63,$AF$63,E236=$AB$64,$AF$64,E236=$AB$65,$AF$65,E236=$AB$66,$AF$66,TRUE,"0")</f>
        <v>if 0-0, BACK+ 0.5 GOALS  @ 1.15+odds.  or @ 40 mins</v>
      </c>
      <c r="D236" s="270" t="str" cm="1">
        <f t="array" ref="D236">_xlfn.IFS(E236=$AB$42,$AD$42,E236=$AB$43,$AD$43,E236=$AB$44,$AD$44,E236=$AB$45,$AD$45,E236=$AB$46,$AD$46,E236=$AB$47,$AD$47,E236=$AB$48,$AD$48,E236=$AB$49,$AD$49,E236=$AB$50,$AD$50,E236=$AB$51,$AD$51,E236=$AB$52,$AD$52,E236=$AB$53,$AD$53,E236=$AB$54,$AD$54,E236=$AB$55,$AD$55,E236=$AB$56,$AD$56,E236=$AB$57,$AD$57,E236=$AB$58,$AD$58,E236=$AB$59,$AD$59,E236=$AB$60,$AD$60,E236=$AB$61,$AD$61,E236=$AB$62,$AD$62,E236=$AB$63,$AD$63,E236=$AB$64,$AD$64,E236=$AB$65,$AD$65,E236=$AB$66,$AD$66,TRUE,"0")</f>
        <v>IP</v>
      </c>
      <c r="E236" s="163" t="s">
        <v>270</v>
      </c>
      <c r="F236" s="2" t="s">
        <v>58</v>
      </c>
      <c r="G236" s="2" t="s">
        <v>59</v>
      </c>
      <c r="H236" s="3">
        <v>45331.84375</v>
      </c>
      <c r="I236" s="2" t="s">
        <v>75</v>
      </c>
      <c r="J236" s="2" t="s">
        <v>128</v>
      </c>
      <c r="K236" s="2">
        <v>67</v>
      </c>
      <c r="L236" s="2">
        <v>0</v>
      </c>
      <c r="M236" s="2">
        <v>20</v>
      </c>
      <c r="N236" s="2">
        <v>1.9</v>
      </c>
      <c r="O236" s="2"/>
      <c r="P236" s="2"/>
      <c r="Q236" s="1" t="s">
        <v>95</v>
      </c>
      <c r="R236" s="14" t="s">
        <v>207</v>
      </c>
      <c r="S236" s="13" t="s">
        <v>207</v>
      </c>
      <c r="T236" s="188">
        <f t="shared" si="23"/>
        <v>125.64129975880525</v>
      </c>
      <c r="U236" s="8">
        <f t="shared" si="22"/>
        <v>22.615433956584944</v>
      </c>
      <c r="V236" s="234">
        <f t="shared" si="29"/>
        <v>2535.4414291326898</v>
      </c>
      <c r="W236" s="15">
        <v>25</v>
      </c>
      <c r="X236" s="8">
        <f t="shared" si="24"/>
        <v>4.5</v>
      </c>
      <c r="Y236" s="233">
        <f t="shared" si="25"/>
        <v>1321.5</v>
      </c>
    </row>
    <row r="237" spans="1:25">
      <c r="A237" s="156" t="e" cm="1">
        <f t="array" aca="1" ref="A237" ca="1">_xlfn.IFS(E237=$AB$42,$AC$42,E237=$AB$43,$AC$43,E237=$AB$44,$AC$44,E237=$AB$45,$AC$45,E237=$AB$46,$AC$46,E237=$AB$47,$AC$47,E237=$AB$48,$AC$48,E237=$AB$49,$AC$49,E237=$AB$50,$AC$50,E237=$AB$51,$AC$51,E237=$AB$52,$AC$52,E237=$AB$53,$AC$53,E237=$AB$54,$AC$54,E237=$AB$55,$AC$55,E237=$AB$56,$AC$56,E237=$AB$57,$AC$57,E237=$AB$58,$AC$58,E237=$AB$59,$AC$59,E237=$AB$60,$AC$60,E237=$AB$61,$AC$61,E237=$AB$62,$AC$62,E237=$AB$63,$AC$63,E237=$AB$64,$AC$64,E237=$AB$65,$AC$65,E237=$AB$66,$AC$66,TRUE,"0")</f>
        <v>#NAME?</v>
      </c>
      <c r="C237" s="161" t="str" cm="1">
        <f t="array" ref="C237">_xlfn.IFS(E237=$AB$42,$AF$42,E237=$AB$43,$AF$43,E237=$AB$44,$AF$44,E237=$AB$45,$AF$45,E237=$AB$46,$AF$46,E237=$AB$47,$AF$47,E237=$AB$48,$AF$48,E237=$AB$49,$AF$49,E237=$AB$50,$AF$50,E237=$AB$51,$AF$51,E237=$AB$52,$AF$52,E237=$AB$53,$AF$53,E237=$AB$54,$AF$54,E237=$AB$55,$AF$55,E237=$AB$56,$AF$56,E237=$AB$57,$AF$57,E237=$AB$58,$AF$58,E237=$AB$59,$AF$59,E237=$AB$60,$AF$60,E237=$AB$61,$AF$61,E237=$AB$62,$AF$62,E237=$AB$63,$AF$63,E237=$AB$64,$AF$64,E237=$AB$65,$AF$65,E237=$AB$66,$AF$66,TRUE,"0")</f>
        <v>if 0-0, BACK+ 0.5 GOALS  @ 1.15+odds.  or @ 40 mins</v>
      </c>
      <c r="D237" s="270" t="str" cm="1">
        <f t="array" ref="D237">_xlfn.IFS(E237=$AB$42,$AD$42,E237=$AB$43,$AD$43,E237=$AB$44,$AD$44,E237=$AB$45,$AD$45,E237=$AB$46,$AD$46,E237=$AB$47,$AD$47,E237=$AB$48,$AD$48,E237=$AB$49,$AD$49,E237=$AB$50,$AD$50,E237=$AB$51,$AD$51,E237=$AB$52,$AD$52,E237=$AB$53,$AD$53,E237=$AB$54,$AD$54,E237=$AB$55,$AD$55,E237=$AB$56,$AD$56,E237=$AB$57,$AD$57,E237=$AB$58,$AD$58,E237=$AB$59,$AD$59,E237=$AB$60,$AD$60,E237=$AB$61,$AD$61,E237=$AB$62,$AD$62,E237=$AB$63,$AD$63,E237=$AB$64,$AD$64,E237=$AB$65,$AD$65,E237=$AB$66,$AD$66,TRUE,"0")</f>
        <v>IP</v>
      </c>
      <c r="E237" s="163" t="s">
        <v>270</v>
      </c>
      <c r="F237" s="2" t="s">
        <v>44</v>
      </c>
      <c r="G237" s="2" t="s">
        <v>45</v>
      </c>
      <c r="H237" s="3">
        <v>45332.291666666664</v>
      </c>
      <c r="I237" s="2" t="s">
        <v>233</v>
      </c>
      <c r="J237" s="2" t="s">
        <v>126</v>
      </c>
      <c r="K237" s="2">
        <v>64</v>
      </c>
      <c r="L237" s="2">
        <v>0</v>
      </c>
      <c r="M237" s="2">
        <v>20</v>
      </c>
      <c r="N237" s="2">
        <v>2.2999999999999998</v>
      </c>
      <c r="O237" s="2"/>
      <c r="P237" s="2"/>
      <c r="Q237" s="1" t="s">
        <v>95</v>
      </c>
      <c r="R237" s="14" t="s">
        <v>194</v>
      </c>
      <c r="S237" s="13" t="s">
        <v>197</v>
      </c>
      <c r="T237" s="188">
        <f t="shared" si="23"/>
        <v>126.77207145663449</v>
      </c>
      <c r="U237" s="8">
        <f t="shared" si="22"/>
        <v>22.818972862194208</v>
      </c>
      <c r="V237" s="234">
        <f t="shared" si="29"/>
        <v>2558.260401994884</v>
      </c>
      <c r="W237" s="15">
        <v>25</v>
      </c>
      <c r="X237" s="8">
        <f t="shared" si="24"/>
        <v>4.5</v>
      </c>
      <c r="Y237" s="233">
        <f t="shared" si="25"/>
        <v>1326</v>
      </c>
    </row>
    <row r="238" spans="1:25">
      <c r="A238" s="156" t="e" cm="1">
        <f t="array" aca="1" ref="A238" ca="1">_xlfn.IFS(E238=$AB$42,$AC$42,E238=$AB$43,$AC$43,E238=$AB$44,$AC$44,E238=$AB$45,$AC$45,E238=$AB$46,$AC$46,E238=$AB$47,$AC$47,E238=$AB$48,$AC$48,E238=$AB$49,$AC$49,E238=$AB$50,$AC$50,E238=$AB$51,$AC$51,E238=$AB$52,$AC$52,E238=$AB$53,$AC$53,E238=$AB$54,$AC$54,E238=$AB$55,$AC$55,E238=$AB$56,$AC$56,E238=$AB$57,$AC$57,E238=$AB$58,$AC$58,E238=$AB$59,$AC$59,E238=$AB$60,$AC$60,E238=$AB$61,$AC$61,E238=$AB$62,$AC$62,E238=$AB$63,$AC$63,E238=$AB$64,$AC$64,E238=$AB$65,$AC$65,E238=$AB$66,$AC$66,TRUE,"0")</f>
        <v>#NAME?</v>
      </c>
      <c r="C238" s="161" t="str" cm="1">
        <f t="array" ref="C238">_xlfn.IFS(E238=$AB$42,$AF$42,E238=$AB$43,$AF$43,E238=$AB$44,$AF$44,E238=$AB$45,$AF$45,E238=$AB$46,$AF$46,E238=$AB$47,$AF$47,E238=$AB$48,$AF$48,E238=$AB$49,$AF$49,E238=$AB$50,$AF$50,E238=$AB$51,$AF$51,E238=$AB$52,$AF$52,E238=$AB$53,$AF$53,E238=$AB$54,$AF$54,E238=$AB$55,$AF$55,E238=$AB$56,$AF$56,E238=$AB$57,$AF$57,E238=$AB$58,$AF$58,E238=$AB$59,$AF$59,E238=$AB$60,$AF$60,E238=$AB$61,$AF$61,E238=$AB$62,$AF$62,E238=$AB$63,$AF$63,E238=$AB$64,$AF$64,E238=$AB$65,$AF$65,E238=$AB$66,$AF$66,TRUE,"0")</f>
        <v>B4 MATCH back over 2.5 goals.X after goal OR let run</v>
      </c>
      <c r="D238" s="270" t="str" cm="1">
        <f t="array" ref="D238">_xlfn.IFS(E238=$AB$42,$AD$42,E238=$AB$43,$AD$43,E238=$AB$44,$AD$44,E238=$AB$45,$AD$45,E238=$AB$46,$AD$46,E238=$AB$47,$AD$47,E238=$AB$48,$AD$48,E238=$AB$49,$AD$49,E238=$AB$50,$AD$50,E238=$AB$51,$AD$51,E238=$AB$52,$AD$52,E238=$AB$53,$AD$53,E238=$AB$54,$AD$54,E238=$AB$55,$AD$55,E238=$AB$56,$AD$56,E238=$AB$57,$AD$57,E238=$AB$58,$AD$58,E238=$AB$59,$AD$59,E238=$AB$60,$AD$60,E238=$AB$61,$AD$61,E238=$AB$62,$AD$62,E238=$AB$63,$AD$63,E238=$AB$64,$AD$64,E238=$AB$65,$AD$65,E238=$AB$66,$AD$66,TRUE,"0")</f>
        <v xml:space="preserve">BFM </v>
      </c>
      <c r="E238" s="163" t="s">
        <v>177</v>
      </c>
      <c r="F238" s="2" t="s">
        <v>44</v>
      </c>
      <c r="G238" s="2" t="s">
        <v>45</v>
      </c>
      <c r="H238" s="3">
        <v>45332.364583333336</v>
      </c>
      <c r="I238" s="2" t="s">
        <v>180</v>
      </c>
      <c r="J238" s="2" t="s">
        <v>46</v>
      </c>
      <c r="K238" s="2">
        <v>3.5</v>
      </c>
      <c r="L238" s="2">
        <v>100</v>
      </c>
      <c r="M238" s="2">
        <v>75</v>
      </c>
      <c r="N238" s="2">
        <v>27</v>
      </c>
      <c r="O238" s="2">
        <v>55</v>
      </c>
      <c r="P238" s="2">
        <v>2.58</v>
      </c>
      <c r="Q238" s="1" t="s">
        <v>95</v>
      </c>
      <c r="R238" s="14" t="s">
        <v>218</v>
      </c>
      <c r="S238" s="13" t="s">
        <v>211</v>
      </c>
      <c r="T238" s="188">
        <f t="shared" si="23"/>
        <v>127.9130200997442</v>
      </c>
      <c r="U238" s="8">
        <f t="shared" ref="U238:U301" si="30">IF(Q238="won",T238*0.18,-T238)</f>
        <v>23.024343617953956</v>
      </c>
      <c r="V238" s="234">
        <f t="shared" si="29"/>
        <v>2581.2847456128379</v>
      </c>
      <c r="W238" s="15">
        <v>25</v>
      </c>
      <c r="X238" s="8">
        <f t="shared" si="24"/>
        <v>4.5</v>
      </c>
      <c r="Y238" s="233">
        <f t="shared" si="25"/>
        <v>1330.5</v>
      </c>
    </row>
    <row r="239" spans="1:25">
      <c r="A239" s="156" t="e" cm="1">
        <f t="array" aca="1" ref="A239" ca="1">_xlfn.IFS(E239=$AB$42,$AC$42,E239=$AB$43,$AC$43,E239=$AB$44,$AC$44,E239=$AB$45,$AC$45,E239=$AB$46,$AC$46,E239=$AB$47,$AC$47,E239=$AB$48,$AC$48,E239=$AB$49,$AC$49,E239=$AB$50,$AC$50,E239=$AB$51,$AC$51,E239=$AB$52,$AC$52,E239=$AB$53,$AC$53,E239=$AB$54,$AC$54,E239=$AB$55,$AC$55,E239=$AB$56,$AC$56,E239=$AB$57,$AC$57,E239=$AB$58,$AC$58,E239=$AB$59,$AC$59,E239=$AB$60,$AC$60,E239=$AB$61,$AC$61,E239=$AB$62,$AC$62,E239=$AB$63,$AC$63,E239=$AB$64,$AC$64,E239=$AB$65,$AC$65,E239=$AB$66,$AC$66,TRUE,"0")</f>
        <v>#NAME?</v>
      </c>
      <c r="C239" s="161" t="str" cm="1">
        <f t="array" ref="C239">_xlfn.IFS(E239=$AB$42,$AF$42,E239=$AB$43,$AF$43,E239=$AB$44,$AF$44,E239=$AB$45,$AF$45,E239=$AB$46,$AF$46,E239=$AB$47,$AF$47,E239=$AB$48,$AF$48,E239=$AB$49,$AF$49,E239=$AB$50,$AF$50,E239=$AB$51,$AF$51,E239=$AB$52,$AF$52,E239=$AB$53,$AF$53,E239=$AB$54,$AF$54,E239=$AB$55,$AF$55,E239=$AB$56,$AF$56,E239=$AB$57,$AF$57,E239=$AB$58,$AF$58,E239=$AB$59,$AF$59,E239=$AB$60,$AF$60,E239=$AB$61,$AF$61,E239=$AB$62,$AF$62,E239=$AB$63,$AF$63,E239=$AB$64,$AF$64,E239=$AB$65,$AF$65,E239=$AB$66,$AF$66,TRUE,"0")</f>
        <v>B4 Match, lay HT 0-0 or BACK H1 +0.5 GOALS</v>
      </c>
      <c r="D239" s="270" t="str" cm="1">
        <f t="array" ref="D239">_xlfn.IFS(E239=$AB$42,$AD$42,E239=$AB$43,$AD$43,E239=$AB$44,$AD$44,E239=$AB$45,$AD$45,E239=$AB$46,$AD$46,E239=$AB$47,$AD$47,E239=$AB$48,$AD$48,E239=$AB$49,$AD$49,E239=$AB$50,$AD$50,E239=$AB$51,$AD$51,E239=$AB$52,$AD$52,E239=$AB$53,$AD$53,E239=$AB$54,$AD$54,E239=$AB$55,$AD$55,E239=$AB$56,$AD$56,E239=$AB$57,$AD$57,E239=$AB$58,$AD$58,E239=$AB$59,$AD$59,E239=$AB$60,$AD$60,E239=$AB$61,$AD$61,E239=$AB$62,$AD$62,E239=$AB$63,$AD$63,E239=$AB$64,$AD$64,E239=$AB$65,$AD$65,E239=$AB$66,$AD$66,TRUE,"0")</f>
        <v xml:space="preserve">BFM </v>
      </c>
      <c r="E239" s="163" t="s">
        <v>432</v>
      </c>
      <c r="F239" s="2" t="s">
        <v>6</v>
      </c>
      <c r="G239" s="2" t="s">
        <v>14</v>
      </c>
      <c r="H239" s="3">
        <v>45332.520833333336</v>
      </c>
      <c r="I239" s="2" t="s">
        <v>291</v>
      </c>
      <c r="J239" s="2" t="s">
        <v>414</v>
      </c>
      <c r="K239" s="2">
        <v>80</v>
      </c>
      <c r="L239" s="2">
        <v>23</v>
      </c>
      <c r="M239" s="2">
        <v>48</v>
      </c>
      <c r="N239" s="2">
        <v>5</v>
      </c>
      <c r="O239" s="2">
        <v>1.65</v>
      </c>
      <c r="P239" s="2">
        <v>40</v>
      </c>
      <c r="Q239" s="1" t="s">
        <v>95</v>
      </c>
      <c r="R239" s="14" t="s">
        <v>193</v>
      </c>
      <c r="S239" s="13" t="s">
        <v>210</v>
      </c>
      <c r="T239" s="188">
        <f t="shared" si="23"/>
        <v>129.06423728064189</v>
      </c>
      <c r="U239" s="8">
        <f t="shared" si="30"/>
        <v>23.23156271051554</v>
      </c>
      <c r="V239" s="234">
        <f t="shared" si="29"/>
        <v>2604.5163083233533</v>
      </c>
      <c r="W239" s="15">
        <v>25</v>
      </c>
      <c r="X239" s="8">
        <f t="shared" si="24"/>
        <v>4.5</v>
      </c>
      <c r="Y239" s="233">
        <f t="shared" si="25"/>
        <v>1335</v>
      </c>
    </row>
    <row r="240" spans="1:25">
      <c r="A240" s="156" t="e" cm="1">
        <f t="array" aca="1" ref="A240" ca="1">_xlfn.IFS(E240=$AB$42,$AC$42,E240=$AB$43,$AC$43,E240=$AB$44,$AC$44,E240=$AB$45,$AC$45,E240=$AB$46,$AC$46,E240=$AB$47,$AC$47,E240=$AB$48,$AC$48,E240=$AB$49,$AC$49,E240=$AB$50,$AC$50,E240=$AB$51,$AC$51,E240=$AB$52,$AC$52,E240=$AB$53,$AC$53,E240=$AB$54,$AC$54,E240=$AB$55,$AC$55,E240=$AB$56,$AC$56,E240=$AB$57,$AC$57,E240=$AB$58,$AC$58,E240=$AB$59,$AC$59,E240=$AB$60,$AC$60,E240=$AB$61,$AC$61,E240=$AB$62,$AC$62,E240=$AB$63,$AC$63,E240=$AB$64,$AC$64,E240=$AB$65,$AC$65,E240=$AB$66,$AC$66,TRUE,"0")</f>
        <v>#NAME?</v>
      </c>
      <c r="C240" s="161" t="str" cm="1">
        <f t="array" ref="C240">_xlfn.IFS(E240=$AB$42,$AF$42,E240=$AB$43,$AF$43,E240=$AB$44,$AF$44,E240=$AB$45,$AF$45,E240=$AB$46,$AF$46,E240=$AB$47,$AF$47,E240=$AB$48,$AF$48,E240=$AB$49,$AF$49,E240=$AB$50,$AF$50,E240=$AB$51,$AF$51,E240=$AB$52,$AF$52,E240=$AB$53,$AF$53,E240=$AB$54,$AF$54,E240=$AB$55,$AF$55,E240=$AB$56,$AF$56,E240=$AB$57,$AF$57,E240=$AB$58,$AF$58,E240=$AB$59,$AF$59,E240=$AB$60,$AF$60,E240=$AB$61,$AF$61,E240=$AB$62,$AF$62,E240=$AB$63,$AF$63,E240=$AB$64,$AF$64,E240=$AB$65,$AF$65,E240=$AB$66,$AF$66,TRUE,"0")</f>
        <v>40 mins Back ANother Goal</v>
      </c>
      <c r="D240" s="270" t="str" cm="1">
        <f t="array" ref="D240">_xlfn.IFS(E240=$AB$42,$AD$42,E240=$AB$43,$AD$43,E240=$AB$44,$AD$44,E240=$AB$45,$AD$45,E240=$AB$46,$AD$46,E240=$AB$47,$AD$47,E240=$AB$48,$AD$48,E240=$AB$49,$AD$49,E240=$AB$50,$AD$50,E240=$AB$51,$AD$51,E240=$AB$52,$AD$52,E240=$AB$53,$AD$53,E240=$AB$54,$AD$54,E240=$AB$55,$AD$55,E240=$AB$56,$AD$56,E240=$AB$57,$AD$57,E240=$AB$58,$AD$58,E240=$AB$59,$AD$59,E240=$AB$60,$AD$60,E240=$AB$61,$AD$61,E240=$AB$62,$AD$62,E240=$AB$63,$AD$63,E240=$AB$64,$AD$64,E240=$AB$65,$AD$65,E240=$AB$66,$AD$66,TRUE,"0")</f>
        <v xml:space="preserve">  BANG</v>
      </c>
      <c r="E240" s="163" t="s">
        <v>43</v>
      </c>
      <c r="F240" s="2" t="s">
        <v>20</v>
      </c>
      <c r="G240" s="2" t="s">
        <v>322</v>
      </c>
      <c r="H240" s="3">
        <v>45332.541666666664</v>
      </c>
      <c r="I240" s="2" t="s">
        <v>356</v>
      </c>
      <c r="J240" s="2" t="s">
        <v>334</v>
      </c>
      <c r="K240" s="2">
        <v>69</v>
      </c>
      <c r="L240" s="2">
        <v>65</v>
      </c>
      <c r="M240" s="2">
        <v>62</v>
      </c>
      <c r="N240" s="2">
        <v>1.85</v>
      </c>
      <c r="O240" s="2">
        <v>1.21</v>
      </c>
      <c r="P240" s="2"/>
      <c r="Q240" s="1" t="s">
        <v>95</v>
      </c>
      <c r="R240" s="14" t="s">
        <v>221</v>
      </c>
      <c r="S240" s="13" t="s">
        <v>223</v>
      </c>
      <c r="T240" s="188">
        <f t="shared" si="23"/>
        <v>130.22581541616768</v>
      </c>
      <c r="U240" s="8">
        <f t="shared" si="30"/>
        <v>23.440646774910181</v>
      </c>
      <c r="V240" s="234">
        <f t="shared" si="29"/>
        <v>2627.9569550982633</v>
      </c>
      <c r="W240" s="15">
        <v>25</v>
      </c>
      <c r="X240" s="8">
        <f t="shared" si="24"/>
        <v>4.5</v>
      </c>
      <c r="Y240" s="233">
        <f t="shared" si="25"/>
        <v>1339.5</v>
      </c>
    </row>
    <row r="241" spans="1:25">
      <c r="A241" s="156" t="e" cm="1">
        <f t="array" aca="1" ref="A241" ca="1">_xlfn.IFS(E241=$AB$42,$AC$42,E241=$AB$43,$AC$43,E241=$AB$44,$AC$44,E241=$AB$45,$AC$45,E241=$AB$46,$AC$46,E241=$AB$47,$AC$47,E241=$AB$48,$AC$48,E241=$AB$49,$AC$49,E241=$AB$50,$AC$50,E241=$AB$51,$AC$51,E241=$AB$52,$AC$52,E241=$AB$53,$AC$53,E241=$AB$54,$AC$54,E241=$AB$55,$AC$55,E241=$AB$56,$AC$56,E241=$AB$57,$AC$57,E241=$AB$58,$AC$58,E241=$AB$59,$AC$59,E241=$AB$60,$AC$60,E241=$AB$61,$AC$61,E241=$AB$62,$AC$62,E241=$AB$63,$AC$63,E241=$AB$64,$AC$64,E241=$AB$65,$AC$65,E241=$AB$66,$AC$66,TRUE,"0")</f>
        <v>#NAME?</v>
      </c>
      <c r="C241" s="161" t="str" cm="1">
        <f t="array" ref="C241">_xlfn.IFS(E241=$AB$42,$AF$42,E241=$AB$43,$AF$43,E241=$AB$44,$AF$44,E241=$AB$45,$AF$45,E241=$AB$46,$AF$46,E241=$AB$47,$AF$47,E241=$AB$48,$AF$48,E241=$AB$49,$AF$49,E241=$AB$50,$AF$50,E241=$AB$51,$AF$51,E241=$AB$52,$AF$52,E241=$AB$53,$AF$53,E241=$AB$54,$AF$54,E241=$AB$55,$AF$55,E241=$AB$56,$AF$56,E241=$AB$57,$AF$57,E241=$AB$58,$AF$58,E241=$AB$59,$AF$59,E241=$AB$60,$AF$60,E241=$AB$61,$AF$61,E241=$AB$62,$AF$62,E241=$AB$63,$AF$63,E241=$AB$64,$AF$64,E241=$AB$65,$AF$65,E241=$AB$66,$AF$66,TRUE,"0")</f>
        <v>if 0-0, BACK+ 0.5 GOALS  @ 1.15+odds.  or @ 40 mins</v>
      </c>
      <c r="D241" s="270" t="str" cm="1">
        <f t="array" ref="D241">_xlfn.IFS(E241=$AB$42,$AD$42,E241=$AB$43,$AD$43,E241=$AB$44,$AD$44,E241=$AB$45,$AD$45,E241=$AB$46,$AD$46,E241=$AB$47,$AD$47,E241=$AB$48,$AD$48,E241=$AB$49,$AD$49,E241=$AB$50,$AD$50,E241=$AB$51,$AD$51,E241=$AB$52,$AD$52,E241=$AB$53,$AD$53,E241=$AB$54,$AD$54,E241=$AB$55,$AD$55,E241=$AB$56,$AD$56,E241=$AB$57,$AD$57,E241=$AB$58,$AD$58,E241=$AB$59,$AD$59,E241=$AB$60,$AD$60,E241=$AB$61,$AD$61,E241=$AB$62,$AD$62,E241=$AB$63,$AD$63,E241=$AB$64,$AD$64,E241=$AB$65,$AD$65,E241=$AB$66,$AD$66,TRUE,"0")</f>
        <v>IP</v>
      </c>
      <c r="E241" s="163" t="s">
        <v>270</v>
      </c>
      <c r="F241" s="2" t="s">
        <v>20</v>
      </c>
      <c r="G241" s="2" t="s">
        <v>322</v>
      </c>
      <c r="H241" s="3">
        <v>45332.541666666664</v>
      </c>
      <c r="I241" s="2" t="s">
        <v>356</v>
      </c>
      <c r="J241" s="2" t="s">
        <v>334</v>
      </c>
      <c r="K241" s="2">
        <v>62</v>
      </c>
      <c r="L241" s="2">
        <v>0</v>
      </c>
      <c r="M241" s="2">
        <v>20</v>
      </c>
      <c r="N241" s="2">
        <v>2.2599999999999998</v>
      </c>
      <c r="O241" s="2"/>
      <c r="P241" s="2"/>
      <c r="Q241" s="1" t="s">
        <v>95</v>
      </c>
      <c r="R241" s="14" t="s">
        <v>221</v>
      </c>
      <c r="S241" s="13" t="s">
        <v>223</v>
      </c>
      <c r="T241" s="188">
        <f t="shared" si="23"/>
        <v>131.39784775491316</v>
      </c>
      <c r="U241" s="8">
        <f t="shared" si="30"/>
        <v>23.651612595884366</v>
      </c>
      <c r="V241" s="234">
        <f t="shared" si="29"/>
        <v>2651.6085676941475</v>
      </c>
      <c r="W241" s="15">
        <v>25</v>
      </c>
      <c r="X241" s="8">
        <f t="shared" si="24"/>
        <v>4.5</v>
      </c>
      <c r="Y241" s="233">
        <f t="shared" si="25"/>
        <v>1344</v>
      </c>
    </row>
    <row r="242" spans="1:25">
      <c r="A242" s="156" t="e" cm="1">
        <f t="array" aca="1" ref="A242" ca="1">_xlfn.IFS(E242=$AB$42,$AC$42,E242=$AB$43,$AC$43,E242=$AB$44,$AC$44,E242=$AB$45,$AC$45,E242=$AB$46,$AC$46,E242=$AB$47,$AC$47,E242=$AB$48,$AC$48,E242=$AB$49,$AC$49,E242=$AB$50,$AC$50,E242=$AB$51,$AC$51,E242=$AB$52,$AC$52,E242=$AB$53,$AC$53,E242=$AB$54,$AC$54,E242=$AB$55,$AC$55,E242=$AB$56,$AC$56,E242=$AB$57,$AC$57,E242=$AB$58,$AC$58,E242=$AB$59,$AC$59,E242=$AB$60,$AC$60,E242=$AB$61,$AC$61,E242=$AB$62,$AC$62,E242=$AB$63,$AC$63,E242=$AB$64,$AC$64,E242=$AB$65,$AC$65,E242=$AB$66,$AC$66,TRUE,"0")</f>
        <v>#NAME?</v>
      </c>
      <c r="C242" s="161" t="str" cm="1">
        <f t="array" ref="C242">_xlfn.IFS(E242=$AB$42,$AF$42,E242=$AB$43,$AF$43,E242=$AB$44,$AF$44,E242=$AB$45,$AF$45,E242=$AB$46,$AF$46,E242=$AB$47,$AF$47,E242=$AB$48,$AF$48,E242=$AB$49,$AF$49,E242=$AB$50,$AF$50,E242=$AB$51,$AF$51,E242=$AB$52,$AF$52,E242=$AB$53,$AF$53,E242=$AB$54,$AF$54,E242=$AB$55,$AF$55,E242=$AB$56,$AF$56,E242=$AB$57,$AF$57,E242=$AB$58,$AF$58,E242=$AB$59,$AF$59,E242=$AB$60,$AF$60,E242=$AB$61,$AF$61,E242=$AB$62,$AF$62,E242=$AB$63,$AF$63,E242=$AB$64,$AF$64,E242=$AB$65,$AF$65,E242=$AB$66,$AF$66,TRUE,"0")</f>
        <v>B4 Match, lay HT 0-0 or BACK H1 +0.5 GOALS</v>
      </c>
      <c r="D242" s="270" t="str" cm="1">
        <f t="array" ref="D242">_xlfn.IFS(E242=$AB$42,$AD$42,E242=$AB$43,$AD$43,E242=$AB$44,$AD$44,E242=$AB$45,$AD$45,E242=$AB$46,$AD$46,E242=$AB$47,$AD$47,E242=$AB$48,$AD$48,E242=$AB$49,$AD$49,E242=$AB$50,$AD$50,E242=$AB$51,$AD$51,E242=$AB$52,$AD$52,E242=$AB$53,$AD$53,E242=$AB$54,$AD$54,E242=$AB$55,$AD$55,E242=$AB$56,$AD$56,E242=$AB$57,$AD$57,E242=$AB$58,$AD$58,E242=$AB$59,$AD$59,E242=$AB$60,$AD$60,E242=$AB$61,$AD$61,E242=$AB$62,$AD$62,E242=$AB$63,$AD$63,E242=$AB$64,$AD$64,E242=$AB$65,$AD$65,E242=$AB$66,$AD$66,TRUE,"0")</f>
        <v xml:space="preserve">BFM </v>
      </c>
      <c r="E242" s="163" t="s">
        <v>432</v>
      </c>
      <c r="F242" s="2" t="s">
        <v>58</v>
      </c>
      <c r="G242" s="2" t="s">
        <v>289</v>
      </c>
      <c r="H242" s="3">
        <v>45332.583333333336</v>
      </c>
      <c r="I242" s="2" t="s">
        <v>416</v>
      </c>
      <c r="J242" s="2" t="s">
        <v>417</v>
      </c>
      <c r="K242" s="2">
        <v>80</v>
      </c>
      <c r="L242" s="2">
        <v>23</v>
      </c>
      <c r="M242" s="2">
        <v>40</v>
      </c>
      <c r="N242" s="2">
        <v>0</v>
      </c>
      <c r="O242" s="2">
        <v>1.3</v>
      </c>
      <c r="P242" s="2">
        <v>20</v>
      </c>
      <c r="Q242" s="1" t="s">
        <v>95</v>
      </c>
      <c r="R242" s="14" t="s">
        <v>222</v>
      </c>
      <c r="S242" s="13" t="s">
        <v>209</v>
      </c>
      <c r="T242" s="188">
        <f t="shared" si="23"/>
        <v>132.58042838470737</v>
      </c>
      <c r="U242" s="8">
        <f t="shared" si="30"/>
        <v>23.864477109247325</v>
      </c>
      <c r="V242" s="234">
        <f t="shared" si="29"/>
        <v>2675.4730448033947</v>
      </c>
      <c r="W242" s="15">
        <v>25</v>
      </c>
      <c r="X242" s="8">
        <f t="shared" si="24"/>
        <v>4.5</v>
      </c>
      <c r="Y242" s="233">
        <f t="shared" si="25"/>
        <v>1348.5</v>
      </c>
    </row>
    <row r="243" spans="1:25">
      <c r="A243" s="156" t="e" cm="1">
        <f t="array" aca="1" ref="A243" ca="1">_xlfn.IFS(E243=$AB$42,$AC$42,E243=$AB$43,$AC$43,E243=$AB$44,$AC$44,E243=$AB$45,$AC$45,E243=$AB$46,$AC$46,E243=$AB$47,$AC$47,E243=$AB$48,$AC$48,E243=$AB$49,$AC$49,E243=$AB$50,$AC$50,E243=$AB$51,$AC$51,E243=$AB$52,$AC$52,E243=$AB$53,$AC$53,E243=$AB$54,$AC$54,E243=$AB$55,$AC$55,E243=$AB$56,$AC$56,E243=$AB$57,$AC$57,E243=$AB$58,$AC$58,E243=$AB$59,$AC$59,E243=$AB$60,$AC$60,E243=$AB$61,$AC$61,E243=$AB$62,$AC$62,E243=$AB$63,$AC$63,E243=$AB$64,$AC$64,E243=$AB$65,$AC$65,E243=$AB$66,$AC$66,TRUE,"0")</f>
        <v>#NAME?</v>
      </c>
      <c r="C243" s="161" t="str" cm="1">
        <f t="array" ref="C243">_xlfn.IFS(E243=$AB$42,$AF$42,E243=$AB$43,$AF$43,E243=$AB$44,$AF$44,E243=$AB$45,$AF$45,E243=$AB$46,$AF$46,E243=$AB$47,$AF$47,E243=$AB$48,$AF$48,E243=$AB$49,$AF$49,E243=$AB$50,$AF$50,E243=$AB$51,$AF$51,E243=$AB$52,$AF$52,E243=$AB$53,$AF$53,E243=$AB$54,$AF$54,E243=$AB$55,$AF$55,E243=$AB$56,$AF$56,E243=$AB$57,$AF$57,E243=$AB$58,$AF$58,E243=$AB$59,$AF$59,E243=$AB$60,$AF$60,E243=$AB$61,$AF$61,E243=$AB$62,$AF$62,E243=$AB$63,$AF$63,E243=$AB$64,$AF$64,E243=$AB$65,$AF$65,E243=$AB$66,$AF$66,TRUE,"0")</f>
        <v>if 0-0, BACK+ 0.5 GOALS  @ 1.15+odds.  or @ 40 mins</v>
      </c>
      <c r="D243" s="270" t="str" cm="1">
        <f t="array" ref="D243">_xlfn.IFS(E243=$AB$42,$AD$42,E243=$AB$43,$AD$43,E243=$AB$44,$AD$44,E243=$AB$45,$AD$45,E243=$AB$46,$AD$46,E243=$AB$47,$AD$47,E243=$AB$48,$AD$48,E243=$AB$49,$AD$49,E243=$AB$50,$AD$50,E243=$AB$51,$AD$51,E243=$AB$52,$AD$52,E243=$AB$53,$AD$53,E243=$AB$54,$AD$54,E243=$AB$55,$AD$55,E243=$AB$56,$AD$56,E243=$AB$57,$AD$57,E243=$AB$58,$AD$58,E243=$AB$59,$AD$59,E243=$AB$60,$AD$60,E243=$AB$61,$AD$61,E243=$AB$62,$AD$62,E243=$AB$63,$AD$63,E243=$AB$64,$AD$64,E243=$AB$65,$AD$65,E243=$AB$66,$AD$66,TRUE,"0")</f>
        <v>IP</v>
      </c>
      <c r="E243" s="163" t="s">
        <v>270</v>
      </c>
      <c r="F243" s="2" t="s">
        <v>77</v>
      </c>
      <c r="G243" s="33" t="s">
        <v>156</v>
      </c>
      <c r="H243" s="3">
        <v>45332.604166666664</v>
      </c>
      <c r="I243" s="2" t="s">
        <v>167</v>
      </c>
      <c r="J243" s="2" t="s">
        <v>345</v>
      </c>
      <c r="K243" s="2">
        <v>64</v>
      </c>
      <c r="L243" s="2">
        <v>0</v>
      </c>
      <c r="M243" s="2">
        <v>20</v>
      </c>
      <c r="N243" s="2">
        <v>2.68</v>
      </c>
      <c r="O243" s="2"/>
      <c r="P243" s="2"/>
      <c r="Q243" s="1" t="s">
        <v>96</v>
      </c>
      <c r="R243" s="14" t="s">
        <v>221</v>
      </c>
      <c r="S243" s="13" t="s">
        <v>221</v>
      </c>
      <c r="T243" s="188">
        <f t="shared" si="23"/>
        <v>133.77365224016975</v>
      </c>
      <c r="U243" s="8">
        <f t="shared" si="30"/>
        <v>-133.77365224016975</v>
      </c>
      <c r="V243" s="234">
        <f>SUM(V242,U243)</f>
        <v>2541.699392563225</v>
      </c>
      <c r="W243" s="15">
        <v>25</v>
      </c>
      <c r="X243" s="8">
        <f t="shared" si="24"/>
        <v>-25</v>
      </c>
      <c r="Y243" s="233">
        <f t="shared" si="25"/>
        <v>1323.5</v>
      </c>
    </row>
    <row r="244" spans="1:25">
      <c r="A244" s="156" t="e" cm="1">
        <f t="array" aca="1" ref="A244" ca="1">_xlfn.IFS(E244=$AB$42,$AC$42,E244=$AB$43,$AC$43,E244=$AB$44,$AC$44,E244=$AB$45,$AC$45,E244=$AB$46,$AC$46,E244=$AB$47,$AC$47,E244=$AB$48,$AC$48,E244=$AB$49,$AC$49,E244=$AB$50,$AC$50,E244=$AB$51,$AC$51,E244=$AB$52,$AC$52,E244=$AB$53,$AC$53,E244=$AB$54,$AC$54,E244=$AB$55,$AC$55,E244=$AB$56,$AC$56,E244=$AB$57,$AC$57,E244=$AB$58,$AC$58,E244=$AB$59,$AC$59,E244=$AB$60,$AC$60,E244=$AB$61,$AC$61,E244=$AB$62,$AC$62,E244=$AB$63,$AC$63,E244=$AB$64,$AC$64,E244=$AB$65,$AC$65,E244=$AB$66,$AC$66,TRUE,"0")</f>
        <v>#NAME?</v>
      </c>
      <c r="C244" s="161" t="str" cm="1">
        <f t="array" ref="C244">_xlfn.IFS(E244=$AB$42,$AF$42,E244=$AB$43,$AF$43,E244=$AB$44,$AF$44,E244=$AB$45,$AF$45,E244=$AB$46,$AF$46,E244=$AB$47,$AF$47,E244=$AB$48,$AF$48,E244=$AB$49,$AF$49,E244=$AB$50,$AF$50,E244=$AB$51,$AF$51,E244=$AB$52,$AF$52,E244=$AB$53,$AF$53,E244=$AB$54,$AF$54,E244=$AB$55,$AF$55,E244=$AB$56,$AF$56,E244=$AB$57,$AF$57,E244=$AB$58,$AF$58,E244=$AB$59,$AF$59,E244=$AB$60,$AF$60,E244=$AB$61,$AF$61,E244=$AB$62,$AF$62,E244=$AB$63,$AF$63,E244=$AB$64,$AF$64,E244=$AB$65,$AF$65,E244=$AB$66,$AF$66,TRUE,"0")</f>
        <v>B4 Match, lay HT 0-0 or BACK H1 +0.5 GOALS</v>
      </c>
      <c r="D244" s="270" t="str" cm="1">
        <f t="array" ref="D244">_xlfn.IFS(E244=$AB$42,$AD$42,E244=$AB$43,$AD$43,E244=$AB$44,$AD$44,E244=$AB$45,$AD$45,E244=$AB$46,$AD$46,E244=$AB$47,$AD$47,E244=$AB$48,$AD$48,E244=$AB$49,$AD$49,E244=$AB$50,$AD$50,E244=$AB$51,$AD$51,E244=$AB$52,$AD$52,E244=$AB$53,$AD$53,E244=$AB$54,$AD$54,E244=$AB$55,$AD$55,E244=$AB$56,$AD$56,E244=$AB$57,$AD$57,E244=$AB$58,$AD$58,E244=$AB$59,$AD$59,E244=$AB$60,$AD$60,E244=$AB$61,$AD$61,E244=$AB$62,$AD$62,E244=$AB$63,$AD$63,E244=$AB$64,$AD$64,E244=$AB$65,$AD$65,E244=$AB$66,$AD$66,TRUE,"0")</f>
        <v xml:space="preserve">BFM </v>
      </c>
      <c r="E244" s="163" t="s">
        <v>432</v>
      </c>
      <c r="F244" s="2" t="s">
        <v>77</v>
      </c>
      <c r="G244" s="2" t="s">
        <v>156</v>
      </c>
      <c r="H244" s="3">
        <v>45332.604166666664</v>
      </c>
      <c r="I244" s="2" t="s">
        <v>254</v>
      </c>
      <c r="J244" s="2" t="s">
        <v>260</v>
      </c>
      <c r="K244" s="2">
        <v>95</v>
      </c>
      <c r="L244" s="2">
        <v>21</v>
      </c>
      <c r="M244" s="2">
        <v>50</v>
      </c>
      <c r="N244" s="2">
        <v>0</v>
      </c>
      <c r="O244" s="2">
        <v>1.55</v>
      </c>
      <c r="P244" s="2">
        <v>20</v>
      </c>
      <c r="Q244" s="1" t="s">
        <v>95</v>
      </c>
      <c r="R244" s="14" t="s">
        <v>223</v>
      </c>
      <c r="S244" s="13" t="s">
        <v>223</v>
      </c>
      <c r="T244" s="188">
        <f t="shared" si="23"/>
        <v>127.08496962816126</v>
      </c>
      <c r="U244" s="8">
        <f t="shared" si="30"/>
        <v>22.875294533069027</v>
      </c>
      <c r="V244" s="234">
        <f>SUM(V243,U244)</f>
        <v>2564.5746870962939</v>
      </c>
      <c r="W244" s="15">
        <v>25</v>
      </c>
      <c r="X244" s="8">
        <f t="shared" si="24"/>
        <v>4.5</v>
      </c>
      <c r="Y244" s="233">
        <f t="shared" si="25"/>
        <v>1328</v>
      </c>
    </row>
    <row r="245" spans="1:25">
      <c r="A245" s="156" t="e" cm="1">
        <f t="array" aca="1" ref="A245" ca="1">_xlfn.IFS(E245=$AB$42,$AC$42,E245=$AB$43,$AC$43,E245=$AB$44,$AC$44,E245=$AB$45,$AC$45,E245=$AB$46,$AC$46,E245=$AB$47,$AC$47,E245=$AB$48,$AC$48,E245=$AB$49,$AC$49,E245=$AB$50,$AC$50,E245=$AB$51,$AC$51,E245=$AB$52,$AC$52,E245=$AB$53,$AC$53,E245=$AB$54,$AC$54,E245=$AB$55,$AC$55,E245=$AB$56,$AC$56,E245=$AB$57,$AC$57,E245=$AB$58,$AC$58,E245=$AB$59,$AC$59,E245=$AB$60,$AC$60,E245=$AB$61,$AC$61,E245=$AB$62,$AC$62,E245=$AB$63,$AC$63,E245=$AB$64,$AC$64,E245=$AB$65,$AC$65,E245=$AB$66,$AC$66,TRUE,"0")</f>
        <v>#NAME?</v>
      </c>
      <c r="C245" s="161" t="str" cm="1">
        <f t="array" ref="C245">_xlfn.IFS(E245=$AB$42,$AF$42,E245=$AB$43,$AF$43,E245=$AB$44,$AF$44,E245=$AB$45,$AF$45,E245=$AB$46,$AF$46,E245=$AB$47,$AF$47,E245=$AB$48,$AF$48,E245=$AB$49,$AF$49,E245=$AB$50,$AF$50,E245=$AB$51,$AF$51,E245=$AB$52,$AF$52,E245=$AB$53,$AF$53,E245=$AB$54,$AF$54,E245=$AB$55,$AF$55,E245=$AB$56,$AF$56,E245=$AB$57,$AF$57,E245=$AB$58,$AF$58,E245=$AB$59,$AF$59,E245=$AB$60,$AF$60,E245=$AB$61,$AF$61,E245=$AB$62,$AF$62,E245=$AB$63,$AF$63,E245=$AB$64,$AF$64,E245=$AB$65,$AF$65,E245=$AB$66,$AF$66,TRUE,"0")</f>
        <v>if 0-0, BACK+ 0.5 GOALS  @ 1.15+odds.  or @ 40 mins</v>
      </c>
      <c r="D245" s="270" t="str" cm="1">
        <f t="array" ref="D245">_xlfn.IFS(E245=$AB$42,$AD$42,E245=$AB$43,$AD$43,E245=$AB$44,$AD$44,E245=$AB$45,$AD$45,E245=$AB$46,$AD$46,E245=$AB$47,$AD$47,E245=$AB$48,$AD$48,E245=$AB$49,$AD$49,E245=$AB$50,$AD$50,E245=$AB$51,$AD$51,E245=$AB$52,$AD$52,E245=$AB$53,$AD$53,E245=$AB$54,$AD$54,E245=$AB$55,$AD$55,E245=$AB$56,$AD$56,E245=$AB$57,$AD$57,E245=$AB$58,$AD$58,E245=$AB$59,$AD$59,E245=$AB$60,$AD$60,E245=$AB$61,$AD$61,E245=$AB$62,$AD$62,E245=$AB$63,$AD$63,E245=$AB$64,$AD$64,E245=$AB$65,$AD$65,E245=$AB$66,$AD$66,TRUE,"0")</f>
        <v>IP</v>
      </c>
      <c r="E245" s="163" t="s">
        <v>270</v>
      </c>
      <c r="F245" s="2" t="s">
        <v>77</v>
      </c>
      <c r="G245" s="2" t="s">
        <v>156</v>
      </c>
      <c r="H245" s="3">
        <v>45332.604166666664</v>
      </c>
      <c r="I245" s="2" t="s">
        <v>315</v>
      </c>
      <c r="J245" s="2" t="s">
        <v>161</v>
      </c>
      <c r="K245" s="2">
        <v>59</v>
      </c>
      <c r="L245" s="2">
        <v>0</v>
      </c>
      <c r="M245" s="2">
        <v>20</v>
      </c>
      <c r="N245" s="2">
        <v>2.2200000000000002</v>
      </c>
      <c r="O245" s="2"/>
      <c r="P245" s="2"/>
      <c r="Q245" s="2" t="s">
        <v>95</v>
      </c>
      <c r="R245" s="14" t="s">
        <v>214</v>
      </c>
      <c r="S245" s="13" t="s">
        <v>214</v>
      </c>
      <c r="T245" s="188">
        <f t="shared" si="23"/>
        <v>128.22873435481469</v>
      </c>
      <c r="U245" s="8">
        <f t="shared" si="30"/>
        <v>23.081172183866645</v>
      </c>
      <c r="V245" s="234">
        <f t="shared" ref="V245:V252" si="31">SUM(V244,U245)</f>
        <v>2587.6558592801607</v>
      </c>
      <c r="W245" s="15">
        <v>25</v>
      </c>
      <c r="X245" s="8">
        <f t="shared" si="24"/>
        <v>4.5</v>
      </c>
      <c r="Y245" s="233">
        <f t="shared" si="25"/>
        <v>1332.5</v>
      </c>
    </row>
    <row r="246" spans="1:25">
      <c r="A246" s="156" t="e" cm="1">
        <f t="array" aca="1" ref="A246" ca="1">_xlfn.IFS(E246=$AB$42,$AC$42,E246=$AB$43,$AC$43,E246=$AB$44,$AC$44,E246=$AB$45,$AC$45,E246=$AB$46,$AC$46,E246=$AB$47,$AC$47,E246=$AB$48,$AC$48,E246=$AB$49,$AC$49,E246=$AB$50,$AC$50,E246=$AB$51,$AC$51,E246=$AB$52,$AC$52,E246=$AB$53,$AC$53,E246=$AB$54,$AC$54,E246=$AB$55,$AC$55,E246=$AB$56,$AC$56,E246=$AB$57,$AC$57,E246=$AB$58,$AC$58,E246=$AB$59,$AC$59,E246=$AB$60,$AC$60,E246=$AB$61,$AC$61,E246=$AB$62,$AC$62,E246=$AB$63,$AC$63,E246=$AB$64,$AC$64,E246=$AB$65,$AC$65,E246=$AB$66,$AC$66,TRUE,"0")</f>
        <v>#NAME?</v>
      </c>
      <c r="C246" s="161" t="str" cm="1">
        <f t="array" ref="C246">_xlfn.IFS(E246=$AB$42,$AF$42,E246=$AB$43,$AF$43,E246=$AB$44,$AF$44,E246=$AB$45,$AF$45,E246=$AB$46,$AF$46,E246=$AB$47,$AF$47,E246=$AB$48,$AF$48,E246=$AB$49,$AF$49,E246=$AB$50,$AF$50,E246=$AB$51,$AF$51,E246=$AB$52,$AF$52,E246=$AB$53,$AF$53,E246=$AB$54,$AF$54,E246=$AB$55,$AF$55,E246=$AB$56,$AF$56,E246=$AB$57,$AF$57,E246=$AB$58,$AF$58,E246=$AB$59,$AF$59,E246=$AB$60,$AF$60,E246=$AB$61,$AF$61,E246=$AB$62,$AF$62,E246=$AB$63,$AF$63,E246=$AB$64,$AF$64,E246=$AB$65,$AF$65,E246=$AB$66,$AF$66,TRUE,"0")</f>
        <v>40 mins Back ANother Goal</v>
      </c>
      <c r="D246" s="270" t="str" cm="1">
        <f t="array" ref="D246">_xlfn.IFS(E246=$AB$42,$AD$42,E246=$AB$43,$AD$43,E246=$AB$44,$AD$44,E246=$AB$45,$AD$45,E246=$AB$46,$AD$46,E246=$AB$47,$AD$47,E246=$AB$48,$AD$48,E246=$AB$49,$AD$49,E246=$AB$50,$AD$50,E246=$AB$51,$AD$51,E246=$AB$52,$AD$52,E246=$AB$53,$AD$53,E246=$AB$54,$AD$54,E246=$AB$55,$AD$55,E246=$AB$56,$AD$56,E246=$AB$57,$AD$57,E246=$AB$58,$AD$58,E246=$AB$59,$AD$59,E246=$AB$60,$AD$60,E246=$AB$61,$AD$61,E246=$AB$62,$AD$62,E246=$AB$63,$AD$63,E246=$AB$64,$AD$64,E246=$AB$65,$AD$65,E246=$AB$66,$AD$66,TRUE,"0")</f>
        <v xml:space="preserve">  BANG</v>
      </c>
      <c r="E246" s="163" t="s">
        <v>10</v>
      </c>
      <c r="F246" s="2" t="s">
        <v>6</v>
      </c>
      <c r="G246" s="33" t="s">
        <v>7</v>
      </c>
      <c r="H246" s="3">
        <v>45332.625</v>
      </c>
      <c r="I246" s="2" t="s">
        <v>26</v>
      </c>
      <c r="J246" s="2" t="s">
        <v>418</v>
      </c>
      <c r="K246" s="2">
        <v>2.0499999999999998</v>
      </c>
      <c r="L246" s="2">
        <v>90</v>
      </c>
      <c r="M246" s="2">
        <v>65</v>
      </c>
      <c r="N246" s="2">
        <v>30</v>
      </c>
      <c r="O246" s="2">
        <v>61</v>
      </c>
      <c r="P246" s="2">
        <v>20</v>
      </c>
      <c r="Q246" s="2" t="s">
        <v>96</v>
      </c>
      <c r="R246" s="14" t="s">
        <v>220</v>
      </c>
      <c r="S246" s="13" t="s">
        <v>220</v>
      </c>
      <c r="T246" s="188">
        <f t="shared" si="23"/>
        <v>129.38279296400805</v>
      </c>
      <c r="U246" s="8">
        <f t="shared" si="30"/>
        <v>-129.38279296400805</v>
      </c>
      <c r="V246" s="234">
        <f t="shared" si="31"/>
        <v>2458.2730663161528</v>
      </c>
      <c r="W246" s="15">
        <v>25</v>
      </c>
      <c r="X246" s="8">
        <f t="shared" si="24"/>
        <v>-25</v>
      </c>
      <c r="Y246" s="233">
        <f t="shared" si="25"/>
        <v>1307.5</v>
      </c>
    </row>
    <row r="247" spans="1:25">
      <c r="A247" s="156" t="e" cm="1">
        <f t="array" aca="1" ref="A247" ca="1">_xlfn.IFS(E247=$AB$42,$AC$42,E247=$AB$43,$AC$43,E247=$AB$44,$AC$44,E247=$AB$45,$AC$45,E247=$AB$46,$AC$46,E247=$AB$47,$AC$47,E247=$AB$48,$AC$48,E247=$AB$49,$AC$49,E247=$AB$50,$AC$50,E247=$AB$51,$AC$51,E247=$AB$52,$AC$52,E247=$AB$53,$AC$53,E247=$AB$54,$AC$54,E247=$AB$55,$AC$55,E247=$AB$56,$AC$56,E247=$AB$57,$AC$57,E247=$AB$58,$AC$58,E247=$AB$59,$AC$59,E247=$AB$60,$AC$60,E247=$AB$61,$AC$61,E247=$AB$62,$AC$62,E247=$AB$63,$AC$63,E247=$AB$64,$AC$64,E247=$AB$65,$AC$65,E247=$AB$66,$AC$66,TRUE,"0")</f>
        <v>#NAME?</v>
      </c>
      <c r="C247" s="161" t="str" cm="1">
        <f t="array" ref="C247">_xlfn.IFS(E247=$AB$42,$AF$42,E247=$AB$43,$AF$43,E247=$AB$44,$AF$44,E247=$AB$45,$AF$45,E247=$AB$46,$AF$46,E247=$AB$47,$AF$47,E247=$AB$48,$AF$48,E247=$AB$49,$AF$49,E247=$AB$50,$AF$50,E247=$AB$51,$AF$51,E247=$AB$52,$AF$52,E247=$AB$53,$AF$53,E247=$AB$54,$AF$54,E247=$AB$55,$AF$55,E247=$AB$56,$AF$56,E247=$AB$57,$AF$57,E247=$AB$58,$AF$58,E247=$AB$59,$AF$59,E247=$AB$60,$AF$60,E247=$AB$61,$AF$61,E247=$AB$62,$AF$62,E247=$AB$63,$AF$63,E247=$AB$64,$AF$64,E247=$AB$65,$AF$65,E247=$AB$66,$AF$66,TRUE,"0")</f>
        <v>40 mins Back ANother Goal</v>
      </c>
      <c r="D247" s="270" t="str" cm="1">
        <f t="array" ref="D247">_xlfn.IFS(E247=$AB$42,$AD$42,E247=$AB$43,$AD$43,E247=$AB$44,$AD$44,E247=$AB$45,$AD$45,E247=$AB$46,$AD$46,E247=$AB$47,$AD$47,E247=$AB$48,$AD$48,E247=$AB$49,$AD$49,E247=$AB$50,$AD$50,E247=$AB$51,$AD$51,E247=$AB$52,$AD$52,E247=$AB$53,$AD$53,E247=$AB$54,$AD$54,E247=$AB$55,$AD$55,E247=$AB$56,$AD$56,E247=$AB$57,$AD$57,E247=$AB$58,$AD$58,E247=$AB$59,$AD$59,E247=$AB$60,$AD$60,E247=$AB$61,$AD$61,E247=$AB$62,$AD$62,E247=$AB$63,$AD$63,E247=$AB$64,$AD$64,E247=$AB$65,$AD$65,E247=$AB$66,$AD$66,TRUE,"0")</f>
        <v xml:space="preserve">  BANG</v>
      </c>
      <c r="E247" s="163" t="s">
        <v>10</v>
      </c>
      <c r="F247" s="2" t="s">
        <v>31</v>
      </c>
      <c r="G247" s="2" t="s">
        <v>32</v>
      </c>
      <c r="H247" s="3">
        <v>45332.625</v>
      </c>
      <c r="I247" s="2" t="s">
        <v>419</v>
      </c>
      <c r="J247" s="2" t="s">
        <v>261</v>
      </c>
      <c r="K247" s="2">
        <v>2.15</v>
      </c>
      <c r="L247" s="2">
        <v>90</v>
      </c>
      <c r="M247" s="2">
        <v>70</v>
      </c>
      <c r="N247" s="2">
        <v>35</v>
      </c>
      <c r="O247" s="2">
        <v>61</v>
      </c>
      <c r="P247" s="2">
        <v>20</v>
      </c>
      <c r="Q247" s="2" t="s">
        <v>95</v>
      </c>
      <c r="R247" s="14" t="s">
        <v>220</v>
      </c>
      <c r="S247" s="13" t="s">
        <v>196</v>
      </c>
      <c r="T247" s="188">
        <f t="shared" si="23"/>
        <v>122.91365331580765</v>
      </c>
      <c r="U247" s="8">
        <f t="shared" si="30"/>
        <v>22.124457596845374</v>
      </c>
      <c r="V247" s="234">
        <f t="shared" si="31"/>
        <v>2480.3975239129982</v>
      </c>
      <c r="W247" s="15">
        <v>25</v>
      </c>
      <c r="X247" s="8">
        <f t="shared" si="24"/>
        <v>4.5</v>
      </c>
      <c r="Y247" s="233">
        <f t="shared" si="25"/>
        <v>1312</v>
      </c>
    </row>
    <row r="248" spans="1:25">
      <c r="A248" s="156" t="e" cm="1">
        <f t="array" aca="1" ref="A248" ca="1">_xlfn.IFS(E248=$AB$42,$AC$42,E248=$AB$43,$AC$43,E248=$AB$44,$AC$44,E248=$AB$45,$AC$45,E248=$AB$46,$AC$46,E248=$AB$47,$AC$47,E248=$AB$48,$AC$48,E248=$AB$49,$AC$49,E248=$AB$50,$AC$50,E248=$AB$51,$AC$51,E248=$AB$52,$AC$52,E248=$AB$53,$AC$53,E248=$AB$54,$AC$54,E248=$AB$55,$AC$55,E248=$AB$56,$AC$56,E248=$AB$57,$AC$57,E248=$AB$58,$AC$58,E248=$AB$59,$AC$59,E248=$AB$60,$AC$60,E248=$AB$61,$AC$61,E248=$AB$62,$AC$62,E248=$AB$63,$AC$63,E248=$AB$64,$AC$64,E248=$AB$65,$AC$65,E248=$AB$66,$AC$66,TRUE,"0")</f>
        <v>#NAME?</v>
      </c>
      <c r="C248" s="161" t="str" cm="1">
        <f t="array" ref="C248">_xlfn.IFS(E248=$AB$42,$AF$42,E248=$AB$43,$AF$43,E248=$AB$44,$AF$44,E248=$AB$45,$AF$45,E248=$AB$46,$AF$46,E248=$AB$47,$AF$47,E248=$AB$48,$AF$48,E248=$AB$49,$AF$49,E248=$AB$50,$AF$50,E248=$AB$51,$AF$51,E248=$AB$52,$AF$52,E248=$AB$53,$AF$53,E248=$AB$54,$AF$54,E248=$AB$55,$AF$55,E248=$AB$56,$AF$56,E248=$AB$57,$AF$57,E248=$AB$58,$AF$58,E248=$AB$59,$AF$59,E248=$AB$60,$AF$60,E248=$AB$61,$AF$61,E248=$AB$62,$AF$62,E248=$AB$63,$AF$63,E248=$AB$64,$AF$64,E248=$AB$65,$AF$65,E248=$AB$66,$AF$66,TRUE,"0")</f>
        <v>B4 MATCH back over 2.5 goals.X after goal OR let run</v>
      </c>
      <c r="D248" s="270" t="str" cm="1">
        <f t="array" ref="D248">_xlfn.IFS(E248=$AB$42,$AD$42,E248=$AB$43,$AD$43,E248=$AB$44,$AD$44,E248=$AB$45,$AD$45,E248=$AB$46,$AD$46,E248=$AB$47,$AD$47,E248=$AB$48,$AD$48,E248=$AB$49,$AD$49,E248=$AB$50,$AD$50,E248=$AB$51,$AD$51,E248=$AB$52,$AD$52,E248=$AB$53,$AD$53,E248=$AB$54,$AD$54,E248=$AB$55,$AD$55,E248=$AB$56,$AD$56,E248=$AB$57,$AD$57,E248=$AB$58,$AD$58,E248=$AB$59,$AD$59,E248=$AB$60,$AD$60,E248=$AB$61,$AD$61,E248=$AB$62,$AD$62,E248=$AB$63,$AD$63,E248=$AB$64,$AD$64,E248=$AB$65,$AD$65,E248=$AB$66,$AD$66,TRUE,"0")</f>
        <v xml:space="preserve">BFM </v>
      </c>
      <c r="E248" s="163" t="s">
        <v>177</v>
      </c>
      <c r="F248" s="2" t="s">
        <v>6</v>
      </c>
      <c r="G248" s="2" t="s">
        <v>7</v>
      </c>
      <c r="H248" s="3">
        <v>45332.625</v>
      </c>
      <c r="I248" s="2" t="s">
        <v>113</v>
      </c>
      <c r="J248" s="2" t="s">
        <v>18</v>
      </c>
      <c r="K248" s="2">
        <v>3.85</v>
      </c>
      <c r="L248" s="2">
        <v>95</v>
      </c>
      <c r="M248" s="2">
        <v>75</v>
      </c>
      <c r="N248" s="2">
        <v>28</v>
      </c>
      <c r="O248" s="2">
        <v>50</v>
      </c>
      <c r="P248" s="2">
        <v>2.61</v>
      </c>
      <c r="Q248" s="2" t="s">
        <v>95</v>
      </c>
      <c r="R248" s="14" t="s">
        <v>218</v>
      </c>
      <c r="S248" s="13" t="s">
        <v>211</v>
      </c>
      <c r="T248" s="188">
        <f t="shared" si="23"/>
        <v>124.01987619564991</v>
      </c>
      <c r="U248" s="8">
        <f t="shared" si="30"/>
        <v>22.323577715216985</v>
      </c>
      <c r="V248" s="234">
        <f t="shared" si="31"/>
        <v>2502.7211016282154</v>
      </c>
      <c r="W248" s="15">
        <v>25</v>
      </c>
      <c r="X248" s="8">
        <f t="shared" si="24"/>
        <v>4.5</v>
      </c>
      <c r="Y248" s="233">
        <f t="shared" si="25"/>
        <v>1316.5</v>
      </c>
    </row>
    <row r="249" spans="1:25">
      <c r="A249" s="156" t="e" cm="1">
        <f t="array" aca="1" ref="A249" ca="1">_xlfn.IFS(E249=$AB$42,$AC$42,E249=$AB$43,$AC$43,E249=$AB$44,$AC$44,E249=$AB$45,$AC$45,E249=$AB$46,$AC$46,E249=$AB$47,$AC$47,E249=$AB$48,$AC$48,E249=$AB$49,$AC$49,E249=$AB$50,$AC$50,E249=$AB$51,$AC$51,E249=$AB$52,$AC$52,E249=$AB$53,$AC$53,E249=$AB$54,$AC$54,E249=$AB$55,$AC$55,E249=$AB$56,$AC$56,E249=$AB$57,$AC$57,E249=$AB$58,$AC$58,E249=$AB$59,$AC$59,E249=$AB$60,$AC$60,E249=$AB$61,$AC$61,E249=$AB$62,$AC$62,E249=$AB$63,$AC$63,E249=$AB$64,$AC$64,E249=$AB$65,$AC$65,E249=$AB$66,$AC$66,TRUE,"0")</f>
        <v>#NAME?</v>
      </c>
      <c r="C249" s="161" t="str" cm="1">
        <f t="array" ref="C249">_xlfn.IFS(E249=$AB$42,$AF$42,E249=$AB$43,$AF$43,E249=$AB$44,$AF$44,E249=$AB$45,$AF$45,E249=$AB$46,$AF$46,E249=$AB$47,$AF$47,E249=$AB$48,$AF$48,E249=$AB$49,$AF$49,E249=$AB$50,$AF$50,E249=$AB$51,$AF$51,E249=$AB$52,$AF$52,E249=$AB$53,$AF$53,E249=$AB$54,$AF$54,E249=$AB$55,$AF$55,E249=$AB$56,$AF$56,E249=$AB$57,$AF$57,E249=$AB$58,$AF$58,E249=$AB$59,$AF$59,E249=$AB$60,$AF$60,E249=$AB$61,$AF$61,E249=$AB$62,$AF$62,E249=$AB$63,$AF$63,E249=$AB$64,$AF$64,E249=$AB$65,$AF$65,E249=$AB$66,$AF$66,TRUE,"0")</f>
        <v>40 mins Back ANother Goal</v>
      </c>
      <c r="D249" s="270" t="str" cm="1">
        <f t="array" ref="D249">_xlfn.IFS(E249=$AB$42,$AD$42,E249=$AB$43,$AD$43,E249=$AB$44,$AD$44,E249=$AB$45,$AD$45,E249=$AB$46,$AD$46,E249=$AB$47,$AD$47,E249=$AB$48,$AD$48,E249=$AB$49,$AD$49,E249=$AB$50,$AD$50,E249=$AB$51,$AD$51,E249=$AB$52,$AD$52,E249=$AB$53,$AD$53,E249=$AB$54,$AD$54,E249=$AB$55,$AD$55,E249=$AB$56,$AD$56,E249=$AB$57,$AD$57,E249=$AB$58,$AD$58,E249=$AB$59,$AD$59,E249=$AB$60,$AD$60,E249=$AB$61,$AD$61,E249=$AB$62,$AD$62,E249=$AB$63,$AD$63,E249=$AB$64,$AD$64,E249=$AB$65,$AD$65,E249=$AB$66,$AD$66,TRUE,"0")</f>
        <v xml:space="preserve">  BANG</v>
      </c>
      <c r="E249" s="163" t="s">
        <v>10</v>
      </c>
      <c r="F249" s="2" t="s">
        <v>6</v>
      </c>
      <c r="G249" s="2" t="s">
        <v>7</v>
      </c>
      <c r="H249" s="3">
        <v>45332.625</v>
      </c>
      <c r="I249" s="2" t="s">
        <v>113</v>
      </c>
      <c r="J249" s="2" t="s">
        <v>18</v>
      </c>
      <c r="K249" s="2">
        <v>2.2000000000000002</v>
      </c>
      <c r="L249" s="2">
        <v>85</v>
      </c>
      <c r="M249" s="2">
        <v>70</v>
      </c>
      <c r="N249" s="2">
        <v>30</v>
      </c>
      <c r="O249" s="2">
        <v>60</v>
      </c>
      <c r="P249" s="2">
        <v>20</v>
      </c>
      <c r="Q249" s="2" t="s">
        <v>95</v>
      </c>
      <c r="R249" s="14" t="s">
        <v>218</v>
      </c>
      <c r="S249" s="13" t="s">
        <v>211</v>
      </c>
      <c r="T249" s="188">
        <f t="shared" si="23"/>
        <v>125.13605508141077</v>
      </c>
      <c r="U249" s="8">
        <f t="shared" si="30"/>
        <v>22.524489914653937</v>
      </c>
      <c r="V249" s="234">
        <f t="shared" si="31"/>
        <v>2525.2455915428691</v>
      </c>
      <c r="W249" s="15">
        <v>25</v>
      </c>
      <c r="X249" s="8">
        <f t="shared" si="24"/>
        <v>4.5</v>
      </c>
      <c r="Y249" s="233">
        <f t="shared" si="25"/>
        <v>1321</v>
      </c>
    </row>
    <row r="250" spans="1:25">
      <c r="A250" s="156" t="e" cm="1">
        <f t="array" aca="1" ref="A250" ca="1">_xlfn.IFS(E250=$AB$42,$AC$42,E250=$AB$43,$AC$43,E250=$AB$44,$AC$44,E250=$AB$45,$AC$45,E250=$AB$46,$AC$46,E250=$AB$47,$AC$47,E250=$AB$48,$AC$48,E250=$AB$49,$AC$49,E250=$AB$50,$AC$50,E250=$AB$51,$AC$51,E250=$AB$52,$AC$52,E250=$AB$53,$AC$53,E250=$AB$54,$AC$54,E250=$AB$55,$AC$55,E250=$AB$56,$AC$56,E250=$AB$57,$AC$57,E250=$AB$58,$AC$58,E250=$AB$59,$AC$59,E250=$AB$60,$AC$60,E250=$AB$61,$AC$61,E250=$AB$62,$AC$62,E250=$AB$63,$AC$63,E250=$AB$64,$AC$64,E250=$AB$65,$AC$65,E250=$AB$66,$AC$66,TRUE,"0")</f>
        <v>#NAME?</v>
      </c>
      <c r="C250" s="161" t="str" cm="1">
        <f t="array" ref="C250">_xlfn.IFS(E250=$AB$42,$AF$42,E250=$AB$43,$AF$43,E250=$AB$44,$AF$44,E250=$AB$45,$AF$45,E250=$AB$46,$AF$46,E250=$AB$47,$AF$47,E250=$AB$48,$AF$48,E250=$AB$49,$AF$49,E250=$AB$50,$AF$50,E250=$AB$51,$AF$51,E250=$AB$52,$AF$52,E250=$AB$53,$AF$53,E250=$AB$54,$AF$54,E250=$AB$55,$AF$55,E250=$AB$56,$AF$56,E250=$AB$57,$AF$57,E250=$AB$58,$AF$58,E250=$AB$59,$AF$59,E250=$AB$60,$AF$60,E250=$AB$61,$AF$61,E250=$AB$62,$AF$62,E250=$AB$63,$AF$63,E250=$AB$64,$AF$64,E250=$AB$65,$AF$65,E250=$AB$66,$AF$66,TRUE,"0")</f>
        <v>40 mins Back ANother Goal</v>
      </c>
      <c r="D250" s="270" t="str" cm="1">
        <f t="array" ref="D250">_xlfn.IFS(E250=$AB$42,$AD$42,E250=$AB$43,$AD$43,E250=$AB$44,$AD$44,E250=$AB$45,$AD$45,E250=$AB$46,$AD$46,E250=$AB$47,$AD$47,E250=$AB$48,$AD$48,E250=$AB$49,$AD$49,E250=$AB$50,$AD$50,E250=$AB$51,$AD$51,E250=$AB$52,$AD$52,E250=$AB$53,$AD$53,E250=$AB$54,$AD$54,E250=$AB$55,$AD$55,E250=$AB$56,$AD$56,E250=$AB$57,$AD$57,E250=$AB$58,$AD$58,E250=$AB$59,$AD$59,E250=$AB$60,$AD$60,E250=$AB$61,$AD$61,E250=$AB$62,$AD$62,E250=$AB$63,$AD$63,E250=$AB$64,$AD$64,E250=$AB$65,$AD$65,E250=$AB$66,$AD$66,TRUE,"0")</f>
        <v xml:space="preserve">  BANG</v>
      </c>
      <c r="E250" s="163" t="s">
        <v>10</v>
      </c>
      <c r="F250" s="2" t="s">
        <v>6</v>
      </c>
      <c r="G250" s="2" t="s">
        <v>62</v>
      </c>
      <c r="H250" s="3">
        <v>45332.625</v>
      </c>
      <c r="I250" s="2" t="s">
        <v>86</v>
      </c>
      <c r="J250" s="2" t="s">
        <v>85</v>
      </c>
      <c r="K250" s="2">
        <v>2.0499999999999998</v>
      </c>
      <c r="L250" s="2">
        <v>90</v>
      </c>
      <c r="M250" s="2">
        <v>65</v>
      </c>
      <c r="N250" s="2">
        <v>35</v>
      </c>
      <c r="O250" s="2">
        <v>65</v>
      </c>
      <c r="P250" s="2">
        <v>20</v>
      </c>
      <c r="Q250" s="2" t="s">
        <v>95</v>
      </c>
      <c r="R250" s="14" t="s">
        <v>217</v>
      </c>
      <c r="S250" s="13" t="s">
        <v>211</v>
      </c>
      <c r="T250" s="188">
        <f t="shared" si="23"/>
        <v>126.26227957714346</v>
      </c>
      <c r="U250" s="8">
        <f t="shared" si="30"/>
        <v>22.727210323885821</v>
      </c>
      <c r="V250" s="234">
        <f t="shared" si="31"/>
        <v>2547.9728018667547</v>
      </c>
      <c r="W250" s="15">
        <v>25</v>
      </c>
      <c r="X250" s="8">
        <f t="shared" si="24"/>
        <v>4.5</v>
      </c>
      <c r="Y250" s="233">
        <f t="shared" si="25"/>
        <v>1325.5</v>
      </c>
    </row>
    <row r="251" spans="1:25">
      <c r="A251" s="156" t="e" cm="1">
        <f t="array" aca="1" ref="A251" ca="1">_xlfn.IFS(E251=$AB$42,$AC$42,E251=$AB$43,$AC$43,E251=$AB$44,$AC$44,E251=$AB$45,$AC$45,E251=$AB$46,$AC$46,E251=$AB$47,$AC$47,E251=$AB$48,$AC$48,E251=$AB$49,$AC$49,E251=$AB$50,$AC$50,E251=$AB$51,$AC$51,E251=$AB$52,$AC$52,E251=$AB$53,$AC$53,E251=$AB$54,$AC$54,E251=$AB$55,$AC$55,E251=$AB$56,$AC$56,E251=$AB$57,$AC$57,E251=$AB$58,$AC$58,E251=$AB$59,$AC$59,E251=$AB$60,$AC$60,E251=$AB$61,$AC$61,E251=$AB$62,$AC$62,E251=$AB$63,$AC$63,E251=$AB$64,$AC$64,E251=$AB$65,$AC$65,E251=$AB$66,$AC$66,TRUE,"0")</f>
        <v>#NAME?</v>
      </c>
      <c r="C251" s="161" t="str" cm="1">
        <f t="array" ref="C251">_xlfn.IFS(E251=$AB$42,$AF$42,E251=$AB$43,$AF$43,E251=$AB$44,$AF$44,E251=$AB$45,$AF$45,E251=$AB$46,$AF$46,E251=$AB$47,$AF$47,E251=$AB$48,$AF$48,E251=$AB$49,$AF$49,E251=$AB$50,$AF$50,E251=$AB$51,$AF$51,E251=$AB$52,$AF$52,E251=$AB$53,$AF$53,E251=$AB$54,$AF$54,E251=$AB$55,$AF$55,E251=$AB$56,$AF$56,E251=$AB$57,$AF$57,E251=$AB$58,$AF$58,E251=$AB$59,$AF$59,E251=$AB$60,$AF$60,E251=$AB$61,$AF$61,E251=$AB$62,$AF$62,E251=$AB$63,$AF$63,E251=$AB$64,$AF$64,E251=$AB$65,$AF$65,E251=$AB$66,$AF$66,TRUE,"0")</f>
        <v>if 0-0, BACK+ 0.5 GOALS  @ 1.15+odds.  or @ 40 mins</v>
      </c>
      <c r="D251" s="270" t="str" cm="1">
        <f t="array" ref="D251">_xlfn.IFS(E251=$AB$42,$AD$42,E251=$AB$43,$AD$43,E251=$AB$44,$AD$44,E251=$AB$45,$AD$45,E251=$AB$46,$AD$46,E251=$AB$47,$AD$47,E251=$AB$48,$AD$48,E251=$AB$49,$AD$49,E251=$AB$50,$AD$50,E251=$AB$51,$AD$51,E251=$AB$52,$AD$52,E251=$AB$53,$AD$53,E251=$AB$54,$AD$54,E251=$AB$55,$AD$55,E251=$AB$56,$AD$56,E251=$AB$57,$AD$57,E251=$AB$58,$AD$58,E251=$AB$59,$AD$59,E251=$AB$60,$AD$60,E251=$AB$61,$AD$61,E251=$AB$62,$AD$62,E251=$AB$63,$AD$63,E251=$AB$64,$AD$64,E251=$AB$65,$AD$65,E251=$AB$66,$AD$66,TRUE,"0")</f>
        <v>IP</v>
      </c>
      <c r="E251" s="163" t="s">
        <v>270</v>
      </c>
      <c r="F251" s="2" t="s">
        <v>6</v>
      </c>
      <c r="G251" s="2" t="s">
        <v>62</v>
      </c>
      <c r="H251" s="3">
        <v>45332.625</v>
      </c>
      <c r="I251" s="2" t="s">
        <v>86</v>
      </c>
      <c r="J251" s="2" t="s">
        <v>85</v>
      </c>
      <c r="K251" s="2">
        <v>65</v>
      </c>
      <c r="L251" s="2">
        <v>0</v>
      </c>
      <c r="M251" s="2">
        <v>20</v>
      </c>
      <c r="N251" s="2">
        <v>2.69</v>
      </c>
      <c r="O251" s="2"/>
      <c r="P251" s="2"/>
      <c r="Q251" s="2" t="s">
        <v>95</v>
      </c>
      <c r="R251" s="14" t="s">
        <v>217</v>
      </c>
      <c r="S251" s="13" t="s">
        <v>211</v>
      </c>
      <c r="T251" s="188">
        <f t="shared" si="23"/>
        <v>127.39864009333775</v>
      </c>
      <c r="U251" s="8">
        <f t="shared" si="30"/>
        <v>22.931755216800795</v>
      </c>
      <c r="V251" s="234">
        <f t="shared" si="31"/>
        <v>2570.9045570835556</v>
      </c>
      <c r="W251" s="15">
        <v>25</v>
      </c>
      <c r="X251" s="8">
        <f t="shared" si="24"/>
        <v>4.5</v>
      </c>
      <c r="Y251" s="233">
        <f t="shared" si="25"/>
        <v>1330</v>
      </c>
    </row>
    <row r="252" spans="1:25">
      <c r="A252" s="156" t="e" cm="1">
        <f t="array" aca="1" ref="A252" ca="1">_xlfn.IFS(E252=$AB$42,$AC$42,E252=$AB$43,$AC$43,E252=$AB$44,$AC$44,E252=$AB$45,$AC$45,E252=$AB$46,$AC$46,E252=$AB$47,$AC$47,E252=$AB$48,$AC$48,E252=$AB$49,$AC$49,E252=$AB$50,$AC$50,E252=$AB$51,$AC$51,E252=$AB$52,$AC$52,E252=$AB$53,$AC$53,E252=$AB$54,$AC$54,E252=$AB$55,$AC$55,E252=$AB$56,$AC$56,E252=$AB$57,$AC$57,E252=$AB$58,$AC$58,E252=$AB$59,$AC$59,E252=$AB$60,$AC$60,E252=$AB$61,$AC$61,E252=$AB$62,$AC$62,E252=$AB$63,$AC$63,E252=$AB$64,$AC$64,E252=$AB$65,$AC$65,E252=$AB$66,$AC$66,TRUE,"0")</f>
        <v>#NAME?</v>
      </c>
      <c r="C252" s="161" t="str" cm="1">
        <f t="array" ref="C252">_xlfn.IFS(E252=$AB$42,$AF$42,E252=$AB$43,$AF$43,E252=$AB$44,$AF$44,E252=$AB$45,$AF$45,E252=$AB$46,$AF$46,E252=$AB$47,$AF$47,E252=$AB$48,$AF$48,E252=$AB$49,$AF$49,E252=$AB$50,$AF$50,E252=$AB$51,$AF$51,E252=$AB$52,$AF$52,E252=$AB$53,$AF$53,E252=$AB$54,$AF$54,E252=$AB$55,$AF$55,E252=$AB$56,$AF$56,E252=$AB$57,$AF$57,E252=$AB$58,$AF$58,E252=$AB$59,$AF$59,E252=$AB$60,$AF$60,E252=$AB$61,$AF$61,E252=$AB$62,$AF$62,E252=$AB$63,$AF$63,E252=$AB$64,$AF$64,E252=$AB$65,$AF$65,E252=$AB$66,$AF$66,TRUE,"0")</f>
        <v>if 0-0, BACK+ 0.5 GOALS  @ 1.15+odds.  or @ 40 mins</v>
      </c>
      <c r="D252" s="270" t="str" cm="1">
        <f t="array" ref="D252">_xlfn.IFS(E252=$AB$42,$AD$42,E252=$AB$43,$AD$43,E252=$AB$44,$AD$44,E252=$AB$45,$AD$45,E252=$AB$46,$AD$46,E252=$AB$47,$AD$47,E252=$AB$48,$AD$48,E252=$AB$49,$AD$49,E252=$AB$50,$AD$50,E252=$AB$51,$AD$51,E252=$AB$52,$AD$52,E252=$AB$53,$AD$53,E252=$AB$54,$AD$54,E252=$AB$55,$AD$55,E252=$AB$56,$AD$56,E252=$AB$57,$AD$57,E252=$AB$58,$AD$58,E252=$AB$59,$AD$59,E252=$AB$60,$AD$60,E252=$AB$61,$AD$61,E252=$AB$62,$AD$62,E252=$AB$63,$AD$63,E252=$AB$64,$AD$64,E252=$AB$65,$AD$65,E252=$AB$66,$AD$66,TRUE,"0")</f>
        <v>IP</v>
      </c>
      <c r="E252" s="163" t="s">
        <v>270</v>
      </c>
      <c r="F252" s="2" t="s">
        <v>6</v>
      </c>
      <c r="G252" s="2" t="s">
        <v>7</v>
      </c>
      <c r="H252" s="3">
        <v>45332.625</v>
      </c>
      <c r="I252" s="2" t="s">
        <v>54</v>
      </c>
      <c r="J252" s="2" t="s">
        <v>420</v>
      </c>
      <c r="K252" s="2">
        <v>62</v>
      </c>
      <c r="L252" s="2">
        <v>0</v>
      </c>
      <c r="M252" s="2">
        <v>20</v>
      </c>
      <c r="N252" s="2">
        <v>2.3199999999999998</v>
      </c>
      <c r="O252" s="2"/>
      <c r="P252" s="2"/>
      <c r="Q252" s="2" t="s">
        <v>95</v>
      </c>
      <c r="R252" s="14" t="s">
        <v>193</v>
      </c>
      <c r="S252" s="13" t="s">
        <v>222</v>
      </c>
      <c r="T252" s="188">
        <f t="shared" si="23"/>
        <v>128.5452278541778</v>
      </c>
      <c r="U252" s="8">
        <f t="shared" si="30"/>
        <v>23.138141013752001</v>
      </c>
      <c r="V252" s="234">
        <f t="shared" si="31"/>
        <v>2594.0426980973075</v>
      </c>
      <c r="W252" s="15">
        <v>25</v>
      </c>
      <c r="X252" s="8">
        <f t="shared" si="24"/>
        <v>4.5</v>
      </c>
      <c r="Y252" s="233">
        <f t="shared" si="25"/>
        <v>1334.5</v>
      </c>
    </row>
    <row r="253" spans="1:25">
      <c r="A253" s="156" t="e" cm="1">
        <f t="array" aca="1" ref="A253" ca="1">_xlfn.IFS(E253=$AB$42,$AC$42,E253=$AB$43,$AC$43,E253=$AB$44,$AC$44,E253=$AB$45,$AC$45,E253=$AB$46,$AC$46,E253=$AB$47,$AC$47,E253=$AB$48,$AC$48,E253=$AB$49,$AC$49,E253=$AB$50,$AC$50,E253=$AB$51,$AC$51,E253=$AB$52,$AC$52,E253=$AB$53,$AC$53,E253=$AB$54,$AC$54,E253=$AB$55,$AC$55,E253=$AB$56,$AC$56,E253=$AB$57,$AC$57,E253=$AB$58,$AC$58,E253=$AB$59,$AC$59,E253=$AB$60,$AC$60,E253=$AB$61,$AC$61,E253=$AB$62,$AC$62,E253=$AB$63,$AC$63,E253=$AB$64,$AC$64,E253=$AB$65,$AC$65,E253=$AB$66,$AC$66,TRUE,"0")</f>
        <v>#NAME?</v>
      </c>
      <c r="C253" s="161" t="str" cm="1">
        <f t="array" ref="C253">_xlfn.IFS(E253=$AB$42,$AF$42,E253=$AB$43,$AF$43,E253=$AB$44,$AF$44,E253=$AB$45,$AF$45,E253=$AB$46,$AF$46,E253=$AB$47,$AF$47,E253=$AB$48,$AF$48,E253=$AB$49,$AF$49,E253=$AB$50,$AF$50,E253=$AB$51,$AF$51,E253=$AB$52,$AF$52,E253=$AB$53,$AF$53,E253=$AB$54,$AF$54,E253=$AB$55,$AF$55,E253=$AB$56,$AF$56,E253=$AB$57,$AF$57,E253=$AB$58,$AF$58,E253=$AB$59,$AF$59,E253=$AB$60,$AF$60,E253=$AB$61,$AF$61,E253=$AB$62,$AF$62,E253=$AB$63,$AF$63,E253=$AB$64,$AF$64,E253=$AB$65,$AF$65,E253=$AB$66,$AF$66,TRUE,"0")</f>
        <v>if 0-0, BACK+ 0.5 GOALS  @ 1.15+odds.  or @ 40 mins</v>
      </c>
      <c r="D253" s="270" t="str" cm="1">
        <f t="array" ref="D253">_xlfn.IFS(E253=$AB$42,$AD$42,E253=$AB$43,$AD$43,E253=$AB$44,$AD$44,E253=$AB$45,$AD$45,E253=$AB$46,$AD$46,E253=$AB$47,$AD$47,E253=$AB$48,$AD$48,E253=$AB$49,$AD$49,E253=$AB$50,$AD$50,E253=$AB$51,$AD$51,E253=$AB$52,$AD$52,E253=$AB$53,$AD$53,E253=$AB$54,$AD$54,E253=$AB$55,$AD$55,E253=$AB$56,$AD$56,E253=$AB$57,$AD$57,E253=$AB$58,$AD$58,E253=$AB$59,$AD$59,E253=$AB$60,$AD$60,E253=$AB$61,$AD$61,E253=$AB$62,$AD$62,E253=$AB$63,$AD$63,E253=$AB$64,$AD$64,E253=$AB$65,$AD$65,E253=$AB$66,$AD$66,TRUE,"0")</f>
        <v>IP</v>
      </c>
      <c r="E253" s="163" t="s">
        <v>270</v>
      </c>
      <c r="F253" s="2" t="s">
        <v>6</v>
      </c>
      <c r="G253" s="2" t="s">
        <v>7</v>
      </c>
      <c r="H253" s="3">
        <v>45332.625</v>
      </c>
      <c r="I253" s="2" t="s">
        <v>9</v>
      </c>
      <c r="J253" s="2" t="s">
        <v>84</v>
      </c>
      <c r="K253" s="2">
        <v>65</v>
      </c>
      <c r="L253" s="2">
        <v>0</v>
      </c>
      <c r="M253" s="2">
        <v>20</v>
      </c>
      <c r="N253" s="2">
        <v>2.12</v>
      </c>
      <c r="O253" s="2"/>
      <c r="P253" s="2"/>
      <c r="Q253" s="2" t="s">
        <v>95</v>
      </c>
      <c r="R253" s="14" t="s">
        <v>214</v>
      </c>
      <c r="S253" s="13" t="s">
        <v>214</v>
      </c>
      <c r="T253" s="188">
        <f t="shared" si="23"/>
        <v>129.70213490486537</v>
      </c>
      <c r="U253" s="8">
        <f t="shared" si="30"/>
        <v>23.346384282875768</v>
      </c>
      <c r="V253" s="234">
        <f t="shared" ref="V253:V264" si="32">SUM(V252,U253)</f>
        <v>2617.3890823801835</v>
      </c>
      <c r="W253" s="15">
        <v>25</v>
      </c>
      <c r="X253" s="8">
        <f t="shared" si="24"/>
        <v>4.5</v>
      </c>
      <c r="Y253" s="233">
        <f t="shared" si="25"/>
        <v>1339</v>
      </c>
    </row>
    <row r="254" spans="1:25">
      <c r="A254" s="156" t="e" cm="1">
        <f t="array" aca="1" ref="A254" ca="1">_xlfn.IFS(E254=$AB$42,$AC$42,E254=$AB$43,$AC$43,E254=$AB$44,$AC$44,E254=$AB$45,$AC$45,E254=$AB$46,$AC$46,E254=$AB$47,$AC$47,E254=$AB$48,$AC$48,E254=$AB$49,$AC$49,E254=$AB$50,$AC$50,E254=$AB$51,$AC$51,E254=$AB$52,$AC$52,E254=$AB$53,$AC$53,E254=$AB$54,$AC$54,E254=$AB$55,$AC$55,E254=$AB$56,$AC$56,E254=$AB$57,$AC$57,E254=$AB$58,$AC$58,E254=$AB$59,$AC$59,E254=$AB$60,$AC$60,E254=$AB$61,$AC$61,E254=$AB$62,$AC$62,E254=$AB$63,$AC$63,E254=$AB$64,$AC$64,E254=$AB$65,$AC$65,E254=$AB$66,$AC$66,TRUE,"0")</f>
        <v>#NAME?</v>
      </c>
      <c r="C254" s="161" t="str" cm="1">
        <f t="array" ref="C254">_xlfn.IFS(E254=$AB$42,$AF$42,E254=$AB$43,$AF$43,E254=$AB$44,$AF$44,E254=$AB$45,$AF$45,E254=$AB$46,$AF$46,E254=$AB$47,$AF$47,E254=$AB$48,$AF$48,E254=$AB$49,$AF$49,E254=$AB$50,$AF$50,E254=$AB$51,$AF$51,E254=$AB$52,$AF$52,E254=$AB$53,$AF$53,E254=$AB$54,$AF$54,E254=$AB$55,$AF$55,E254=$AB$56,$AF$56,E254=$AB$57,$AF$57,E254=$AB$58,$AF$58,E254=$AB$59,$AF$59,E254=$AB$60,$AF$60,E254=$AB$61,$AF$61,E254=$AB$62,$AF$62,E254=$AB$63,$AF$63,E254=$AB$64,$AF$64,E254=$AB$65,$AF$65,E254=$AB$66,$AF$66,TRUE,"0")</f>
        <v>B4 match BACK FT +1.5 goals. X AFTER  GOAL</v>
      </c>
      <c r="D254" s="270" t="str" cm="1">
        <f t="array" ref="D254">_xlfn.IFS(E254=$AB$42,$AD$42,E254=$AB$43,$AD$43,E254=$AB$44,$AD$44,E254=$AB$45,$AD$45,E254=$AB$46,$AD$46,E254=$AB$47,$AD$47,E254=$AB$48,$AD$48,E254=$AB$49,$AD$49,E254=$AB$50,$AD$50,E254=$AB$51,$AD$51,E254=$AB$52,$AD$52,E254=$AB$53,$AD$53,E254=$AB$54,$AD$54,E254=$AB$55,$AD$55,E254=$AB$56,$AD$56,E254=$AB$57,$AD$57,E254=$AB$58,$AD$58,E254=$AB$59,$AD$59,E254=$AB$60,$AD$60,E254=$AB$61,$AD$61,E254=$AB$62,$AD$62,E254=$AB$63,$AD$63,E254=$AB$64,$AD$64,E254=$AB$65,$AD$65,E254=$AB$66,$AD$66,TRUE,"0")</f>
        <v xml:space="preserve">BFM </v>
      </c>
      <c r="E254" s="163" t="s">
        <v>406</v>
      </c>
      <c r="F254" s="2" t="s">
        <v>6</v>
      </c>
      <c r="G254" s="2" t="s">
        <v>14</v>
      </c>
      <c r="H254" s="3">
        <v>45332.625</v>
      </c>
      <c r="I254" s="2" t="s">
        <v>56</v>
      </c>
      <c r="J254" s="2" t="s">
        <v>421</v>
      </c>
      <c r="K254" s="2">
        <v>1.28</v>
      </c>
      <c r="L254" s="2">
        <v>13</v>
      </c>
      <c r="M254" s="2">
        <v>2.8</v>
      </c>
      <c r="N254" s="2">
        <v>4.2</v>
      </c>
      <c r="O254" s="2">
        <v>2.38</v>
      </c>
      <c r="P254" s="2"/>
      <c r="Q254" s="2" t="s">
        <v>95</v>
      </c>
      <c r="R254" s="14" t="s">
        <v>217</v>
      </c>
      <c r="S254" s="13" t="s">
        <v>219</v>
      </c>
      <c r="T254" s="188">
        <f t="shared" si="23"/>
        <v>130.86945411900919</v>
      </c>
      <c r="U254" s="8">
        <f t="shared" si="30"/>
        <v>23.556501741421652</v>
      </c>
      <c r="V254" s="234">
        <f t="shared" si="32"/>
        <v>2640.945584121605</v>
      </c>
      <c r="W254" s="15">
        <v>25</v>
      </c>
      <c r="X254" s="8">
        <f t="shared" si="24"/>
        <v>4.5</v>
      </c>
      <c r="Y254" s="233">
        <f t="shared" si="25"/>
        <v>1343.5</v>
      </c>
    </row>
    <row r="255" spans="1:25">
      <c r="A255" s="156" t="e" cm="1">
        <f t="array" aca="1" ref="A255" ca="1">_xlfn.IFS(E255=$AB$42,$AC$42,E255=$AB$43,$AC$43,E255=$AB$44,$AC$44,E255=$AB$45,$AC$45,E255=$AB$46,$AC$46,E255=$AB$47,$AC$47,E255=$AB$48,$AC$48,E255=$AB$49,$AC$49,E255=$AB$50,$AC$50,E255=$AB$51,$AC$51,E255=$AB$52,$AC$52,E255=$AB$53,$AC$53,E255=$AB$54,$AC$54,E255=$AB$55,$AC$55,E255=$AB$56,$AC$56,E255=$AB$57,$AC$57,E255=$AB$58,$AC$58,E255=$AB$59,$AC$59,E255=$AB$60,$AC$60,E255=$AB$61,$AC$61,E255=$AB$62,$AC$62,E255=$AB$63,$AC$63,E255=$AB$64,$AC$64,E255=$AB$65,$AC$65,E255=$AB$66,$AC$66,TRUE,"0")</f>
        <v>#NAME?</v>
      </c>
      <c r="C255" s="161" t="str" cm="1">
        <f t="array" ref="C255">_xlfn.IFS(E255=$AB$42,$AF$42,E255=$AB$43,$AF$43,E255=$AB$44,$AF$44,E255=$AB$45,$AF$45,E255=$AB$46,$AF$46,E255=$AB$47,$AF$47,E255=$AB$48,$AF$48,E255=$AB$49,$AF$49,E255=$AB$50,$AF$50,E255=$AB$51,$AF$51,E255=$AB$52,$AF$52,E255=$AB$53,$AF$53,E255=$AB$54,$AF$54,E255=$AB$55,$AF$55,E255=$AB$56,$AF$56,E255=$AB$57,$AF$57,E255=$AB$58,$AF$58,E255=$AB$59,$AF$59,E255=$AB$60,$AF$60,E255=$AB$61,$AF$61,E255=$AB$62,$AF$62,E255=$AB$63,$AF$63,E255=$AB$64,$AF$64,E255=$AB$65,$AF$65,E255=$AB$66,$AF$66,TRUE,"0")</f>
        <v>B4 Match, lay HT 0-0 or BACK H1 +0.5 GOALS</v>
      </c>
      <c r="D255" s="270" t="str" cm="1">
        <f t="array" ref="D255">_xlfn.IFS(E255=$AB$42,$AD$42,E255=$AB$43,$AD$43,E255=$AB$44,$AD$44,E255=$AB$45,$AD$45,E255=$AB$46,$AD$46,E255=$AB$47,$AD$47,E255=$AB$48,$AD$48,E255=$AB$49,$AD$49,E255=$AB$50,$AD$50,E255=$AB$51,$AD$51,E255=$AB$52,$AD$52,E255=$AB$53,$AD$53,E255=$AB$54,$AD$54,E255=$AB$55,$AD$55,E255=$AB$56,$AD$56,E255=$AB$57,$AD$57,E255=$AB$58,$AD$58,E255=$AB$59,$AD$59,E255=$AB$60,$AD$60,E255=$AB$61,$AD$61,E255=$AB$62,$AD$62,E255=$AB$63,$AD$63,E255=$AB$64,$AD$64,E255=$AB$65,$AD$65,E255=$AB$66,$AD$66,TRUE,"0")</f>
        <v xml:space="preserve">BFM </v>
      </c>
      <c r="E255" s="163" t="s">
        <v>432</v>
      </c>
      <c r="F255" s="2" t="s">
        <v>6</v>
      </c>
      <c r="G255" s="2" t="s">
        <v>62</v>
      </c>
      <c r="H255" s="3">
        <v>45332.625</v>
      </c>
      <c r="I255" s="2" t="s">
        <v>116</v>
      </c>
      <c r="J255" s="2" t="s">
        <v>267</v>
      </c>
      <c r="K255" s="2">
        <v>85</v>
      </c>
      <c r="L255" s="2">
        <v>22</v>
      </c>
      <c r="M255" s="2">
        <v>50</v>
      </c>
      <c r="N255" s="2">
        <v>5</v>
      </c>
      <c r="O255" s="2">
        <v>1.55</v>
      </c>
      <c r="P255" s="2">
        <v>20</v>
      </c>
      <c r="Q255" s="2" t="s">
        <v>95</v>
      </c>
      <c r="R255" s="14" t="s">
        <v>193</v>
      </c>
      <c r="S255" s="13" t="s">
        <v>222</v>
      </c>
      <c r="T255" s="188">
        <f t="shared" si="23"/>
        <v>132.04727920608025</v>
      </c>
      <c r="U255" s="8">
        <f t="shared" si="30"/>
        <v>23.768510257094444</v>
      </c>
      <c r="V255" s="234">
        <f t="shared" si="32"/>
        <v>2664.7140943786994</v>
      </c>
      <c r="W255" s="15">
        <v>25</v>
      </c>
      <c r="X255" s="8">
        <f t="shared" si="24"/>
        <v>4.5</v>
      </c>
      <c r="Y255" s="233">
        <f t="shared" si="25"/>
        <v>1348</v>
      </c>
    </row>
    <row r="256" spans="1:25">
      <c r="A256" s="156" t="e" cm="1">
        <f t="array" aca="1" ref="A256" ca="1">_xlfn.IFS(E256=$AB$42,$AC$42,E256=$AB$43,$AC$43,E256=$AB$44,$AC$44,E256=$AB$45,$AC$45,E256=$AB$46,$AC$46,E256=$AB$47,$AC$47,E256=$AB$48,$AC$48,E256=$AB$49,$AC$49,E256=$AB$50,$AC$50,E256=$AB$51,$AC$51,E256=$AB$52,$AC$52,E256=$AB$53,$AC$53,E256=$AB$54,$AC$54,E256=$AB$55,$AC$55,E256=$AB$56,$AC$56,E256=$AB$57,$AC$57,E256=$AB$58,$AC$58,E256=$AB$59,$AC$59,E256=$AB$60,$AC$60,E256=$AB$61,$AC$61,E256=$AB$62,$AC$62,E256=$AB$63,$AC$63,E256=$AB$64,$AC$64,E256=$AB$65,$AC$65,E256=$AB$66,$AC$66,TRUE,"0")</f>
        <v>#NAME?</v>
      </c>
      <c r="C256" s="161" t="str" cm="1">
        <f t="array" ref="C256">_xlfn.IFS(E256=$AB$42,$AF$42,E256=$AB$43,$AF$43,E256=$AB$44,$AF$44,E256=$AB$45,$AF$45,E256=$AB$46,$AF$46,E256=$AB$47,$AF$47,E256=$AB$48,$AF$48,E256=$AB$49,$AF$49,E256=$AB$50,$AF$50,E256=$AB$51,$AF$51,E256=$AB$52,$AF$52,E256=$AB$53,$AF$53,E256=$AB$54,$AF$54,E256=$AB$55,$AF$55,E256=$AB$56,$AF$56,E256=$AB$57,$AF$57,E256=$AB$58,$AF$58,E256=$AB$59,$AF$59,E256=$AB$60,$AF$60,E256=$AB$61,$AF$61,E256=$AB$62,$AF$62,E256=$AB$63,$AF$63,E256=$AB$64,$AF$64,E256=$AB$65,$AF$65,E256=$AB$66,$AF$66,TRUE,"0")</f>
        <v>40 mins Back ANother Goal</v>
      </c>
      <c r="D256" s="270" t="str" cm="1">
        <f t="array" ref="D256">_xlfn.IFS(E256=$AB$42,$AD$42,E256=$AB$43,$AD$43,E256=$AB$44,$AD$44,E256=$AB$45,$AD$45,E256=$AB$46,$AD$46,E256=$AB$47,$AD$47,E256=$AB$48,$AD$48,E256=$AB$49,$AD$49,E256=$AB$50,$AD$50,E256=$AB$51,$AD$51,E256=$AB$52,$AD$52,E256=$AB$53,$AD$53,E256=$AB$54,$AD$54,E256=$AB$55,$AD$55,E256=$AB$56,$AD$56,E256=$AB$57,$AD$57,E256=$AB$58,$AD$58,E256=$AB$59,$AD$59,E256=$AB$60,$AD$60,E256=$AB$61,$AD$61,E256=$AB$62,$AD$62,E256=$AB$63,$AD$63,E256=$AB$64,$AD$64,E256=$AB$65,$AD$65,E256=$AB$66,$AD$66,TRUE,"0")</f>
        <v xml:space="preserve">  BANG</v>
      </c>
      <c r="E256" s="163" t="s">
        <v>10</v>
      </c>
      <c r="F256" s="2" t="s">
        <v>6</v>
      </c>
      <c r="G256" s="2" t="s">
        <v>62</v>
      </c>
      <c r="H256" s="3">
        <v>45332.625</v>
      </c>
      <c r="I256" s="2" t="s">
        <v>64</v>
      </c>
      <c r="J256" s="2" t="s">
        <v>63</v>
      </c>
      <c r="K256" s="2">
        <v>1.85</v>
      </c>
      <c r="L256" s="2">
        <v>85</v>
      </c>
      <c r="M256" s="2">
        <v>65</v>
      </c>
      <c r="N256" s="2">
        <v>20</v>
      </c>
      <c r="O256" s="2">
        <v>62</v>
      </c>
      <c r="P256" s="2">
        <v>20</v>
      </c>
      <c r="Q256" s="2" t="s">
        <v>95</v>
      </c>
      <c r="R256" s="14" t="s">
        <v>193</v>
      </c>
      <c r="S256" s="13" t="s">
        <v>217</v>
      </c>
      <c r="T256" s="188">
        <f t="shared" si="23"/>
        <v>133.23570471893498</v>
      </c>
      <c r="U256" s="8">
        <f t="shared" si="30"/>
        <v>23.982426849408295</v>
      </c>
      <c r="V256" s="234">
        <f t="shared" si="32"/>
        <v>2688.6965212281079</v>
      </c>
      <c r="W256" s="15">
        <v>25</v>
      </c>
      <c r="X256" s="8">
        <f t="shared" si="24"/>
        <v>4.5</v>
      </c>
      <c r="Y256" s="233">
        <f t="shared" si="25"/>
        <v>1352.5</v>
      </c>
    </row>
    <row r="257" spans="1:25">
      <c r="A257" s="156" t="e" cm="1">
        <f t="array" aca="1" ref="A257" ca="1">_xlfn.IFS(E257=$AB$42,$AC$42,E257=$AB$43,$AC$43,E257=$AB$44,$AC$44,E257=$AB$45,$AC$45,E257=$AB$46,$AC$46,E257=$AB$47,$AC$47,E257=$AB$48,$AC$48,E257=$AB$49,$AC$49,E257=$AB$50,$AC$50,E257=$AB$51,$AC$51,E257=$AB$52,$AC$52,E257=$AB$53,$AC$53,E257=$AB$54,$AC$54,E257=$AB$55,$AC$55,E257=$AB$56,$AC$56,E257=$AB$57,$AC$57,E257=$AB$58,$AC$58,E257=$AB$59,$AC$59,E257=$AB$60,$AC$60,E257=$AB$61,$AC$61,E257=$AB$62,$AC$62,E257=$AB$63,$AC$63,E257=$AB$64,$AC$64,E257=$AB$65,$AC$65,E257=$AB$66,$AC$66,TRUE,"0")</f>
        <v>#NAME?</v>
      </c>
      <c r="C257" s="161" t="str" cm="1">
        <f t="array" ref="C257">_xlfn.IFS(E257=$AB$42,$AF$42,E257=$AB$43,$AF$43,E257=$AB$44,$AF$44,E257=$AB$45,$AF$45,E257=$AB$46,$AF$46,E257=$AB$47,$AF$47,E257=$AB$48,$AF$48,E257=$AB$49,$AF$49,E257=$AB$50,$AF$50,E257=$AB$51,$AF$51,E257=$AB$52,$AF$52,E257=$AB$53,$AF$53,E257=$AB$54,$AF$54,E257=$AB$55,$AF$55,E257=$AB$56,$AF$56,E257=$AB$57,$AF$57,E257=$AB$58,$AF$58,E257=$AB$59,$AF$59,E257=$AB$60,$AF$60,E257=$AB$61,$AF$61,E257=$AB$62,$AF$62,E257=$AB$63,$AF$63,E257=$AB$64,$AF$64,E257=$AB$65,$AF$65,E257=$AB$66,$AF$66,TRUE,"0")</f>
        <v>if 0-0, BACK+ 0.5 GOALS  @ 1.15+odds.  or @ 40 mins</v>
      </c>
      <c r="D257" s="270" t="str" cm="1">
        <f t="array" ref="D257">_xlfn.IFS(E257=$AB$42,$AD$42,E257=$AB$43,$AD$43,E257=$AB$44,$AD$44,E257=$AB$45,$AD$45,E257=$AB$46,$AD$46,E257=$AB$47,$AD$47,E257=$AB$48,$AD$48,E257=$AB$49,$AD$49,E257=$AB$50,$AD$50,E257=$AB$51,$AD$51,E257=$AB$52,$AD$52,E257=$AB$53,$AD$53,E257=$AB$54,$AD$54,E257=$AB$55,$AD$55,E257=$AB$56,$AD$56,E257=$AB$57,$AD$57,E257=$AB$58,$AD$58,E257=$AB$59,$AD$59,E257=$AB$60,$AD$60,E257=$AB$61,$AD$61,E257=$AB$62,$AD$62,E257=$AB$63,$AD$63,E257=$AB$64,$AD$64,E257=$AB$65,$AD$65,E257=$AB$66,$AD$66,TRUE,"0")</f>
        <v>IP</v>
      </c>
      <c r="E257" s="163" t="s">
        <v>270</v>
      </c>
      <c r="F257" s="2" t="s">
        <v>6</v>
      </c>
      <c r="G257" s="2" t="s">
        <v>62</v>
      </c>
      <c r="H257" s="3">
        <v>45332.625</v>
      </c>
      <c r="I257" s="2" t="s">
        <v>64</v>
      </c>
      <c r="J257" s="2" t="s">
        <v>63</v>
      </c>
      <c r="K257" s="2">
        <v>63</v>
      </c>
      <c r="L257" s="2">
        <v>0</v>
      </c>
      <c r="M257" s="2">
        <v>20</v>
      </c>
      <c r="N257" s="2">
        <v>2.64</v>
      </c>
      <c r="O257" s="2"/>
      <c r="P257" s="2"/>
      <c r="Q257" s="2" t="s">
        <v>95</v>
      </c>
      <c r="R257" s="14" t="s">
        <v>193</v>
      </c>
      <c r="S257" s="13" t="s">
        <v>217</v>
      </c>
      <c r="T257" s="188">
        <f t="shared" si="23"/>
        <v>134.4348260614054</v>
      </c>
      <c r="U257" s="8">
        <f t="shared" si="30"/>
        <v>24.19826869105297</v>
      </c>
      <c r="V257" s="234">
        <f t="shared" si="32"/>
        <v>2712.8947899191608</v>
      </c>
      <c r="W257" s="15">
        <v>25</v>
      </c>
      <c r="X257" s="8">
        <f t="shared" si="24"/>
        <v>4.5</v>
      </c>
      <c r="Y257" s="233">
        <f t="shared" si="25"/>
        <v>1357</v>
      </c>
    </row>
    <row r="258" spans="1:25">
      <c r="A258" s="156" t="e" cm="1">
        <f t="array" aca="1" ref="A258" ca="1">_xlfn.IFS(E258=$AB$42,$AC$42,E258=$AB$43,$AC$43,E258=$AB$44,$AC$44,E258=$AB$45,$AC$45,E258=$AB$46,$AC$46,E258=$AB$47,$AC$47,E258=$AB$48,$AC$48,E258=$AB$49,$AC$49,E258=$AB$50,$AC$50,E258=$AB$51,$AC$51,E258=$AB$52,$AC$52,E258=$AB$53,$AC$53,E258=$AB$54,$AC$54,E258=$AB$55,$AC$55,E258=$AB$56,$AC$56,E258=$AB$57,$AC$57,E258=$AB$58,$AC$58,E258=$AB$59,$AC$59,E258=$AB$60,$AC$60,E258=$AB$61,$AC$61,E258=$AB$62,$AC$62,E258=$AB$63,$AC$63,E258=$AB$64,$AC$64,E258=$AB$65,$AC$65,E258=$AB$66,$AC$66,TRUE,"0")</f>
        <v>#NAME?</v>
      </c>
      <c r="C258" s="161" t="str" cm="1">
        <f t="array" ref="C258">_xlfn.IFS(E258=$AB$42,$AF$42,E258=$AB$43,$AF$43,E258=$AB$44,$AF$44,E258=$AB$45,$AF$45,E258=$AB$46,$AF$46,E258=$AB$47,$AF$47,E258=$AB$48,$AF$48,E258=$AB$49,$AF$49,E258=$AB$50,$AF$50,E258=$AB$51,$AF$51,E258=$AB$52,$AF$52,E258=$AB$53,$AF$53,E258=$AB$54,$AF$54,E258=$AB$55,$AF$55,E258=$AB$56,$AF$56,E258=$AB$57,$AF$57,E258=$AB$58,$AF$58,E258=$AB$59,$AF$59,E258=$AB$60,$AF$60,E258=$AB$61,$AF$61,E258=$AB$62,$AF$62,E258=$AB$63,$AF$63,E258=$AB$64,$AF$64,E258=$AB$65,$AF$65,E258=$AB$66,$AF$66,TRUE,"0")</f>
        <v>40 mins Back ANother Goal</v>
      </c>
      <c r="D258" s="270" t="str" cm="1">
        <f t="array" ref="D258">_xlfn.IFS(E258=$AB$42,$AD$42,E258=$AB$43,$AD$43,E258=$AB$44,$AD$44,E258=$AB$45,$AD$45,E258=$AB$46,$AD$46,E258=$AB$47,$AD$47,E258=$AB$48,$AD$48,E258=$AB$49,$AD$49,E258=$AB$50,$AD$50,E258=$AB$51,$AD$51,E258=$AB$52,$AD$52,E258=$AB$53,$AD$53,E258=$AB$54,$AD$54,E258=$AB$55,$AD$55,E258=$AB$56,$AD$56,E258=$AB$57,$AD$57,E258=$AB$58,$AD$58,E258=$AB$59,$AD$59,E258=$AB$60,$AD$60,E258=$AB$61,$AD$61,E258=$AB$62,$AD$62,E258=$AB$63,$AD$63,E258=$AB$64,$AD$64,E258=$AB$65,$AD$65,E258=$AB$66,$AD$66,TRUE,"0")</f>
        <v xml:space="preserve">  BANG</v>
      </c>
      <c r="E258" s="163" t="s">
        <v>43</v>
      </c>
      <c r="F258" s="2" t="s">
        <v>6</v>
      </c>
      <c r="G258" s="2" t="s">
        <v>11</v>
      </c>
      <c r="H258" s="3">
        <v>45332.625</v>
      </c>
      <c r="I258" s="2" t="s">
        <v>309</v>
      </c>
      <c r="J258" s="2" t="s">
        <v>12</v>
      </c>
      <c r="K258" s="2">
        <v>67</v>
      </c>
      <c r="L258" s="2">
        <v>65</v>
      </c>
      <c r="M258" s="2">
        <v>61</v>
      </c>
      <c r="N258" s="2">
        <v>1.65</v>
      </c>
      <c r="O258" s="2">
        <v>1.5</v>
      </c>
      <c r="P258" s="2"/>
      <c r="Q258" s="2" t="s">
        <v>95</v>
      </c>
      <c r="R258" s="14" t="s">
        <v>220</v>
      </c>
      <c r="S258" s="13" t="s">
        <v>208</v>
      </c>
      <c r="T258" s="188">
        <f t="shared" si="23"/>
        <v>135.64473949595805</v>
      </c>
      <c r="U258" s="8">
        <f t="shared" si="30"/>
        <v>24.416053109272447</v>
      </c>
      <c r="V258" s="234">
        <f t="shared" si="32"/>
        <v>2737.3108430284333</v>
      </c>
      <c r="W258" s="15">
        <v>25</v>
      </c>
      <c r="X258" s="8">
        <f t="shared" si="24"/>
        <v>4.5</v>
      </c>
      <c r="Y258" s="233">
        <f t="shared" si="25"/>
        <v>1361.5</v>
      </c>
    </row>
    <row r="259" spans="1:25">
      <c r="A259" s="156" t="e" cm="1">
        <f t="array" aca="1" ref="A259" ca="1">_xlfn.IFS(E259=$AB$42,$AC$42,E259=$AB$43,$AC$43,E259=$AB$44,$AC$44,E259=$AB$45,$AC$45,E259=$AB$46,$AC$46,E259=$AB$47,$AC$47,E259=$AB$48,$AC$48,E259=$AB$49,$AC$49,E259=$AB$50,$AC$50,E259=$AB$51,$AC$51,E259=$AB$52,$AC$52,E259=$AB$53,$AC$53,E259=$AB$54,$AC$54,E259=$AB$55,$AC$55,E259=$AB$56,$AC$56,E259=$AB$57,$AC$57,E259=$AB$58,$AC$58,E259=$AB$59,$AC$59,E259=$AB$60,$AC$60,E259=$AB$61,$AC$61,E259=$AB$62,$AC$62,E259=$AB$63,$AC$63,E259=$AB$64,$AC$64,E259=$AB$65,$AC$65,E259=$AB$66,$AC$66,TRUE,"0")</f>
        <v>#NAME?</v>
      </c>
      <c r="C259" s="161" t="str" cm="1">
        <f t="array" ref="C259">_xlfn.IFS(E259=$AB$42,$AF$42,E259=$AB$43,$AF$43,E259=$AB$44,$AF$44,E259=$AB$45,$AF$45,E259=$AB$46,$AF$46,E259=$AB$47,$AF$47,E259=$AB$48,$AF$48,E259=$AB$49,$AF$49,E259=$AB$50,$AF$50,E259=$AB$51,$AF$51,E259=$AB$52,$AF$52,E259=$AB$53,$AF$53,E259=$AB$54,$AF$54,E259=$AB$55,$AF$55,E259=$AB$56,$AF$56,E259=$AB$57,$AF$57,E259=$AB$58,$AF$58,E259=$AB$59,$AF$59,E259=$AB$60,$AF$60,E259=$AB$61,$AF$61,E259=$AB$62,$AF$62,E259=$AB$63,$AF$63,E259=$AB$64,$AF$64,E259=$AB$65,$AF$65,E259=$AB$66,$AF$66,TRUE,"0")</f>
        <v>if 0-0, BACK+ 0.5 GOALS  @ 1.15+odds.  or @ 40 mins</v>
      </c>
      <c r="D259" s="270" t="str" cm="1">
        <f t="array" ref="D259">_xlfn.IFS(E259=$AB$42,$AD$42,E259=$AB$43,$AD$43,E259=$AB$44,$AD$44,E259=$AB$45,$AD$45,E259=$AB$46,$AD$46,E259=$AB$47,$AD$47,E259=$AB$48,$AD$48,E259=$AB$49,$AD$49,E259=$AB$50,$AD$50,E259=$AB$51,$AD$51,E259=$AB$52,$AD$52,E259=$AB$53,$AD$53,E259=$AB$54,$AD$54,E259=$AB$55,$AD$55,E259=$AB$56,$AD$56,E259=$AB$57,$AD$57,E259=$AB$58,$AD$58,E259=$AB$59,$AD$59,E259=$AB$60,$AD$60,E259=$AB$61,$AD$61,E259=$AB$62,$AD$62,E259=$AB$63,$AD$63,E259=$AB$64,$AD$64,E259=$AB$65,$AD$65,E259=$AB$66,$AD$66,TRUE,"0")</f>
        <v>IP</v>
      </c>
      <c r="E259" s="163" t="s">
        <v>270</v>
      </c>
      <c r="F259" s="2" t="s">
        <v>20</v>
      </c>
      <c r="G259" s="2" t="s">
        <v>322</v>
      </c>
      <c r="H259" s="3">
        <v>45332.635416666664</v>
      </c>
      <c r="I259" s="2" t="s">
        <v>333</v>
      </c>
      <c r="J259" s="2" t="s">
        <v>422</v>
      </c>
      <c r="K259" s="2">
        <v>61</v>
      </c>
      <c r="L259" s="2">
        <v>0</v>
      </c>
      <c r="M259" s="2">
        <v>20</v>
      </c>
      <c r="N259" s="2">
        <v>1.84</v>
      </c>
      <c r="O259" s="2"/>
      <c r="P259" s="2"/>
      <c r="Q259" s="2" t="s">
        <v>95</v>
      </c>
      <c r="R259" s="14" t="s">
        <v>223</v>
      </c>
      <c r="S259" s="13" t="s">
        <v>209</v>
      </c>
      <c r="T259" s="188">
        <f t="shared" ref="T259:T322" si="33">SUM(V258*0.05)</f>
        <v>136.86554215142166</v>
      </c>
      <c r="U259" s="8">
        <f t="shared" si="30"/>
        <v>24.635797587255897</v>
      </c>
      <c r="V259" s="234">
        <f t="shared" si="32"/>
        <v>2761.9466406156894</v>
      </c>
      <c r="W259" s="15">
        <v>25</v>
      </c>
      <c r="X259" s="8">
        <f t="shared" ref="X259:X322" si="34">IF(Q259="won",W259*0.18,-W259)</f>
        <v>4.5</v>
      </c>
      <c r="Y259" s="233">
        <f t="shared" ref="Y259:Y322" si="35">SUM(Y258,X259)</f>
        <v>1366</v>
      </c>
    </row>
    <row r="260" spans="1:25">
      <c r="A260" s="156" t="e" cm="1">
        <f t="array" aca="1" ref="A260" ca="1">_xlfn.IFS(E260=$AB$42,$AC$42,E260=$AB$43,$AC$43,E260=$AB$44,$AC$44,E260=$AB$45,$AC$45,E260=$AB$46,$AC$46,E260=$AB$47,$AC$47,E260=$AB$48,$AC$48,E260=$AB$49,$AC$49,E260=$AB$50,$AC$50,E260=$AB$51,$AC$51,E260=$AB$52,$AC$52,E260=$AB$53,$AC$53,E260=$AB$54,$AC$54,E260=$AB$55,$AC$55,E260=$AB$56,$AC$56,E260=$AB$57,$AC$57,E260=$AB$58,$AC$58,E260=$AB$59,$AC$59,E260=$AB$60,$AC$60,E260=$AB$61,$AC$61,E260=$AB$62,$AC$62,E260=$AB$63,$AC$63,E260=$AB$64,$AC$64,E260=$AB$65,$AC$65,E260=$AB$66,$AC$66,TRUE,"0")</f>
        <v>#NAME?</v>
      </c>
      <c r="C260" s="161" t="str" cm="1">
        <f t="array" ref="C260">_xlfn.IFS(E260=$AB$42,$AF$42,E260=$AB$43,$AF$43,E260=$AB$44,$AF$44,E260=$AB$45,$AF$45,E260=$AB$46,$AF$46,E260=$AB$47,$AF$47,E260=$AB$48,$AF$48,E260=$AB$49,$AF$49,E260=$AB$50,$AF$50,E260=$AB$51,$AF$51,E260=$AB$52,$AF$52,E260=$AB$53,$AF$53,E260=$AB$54,$AF$54,E260=$AB$55,$AF$55,E260=$AB$56,$AF$56,E260=$AB$57,$AF$57,E260=$AB$58,$AF$58,E260=$AB$59,$AF$59,E260=$AB$60,$AF$60,E260=$AB$61,$AF$61,E260=$AB$62,$AF$62,E260=$AB$63,$AF$63,E260=$AB$64,$AF$64,E260=$AB$65,$AF$65,E260=$AB$66,$AF$66,TRUE,"0")</f>
        <v>B4 match BACK FT +1.5 goals. X AFTER  GOAL</v>
      </c>
      <c r="D260" s="270" t="str" cm="1">
        <f t="array" ref="D260">_xlfn.IFS(E260=$AB$42,$AD$42,E260=$AB$43,$AD$43,E260=$AB$44,$AD$44,E260=$AB$45,$AD$45,E260=$AB$46,$AD$46,E260=$AB$47,$AD$47,E260=$AB$48,$AD$48,E260=$AB$49,$AD$49,E260=$AB$50,$AD$50,E260=$AB$51,$AD$51,E260=$AB$52,$AD$52,E260=$AB$53,$AD$53,E260=$AB$54,$AD$54,E260=$AB$55,$AD$55,E260=$AB$56,$AD$56,E260=$AB$57,$AD$57,E260=$AB$58,$AD$58,E260=$AB$59,$AD$59,E260=$AB$60,$AD$60,E260=$AB$61,$AD$61,E260=$AB$62,$AD$62,E260=$AB$63,$AD$63,E260=$AB$64,$AD$64,E260=$AB$65,$AD$65,E260=$AB$66,$AD$66,TRUE,"0")</f>
        <v xml:space="preserve">BFM </v>
      </c>
      <c r="E260" s="163" t="s">
        <v>406</v>
      </c>
      <c r="F260" s="2" t="s">
        <v>80</v>
      </c>
      <c r="G260" s="2" t="s">
        <v>81</v>
      </c>
      <c r="H260" s="3">
        <v>45332.666666666664</v>
      </c>
      <c r="I260" s="2" t="s">
        <v>144</v>
      </c>
      <c r="J260" s="2" t="s">
        <v>313</v>
      </c>
      <c r="K260" s="2">
        <v>1.3</v>
      </c>
      <c r="L260" s="2">
        <v>11.5</v>
      </c>
      <c r="M260" s="2">
        <v>2.7</v>
      </c>
      <c r="N260" s="2">
        <v>4</v>
      </c>
      <c r="O260" s="2">
        <v>2.14</v>
      </c>
      <c r="P260" s="2"/>
      <c r="Q260" s="2" t="s">
        <v>95</v>
      </c>
      <c r="R260" s="14" t="s">
        <v>220</v>
      </c>
      <c r="S260" s="13" t="s">
        <v>220</v>
      </c>
      <c r="T260" s="188">
        <f t="shared" si="33"/>
        <v>138.09733203078449</v>
      </c>
      <c r="U260" s="8">
        <f t="shared" si="30"/>
        <v>24.857519765541205</v>
      </c>
      <c r="V260" s="234">
        <f t="shared" si="32"/>
        <v>2786.8041603812308</v>
      </c>
      <c r="W260" s="15">
        <v>25</v>
      </c>
      <c r="X260" s="8">
        <f t="shared" si="34"/>
        <v>4.5</v>
      </c>
      <c r="Y260" s="233">
        <f t="shared" si="35"/>
        <v>1370.5</v>
      </c>
    </row>
    <row r="261" spans="1:25">
      <c r="A261" s="156" t="e" cm="1">
        <f t="array" aca="1" ref="A261" ca="1">_xlfn.IFS(E261=$AB$42,$AC$42,E261=$AB$43,$AC$43,E261=$AB$44,$AC$44,E261=$AB$45,$AC$45,E261=$AB$46,$AC$46,E261=$AB$47,$AC$47,E261=$AB$48,$AC$48,E261=$AB$49,$AC$49,E261=$AB$50,$AC$50,E261=$AB$51,$AC$51,E261=$AB$52,$AC$52,E261=$AB$53,$AC$53,E261=$AB$54,$AC$54,E261=$AB$55,$AC$55,E261=$AB$56,$AC$56,E261=$AB$57,$AC$57,E261=$AB$58,$AC$58,E261=$AB$59,$AC$59,E261=$AB$60,$AC$60,E261=$AB$61,$AC$61,E261=$AB$62,$AC$62,E261=$AB$63,$AC$63,E261=$AB$64,$AC$64,E261=$AB$65,$AC$65,E261=$AB$66,$AC$66,TRUE,"0")</f>
        <v>#NAME?</v>
      </c>
      <c r="C261" s="161" t="str" cm="1">
        <f t="array" ref="C261">_xlfn.IFS(E261=$AB$42,$AF$42,E261=$AB$43,$AF$43,E261=$AB$44,$AF$44,E261=$AB$45,$AF$45,E261=$AB$46,$AF$46,E261=$AB$47,$AF$47,E261=$AB$48,$AF$48,E261=$AB$49,$AF$49,E261=$AB$50,$AF$50,E261=$AB$51,$AF$51,E261=$AB$52,$AF$52,E261=$AB$53,$AF$53,E261=$AB$54,$AF$54,E261=$AB$55,$AF$55,E261=$AB$56,$AF$56,E261=$AB$57,$AF$57,E261=$AB$58,$AF$58,E261=$AB$59,$AF$59,E261=$AB$60,$AF$60,E261=$AB$61,$AF$61,E261=$AB$62,$AF$62,E261=$AB$63,$AF$63,E261=$AB$64,$AF$64,E261=$AB$65,$AF$65,E261=$AB$66,$AF$66,TRUE,"0")</f>
        <v>if 0-0, BACK+ 0.5 GOALS  @ 1.15+odds.  or @ 40 mins</v>
      </c>
      <c r="D261" s="270" t="str" cm="1">
        <f t="array" ref="D261">_xlfn.IFS(E261=$AB$42,$AD$42,E261=$AB$43,$AD$43,E261=$AB$44,$AD$44,E261=$AB$45,$AD$45,E261=$AB$46,$AD$46,E261=$AB$47,$AD$47,E261=$AB$48,$AD$48,E261=$AB$49,$AD$49,E261=$AB$50,$AD$50,E261=$AB$51,$AD$51,E261=$AB$52,$AD$52,E261=$AB$53,$AD$53,E261=$AB$54,$AD$54,E261=$AB$55,$AD$55,E261=$AB$56,$AD$56,E261=$AB$57,$AD$57,E261=$AB$58,$AD$58,E261=$AB$59,$AD$59,E261=$AB$60,$AD$60,E261=$AB$61,$AD$61,E261=$AB$62,$AD$62,E261=$AB$63,$AD$63,E261=$AB$64,$AD$64,E261=$AB$65,$AD$65,E261=$AB$66,$AD$66,TRUE,"0")</f>
        <v>IP</v>
      </c>
      <c r="E261" s="163" t="s">
        <v>270</v>
      </c>
      <c r="F261" s="2" t="s">
        <v>20</v>
      </c>
      <c r="G261" s="2" t="s">
        <v>21</v>
      </c>
      <c r="H261" s="3">
        <v>45332.708333333336</v>
      </c>
      <c r="I261" s="2" t="s">
        <v>380</v>
      </c>
      <c r="J261" s="2" t="s">
        <v>25</v>
      </c>
      <c r="K261" s="2">
        <v>61</v>
      </c>
      <c r="L261" s="2">
        <v>0</v>
      </c>
      <c r="M261" s="2">
        <v>20</v>
      </c>
      <c r="N261" s="2">
        <v>2.4300000000000002</v>
      </c>
      <c r="O261" s="2"/>
      <c r="P261" s="2"/>
      <c r="Q261" s="2" t="s">
        <v>95</v>
      </c>
      <c r="R261" s="14" t="s">
        <v>222</v>
      </c>
      <c r="S261" s="13" t="s">
        <v>365</v>
      </c>
      <c r="T261" s="188">
        <f t="shared" si="33"/>
        <v>139.34020801906155</v>
      </c>
      <c r="U261" s="8">
        <f t="shared" si="30"/>
        <v>25.081237443431078</v>
      </c>
      <c r="V261" s="234">
        <f t="shared" si="32"/>
        <v>2811.885397824662</v>
      </c>
      <c r="W261" s="15">
        <v>25</v>
      </c>
      <c r="X261" s="8">
        <f t="shared" si="34"/>
        <v>4.5</v>
      </c>
      <c r="Y261" s="233">
        <f t="shared" si="35"/>
        <v>1375</v>
      </c>
    </row>
    <row r="262" spans="1:25">
      <c r="A262" s="156" t="e" cm="1">
        <f t="array" aca="1" ref="A262" ca="1">_xlfn.IFS(E262=$AB$42,$AC$42,E262=$AB$43,$AC$43,E262=$AB$44,$AC$44,E262=$AB$45,$AC$45,E262=$AB$46,$AC$46,E262=$AB$47,$AC$47,E262=$AB$48,$AC$48,E262=$AB$49,$AC$49,E262=$AB$50,$AC$50,E262=$AB$51,$AC$51,E262=$AB$52,$AC$52,E262=$AB$53,$AC$53,E262=$AB$54,$AC$54,E262=$AB$55,$AC$55,E262=$AB$56,$AC$56,E262=$AB$57,$AC$57,E262=$AB$58,$AC$58,E262=$AB$59,$AC$59,E262=$AB$60,$AC$60,E262=$AB$61,$AC$61,E262=$AB$62,$AC$62,E262=$AB$63,$AC$63,E262=$AB$64,$AC$64,E262=$AB$65,$AC$65,E262=$AB$66,$AC$66,TRUE,"0")</f>
        <v>#NAME?</v>
      </c>
      <c r="C262" s="161" t="str" cm="1">
        <f t="array" ref="C262">_xlfn.IFS(E262=$AB$42,$AF$42,E262=$AB$43,$AF$43,E262=$AB$44,$AF$44,E262=$AB$45,$AF$45,E262=$AB$46,$AF$46,E262=$AB$47,$AF$47,E262=$AB$48,$AF$48,E262=$AB$49,$AF$49,E262=$AB$50,$AF$50,E262=$AB$51,$AF$51,E262=$AB$52,$AF$52,E262=$AB$53,$AF$53,E262=$AB$54,$AF$54,E262=$AB$55,$AF$55,E262=$AB$56,$AF$56,E262=$AB$57,$AF$57,E262=$AB$58,$AF$58,E262=$AB$59,$AF$59,E262=$AB$60,$AF$60,E262=$AB$61,$AF$61,E262=$AB$62,$AF$62,E262=$AB$63,$AF$63,E262=$AB$64,$AF$64,E262=$AB$65,$AF$65,E262=$AB$66,$AF$66,TRUE,"0")</f>
        <v>if 0-0, BACK+ 0.5 GOALS  @ 1.15+odds.  or @ 40 mins</v>
      </c>
      <c r="D262" s="270" t="str" cm="1">
        <f t="array" ref="D262">_xlfn.IFS(E262=$AB$42,$AD$42,E262=$AB$43,$AD$43,E262=$AB$44,$AD$44,E262=$AB$45,$AD$45,E262=$AB$46,$AD$46,E262=$AB$47,$AD$47,E262=$AB$48,$AD$48,E262=$AB$49,$AD$49,E262=$AB$50,$AD$50,E262=$AB$51,$AD$51,E262=$AB$52,$AD$52,E262=$AB$53,$AD$53,E262=$AB$54,$AD$54,E262=$AB$55,$AD$55,E262=$AB$56,$AD$56,E262=$AB$57,$AD$57,E262=$AB$58,$AD$58,E262=$AB$59,$AD$59,E262=$AB$60,$AD$60,E262=$AB$61,$AD$61,E262=$AB$62,$AD$62,E262=$AB$63,$AD$63,E262=$AB$64,$AD$64,E262=$AB$65,$AD$65,E262=$AB$66,$AD$66,TRUE,"0")</f>
        <v>IP</v>
      </c>
      <c r="E262" s="163" t="s">
        <v>270</v>
      </c>
      <c r="F262" s="2" t="s">
        <v>296</v>
      </c>
      <c r="G262" s="2" t="s">
        <v>78</v>
      </c>
      <c r="H262" s="3">
        <v>45332.708333333336</v>
      </c>
      <c r="I262" s="2" t="s">
        <v>360</v>
      </c>
      <c r="J262" s="2" t="s">
        <v>346</v>
      </c>
      <c r="K262" s="2">
        <v>63</v>
      </c>
      <c r="L262" s="2">
        <v>0</v>
      </c>
      <c r="M262" s="2">
        <v>20</v>
      </c>
      <c r="N262" s="2">
        <v>1.49</v>
      </c>
      <c r="O262" s="2"/>
      <c r="P262" s="2"/>
      <c r="Q262" s="2" t="s">
        <v>95</v>
      </c>
      <c r="R262" s="14" t="s">
        <v>216</v>
      </c>
      <c r="S262" s="13" t="s">
        <v>216</v>
      </c>
      <c r="T262" s="188">
        <f t="shared" si="33"/>
        <v>140.5942698912331</v>
      </c>
      <c r="U262" s="8">
        <f t="shared" si="30"/>
        <v>25.306968580421955</v>
      </c>
      <c r="V262" s="234">
        <f t="shared" si="32"/>
        <v>2837.1923664050842</v>
      </c>
      <c r="W262" s="15">
        <v>25</v>
      </c>
      <c r="X262" s="8">
        <f t="shared" si="34"/>
        <v>4.5</v>
      </c>
      <c r="Y262" s="233">
        <f t="shared" si="35"/>
        <v>1379.5</v>
      </c>
    </row>
    <row r="263" spans="1:25">
      <c r="A263" s="156" t="e" cm="1">
        <f t="array" aca="1" ref="A263" ca="1">_xlfn.IFS(E263=$AB$42,$AC$42,E263=$AB$43,$AC$43,E263=$AB$44,$AC$44,E263=$AB$45,$AC$45,E263=$AB$46,$AC$46,E263=$AB$47,$AC$47,E263=$AB$48,$AC$48,E263=$AB$49,$AC$49,E263=$AB$50,$AC$50,E263=$AB$51,$AC$51,E263=$AB$52,$AC$52,E263=$AB$53,$AC$53,E263=$AB$54,$AC$54,E263=$AB$55,$AC$55,E263=$AB$56,$AC$56,E263=$AB$57,$AC$57,E263=$AB$58,$AC$58,E263=$AB$59,$AC$59,E263=$AB$60,$AC$60,E263=$AB$61,$AC$61,E263=$AB$62,$AC$62,E263=$AB$63,$AC$63,E263=$AB$64,$AC$64,E263=$AB$65,$AC$65,E263=$AB$66,$AC$66,TRUE,"0")</f>
        <v>#NAME?</v>
      </c>
      <c r="C263" s="161" t="str" cm="1">
        <f t="array" ref="C263">_xlfn.IFS(E263=$AB$42,$AF$42,E263=$AB$43,$AF$43,E263=$AB$44,$AF$44,E263=$AB$45,$AF$45,E263=$AB$46,$AF$46,E263=$AB$47,$AF$47,E263=$AB$48,$AF$48,E263=$AB$49,$AF$49,E263=$AB$50,$AF$50,E263=$AB$51,$AF$51,E263=$AB$52,$AF$52,E263=$AB$53,$AF$53,E263=$AB$54,$AF$54,E263=$AB$55,$AF$55,E263=$AB$56,$AF$56,E263=$AB$57,$AF$57,E263=$AB$58,$AF$58,E263=$AB$59,$AF$59,E263=$AB$60,$AF$60,E263=$AB$61,$AF$61,E263=$AB$62,$AF$62,E263=$AB$63,$AF$63,E263=$AB$64,$AF$64,E263=$AB$65,$AF$65,E263=$AB$66,$AF$66,TRUE,"0")</f>
        <v>B4 Match, lay HT 0-0 or BACK H1 +0.5 GOALS</v>
      </c>
      <c r="D263" s="270" t="str" cm="1">
        <f t="array" ref="D263">_xlfn.IFS(E263=$AB$42,$AD$42,E263=$AB$43,$AD$43,E263=$AB$44,$AD$44,E263=$AB$45,$AD$45,E263=$AB$46,$AD$46,E263=$AB$47,$AD$47,E263=$AB$48,$AD$48,E263=$AB$49,$AD$49,E263=$AB$50,$AD$50,E263=$AB$51,$AD$51,E263=$AB$52,$AD$52,E263=$AB$53,$AD$53,E263=$AB$54,$AD$54,E263=$AB$55,$AD$55,E263=$AB$56,$AD$56,E263=$AB$57,$AD$57,E263=$AB$58,$AD$58,E263=$AB$59,$AD$59,E263=$AB$60,$AD$60,E263=$AB$61,$AD$61,E263=$AB$62,$AD$62,E263=$AB$63,$AD$63,E263=$AB$64,$AD$64,E263=$AB$65,$AD$65,E263=$AB$66,$AD$66,TRUE,"0")</f>
        <v xml:space="preserve">BFM </v>
      </c>
      <c r="E263" s="163" t="s">
        <v>432</v>
      </c>
      <c r="F263" s="2" t="s">
        <v>77</v>
      </c>
      <c r="G263" s="2" t="s">
        <v>156</v>
      </c>
      <c r="H263" s="3">
        <v>45332.729166666664</v>
      </c>
      <c r="I263" s="2" t="s">
        <v>325</v>
      </c>
      <c r="J263" s="2" t="s">
        <v>157</v>
      </c>
      <c r="K263" s="2">
        <v>93</v>
      </c>
      <c r="L263" s="2">
        <v>22</v>
      </c>
      <c r="M263" s="2">
        <v>45</v>
      </c>
      <c r="N263" s="2">
        <v>3</v>
      </c>
      <c r="O263" s="2">
        <v>1.7</v>
      </c>
      <c r="P263" s="2">
        <v>40</v>
      </c>
      <c r="Q263" s="2" t="s">
        <v>95</v>
      </c>
      <c r="R263" s="14" t="s">
        <v>214</v>
      </c>
      <c r="S263" s="13" t="s">
        <v>207</v>
      </c>
      <c r="T263" s="188">
        <f t="shared" si="33"/>
        <v>141.85961832025421</v>
      </c>
      <c r="U263" s="8">
        <f t="shared" si="30"/>
        <v>25.534731297645756</v>
      </c>
      <c r="V263" s="234">
        <f t="shared" si="32"/>
        <v>2862.7270977027301</v>
      </c>
      <c r="W263" s="15">
        <v>25</v>
      </c>
      <c r="X263" s="8">
        <f t="shared" si="34"/>
        <v>4.5</v>
      </c>
      <c r="Y263" s="233">
        <f t="shared" si="35"/>
        <v>1384</v>
      </c>
    </row>
    <row r="264" spans="1:25">
      <c r="A264" s="156" t="e" cm="1">
        <f t="array" aca="1" ref="A264" ca="1">_xlfn.IFS(E264=$AB$42,$AC$42,E264=$AB$43,$AC$43,E264=$AB$44,$AC$44,E264=$AB$45,$AC$45,E264=$AB$46,$AC$46,E264=$AB$47,$AC$47,E264=$AB$48,$AC$48,E264=$AB$49,$AC$49,E264=$AB$50,$AC$50,E264=$AB$51,$AC$51,E264=$AB$52,$AC$52,E264=$AB$53,$AC$53,E264=$AB$54,$AC$54,E264=$AB$55,$AC$55,E264=$AB$56,$AC$56,E264=$AB$57,$AC$57,E264=$AB$58,$AC$58,E264=$AB$59,$AC$59,E264=$AB$60,$AC$60,E264=$AB$61,$AC$61,E264=$AB$62,$AC$62,E264=$AB$63,$AC$63,E264=$AB$64,$AC$64,E264=$AB$65,$AC$65,E264=$AB$66,$AC$66,TRUE,"0")</f>
        <v>#NAME?</v>
      </c>
      <c r="C264" s="161" t="str" cm="1">
        <f t="array" ref="C264">_xlfn.IFS(E264=$AB$42,$AF$42,E264=$AB$43,$AF$43,E264=$AB$44,$AF$44,E264=$AB$45,$AF$45,E264=$AB$46,$AF$46,E264=$AB$47,$AF$47,E264=$AB$48,$AF$48,E264=$AB$49,$AF$49,E264=$AB$50,$AF$50,E264=$AB$51,$AF$51,E264=$AB$52,$AF$52,E264=$AB$53,$AF$53,E264=$AB$54,$AF$54,E264=$AB$55,$AF$55,E264=$AB$56,$AF$56,E264=$AB$57,$AF$57,E264=$AB$58,$AF$58,E264=$AB$59,$AF$59,E264=$AB$60,$AF$60,E264=$AB$61,$AF$61,E264=$AB$62,$AF$62,E264=$AB$63,$AF$63,E264=$AB$64,$AF$64,E264=$AB$65,$AF$65,E264=$AB$66,$AF$66,TRUE,"0")</f>
        <v>40 mins Back ANother Goal</v>
      </c>
      <c r="D264" s="270" t="str" cm="1">
        <f t="array" ref="D264">_xlfn.IFS(E264=$AB$42,$AD$42,E264=$AB$43,$AD$43,E264=$AB$44,$AD$44,E264=$AB$45,$AD$45,E264=$AB$46,$AD$46,E264=$AB$47,$AD$47,E264=$AB$48,$AD$48,E264=$AB$49,$AD$49,E264=$AB$50,$AD$50,E264=$AB$51,$AD$51,E264=$AB$52,$AD$52,E264=$AB$53,$AD$53,E264=$AB$54,$AD$54,E264=$AB$55,$AD$55,E264=$AB$56,$AD$56,E264=$AB$57,$AD$57,E264=$AB$58,$AD$58,E264=$AB$59,$AD$59,E264=$AB$60,$AD$60,E264=$AB$61,$AD$61,E264=$AB$62,$AD$62,E264=$AB$63,$AD$63,E264=$AB$64,$AD$64,E264=$AB$65,$AD$65,E264=$AB$66,$AD$66,TRUE,"0")</f>
        <v xml:space="preserve">  BANG</v>
      </c>
      <c r="E264" s="163" t="s">
        <v>35</v>
      </c>
      <c r="F264" s="2" t="s">
        <v>6</v>
      </c>
      <c r="G264" s="2" t="s">
        <v>62</v>
      </c>
      <c r="H264" s="3">
        <v>45332.729166666664</v>
      </c>
      <c r="I264" s="2" t="s">
        <v>264</v>
      </c>
      <c r="J264" s="2" t="s">
        <v>164</v>
      </c>
      <c r="K264" s="2">
        <v>73</v>
      </c>
      <c r="L264" s="2">
        <v>95</v>
      </c>
      <c r="M264" s="2">
        <v>70</v>
      </c>
      <c r="N264" s="2">
        <v>50</v>
      </c>
      <c r="O264" s="2">
        <v>20</v>
      </c>
      <c r="P264" s="2">
        <v>1.73</v>
      </c>
      <c r="Q264" s="2" t="s">
        <v>95</v>
      </c>
      <c r="R264" s="14" t="s">
        <v>210</v>
      </c>
      <c r="S264" s="13" t="s">
        <v>213</v>
      </c>
      <c r="T264" s="188">
        <f t="shared" si="33"/>
        <v>143.13635488513651</v>
      </c>
      <c r="U264" s="8">
        <f t="shared" si="30"/>
        <v>25.76454387932457</v>
      </c>
      <c r="V264" s="234">
        <f t="shared" si="32"/>
        <v>2888.4916415820549</v>
      </c>
      <c r="W264" s="15">
        <v>25</v>
      </c>
      <c r="X264" s="8">
        <f t="shared" si="34"/>
        <v>4.5</v>
      </c>
      <c r="Y264" s="233">
        <f t="shared" si="35"/>
        <v>1388.5</v>
      </c>
    </row>
    <row r="265" spans="1:25">
      <c r="A265" s="156" t="e" cm="1">
        <f t="array" aca="1" ref="A265" ca="1">_xlfn.IFS(E265=$AB$42,$AC$42,E265=$AB$43,$AC$43,E265=$AB$44,$AC$44,E265=$AB$45,$AC$45,E265=$AB$46,$AC$46,E265=$AB$47,$AC$47,E265=$AB$48,$AC$48,E265=$AB$49,$AC$49,E265=$AB$50,$AC$50,E265=$AB$51,$AC$51,E265=$AB$52,$AC$52,E265=$AB$53,$AC$53,E265=$AB$54,$AC$54,E265=$AB$55,$AC$55,E265=$AB$56,$AC$56,E265=$AB$57,$AC$57,E265=$AB$58,$AC$58,E265=$AB$59,$AC$59,E265=$AB$60,$AC$60,E265=$AB$61,$AC$61,E265=$AB$62,$AC$62,E265=$AB$63,$AC$63,E265=$AB$64,$AC$64,E265=$AB$65,$AC$65,E265=$AB$66,$AC$66,TRUE,"0")</f>
        <v>#NAME?</v>
      </c>
      <c r="C265" s="161" t="str" cm="1">
        <f t="array" ref="C265">_xlfn.IFS(E265=$AB$42,$AF$42,E265=$AB$43,$AF$43,E265=$AB$44,$AF$44,E265=$AB$45,$AF$45,E265=$AB$46,$AF$46,E265=$AB$47,$AF$47,E265=$AB$48,$AF$48,E265=$AB$49,$AF$49,E265=$AB$50,$AF$50,E265=$AB$51,$AF$51,E265=$AB$52,$AF$52,E265=$AB$53,$AF$53,E265=$AB$54,$AF$54,E265=$AB$55,$AF$55,E265=$AB$56,$AF$56,E265=$AB$57,$AF$57,E265=$AB$58,$AF$58,E265=$AB$59,$AF$59,E265=$AB$60,$AF$60,E265=$AB$61,$AF$61,E265=$AB$62,$AF$62,E265=$AB$63,$AF$63,E265=$AB$64,$AF$64,E265=$AB$65,$AF$65,E265=$AB$66,$AF$66,TRUE,"0")</f>
        <v>if 0-0, BACK+ 0.5 GOALS  @ 1.15+odds.  or @ 40 mins</v>
      </c>
      <c r="D265" s="270" t="str" cm="1">
        <f t="array" ref="D265">_xlfn.IFS(E265=$AB$42,$AD$42,E265=$AB$43,$AD$43,E265=$AB$44,$AD$44,E265=$AB$45,$AD$45,E265=$AB$46,$AD$46,E265=$AB$47,$AD$47,E265=$AB$48,$AD$48,E265=$AB$49,$AD$49,E265=$AB$50,$AD$50,E265=$AB$51,$AD$51,E265=$AB$52,$AD$52,E265=$AB$53,$AD$53,E265=$AB$54,$AD$54,E265=$AB$55,$AD$55,E265=$AB$56,$AD$56,E265=$AB$57,$AD$57,E265=$AB$58,$AD$58,E265=$AB$59,$AD$59,E265=$AB$60,$AD$60,E265=$AB$61,$AD$61,E265=$AB$62,$AD$62,E265=$AB$63,$AD$63,E265=$AB$64,$AD$64,E265=$AB$65,$AD$65,E265=$AB$66,$AD$66,TRUE,"0")</f>
        <v>IP</v>
      </c>
      <c r="E265" s="163" t="s">
        <v>270</v>
      </c>
      <c r="F265" s="2" t="s">
        <v>6</v>
      </c>
      <c r="G265" s="2" t="s">
        <v>62</v>
      </c>
      <c r="H265" s="3">
        <v>45332.729166666664</v>
      </c>
      <c r="I265" s="2" t="s">
        <v>264</v>
      </c>
      <c r="J265" s="2" t="s">
        <v>164</v>
      </c>
      <c r="K265" s="2">
        <v>73</v>
      </c>
      <c r="L265" s="2">
        <v>0</v>
      </c>
      <c r="M265" s="2">
        <v>20</v>
      </c>
      <c r="N265" s="2">
        <v>3.09</v>
      </c>
      <c r="O265" s="2"/>
      <c r="P265" s="2"/>
      <c r="Q265" s="2" t="s">
        <v>95</v>
      </c>
      <c r="R265" s="14" t="s">
        <v>210</v>
      </c>
      <c r="S265" s="13" t="s">
        <v>213</v>
      </c>
      <c r="T265" s="188">
        <f t="shared" si="33"/>
        <v>144.42458207910275</v>
      </c>
      <c r="U265" s="8">
        <f t="shared" si="30"/>
        <v>25.996424774238495</v>
      </c>
      <c r="V265" s="234">
        <f>SUM(V264,U265)</f>
        <v>2914.4880663562935</v>
      </c>
      <c r="W265" s="15">
        <v>25</v>
      </c>
      <c r="X265" s="8">
        <f t="shared" si="34"/>
        <v>4.5</v>
      </c>
      <c r="Y265" s="233">
        <f t="shared" si="35"/>
        <v>1393</v>
      </c>
    </row>
    <row r="266" spans="1:25">
      <c r="A266" s="156" t="e" cm="1">
        <f t="array" aca="1" ref="A266" ca="1">_xlfn.IFS(E266=$AB$42,$AC$42,E266=$AB$43,$AC$43,E266=$AB$44,$AC$44,E266=$AB$45,$AC$45,E266=$AB$46,$AC$46,E266=$AB$47,$AC$47,E266=$AB$48,$AC$48,E266=$AB$49,$AC$49,E266=$AB$50,$AC$50,E266=$AB$51,$AC$51,E266=$AB$52,$AC$52,E266=$AB$53,$AC$53,E266=$AB$54,$AC$54,E266=$AB$55,$AC$55,E266=$AB$56,$AC$56,E266=$AB$57,$AC$57,E266=$AB$58,$AC$58,E266=$AB$59,$AC$59,E266=$AB$60,$AC$60,E266=$AB$61,$AC$61,E266=$AB$62,$AC$62,E266=$AB$63,$AC$63,E266=$AB$64,$AC$64,E266=$AB$65,$AC$65,E266=$AB$66,$AC$66,TRUE,"0")</f>
        <v>#NAME?</v>
      </c>
      <c r="C266" s="161" t="str" cm="1">
        <f t="array" ref="C266">_xlfn.IFS(E266=$AB$42,$AF$42,E266=$AB$43,$AF$43,E266=$AB$44,$AF$44,E266=$AB$45,$AF$45,E266=$AB$46,$AF$46,E266=$AB$47,$AF$47,E266=$AB$48,$AF$48,E266=$AB$49,$AF$49,E266=$AB$50,$AF$50,E266=$AB$51,$AF$51,E266=$AB$52,$AF$52,E266=$AB$53,$AF$53,E266=$AB$54,$AF$54,E266=$AB$55,$AF$55,E266=$AB$56,$AF$56,E266=$AB$57,$AF$57,E266=$AB$58,$AF$58,E266=$AB$59,$AF$59,E266=$AB$60,$AF$60,E266=$AB$61,$AF$61,E266=$AB$62,$AF$62,E266=$AB$63,$AF$63,E266=$AB$64,$AF$64,E266=$AB$65,$AF$65,E266=$AB$66,$AF$66,TRUE,"0")</f>
        <v>B4 Match, lay HT 0-0 or BACK H1 +0.5 GOALS</v>
      </c>
      <c r="D266" s="270" t="str" cm="1">
        <f t="array" ref="D266">_xlfn.IFS(E266=$AB$42,$AD$42,E266=$AB$43,$AD$43,E266=$AB$44,$AD$44,E266=$AB$45,$AD$45,E266=$AB$46,$AD$46,E266=$AB$47,$AD$47,E266=$AB$48,$AD$48,E266=$AB$49,$AD$49,E266=$AB$50,$AD$50,E266=$AB$51,$AD$51,E266=$AB$52,$AD$52,E266=$AB$53,$AD$53,E266=$AB$54,$AD$54,E266=$AB$55,$AD$55,E266=$AB$56,$AD$56,E266=$AB$57,$AD$57,E266=$AB$58,$AD$58,E266=$AB$59,$AD$59,E266=$AB$60,$AD$60,E266=$AB$61,$AD$61,E266=$AB$62,$AD$62,E266=$AB$63,$AD$63,E266=$AB$64,$AD$64,E266=$AB$65,$AD$65,E266=$AB$66,$AD$66,TRUE,"0")</f>
        <v xml:space="preserve">BFM </v>
      </c>
      <c r="E266" s="163" t="s">
        <v>432</v>
      </c>
      <c r="F266" s="2" t="s">
        <v>133</v>
      </c>
      <c r="G266" s="2" t="s">
        <v>78</v>
      </c>
      <c r="H266" s="3">
        <v>45332.729166666664</v>
      </c>
      <c r="I266" s="2" t="s">
        <v>423</v>
      </c>
      <c r="J266" s="2" t="s">
        <v>135</v>
      </c>
      <c r="K266" s="2">
        <v>95</v>
      </c>
      <c r="L266" s="2">
        <v>22</v>
      </c>
      <c r="M266" s="2">
        <v>40</v>
      </c>
      <c r="N266" s="2">
        <v>5</v>
      </c>
      <c r="O266" s="2">
        <v>1.55</v>
      </c>
      <c r="P266" s="2">
        <v>20</v>
      </c>
      <c r="Q266" s="2" t="s">
        <v>95</v>
      </c>
      <c r="R266" s="14" t="s">
        <v>214</v>
      </c>
      <c r="S266" s="13" t="s">
        <v>214</v>
      </c>
      <c r="T266" s="188">
        <f t="shared" si="33"/>
        <v>145.72440331781468</v>
      </c>
      <c r="U266" s="8">
        <f t="shared" si="30"/>
        <v>26.230392597206642</v>
      </c>
      <c r="V266" s="234">
        <f>SUM(V265,U266)</f>
        <v>2940.7184589535</v>
      </c>
      <c r="W266" s="15">
        <v>25</v>
      </c>
      <c r="X266" s="8">
        <f t="shared" si="34"/>
        <v>4.5</v>
      </c>
      <c r="Y266" s="233">
        <f t="shared" si="35"/>
        <v>1397.5</v>
      </c>
    </row>
    <row r="267" spans="1:25">
      <c r="A267" s="156" t="e" cm="1">
        <f t="array" aca="1" ref="A267" ca="1">_xlfn.IFS(E267=$AB$42,$AC$42,E267=$AB$43,$AC$43,E267=$AB$44,$AC$44,E267=$AB$45,$AC$45,E267=$AB$46,$AC$46,E267=$AB$47,$AC$47,E267=$AB$48,$AC$48,E267=$AB$49,$AC$49,E267=$AB$50,$AC$50,E267=$AB$51,$AC$51,E267=$AB$52,$AC$52,E267=$AB$53,$AC$53,E267=$AB$54,$AC$54,E267=$AB$55,$AC$55,E267=$AB$56,$AC$56,E267=$AB$57,$AC$57,E267=$AB$58,$AC$58,E267=$AB$59,$AC$59,E267=$AB$60,$AC$60,E267=$AB$61,$AC$61,E267=$AB$62,$AC$62,E267=$AB$63,$AC$63,E267=$AB$64,$AC$64,E267=$AB$65,$AC$65,E267=$AB$66,$AC$66,TRUE,"0")</f>
        <v>#NAME?</v>
      </c>
      <c r="C267" s="161" t="str" cm="1">
        <f t="array" ref="C267">_xlfn.IFS(E267=$AB$42,$AF$42,E267=$AB$43,$AF$43,E267=$AB$44,$AF$44,E267=$AB$45,$AF$45,E267=$AB$46,$AF$46,E267=$AB$47,$AF$47,E267=$AB$48,$AF$48,E267=$AB$49,$AF$49,E267=$AB$50,$AF$50,E267=$AB$51,$AF$51,E267=$AB$52,$AF$52,E267=$AB$53,$AF$53,E267=$AB$54,$AF$54,E267=$AB$55,$AF$55,E267=$AB$56,$AF$56,E267=$AB$57,$AF$57,E267=$AB$58,$AF$58,E267=$AB$59,$AF$59,E267=$AB$60,$AF$60,E267=$AB$61,$AF$61,E267=$AB$62,$AF$62,E267=$AB$63,$AF$63,E267=$AB$64,$AF$64,E267=$AB$65,$AF$65,E267=$AB$66,$AF$66,TRUE,"0")</f>
        <v>if 0-0, BACK+ 0.5 GOALS  @ 1.15+odds.  or @ 40 mins</v>
      </c>
      <c r="D267" s="270" t="str" cm="1">
        <f t="array" ref="D267">_xlfn.IFS(E267=$AB$42,$AD$42,E267=$AB$43,$AD$43,E267=$AB$44,$AD$44,E267=$AB$45,$AD$45,E267=$AB$46,$AD$46,E267=$AB$47,$AD$47,E267=$AB$48,$AD$48,E267=$AB$49,$AD$49,E267=$AB$50,$AD$50,E267=$AB$51,$AD$51,E267=$AB$52,$AD$52,E267=$AB$53,$AD$53,E267=$AB$54,$AD$54,E267=$AB$55,$AD$55,E267=$AB$56,$AD$56,E267=$AB$57,$AD$57,E267=$AB$58,$AD$58,E267=$AB$59,$AD$59,E267=$AB$60,$AD$60,E267=$AB$61,$AD$61,E267=$AB$62,$AD$62,E267=$AB$63,$AD$63,E267=$AB$64,$AD$64,E267=$AB$65,$AD$65,E267=$AB$66,$AD$66,TRUE,"0")</f>
        <v>IP</v>
      </c>
      <c r="E267" s="163" t="s">
        <v>270</v>
      </c>
      <c r="F267" s="2" t="s">
        <v>67</v>
      </c>
      <c r="G267" s="33" t="s">
        <v>169</v>
      </c>
      <c r="H267" s="3">
        <v>45332.791666666664</v>
      </c>
      <c r="I267" s="2" t="s">
        <v>373</v>
      </c>
      <c r="J267" s="2" t="s">
        <v>204</v>
      </c>
      <c r="K267" s="2">
        <v>60</v>
      </c>
      <c r="L267" s="2">
        <v>0</v>
      </c>
      <c r="M267" s="2">
        <v>20</v>
      </c>
      <c r="N267" s="2">
        <v>1.1499999999999999</v>
      </c>
      <c r="O267" s="2"/>
      <c r="P267" s="2"/>
      <c r="Q267" s="2" t="s">
        <v>95</v>
      </c>
      <c r="R267" s="14" t="s">
        <v>217</v>
      </c>
      <c r="S267" s="13" t="s">
        <v>218</v>
      </c>
      <c r="T267" s="188">
        <f t="shared" si="33"/>
        <v>147.035922947675</v>
      </c>
      <c r="U267" s="8">
        <f t="shared" si="30"/>
        <v>26.466466130581498</v>
      </c>
      <c r="V267" s="234">
        <f>SUM(V266,U267)</f>
        <v>2967.1849250840814</v>
      </c>
      <c r="W267" s="15">
        <v>25</v>
      </c>
      <c r="X267" s="8">
        <f t="shared" si="34"/>
        <v>4.5</v>
      </c>
      <c r="Y267" s="233">
        <f t="shared" si="35"/>
        <v>1402</v>
      </c>
    </row>
    <row r="268" spans="1:25">
      <c r="A268" s="156" t="e" cm="1">
        <f t="array" aca="1" ref="A268" ca="1">_xlfn.IFS(E268=$AB$42,$AC$42,E268=$AB$43,$AC$43,E268=$AB$44,$AC$44,E268=$AB$45,$AC$45,E268=$AB$46,$AC$46,E268=$AB$47,$AC$47,E268=$AB$48,$AC$48,E268=$AB$49,$AC$49,E268=$AB$50,$AC$50,E268=$AB$51,$AC$51,E268=$AB$52,$AC$52,E268=$AB$53,$AC$53,E268=$AB$54,$AC$54,E268=$AB$55,$AC$55,E268=$AB$56,$AC$56,E268=$AB$57,$AC$57,E268=$AB$58,$AC$58,E268=$AB$59,$AC$59,E268=$AB$60,$AC$60,E268=$AB$61,$AC$61,E268=$AB$62,$AC$62,E268=$AB$63,$AC$63,E268=$AB$64,$AC$64,E268=$AB$65,$AC$65,E268=$AB$66,$AC$66,TRUE,"0")</f>
        <v>#NAME?</v>
      </c>
      <c r="C268" s="161" t="str" cm="1">
        <f t="array" ref="C268">_xlfn.IFS(E268=$AB$42,$AF$42,E268=$AB$43,$AF$43,E268=$AB$44,$AF$44,E268=$AB$45,$AF$45,E268=$AB$46,$AF$46,E268=$AB$47,$AF$47,E268=$AB$48,$AF$48,E268=$AB$49,$AF$49,E268=$AB$50,$AF$50,E268=$AB$51,$AF$51,E268=$AB$52,$AF$52,E268=$AB$53,$AF$53,E268=$AB$54,$AF$54,E268=$AB$55,$AF$55,E268=$AB$56,$AF$56,E268=$AB$57,$AF$57,E268=$AB$58,$AF$58,E268=$AB$59,$AF$59,E268=$AB$60,$AF$60,E268=$AB$61,$AF$61,E268=$AB$62,$AF$62,E268=$AB$63,$AF$63,E268=$AB$64,$AF$64,E268=$AB$65,$AF$65,E268=$AB$66,$AF$66,TRUE,"0")</f>
        <v>B4 match BACK FT +1.5 goals. X AFTER  GOAL</v>
      </c>
      <c r="D268" s="270" t="str" cm="1">
        <f t="array" ref="D268">_xlfn.IFS(E268=$AB$42,$AD$42,E268=$AB$43,$AD$43,E268=$AB$44,$AD$44,E268=$AB$45,$AD$45,E268=$AB$46,$AD$46,E268=$AB$47,$AD$47,E268=$AB$48,$AD$48,E268=$AB$49,$AD$49,E268=$AB$50,$AD$50,E268=$AB$51,$AD$51,E268=$AB$52,$AD$52,E268=$AB$53,$AD$53,E268=$AB$54,$AD$54,E268=$AB$55,$AD$55,E268=$AB$56,$AD$56,E268=$AB$57,$AD$57,E268=$AB$58,$AD$58,E268=$AB$59,$AD$59,E268=$AB$60,$AD$60,E268=$AB$61,$AD$61,E268=$AB$62,$AD$62,E268=$AB$63,$AD$63,E268=$AB$64,$AD$64,E268=$AB$65,$AD$65,E268=$AB$66,$AD$66,TRUE,"0")</f>
        <v xml:space="preserve">BFM </v>
      </c>
      <c r="E268" s="163" t="s">
        <v>406</v>
      </c>
      <c r="F268" s="2" t="s">
        <v>67</v>
      </c>
      <c r="G268" s="2" t="s">
        <v>68</v>
      </c>
      <c r="H268" s="3">
        <v>45332.822916666664</v>
      </c>
      <c r="I268" s="2" t="s">
        <v>265</v>
      </c>
      <c r="J268" s="2" t="s">
        <v>88</v>
      </c>
      <c r="K268" s="2">
        <v>1.25</v>
      </c>
      <c r="L268" s="2">
        <v>14.5</v>
      </c>
      <c r="M268" s="2">
        <v>2.65</v>
      </c>
      <c r="N268" s="2">
        <v>3.6</v>
      </c>
      <c r="O268" s="2">
        <v>2.38</v>
      </c>
      <c r="P268" s="2"/>
      <c r="Q268" s="2" t="s">
        <v>95</v>
      </c>
      <c r="R268" s="14" t="s">
        <v>220</v>
      </c>
      <c r="S268" s="13" t="s">
        <v>194</v>
      </c>
      <c r="T268" s="188">
        <f t="shared" si="33"/>
        <v>148.35924625420407</v>
      </c>
      <c r="U268" s="8">
        <f t="shared" si="30"/>
        <v>26.704664325756731</v>
      </c>
      <c r="V268" s="234">
        <f t="shared" ref="V268:V317" si="36">SUM(V267,U268)</f>
        <v>2993.8895894098382</v>
      </c>
      <c r="W268" s="15">
        <v>25</v>
      </c>
      <c r="X268" s="8">
        <f t="shared" si="34"/>
        <v>4.5</v>
      </c>
      <c r="Y268" s="233">
        <f t="shared" si="35"/>
        <v>1406.5</v>
      </c>
    </row>
    <row r="269" spans="1:25">
      <c r="A269" s="156" t="e" cm="1">
        <f t="array" aca="1" ref="A269" ca="1">_xlfn.IFS(E269=$AB$42,$AC$42,E269=$AB$43,$AC$43,E269=$AB$44,$AC$44,E269=$AB$45,$AC$45,E269=$AB$46,$AC$46,E269=$AB$47,$AC$47,E269=$AB$48,$AC$48,E269=$AB$49,$AC$49,E269=$AB$50,$AC$50,E269=$AB$51,$AC$51,E269=$AB$52,$AC$52,E269=$AB$53,$AC$53,E269=$AB$54,$AC$54,E269=$AB$55,$AC$55,E269=$AB$56,$AC$56,E269=$AB$57,$AC$57,E269=$AB$58,$AC$58,E269=$AB$59,$AC$59,E269=$AB$60,$AC$60,E269=$AB$61,$AC$61,E269=$AB$62,$AC$62,E269=$AB$63,$AC$63,E269=$AB$64,$AC$64,E269=$AB$65,$AC$65,E269=$AB$66,$AC$66,TRUE,"0")</f>
        <v>#NAME?</v>
      </c>
      <c r="C269" s="161" t="str" cm="1">
        <f t="array" ref="C269">_xlfn.IFS(E269=$AB$42,$AF$42,E269=$AB$43,$AF$43,E269=$AB$44,$AF$44,E269=$AB$45,$AF$45,E269=$AB$46,$AF$46,E269=$AB$47,$AF$47,E269=$AB$48,$AF$48,E269=$AB$49,$AF$49,E269=$AB$50,$AF$50,E269=$AB$51,$AF$51,E269=$AB$52,$AF$52,E269=$AB$53,$AF$53,E269=$AB$54,$AF$54,E269=$AB$55,$AF$55,E269=$AB$56,$AF$56,E269=$AB$57,$AF$57,E269=$AB$58,$AF$58,E269=$AB$59,$AF$59,E269=$AB$60,$AF$60,E269=$AB$61,$AF$61,E269=$AB$62,$AF$62,E269=$AB$63,$AF$63,E269=$AB$64,$AF$64,E269=$AB$65,$AF$65,E269=$AB$66,$AF$66,TRUE,"0")</f>
        <v>if 0-0, BACK+ 0.5 GOALS  @ 1.15+odds.  or @ 40 mins</v>
      </c>
      <c r="D269" s="270" t="str" cm="1">
        <f t="array" ref="D269">_xlfn.IFS(E269=$AB$42,$AD$42,E269=$AB$43,$AD$43,E269=$AB$44,$AD$44,E269=$AB$45,$AD$45,E269=$AB$46,$AD$46,E269=$AB$47,$AD$47,E269=$AB$48,$AD$48,E269=$AB$49,$AD$49,E269=$AB$50,$AD$50,E269=$AB$51,$AD$51,E269=$AB$52,$AD$52,E269=$AB$53,$AD$53,E269=$AB$54,$AD$54,E269=$AB$55,$AD$55,E269=$AB$56,$AD$56,E269=$AB$57,$AD$57,E269=$AB$58,$AD$58,E269=$AB$59,$AD$59,E269=$AB$60,$AD$60,E269=$AB$61,$AD$61,E269=$AB$62,$AD$62,E269=$AB$63,$AD$63,E269=$AB$64,$AD$64,E269=$AB$65,$AD$65,E269=$AB$66,$AD$66,TRUE,"0")</f>
        <v>IP</v>
      </c>
      <c r="E269" s="163" t="s">
        <v>270</v>
      </c>
      <c r="F269" s="2" t="s">
        <v>149</v>
      </c>
      <c r="G269" s="2" t="s">
        <v>153</v>
      </c>
      <c r="H269" s="3">
        <v>45332.833333333336</v>
      </c>
      <c r="I269" s="2" t="s">
        <v>155</v>
      </c>
      <c r="J269" s="2" t="s">
        <v>281</v>
      </c>
      <c r="K269" s="2">
        <v>61</v>
      </c>
      <c r="L269" s="2">
        <v>0</v>
      </c>
      <c r="M269" s="2">
        <v>20</v>
      </c>
      <c r="N269" s="2">
        <v>2.2999999999999998</v>
      </c>
      <c r="O269" s="2"/>
      <c r="P269" s="2"/>
      <c r="Q269" s="2" t="s">
        <v>95</v>
      </c>
      <c r="R269" s="14" t="s">
        <v>223</v>
      </c>
      <c r="S269" s="13" t="s">
        <v>209</v>
      </c>
      <c r="T269" s="188">
        <f t="shared" si="33"/>
        <v>149.69447947049193</v>
      </c>
      <c r="U269" s="8">
        <f t="shared" si="30"/>
        <v>26.945006304688548</v>
      </c>
      <c r="V269" s="234">
        <f t="shared" si="36"/>
        <v>3020.8345957145266</v>
      </c>
      <c r="W269" s="15">
        <v>25</v>
      </c>
      <c r="X269" s="8">
        <f t="shared" si="34"/>
        <v>4.5</v>
      </c>
      <c r="Y269" s="233">
        <f t="shared" si="35"/>
        <v>1411</v>
      </c>
    </row>
    <row r="270" spans="1:25">
      <c r="A270" s="156" t="e" cm="1">
        <f t="array" aca="1" ref="A270" ca="1">_xlfn.IFS(E270=$AB$42,$AC$42,E270=$AB$43,$AC$43,E270=$AB$44,$AC$44,E270=$AB$45,$AC$45,E270=$AB$46,$AC$46,E270=$AB$47,$AC$47,E270=$AB$48,$AC$48,E270=$AB$49,$AC$49,E270=$AB$50,$AC$50,E270=$AB$51,$AC$51,E270=$AB$52,$AC$52,E270=$AB$53,$AC$53,E270=$AB$54,$AC$54,E270=$AB$55,$AC$55,E270=$AB$56,$AC$56,E270=$AB$57,$AC$57,E270=$AB$58,$AC$58,E270=$AB$59,$AC$59,E270=$AB$60,$AC$60,E270=$AB$61,$AC$61,E270=$AB$62,$AC$62,E270=$AB$63,$AC$63,E270=$AB$64,$AC$64,E270=$AB$65,$AC$65,E270=$AB$66,$AC$66,TRUE,"0")</f>
        <v>#NAME?</v>
      </c>
      <c r="C270" s="161" t="str" cm="1">
        <f t="array" ref="C270">_xlfn.IFS(E270=$AB$42,$AF$42,E270=$AB$43,$AF$43,E270=$AB$44,$AF$44,E270=$AB$45,$AF$45,E270=$AB$46,$AF$46,E270=$AB$47,$AF$47,E270=$AB$48,$AF$48,E270=$AB$49,$AF$49,E270=$AB$50,$AF$50,E270=$AB$51,$AF$51,E270=$AB$52,$AF$52,E270=$AB$53,$AF$53,E270=$AB$54,$AF$54,E270=$AB$55,$AF$55,E270=$AB$56,$AF$56,E270=$AB$57,$AF$57,E270=$AB$58,$AF$58,E270=$AB$59,$AF$59,E270=$AB$60,$AF$60,E270=$AB$61,$AF$61,E270=$AB$62,$AF$62,E270=$AB$63,$AF$63,E270=$AB$64,$AF$64,E270=$AB$65,$AF$65,E270=$AB$66,$AF$66,TRUE,"0")</f>
        <v>B4 Match, lay HT 0-0 or BACK H1 +0.5 GOALS</v>
      </c>
      <c r="D270" s="270" t="str" cm="1">
        <f t="array" ref="D270">_xlfn.IFS(E270=$AB$42,$AD$42,E270=$AB$43,$AD$43,E270=$AB$44,$AD$44,E270=$AB$45,$AD$45,E270=$AB$46,$AD$46,E270=$AB$47,$AD$47,E270=$AB$48,$AD$48,E270=$AB$49,$AD$49,E270=$AB$50,$AD$50,E270=$AB$51,$AD$51,E270=$AB$52,$AD$52,E270=$AB$53,$AD$53,E270=$AB$54,$AD$54,E270=$AB$55,$AD$55,E270=$AB$56,$AD$56,E270=$AB$57,$AD$57,E270=$AB$58,$AD$58,E270=$AB$59,$AD$59,E270=$AB$60,$AD$60,E270=$AB$61,$AD$61,E270=$AB$62,$AD$62,E270=$AB$63,$AD$63,E270=$AB$64,$AD$64,E270=$AB$65,$AD$65,E270=$AB$66,$AD$66,TRUE,"0")</f>
        <v xml:space="preserve">BFM </v>
      </c>
      <c r="E270" s="163" t="s">
        <v>432</v>
      </c>
      <c r="F270" s="2" t="s">
        <v>149</v>
      </c>
      <c r="G270" s="2" t="s">
        <v>153</v>
      </c>
      <c r="H270" s="3">
        <v>45332.833333333336</v>
      </c>
      <c r="I270" s="2" t="s">
        <v>155</v>
      </c>
      <c r="J270" s="2" t="s">
        <v>281</v>
      </c>
      <c r="K270" s="2">
        <v>88</v>
      </c>
      <c r="L270" s="2">
        <v>22</v>
      </c>
      <c r="M270" s="2">
        <v>50</v>
      </c>
      <c r="N270" s="2">
        <v>0</v>
      </c>
      <c r="O270" s="2">
        <v>1.63</v>
      </c>
      <c r="P270" s="2">
        <v>40</v>
      </c>
      <c r="Q270" s="2" t="s">
        <v>95</v>
      </c>
      <c r="R270" s="14" t="s">
        <v>223</v>
      </c>
      <c r="S270" s="13" t="s">
        <v>209</v>
      </c>
      <c r="T270" s="188">
        <f t="shared" si="33"/>
        <v>151.04172978572635</v>
      </c>
      <c r="U270" s="8">
        <f t="shared" si="30"/>
        <v>27.18751136143074</v>
      </c>
      <c r="V270" s="234">
        <f t="shared" si="36"/>
        <v>3048.0221070759571</v>
      </c>
      <c r="W270" s="15">
        <v>25</v>
      </c>
      <c r="X270" s="8">
        <f t="shared" si="34"/>
        <v>4.5</v>
      </c>
      <c r="Y270" s="233">
        <f t="shared" si="35"/>
        <v>1415.5</v>
      </c>
    </row>
    <row r="271" spans="1:25">
      <c r="A271" s="156" t="e" cm="1">
        <f t="array" aca="1" ref="A271" ca="1">_xlfn.IFS(E271=$AB$42,$AC$42,E271=$AB$43,$AC$43,E271=$AB$44,$AC$44,E271=$AB$45,$AC$45,E271=$AB$46,$AC$46,E271=$AB$47,$AC$47,E271=$AB$48,$AC$48,E271=$AB$49,$AC$49,E271=$AB$50,$AC$50,E271=$AB$51,$AC$51,E271=$AB$52,$AC$52,E271=$AB$53,$AC$53,E271=$AB$54,$AC$54,E271=$AB$55,$AC$55,E271=$AB$56,$AC$56,E271=$AB$57,$AC$57,E271=$AB$58,$AC$58,E271=$AB$59,$AC$59,E271=$AB$60,$AC$60,E271=$AB$61,$AC$61,E271=$AB$62,$AC$62,E271=$AB$63,$AC$63,E271=$AB$64,$AC$64,E271=$AB$65,$AC$65,E271=$AB$66,$AC$66,TRUE,"0")</f>
        <v>#NAME?</v>
      </c>
      <c r="C271" s="161" t="str" cm="1">
        <f t="array" ref="C271">_xlfn.IFS(E271=$AB$42,$AF$42,E271=$AB$43,$AF$43,E271=$AB$44,$AF$44,E271=$AB$45,$AF$45,E271=$AB$46,$AF$46,E271=$AB$47,$AF$47,E271=$AB$48,$AF$48,E271=$AB$49,$AF$49,E271=$AB$50,$AF$50,E271=$AB$51,$AF$51,E271=$AB$52,$AF$52,E271=$AB$53,$AF$53,E271=$AB$54,$AF$54,E271=$AB$55,$AF$55,E271=$AB$56,$AF$56,E271=$AB$57,$AF$57,E271=$AB$58,$AF$58,E271=$AB$59,$AF$59,E271=$AB$60,$AF$60,E271=$AB$61,$AF$61,E271=$AB$62,$AF$62,E271=$AB$63,$AF$63,E271=$AB$64,$AF$64,E271=$AB$65,$AF$65,E271=$AB$66,$AF$66,TRUE,"0")</f>
        <v>40 mins Back ANother Goal</v>
      </c>
      <c r="D271" s="270" t="str" cm="1">
        <f t="array" ref="D271">_xlfn.IFS(E271=$AB$42,$AD$42,E271=$AB$43,$AD$43,E271=$AB$44,$AD$44,E271=$AB$45,$AD$45,E271=$AB$46,$AD$46,E271=$AB$47,$AD$47,E271=$AB$48,$AD$48,E271=$AB$49,$AD$49,E271=$AB$50,$AD$50,E271=$AB$51,$AD$51,E271=$AB$52,$AD$52,E271=$AB$53,$AD$53,E271=$AB$54,$AD$54,E271=$AB$55,$AD$55,E271=$AB$56,$AD$56,E271=$AB$57,$AD$57,E271=$AB$58,$AD$58,E271=$AB$59,$AD$59,E271=$AB$60,$AD$60,E271=$AB$61,$AD$61,E271=$AB$62,$AD$62,E271=$AB$63,$AD$63,E271=$AB$64,$AD$64,E271=$AB$65,$AD$65,E271=$AB$66,$AD$66,TRUE,"0")</f>
        <v xml:space="preserve">  BANG</v>
      </c>
      <c r="E271" s="163" t="s">
        <v>35</v>
      </c>
      <c r="F271" s="2" t="s">
        <v>119</v>
      </c>
      <c r="G271" s="2" t="s">
        <v>120</v>
      </c>
      <c r="H271" s="3">
        <v>45332.833333333336</v>
      </c>
      <c r="I271" s="2" t="s">
        <v>389</v>
      </c>
      <c r="J271" s="2" t="s">
        <v>350</v>
      </c>
      <c r="K271" s="2">
        <v>73</v>
      </c>
      <c r="L271" s="2">
        <v>90</v>
      </c>
      <c r="M271" s="2">
        <v>55</v>
      </c>
      <c r="N271" s="2">
        <v>40</v>
      </c>
      <c r="O271" s="2">
        <v>20</v>
      </c>
      <c r="P271" s="2">
        <v>1.24</v>
      </c>
      <c r="Q271" s="2" t="s">
        <v>95</v>
      </c>
      <c r="R271" s="14" t="s">
        <v>221</v>
      </c>
      <c r="S271" s="13" t="s">
        <v>220</v>
      </c>
      <c r="T271" s="188">
        <f t="shared" si="33"/>
        <v>152.40110535379787</v>
      </c>
      <c r="U271" s="8">
        <f t="shared" si="30"/>
        <v>27.432198963683618</v>
      </c>
      <c r="V271" s="234">
        <f t="shared" si="36"/>
        <v>3075.4543060396409</v>
      </c>
      <c r="W271" s="15">
        <v>25</v>
      </c>
      <c r="X271" s="8">
        <f t="shared" si="34"/>
        <v>4.5</v>
      </c>
      <c r="Y271" s="233">
        <f t="shared" si="35"/>
        <v>1420</v>
      </c>
    </row>
    <row r="272" spans="1:25">
      <c r="A272" s="156" t="e" cm="1">
        <f t="array" aca="1" ref="A272" ca="1">_xlfn.IFS(E272=$AB$42,$AC$42,E272=$AB$43,$AC$43,E272=$AB$44,$AC$44,E272=$AB$45,$AC$45,E272=$AB$46,$AC$46,E272=$AB$47,$AC$47,E272=$AB$48,$AC$48,E272=$AB$49,$AC$49,E272=$AB$50,$AC$50,E272=$AB$51,$AC$51,E272=$AB$52,$AC$52,E272=$AB$53,$AC$53,E272=$AB$54,$AC$54,E272=$AB$55,$AC$55,E272=$AB$56,$AC$56,E272=$AB$57,$AC$57,E272=$AB$58,$AC$58,E272=$AB$59,$AC$59,E272=$AB$60,$AC$60,E272=$AB$61,$AC$61,E272=$AB$62,$AC$62,E272=$AB$63,$AC$63,E272=$AB$64,$AC$64,E272=$AB$65,$AC$65,E272=$AB$66,$AC$66,TRUE,"0")</f>
        <v>#NAME?</v>
      </c>
      <c r="C272" s="161" t="str" cm="1">
        <f t="array" ref="C272">_xlfn.IFS(E272=$AB$42,$AF$42,E272=$AB$43,$AF$43,E272=$AB$44,$AF$44,E272=$AB$45,$AF$45,E272=$AB$46,$AF$46,E272=$AB$47,$AF$47,E272=$AB$48,$AF$48,E272=$AB$49,$AF$49,E272=$AB$50,$AF$50,E272=$AB$51,$AF$51,E272=$AB$52,$AF$52,E272=$AB$53,$AF$53,E272=$AB$54,$AF$54,E272=$AB$55,$AF$55,E272=$AB$56,$AF$56,E272=$AB$57,$AF$57,E272=$AB$58,$AF$58,E272=$AB$59,$AF$59,E272=$AB$60,$AF$60,E272=$AB$61,$AF$61,E272=$AB$62,$AF$62,E272=$AB$63,$AF$63,E272=$AB$64,$AF$64,E272=$AB$65,$AF$65,E272=$AB$66,$AF$66,TRUE,"0")</f>
        <v>40 mins Back ANother Goal</v>
      </c>
      <c r="D272" s="270" t="str" cm="1">
        <f t="array" ref="D272">_xlfn.IFS(E272=$AB$42,$AD$42,E272=$AB$43,$AD$43,E272=$AB$44,$AD$44,E272=$AB$45,$AD$45,E272=$AB$46,$AD$46,E272=$AB$47,$AD$47,E272=$AB$48,$AD$48,E272=$AB$49,$AD$49,E272=$AB$50,$AD$50,E272=$AB$51,$AD$51,E272=$AB$52,$AD$52,E272=$AB$53,$AD$53,E272=$AB$54,$AD$54,E272=$AB$55,$AD$55,E272=$AB$56,$AD$56,E272=$AB$57,$AD$57,E272=$AB$58,$AD$58,E272=$AB$59,$AD$59,E272=$AB$60,$AD$60,E272=$AB$61,$AD$61,E272=$AB$62,$AD$62,E272=$AB$63,$AD$63,E272=$AB$64,$AD$64,E272=$AB$65,$AD$65,E272=$AB$66,$AD$66,TRUE,"0")</f>
        <v xml:space="preserve">  BANG</v>
      </c>
      <c r="E272" s="163" t="s">
        <v>43</v>
      </c>
      <c r="F272" s="2" t="s">
        <v>119</v>
      </c>
      <c r="G272" s="2" t="s">
        <v>120</v>
      </c>
      <c r="H272" s="3">
        <v>45332.833333333336</v>
      </c>
      <c r="I272" s="2" t="s">
        <v>389</v>
      </c>
      <c r="J272" s="2" t="s">
        <v>350</v>
      </c>
      <c r="K272" s="2">
        <v>69</v>
      </c>
      <c r="L272" s="2">
        <v>75</v>
      </c>
      <c r="M272" s="2">
        <v>65</v>
      </c>
      <c r="N272" s="2">
        <v>1.9</v>
      </c>
      <c r="O272" s="2">
        <v>1.24</v>
      </c>
      <c r="P272" s="2"/>
      <c r="Q272" s="2" t="s">
        <v>95</v>
      </c>
      <c r="R272" s="14" t="s">
        <v>221</v>
      </c>
      <c r="S272" s="13" t="s">
        <v>220</v>
      </c>
      <c r="T272" s="188">
        <f t="shared" si="33"/>
        <v>153.77271530198206</v>
      </c>
      <c r="U272" s="8">
        <f t="shared" si="30"/>
        <v>27.679088754356769</v>
      </c>
      <c r="V272" s="234">
        <f t="shared" si="36"/>
        <v>3103.1333947939975</v>
      </c>
      <c r="W272" s="15">
        <v>25</v>
      </c>
      <c r="X272" s="8">
        <f t="shared" si="34"/>
        <v>4.5</v>
      </c>
      <c r="Y272" s="233">
        <f t="shared" si="35"/>
        <v>1424.5</v>
      </c>
    </row>
    <row r="273" spans="1:25">
      <c r="A273" s="156" t="e" cm="1">
        <f t="array" aca="1" ref="A273" ca="1">_xlfn.IFS(E273=$AB$42,$AC$42,E273=$AB$43,$AC$43,E273=$AB$44,$AC$44,E273=$AB$45,$AC$45,E273=$AB$46,$AC$46,E273=$AB$47,$AC$47,E273=$AB$48,$AC$48,E273=$AB$49,$AC$49,E273=$AB$50,$AC$50,E273=$AB$51,$AC$51,E273=$AB$52,$AC$52,E273=$AB$53,$AC$53,E273=$AB$54,$AC$54,E273=$AB$55,$AC$55,E273=$AB$56,$AC$56,E273=$AB$57,$AC$57,E273=$AB$58,$AC$58,E273=$AB$59,$AC$59,E273=$AB$60,$AC$60,E273=$AB$61,$AC$61,E273=$AB$62,$AC$62,E273=$AB$63,$AC$63,E273=$AB$64,$AC$64,E273=$AB$65,$AC$65,E273=$AB$66,$AC$66,TRUE,"0")</f>
        <v>#NAME?</v>
      </c>
      <c r="C273" s="161" t="str" cm="1">
        <f t="array" ref="C273">_xlfn.IFS(E273=$AB$42,$AF$42,E273=$AB$43,$AF$43,E273=$AB$44,$AF$44,E273=$AB$45,$AF$45,E273=$AB$46,$AF$46,E273=$AB$47,$AF$47,E273=$AB$48,$AF$48,E273=$AB$49,$AF$49,E273=$AB$50,$AF$50,E273=$AB$51,$AF$51,E273=$AB$52,$AF$52,E273=$AB$53,$AF$53,E273=$AB$54,$AF$54,E273=$AB$55,$AF$55,E273=$AB$56,$AF$56,E273=$AB$57,$AF$57,E273=$AB$58,$AF$58,E273=$AB$59,$AF$59,E273=$AB$60,$AF$60,E273=$AB$61,$AF$61,E273=$AB$62,$AF$62,E273=$AB$63,$AF$63,E273=$AB$64,$AF$64,E273=$AB$65,$AF$65,E273=$AB$66,$AF$66,TRUE,"0")</f>
        <v>if 0-0, BACK+ 0.5 GOALS  @ 1.15+odds.  or @ 40 mins</v>
      </c>
      <c r="D273" s="270" t="str" cm="1">
        <f t="array" ref="D273">_xlfn.IFS(E273=$AB$42,$AD$42,E273=$AB$43,$AD$43,E273=$AB$44,$AD$44,E273=$AB$45,$AD$45,E273=$AB$46,$AD$46,E273=$AB$47,$AD$47,E273=$AB$48,$AD$48,E273=$AB$49,$AD$49,E273=$AB$50,$AD$50,E273=$AB$51,$AD$51,E273=$AB$52,$AD$52,E273=$AB$53,$AD$53,E273=$AB$54,$AD$54,E273=$AB$55,$AD$55,E273=$AB$56,$AD$56,E273=$AB$57,$AD$57,E273=$AB$58,$AD$58,E273=$AB$59,$AD$59,E273=$AB$60,$AD$60,E273=$AB$61,$AD$61,E273=$AB$62,$AD$62,E273=$AB$63,$AD$63,E273=$AB$64,$AD$64,E273=$AB$65,$AD$65,E273=$AB$66,$AD$66,TRUE,"0")</f>
        <v>IP</v>
      </c>
      <c r="E273" s="163" t="s">
        <v>270</v>
      </c>
      <c r="F273" s="2" t="s">
        <v>77</v>
      </c>
      <c r="G273" s="2" t="s">
        <v>234</v>
      </c>
      <c r="H273" s="3">
        <v>45333.520833333336</v>
      </c>
      <c r="I273" s="2" t="s">
        <v>235</v>
      </c>
      <c r="J273" s="2" t="s">
        <v>246</v>
      </c>
      <c r="K273" s="2">
        <v>62</v>
      </c>
      <c r="L273" s="2">
        <v>0</v>
      </c>
      <c r="M273" s="2">
        <v>20</v>
      </c>
      <c r="N273" s="2">
        <v>2.56</v>
      </c>
      <c r="O273" s="2"/>
      <c r="P273" s="2"/>
      <c r="Q273" s="2" t="s">
        <v>95</v>
      </c>
      <c r="R273" s="14" t="s">
        <v>221</v>
      </c>
      <c r="S273" s="13" t="s">
        <v>214</v>
      </c>
      <c r="T273" s="188">
        <f t="shared" si="33"/>
        <v>155.15666973969988</v>
      </c>
      <c r="U273" s="8">
        <f t="shared" si="30"/>
        <v>27.928200553145977</v>
      </c>
      <c r="V273" s="234">
        <f t="shared" si="36"/>
        <v>3131.0615953471433</v>
      </c>
      <c r="W273" s="15">
        <v>25</v>
      </c>
      <c r="X273" s="8">
        <f t="shared" si="34"/>
        <v>4.5</v>
      </c>
      <c r="Y273" s="233">
        <f t="shared" si="35"/>
        <v>1429</v>
      </c>
    </row>
    <row r="274" spans="1:25">
      <c r="A274" s="156" t="e" cm="1">
        <f t="array" aca="1" ref="A274" ca="1">_xlfn.IFS(E274=$AB$42,$AC$42,E274=$AB$43,$AC$43,E274=$AB$44,$AC$44,E274=$AB$45,$AC$45,E274=$AB$46,$AC$46,E274=$AB$47,$AC$47,E274=$AB$48,$AC$48,E274=$AB$49,$AC$49,E274=$AB$50,$AC$50,E274=$AB$51,$AC$51,E274=$AB$52,$AC$52,E274=$AB$53,$AC$53,E274=$AB$54,$AC$54,E274=$AB$55,$AC$55,E274=$AB$56,$AC$56,E274=$AB$57,$AC$57,E274=$AB$58,$AC$58,E274=$AB$59,$AC$59,E274=$AB$60,$AC$60,E274=$AB$61,$AC$61,E274=$AB$62,$AC$62,E274=$AB$63,$AC$63,E274=$AB$64,$AC$64,E274=$AB$65,$AC$65,E274=$AB$66,$AC$66,TRUE,"0")</f>
        <v>#NAME?</v>
      </c>
      <c r="C274" s="161" t="str" cm="1">
        <f t="array" ref="C274">_xlfn.IFS(E274=$AB$42,$AF$42,E274=$AB$43,$AF$43,E274=$AB$44,$AF$44,E274=$AB$45,$AF$45,E274=$AB$46,$AF$46,E274=$AB$47,$AF$47,E274=$AB$48,$AF$48,E274=$AB$49,$AF$49,E274=$AB$50,$AF$50,E274=$AB$51,$AF$51,E274=$AB$52,$AF$52,E274=$AB$53,$AF$53,E274=$AB$54,$AF$54,E274=$AB$55,$AF$55,E274=$AB$56,$AF$56,E274=$AB$57,$AF$57,E274=$AB$58,$AF$58,E274=$AB$59,$AF$59,E274=$AB$60,$AF$60,E274=$AB$61,$AF$61,E274=$AB$62,$AF$62,E274=$AB$63,$AF$63,E274=$AB$64,$AF$64,E274=$AB$65,$AF$65,E274=$AB$66,$AF$66,TRUE,"0")</f>
        <v>if 0-0, BACK+ 0.5 GOALS  @ 1.15+odds.  or @ 40 mins</v>
      </c>
      <c r="D274" s="270" t="str" cm="1">
        <f t="array" ref="D274">_xlfn.IFS(E274=$AB$42,$AD$42,E274=$AB$43,$AD$43,E274=$AB$44,$AD$44,E274=$AB$45,$AD$45,E274=$AB$46,$AD$46,E274=$AB$47,$AD$47,E274=$AB$48,$AD$48,E274=$AB$49,$AD$49,E274=$AB$50,$AD$50,E274=$AB$51,$AD$51,E274=$AB$52,$AD$52,E274=$AB$53,$AD$53,E274=$AB$54,$AD$54,E274=$AB$55,$AD$55,E274=$AB$56,$AD$56,E274=$AB$57,$AD$57,E274=$AB$58,$AD$58,E274=$AB$59,$AD$59,E274=$AB$60,$AD$60,E274=$AB$61,$AD$61,E274=$AB$62,$AD$62,E274=$AB$63,$AD$63,E274=$AB$64,$AD$64,E274=$AB$65,$AD$65,E274=$AB$66,$AD$66,TRUE,"0")</f>
        <v>IP</v>
      </c>
      <c r="E274" s="163" t="s">
        <v>270</v>
      </c>
      <c r="F274" s="2" t="s">
        <v>80</v>
      </c>
      <c r="G274" s="2" t="s">
        <v>81</v>
      </c>
      <c r="H274" s="3">
        <v>45333.541666666664</v>
      </c>
      <c r="I274" s="2" t="s">
        <v>82</v>
      </c>
      <c r="J274" s="2" t="s">
        <v>311</v>
      </c>
      <c r="K274" s="2">
        <v>62</v>
      </c>
      <c r="L274" s="2">
        <v>0</v>
      </c>
      <c r="M274" s="2">
        <v>20</v>
      </c>
      <c r="N274" s="2">
        <v>1.0900000000000001</v>
      </c>
      <c r="O274" s="2"/>
      <c r="P274" s="2"/>
      <c r="Q274" s="2" t="s">
        <v>95</v>
      </c>
      <c r="R274" s="14" t="s">
        <v>214</v>
      </c>
      <c r="S274" s="13" t="s">
        <v>214</v>
      </c>
      <c r="T274" s="188">
        <f t="shared" si="33"/>
        <v>156.55307976735719</v>
      </c>
      <c r="U274" s="8">
        <f t="shared" si="30"/>
        <v>28.179554358124292</v>
      </c>
      <c r="V274" s="234">
        <f t="shared" si="36"/>
        <v>3159.2411497052676</v>
      </c>
      <c r="W274" s="15">
        <v>25</v>
      </c>
      <c r="X274" s="8">
        <f t="shared" si="34"/>
        <v>4.5</v>
      </c>
      <c r="Y274" s="233">
        <f t="shared" si="35"/>
        <v>1433.5</v>
      </c>
    </row>
    <row r="275" spans="1:25">
      <c r="A275" s="156" t="e" cm="1">
        <f t="array" aca="1" ref="A275" ca="1">_xlfn.IFS(E275=$AB$42,$AC$42,E275=$AB$43,$AC$43,E275=$AB$44,$AC$44,E275=$AB$45,$AC$45,E275=$AB$46,$AC$46,E275=$AB$47,$AC$47,E275=$AB$48,$AC$48,E275=$AB$49,$AC$49,E275=$AB$50,$AC$50,E275=$AB$51,$AC$51,E275=$AB$52,$AC$52,E275=$AB$53,$AC$53,E275=$AB$54,$AC$54,E275=$AB$55,$AC$55,E275=$AB$56,$AC$56,E275=$AB$57,$AC$57,E275=$AB$58,$AC$58,E275=$AB$59,$AC$59,E275=$AB$60,$AC$60,E275=$AB$61,$AC$61,E275=$AB$62,$AC$62,E275=$AB$63,$AC$63,E275=$AB$64,$AC$64,E275=$AB$65,$AC$65,E275=$AB$66,$AC$66,TRUE,"0")</f>
        <v>#NAME?</v>
      </c>
      <c r="C275" s="161" t="str" cm="1">
        <f t="array" ref="C275">_xlfn.IFS(E275=$AB$42,$AF$42,E275=$AB$43,$AF$43,E275=$AB$44,$AF$44,E275=$AB$45,$AF$45,E275=$AB$46,$AF$46,E275=$AB$47,$AF$47,E275=$AB$48,$AF$48,E275=$AB$49,$AF$49,E275=$AB$50,$AF$50,E275=$AB$51,$AF$51,E275=$AB$52,$AF$52,E275=$AB$53,$AF$53,E275=$AB$54,$AF$54,E275=$AB$55,$AF$55,E275=$AB$56,$AF$56,E275=$AB$57,$AF$57,E275=$AB$58,$AF$58,E275=$AB$59,$AF$59,E275=$AB$60,$AF$60,E275=$AB$61,$AF$61,E275=$AB$62,$AF$62,E275=$AB$63,$AF$63,E275=$AB$64,$AF$64,E275=$AB$65,$AF$65,E275=$AB$66,$AF$66,TRUE,"0")</f>
        <v>if 0-0, BACK+ 0.5 GOALS  @ 1.15+odds.  or @ 40 mins</v>
      </c>
      <c r="D275" s="270" t="str" cm="1">
        <f t="array" ref="D275">_xlfn.IFS(E275=$AB$42,$AD$42,E275=$AB$43,$AD$43,E275=$AB$44,$AD$44,E275=$AB$45,$AD$45,E275=$AB$46,$AD$46,E275=$AB$47,$AD$47,E275=$AB$48,$AD$48,E275=$AB$49,$AD$49,E275=$AB$50,$AD$50,E275=$AB$51,$AD$51,E275=$AB$52,$AD$52,E275=$AB$53,$AD$53,E275=$AB$54,$AD$54,E275=$AB$55,$AD$55,E275=$AB$56,$AD$56,E275=$AB$57,$AD$57,E275=$AB$58,$AD$58,E275=$AB$59,$AD$59,E275=$AB$60,$AD$60,E275=$AB$61,$AD$61,E275=$AB$62,$AD$62,E275=$AB$63,$AD$63,E275=$AB$64,$AD$64,E275=$AB$65,$AD$65,E275=$AB$66,$AD$66,TRUE,"0")</f>
        <v>IP</v>
      </c>
      <c r="E275" s="163" t="s">
        <v>270</v>
      </c>
      <c r="F275" s="2" t="s">
        <v>296</v>
      </c>
      <c r="G275" s="2" t="s">
        <v>78</v>
      </c>
      <c r="H275" s="3">
        <v>45333.552083333336</v>
      </c>
      <c r="I275" s="2" t="s">
        <v>297</v>
      </c>
      <c r="J275" s="2" t="s">
        <v>299</v>
      </c>
      <c r="K275" s="2">
        <v>63</v>
      </c>
      <c r="L275" s="2">
        <v>0</v>
      </c>
      <c r="M275" s="2">
        <v>20</v>
      </c>
      <c r="N275" s="2">
        <v>1.52</v>
      </c>
      <c r="O275" s="2"/>
      <c r="P275" s="2"/>
      <c r="Q275" s="2" t="s">
        <v>95</v>
      </c>
      <c r="R275" s="14" t="s">
        <v>193</v>
      </c>
      <c r="S275" s="13" t="s">
        <v>222</v>
      </c>
      <c r="T275" s="188">
        <f t="shared" si="33"/>
        <v>157.96205748526339</v>
      </c>
      <c r="U275" s="8">
        <f t="shared" si="30"/>
        <v>28.43317034734741</v>
      </c>
      <c r="V275" s="234">
        <f t="shared" si="36"/>
        <v>3187.6743200526148</v>
      </c>
      <c r="W275" s="15">
        <v>25</v>
      </c>
      <c r="X275" s="8">
        <f t="shared" si="34"/>
        <v>4.5</v>
      </c>
      <c r="Y275" s="233">
        <f t="shared" si="35"/>
        <v>1438</v>
      </c>
    </row>
    <row r="276" spans="1:25">
      <c r="A276" s="156" t="e" cm="1">
        <f t="array" aca="1" ref="A276" ca="1">_xlfn.IFS(E276=$AB$42,$AC$42,E276=$AB$43,$AC$43,E276=$AB$44,$AC$44,E276=$AB$45,$AC$45,E276=$AB$46,$AC$46,E276=$AB$47,$AC$47,E276=$AB$48,$AC$48,E276=$AB$49,$AC$49,E276=$AB$50,$AC$50,E276=$AB$51,$AC$51,E276=$AB$52,$AC$52,E276=$AB$53,$AC$53,E276=$AB$54,$AC$54,E276=$AB$55,$AC$55,E276=$AB$56,$AC$56,E276=$AB$57,$AC$57,E276=$AB$58,$AC$58,E276=$AB$59,$AC$59,E276=$AB$60,$AC$60,E276=$AB$61,$AC$61,E276=$AB$62,$AC$62,E276=$AB$63,$AC$63,E276=$AB$64,$AC$64,E276=$AB$65,$AC$65,E276=$AB$66,$AC$66,TRUE,"0")</f>
        <v>#NAME?</v>
      </c>
      <c r="C276" s="161" t="str" cm="1">
        <f t="array" ref="C276">_xlfn.IFS(E276=$AB$42,$AF$42,E276=$AB$43,$AF$43,E276=$AB$44,$AF$44,E276=$AB$45,$AF$45,E276=$AB$46,$AF$46,E276=$AB$47,$AF$47,E276=$AB$48,$AF$48,E276=$AB$49,$AF$49,E276=$AB$50,$AF$50,E276=$AB$51,$AF$51,E276=$AB$52,$AF$52,E276=$AB$53,$AF$53,E276=$AB$54,$AF$54,E276=$AB$55,$AF$55,E276=$AB$56,$AF$56,E276=$AB$57,$AF$57,E276=$AB$58,$AF$58,E276=$AB$59,$AF$59,E276=$AB$60,$AF$60,E276=$AB$61,$AF$61,E276=$AB$62,$AF$62,E276=$AB$63,$AF$63,E276=$AB$64,$AF$64,E276=$AB$65,$AF$65,E276=$AB$66,$AF$66,TRUE,"0")</f>
        <v>40 mins Back ANother Goal</v>
      </c>
      <c r="D276" s="270" t="str" cm="1">
        <f t="array" ref="D276">_xlfn.IFS(E276=$AB$42,$AD$42,E276=$AB$43,$AD$43,E276=$AB$44,$AD$44,E276=$AB$45,$AD$45,E276=$AB$46,$AD$46,E276=$AB$47,$AD$47,E276=$AB$48,$AD$48,E276=$AB$49,$AD$49,E276=$AB$50,$AD$50,E276=$AB$51,$AD$51,E276=$AB$52,$AD$52,E276=$AB$53,$AD$53,E276=$AB$54,$AD$54,E276=$AB$55,$AD$55,E276=$AB$56,$AD$56,E276=$AB$57,$AD$57,E276=$AB$58,$AD$58,E276=$AB$59,$AD$59,E276=$AB$60,$AD$60,E276=$AB$61,$AD$61,E276=$AB$62,$AD$62,E276=$AB$63,$AD$63,E276=$AB$64,$AD$64,E276=$AB$65,$AD$65,E276=$AB$66,$AD$66,TRUE,"0")</f>
        <v xml:space="preserve">  BANG</v>
      </c>
      <c r="E276" s="163" t="s">
        <v>35</v>
      </c>
      <c r="F276" s="2" t="s">
        <v>412</v>
      </c>
      <c r="G276" s="2" t="s">
        <v>156</v>
      </c>
      <c r="H276" s="3">
        <v>45333.5625</v>
      </c>
      <c r="I276" s="2" t="s">
        <v>425</v>
      </c>
      <c r="J276" s="2" t="s">
        <v>426</v>
      </c>
      <c r="K276" s="2">
        <v>69</v>
      </c>
      <c r="L276" s="2">
        <v>88</v>
      </c>
      <c r="M276" s="2">
        <v>63</v>
      </c>
      <c r="N276" s="2">
        <v>38</v>
      </c>
      <c r="O276" s="2">
        <v>16</v>
      </c>
      <c r="P276" s="2">
        <v>0.99</v>
      </c>
      <c r="Q276" s="2" t="s">
        <v>95</v>
      </c>
      <c r="R276" s="14" t="s">
        <v>221</v>
      </c>
      <c r="S276" s="13" t="s">
        <v>217</v>
      </c>
      <c r="T276" s="188">
        <f t="shared" si="33"/>
        <v>159.38371600263076</v>
      </c>
      <c r="U276" s="8">
        <f t="shared" si="30"/>
        <v>28.689068880473535</v>
      </c>
      <c r="V276" s="234">
        <f t="shared" si="36"/>
        <v>3216.3633889330881</v>
      </c>
      <c r="W276" s="15">
        <v>25</v>
      </c>
      <c r="X276" s="8">
        <f t="shared" si="34"/>
        <v>4.5</v>
      </c>
      <c r="Y276" s="233">
        <f t="shared" si="35"/>
        <v>1442.5</v>
      </c>
    </row>
    <row r="277" spans="1:25">
      <c r="A277" s="156" t="e" cm="1">
        <f t="array" aca="1" ref="A277" ca="1">_xlfn.IFS(E277=$AB$42,$AC$42,E277=$AB$43,$AC$43,E277=$AB$44,$AC$44,E277=$AB$45,$AC$45,E277=$AB$46,$AC$46,E277=$AB$47,$AC$47,E277=$AB$48,$AC$48,E277=$AB$49,$AC$49,E277=$AB$50,$AC$50,E277=$AB$51,$AC$51,E277=$AB$52,$AC$52,E277=$AB$53,$AC$53,E277=$AB$54,$AC$54,E277=$AB$55,$AC$55,E277=$AB$56,$AC$56,E277=$AB$57,$AC$57,E277=$AB$58,$AC$58,E277=$AB$59,$AC$59,E277=$AB$60,$AC$60,E277=$AB$61,$AC$61,E277=$AB$62,$AC$62,E277=$AB$63,$AC$63,E277=$AB$64,$AC$64,E277=$AB$65,$AC$65,E277=$AB$66,$AC$66,TRUE,"0")</f>
        <v>#NAME?</v>
      </c>
      <c r="C277" s="161" t="str" cm="1">
        <f t="array" ref="C277">_xlfn.IFS(E277=$AB$42,$AF$42,E277=$AB$43,$AF$43,E277=$AB$44,$AF$44,E277=$AB$45,$AF$45,E277=$AB$46,$AF$46,E277=$AB$47,$AF$47,E277=$AB$48,$AF$48,E277=$AB$49,$AF$49,E277=$AB$50,$AF$50,E277=$AB$51,$AF$51,E277=$AB$52,$AF$52,E277=$AB$53,$AF$53,E277=$AB$54,$AF$54,E277=$AB$55,$AF$55,E277=$AB$56,$AF$56,E277=$AB$57,$AF$57,E277=$AB$58,$AF$58,E277=$AB$59,$AF$59,E277=$AB$60,$AF$60,E277=$AB$61,$AF$61,E277=$AB$62,$AF$62,E277=$AB$63,$AF$63,E277=$AB$64,$AF$64,E277=$AB$65,$AF$65,E277=$AB$66,$AF$66,TRUE,"0")</f>
        <v>40 mins Back ANother Goal</v>
      </c>
      <c r="D277" s="270" t="str" cm="1">
        <f t="array" ref="D277">_xlfn.IFS(E277=$AB$42,$AD$42,E277=$AB$43,$AD$43,E277=$AB$44,$AD$44,E277=$AB$45,$AD$45,E277=$AB$46,$AD$46,E277=$AB$47,$AD$47,E277=$AB$48,$AD$48,E277=$AB$49,$AD$49,E277=$AB$50,$AD$50,E277=$AB$51,$AD$51,E277=$AB$52,$AD$52,E277=$AB$53,$AD$53,E277=$AB$54,$AD$54,E277=$AB$55,$AD$55,E277=$AB$56,$AD$56,E277=$AB$57,$AD$57,E277=$AB$58,$AD$58,E277=$AB$59,$AD$59,E277=$AB$60,$AD$60,E277=$AB$61,$AD$61,E277=$AB$62,$AD$62,E277=$AB$63,$AD$63,E277=$AB$64,$AD$64,E277=$AB$65,$AD$65,E277=$AB$66,$AD$66,TRUE,"0")</f>
        <v xml:space="preserve">  BANG</v>
      </c>
      <c r="E277" s="163" t="s">
        <v>43</v>
      </c>
      <c r="F277" s="2" t="s">
        <v>13</v>
      </c>
      <c r="G277" s="2" t="s">
        <v>37</v>
      </c>
      <c r="H277" s="3">
        <v>45333.583333333336</v>
      </c>
      <c r="I277" s="2" t="s">
        <v>306</v>
      </c>
      <c r="J277" s="2" t="s">
        <v>318</v>
      </c>
      <c r="K277" s="2">
        <v>67</v>
      </c>
      <c r="L277" s="2">
        <v>67</v>
      </c>
      <c r="M277" s="2">
        <v>61</v>
      </c>
      <c r="N277" s="2">
        <v>1.45</v>
      </c>
      <c r="O277" s="2">
        <v>1.3</v>
      </c>
      <c r="P277" s="2"/>
      <c r="Q277" s="2" t="s">
        <v>95</v>
      </c>
      <c r="R277" s="14" t="s">
        <v>193</v>
      </c>
      <c r="S277" s="13" t="s">
        <v>222</v>
      </c>
      <c r="T277" s="188">
        <f t="shared" si="33"/>
        <v>160.81816944665442</v>
      </c>
      <c r="U277" s="8">
        <f t="shared" si="30"/>
        <v>28.947270500397796</v>
      </c>
      <c r="V277" s="234">
        <f t="shared" si="36"/>
        <v>3245.3106594334859</v>
      </c>
      <c r="W277" s="15">
        <v>25</v>
      </c>
      <c r="X277" s="8">
        <f t="shared" si="34"/>
        <v>4.5</v>
      </c>
      <c r="Y277" s="233">
        <f t="shared" si="35"/>
        <v>1447</v>
      </c>
    </row>
    <row r="278" spans="1:25">
      <c r="A278" s="156" t="e" cm="1">
        <f t="array" aca="1" ref="A278" ca="1">_xlfn.IFS(E278=$AB$42,$AC$42,E278=$AB$43,$AC$43,E278=$AB$44,$AC$44,E278=$AB$45,$AC$45,E278=$AB$46,$AC$46,E278=$AB$47,$AC$47,E278=$AB$48,$AC$48,E278=$AB$49,$AC$49,E278=$AB$50,$AC$50,E278=$AB$51,$AC$51,E278=$AB$52,$AC$52,E278=$AB$53,$AC$53,E278=$AB$54,$AC$54,E278=$AB$55,$AC$55,E278=$AB$56,$AC$56,E278=$AB$57,$AC$57,E278=$AB$58,$AC$58,E278=$AB$59,$AC$59,E278=$AB$60,$AC$60,E278=$AB$61,$AC$61,E278=$AB$62,$AC$62,E278=$AB$63,$AC$63,E278=$AB$64,$AC$64,E278=$AB$65,$AC$65,E278=$AB$66,$AC$66,TRUE,"0")</f>
        <v>#NAME?</v>
      </c>
      <c r="C278" s="161" t="str" cm="1">
        <f t="array" ref="C278">_xlfn.IFS(E278=$AB$42,$AF$42,E278=$AB$43,$AF$43,E278=$AB$44,$AF$44,E278=$AB$45,$AF$45,E278=$AB$46,$AF$46,E278=$AB$47,$AF$47,E278=$AB$48,$AF$48,E278=$AB$49,$AF$49,E278=$AB$50,$AF$50,E278=$AB$51,$AF$51,E278=$AB$52,$AF$52,E278=$AB$53,$AF$53,E278=$AB$54,$AF$54,E278=$AB$55,$AF$55,E278=$AB$56,$AF$56,E278=$AB$57,$AF$57,E278=$AB$58,$AF$58,E278=$AB$59,$AF$59,E278=$AB$60,$AF$60,E278=$AB$61,$AF$61,E278=$AB$62,$AF$62,E278=$AB$63,$AF$63,E278=$AB$64,$AF$64,E278=$AB$65,$AF$65,E278=$AB$66,$AF$66,TRUE,"0")</f>
        <v>B4 Match, lay HT 0-0 or BACK H1 +0.5 GOALS</v>
      </c>
      <c r="D278" s="270" t="str" cm="1">
        <f t="array" ref="D278">_xlfn.IFS(E278=$AB$42,$AD$42,E278=$AB$43,$AD$43,E278=$AB$44,$AD$44,E278=$AB$45,$AD$45,E278=$AB$46,$AD$46,E278=$AB$47,$AD$47,E278=$AB$48,$AD$48,E278=$AB$49,$AD$49,E278=$AB$50,$AD$50,E278=$AB$51,$AD$51,E278=$AB$52,$AD$52,E278=$AB$53,$AD$53,E278=$AB$54,$AD$54,E278=$AB$55,$AD$55,E278=$AB$56,$AD$56,E278=$AB$57,$AD$57,E278=$AB$58,$AD$58,E278=$AB$59,$AD$59,E278=$AB$60,$AD$60,E278=$AB$61,$AD$61,E278=$AB$62,$AD$62,E278=$AB$63,$AD$63,E278=$AB$64,$AD$64,E278=$AB$65,$AD$65,E278=$AB$66,$AD$66,TRUE,"0")</f>
        <v xml:space="preserve">BFM </v>
      </c>
      <c r="E278" s="163" t="s">
        <v>432</v>
      </c>
      <c r="F278" s="2" t="s">
        <v>77</v>
      </c>
      <c r="G278" s="2" t="s">
        <v>156</v>
      </c>
      <c r="H278" s="3">
        <v>45333.604166666664</v>
      </c>
      <c r="I278" s="2" t="s">
        <v>168</v>
      </c>
      <c r="J278" s="2" t="s">
        <v>160</v>
      </c>
      <c r="K278" s="2">
        <v>85</v>
      </c>
      <c r="L278" s="2">
        <v>23</v>
      </c>
      <c r="M278" s="2">
        <v>55</v>
      </c>
      <c r="N278" s="2">
        <v>10</v>
      </c>
      <c r="O278" s="2">
        <v>1.6</v>
      </c>
      <c r="P278" s="2">
        <v>20</v>
      </c>
      <c r="Q278" s="2" t="s">
        <v>95</v>
      </c>
      <c r="R278" s="14" t="s">
        <v>220</v>
      </c>
      <c r="S278" s="13" t="s">
        <v>215</v>
      </c>
      <c r="T278" s="188">
        <f t="shared" si="33"/>
        <v>162.2655329716743</v>
      </c>
      <c r="U278" s="8">
        <f t="shared" si="30"/>
        <v>29.207795934901373</v>
      </c>
      <c r="V278" s="234">
        <f t="shared" si="36"/>
        <v>3274.5184553683871</v>
      </c>
      <c r="W278" s="15">
        <v>25</v>
      </c>
      <c r="X278" s="8">
        <f t="shared" si="34"/>
        <v>4.5</v>
      </c>
      <c r="Y278" s="233">
        <f t="shared" si="35"/>
        <v>1451.5</v>
      </c>
    </row>
    <row r="279" spans="1:25">
      <c r="A279" s="156" t="e" cm="1">
        <f t="array" aca="1" ref="A279" ca="1">_xlfn.IFS(E279=$AB$42,$AC$42,E279=$AB$43,$AC$43,E279=$AB$44,$AC$44,E279=$AB$45,$AC$45,E279=$AB$46,$AC$46,E279=$AB$47,$AC$47,E279=$AB$48,$AC$48,E279=$AB$49,$AC$49,E279=$AB$50,$AC$50,E279=$AB$51,$AC$51,E279=$AB$52,$AC$52,E279=$AB$53,$AC$53,E279=$AB$54,$AC$54,E279=$AB$55,$AC$55,E279=$AB$56,$AC$56,E279=$AB$57,$AC$57,E279=$AB$58,$AC$58,E279=$AB$59,$AC$59,E279=$AB$60,$AC$60,E279=$AB$61,$AC$61,E279=$AB$62,$AC$62,E279=$AB$63,$AC$63,E279=$AB$64,$AC$64,E279=$AB$65,$AC$65,E279=$AB$66,$AC$66,TRUE,"0")</f>
        <v>#NAME?</v>
      </c>
      <c r="C279" s="161" t="str" cm="1">
        <f t="array" ref="C279">_xlfn.IFS(E279=$AB$42,$AF$42,E279=$AB$43,$AF$43,E279=$AB$44,$AF$44,E279=$AB$45,$AF$45,E279=$AB$46,$AF$46,E279=$AB$47,$AF$47,E279=$AB$48,$AF$48,E279=$AB$49,$AF$49,E279=$AB$50,$AF$50,E279=$AB$51,$AF$51,E279=$AB$52,$AF$52,E279=$AB$53,$AF$53,E279=$AB$54,$AF$54,E279=$AB$55,$AF$55,E279=$AB$56,$AF$56,E279=$AB$57,$AF$57,E279=$AB$58,$AF$58,E279=$AB$59,$AF$59,E279=$AB$60,$AF$60,E279=$AB$61,$AF$61,E279=$AB$62,$AF$62,E279=$AB$63,$AF$63,E279=$AB$64,$AF$64,E279=$AB$65,$AF$65,E279=$AB$66,$AF$66,TRUE,"0")</f>
        <v>if 0-0, BACK+ 0.5 GOALS  @ 1.15+odds.  or @ 40 mins</v>
      </c>
      <c r="D279" s="270" t="str" cm="1">
        <f t="array" ref="D279">_xlfn.IFS(E279=$AB$42,$AD$42,E279=$AB$43,$AD$43,E279=$AB$44,$AD$44,E279=$AB$45,$AD$45,E279=$AB$46,$AD$46,E279=$AB$47,$AD$47,E279=$AB$48,$AD$48,E279=$AB$49,$AD$49,E279=$AB$50,$AD$50,E279=$AB$51,$AD$51,E279=$AB$52,$AD$52,E279=$AB$53,$AD$53,E279=$AB$54,$AD$54,E279=$AB$55,$AD$55,E279=$AB$56,$AD$56,E279=$AB$57,$AD$57,E279=$AB$58,$AD$58,E279=$AB$59,$AD$59,E279=$AB$60,$AD$60,E279=$AB$61,$AD$61,E279=$AB$62,$AD$62,E279=$AB$63,$AD$63,E279=$AB$64,$AD$64,E279=$AB$65,$AD$65,E279=$AB$66,$AD$66,TRUE,"0")</f>
        <v>IP</v>
      </c>
      <c r="E279" s="163" t="s">
        <v>270</v>
      </c>
      <c r="F279" s="2" t="s">
        <v>296</v>
      </c>
      <c r="G279" s="2" t="s">
        <v>78</v>
      </c>
      <c r="H279" s="3">
        <v>45333.645833333336</v>
      </c>
      <c r="I279" s="2" t="s">
        <v>392</v>
      </c>
      <c r="J279" s="2" t="s">
        <v>367</v>
      </c>
      <c r="K279" s="2">
        <v>64</v>
      </c>
      <c r="L279" s="2">
        <v>0</v>
      </c>
      <c r="M279" s="2">
        <v>20</v>
      </c>
      <c r="N279" s="2">
        <v>1.1599999999999999</v>
      </c>
      <c r="O279" s="2"/>
      <c r="P279" s="2"/>
      <c r="Q279" s="2" t="s">
        <v>95</v>
      </c>
      <c r="R279" s="14" t="s">
        <v>221</v>
      </c>
      <c r="S279" s="13" t="s">
        <v>214</v>
      </c>
      <c r="T279" s="188">
        <f t="shared" si="33"/>
        <v>163.72592276841937</v>
      </c>
      <c r="U279" s="8">
        <f t="shared" si="30"/>
        <v>29.470666098315483</v>
      </c>
      <c r="V279" s="234">
        <f t="shared" si="36"/>
        <v>3303.9891214667027</v>
      </c>
      <c r="W279" s="15">
        <v>25</v>
      </c>
      <c r="X279" s="8">
        <f t="shared" si="34"/>
        <v>4.5</v>
      </c>
      <c r="Y279" s="233">
        <f t="shared" si="35"/>
        <v>1456</v>
      </c>
    </row>
    <row r="280" spans="1:25">
      <c r="A280" s="156" t="e" cm="1">
        <f t="array" aca="1" ref="A280" ca="1">_xlfn.IFS(E280=$AB$42,$AC$42,E280=$AB$43,$AC$43,E280=$AB$44,$AC$44,E280=$AB$45,$AC$45,E280=$AB$46,$AC$46,E280=$AB$47,$AC$47,E280=$AB$48,$AC$48,E280=$AB$49,$AC$49,E280=$AB$50,$AC$50,E280=$AB$51,$AC$51,E280=$AB$52,$AC$52,E280=$AB$53,$AC$53,E280=$AB$54,$AC$54,E280=$AB$55,$AC$55,E280=$AB$56,$AC$56,E280=$AB$57,$AC$57,E280=$AB$58,$AC$58,E280=$AB$59,$AC$59,E280=$AB$60,$AC$60,E280=$AB$61,$AC$61,E280=$AB$62,$AC$62,E280=$AB$63,$AC$63,E280=$AB$64,$AC$64,E280=$AB$65,$AC$65,E280=$AB$66,$AC$66,TRUE,"0")</f>
        <v>#NAME?</v>
      </c>
      <c r="C280" s="161" t="str" cm="1">
        <f t="array" ref="C280">_xlfn.IFS(E280=$AB$42,$AF$42,E280=$AB$43,$AF$43,E280=$AB$44,$AF$44,E280=$AB$45,$AF$45,E280=$AB$46,$AF$46,E280=$AB$47,$AF$47,E280=$AB$48,$AF$48,E280=$AB$49,$AF$49,E280=$AB$50,$AF$50,E280=$AB$51,$AF$51,E280=$AB$52,$AF$52,E280=$AB$53,$AF$53,E280=$AB$54,$AF$54,E280=$AB$55,$AF$55,E280=$AB$56,$AF$56,E280=$AB$57,$AF$57,E280=$AB$58,$AF$58,E280=$AB$59,$AF$59,E280=$AB$60,$AF$60,E280=$AB$61,$AF$61,E280=$AB$62,$AF$62,E280=$AB$63,$AF$63,E280=$AB$64,$AF$64,E280=$AB$65,$AF$65,E280=$AB$66,$AF$66,TRUE,"0")</f>
        <v>40 mins Back ANother Goal</v>
      </c>
      <c r="D280" s="270" t="str" cm="1">
        <f t="array" ref="D280">_xlfn.IFS(E280=$AB$42,$AD$42,E280=$AB$43,$AD$43,E280=$AB$44,$AD$44,E280=$AB$45,$AD$45,E280=$AB$46,$AD$46,E280=$AB$47,$AD$47,E280=$AB$48,$AD$48,E280=$AB$49,$AD$49,E280=$AB$50,$AD$50,E280=$AB$51,$AD$51,E280=$AB$52,$AD$52,E280=$AB$53,$AD$53,E280=$AB$54,$AD$54,E280=$AB$55,$AD$55,E280=$AB$56,$AD$56,E280=$AB$57,$AD$57,E280=$AB$58,$AD$58,E280=$AB$59,$AD$59,E280=$AB$60,$AD$60,E280=$AB$61,$AD$61,E280=$AB$62,$AD$62,E280=$AB$63,$AD$63,E280=$AB$64,$AD$64,E280=$AB$65,$AD$65,E280=$AB$66,$AD$66,TRUE,"0")</f>
        <v xml:space="preserve">  BANG</v>
      </c>
      <c r="E280" s="163" t="s">
        <v>10</v>
      </c>
      <c r="F280" s="2" t="s">
        <v>58</v>
      </c>
      <c r="G280" s="2" t="s">
        <v>59</v>
      </c>
      <c r="H280" s="3">
        <v>45333.645833333336</v>
      </c>
      <c r="I280" s="2" t="s">
        <v>127</v>
      </c>
      <c r="J280" s="2" t="s">
        <v>111</v>
      </c>
      <c r="K280" s="2">
        <v>1.85</v>
      </c>
      <c r="L280" s="2">
        <v>100</v>
      </c>
      <c r="M280" s="2">
        <v>65</v>
      </c>
      <c r="N280" s="2">
        <v>20</v>
      </c>
      <c r="O280" s="2">
        <v>62</v>
      </c>
      <c r="P280" s="2">
        <v>20</v>
      </c>
      <c r="Q280" s="2" t="s">
        <v>95</v>
      </c>
      <c r="R280" s="14" t="s">
        <v>221</v>
      </c>
      <c r="S280" s="13" t="s">
        <v>214</v>
      </c>
      <c r="T280" s="188">
        <f t="shared" si="33"/>
        <v>165.19945607333514</v>
      </c>
      <c r="U280" s="8">
        <f t="shared" si="30"/>
        <v>29.735902093200323</v>
      </c>
      <c r="V280" s="234">
        <f t="shared" si="36"/>
        <v>3333.7250235599031</v>
      </c>
      <c r="W280" s="15">
        <v>25</v>
      </c>
      <c r="X280" s="8">
        <f t="shared" si="34"/>
        <v>4.5</v>
      </c>
      <c r="Y280" s="233">
        <f t="shared" si="35"/>
        <v>1460.5</v>
      </c>
    </row>
    <row r="281" spans="1:25">
      <c r="A281" s="156" t="e" cm="1">
        <f t="array" aca="1" ref="A281" ca="1">_xlfn.IFS(E281=$AB$42,$AC$42,E281=$AB$43,$AC$43,E281=$AB$44,$AC$44,E281=$AB$45,$AC$45,E281=$AB$46,$AC$46,E281=$AB$47,$AC$47,E281=$AB$48,$AC$48,E281=$AB$49,$AC$49,E281=$AB$50,$AC$50,E281=$AB$51,$AC$51,E281=$AB$52,$AC$52,E281=$AB$53,$AC$53,E281=$AB$54,$AC$54,E281=$AB$55,$AC$55,E281=$AB$56,$AC$56,E281=$AB$57,$AC$57,E281=$AB$58,$AC$58,E281=$AB$59,$AC$59,E281=$AB$60,$AC$60,E281=$AB$61,$AC$61,E281=$AB$62,$AC$62,E281=$AB$63,$AC$63,E281=$AB$64,$AC$64,E281=$AB$65,$AC$65,E281=$AB$66,$AC$66,TRUE,"0")</f>
        <v>#NAME?</v>
      </c>
      <c r="C281" s="161" t="str" cm="1">
        <f t="array" ref="C281">_xlfn.IFS(E281=$AB$42,$AF$42,E281=$AB$43,$AF$43,E281=$AB$44,$AF$44,E281=$AB$45,$AF$45,E281=$AB$46,$AF$46,E281=$AB$47,$AF$47,E281=$AB$48,$AF$48,E281=$AB$49,$AF$49,E281=$AB$50,$AF$50,E281=$AB$51,$AF$51,E281=$AB$52,$AF$52,E281=$AB$53,$AF$53,E281=$AB$54,$AF$54,E281=$AB$55,$AF$55,E281=$AB$56,$AF$56,E281=$AB$57,$AF$57,E281=$AB$58,$AF$58,E281=$AB$59,$AF$59,E281=$AB$60,$AF$60,E281=$AB$61,$AF$61,E281=$AB$62,$AF$62,E281=$AB$63,$AF$63,E281=$AB$64,$AF$64,E281=$AB$65,$AF$65,E281=$AB$66,$AF$66,TRUE,"0")</f>
        <v>if 0-0, BACK+ 0.5 GOALS  @ 1.15+odds.  or @ 40 mins</v>
      </c>
      <c r="D281" s="270" t="str" cm="1">
        <f t="array" ref="D281">_xlfn.IFS(E281=$AB$42,$AD$42,E281=$AB$43,$AD$43,E281=$AB$44,$AD$44,E281=$AB$45,$AD$45,E281=$AB$46,$AD$46,E281=$AB$47,$AD$47,E281=$AB$48,$AD$48,E281=$AB$49,$AD$49,E281=$AB$50,$AD$50,E281=$AB$51,$AD$51,E281=$AB$52,$AD$52,E281=$AB$53,$AD$53,E281=$AB$54,$AD$54,E281=$AB$55,$AD$55,E281=$AB$56,$AD$56,E281=$AB$57,$AD$57,E281=$AB$58,$AD$58,E281=$AB$59,$AD$59,E281=$AB$60,$AD$60,E281=$AB$61,$AD$61,E281=$AB$62,$AD$62,E281=$AB$63,$AD$63,E281=$AB$64,$AD$64,E281=$AB$65,$AD$65,E281=$AB$66,$AD$66,TRUE,"0")</f>
        <v>IP</v>
      </c>
      <c r="E281" s="163" t="s">
        <v>270</v>
      </c>
      <c r="F281" s="2" t="s">
        <v>58</v>
      </c>
      <c r="G281" s="2" t="s">
        <v>59</v>
      </c>
      <c r="H281" s="3">
        <v>45333.645833333336</v>
      </c>
      <c r="I281" s="2" t="s">
        <v>127</v>
      </c>
      <c r="J281" s="2" t="s">
        <v>111</v>
      </c>
      <c r="K281" s="2">
        <v>59</v>
      </c>
      <c r="L281" s="2">
        <v>0</v>
      </c>
      <c r="M281" s="2">
        <v>20</v>
      </c>
      <c r="N281" s="2">
        <v>1.77</v>
      </c>
      <c r="O281" s="2"/>
      <c r="P281" s="2"/>
      <c r="Q281" s="2" t="s">
        <v>95</v>
      </c>
      <c r="R281" s="14" t="s">
        <v>221</v>
      </c>
      <c r="S281" s="13" t="s">
        <v>214</v>
      </c>
      <c r="T281" s="188">
        <f t="shared" si="33"/>
        <v>166.68625117799516</v>
      </c>
      <c r="U281" s="8">
        <f t="shared" si="30"/>
        <v>30.003525212039129</v>
      </c>
      <c r="V281" s="234">
        <f t="shared" si="36"/>
        <v>3363.7285487719423</v>
      </c>
      <c r="W281" s="15">
        <v>25</v>
      </c>
      <c r="X281" s="8">
        <f t="shared" si="34"/>
        <v>4.5</v>
      </c>
      <c r="Y281" s="233">
        <f t="shared" si="35"/>
        <v>1465</v>
      </c>
    </row>
    <row r="282" spans="1:25">
      <c r="A282" s="156" t="e" cm="1">
        <f t="array" aca="1" ref="A282" ca="1">_xlfn.IFS(E282=$AB$42,$AC$42,E282=$AB$43,$AC$43,E282=$AB$44,$AC$44,E282=$AB$45,$AC$45,E282=$AB$46,$AC$46,E282=$AB$47,$AC$47,E282=$AB$48,$AC$48,E282=$AB$49,$AC$49,E282=$AB$50,$AC$50,E282=$AB$51,$AC$51,E282=$AB$52,$AC$52,E282=$AB$53,$AC$53,E282=$AB$54,$AC$54,E282=$AB$55,$AC$55,E282=$AB$56,$AC$56,E282=$AB$57,$AC$57,E282=$AB$58,$AC$58,E282=$AB$59,$AC$59,E282=$AB$60,$AC$60,E282=$AB$61,$AC$61,E282=$AB$62,$AC$62,E282=$AB$63,$AC$63,E282=$AB$64,$AC$64,E282=$AB$65,$AC$65,E282=$AB$66,$AC$66,TRUE,"0")</f>
        <v>#NAME?</v>
      </c>
      <c r="C282" s="161" t="str" cm="1">
        <f t="array" ref="C282">_xlfn.IFS(E282=$AB$42,$AF$42,E282=$AB$43,$AF$43,E282=$AB$44,$AF$44,E282=$AB$45,$AF$45,E282=$AB$46,$AF$46,E282=$AB$47,$AF$47,E282=$AB$48,$AF$48,E282=$AB$49,$AF$49,E282=$AB$50,$AF$50,E282=$AB$51,$AF$51,E282=$AB$52,$AF$52,E282=$AB$53,$AF$53,E282=$AB$54,$AF$54,E282=$AB$55,$AF$55,E282=$AB$56,$AF$56,E282=$AB$57,$AF$57,E282=$AB$58,$AF$58,E282=$AB$59,$AF$59,E282=$AB$60,$AF$60,E282=$AB$61,$AF$61,E282=$AB$62,$AF$62,E282=$AB$63,$AF$63,E282=$AB$64,$AF$64,E282=$AB$65,$AF$65,E282=$AB$66,$AF$66,TRUE,"0")</f>
        <v>40 mins Back ANother Goal</v>
      </c>
      <c r="D282" s="270" t="str" cm="1">
        <f t="array" ref="D282">_xlfn.IFS(E282=$AB$42,$AD$42,E282=$AB$43,$AD$43,E282=$AB$44,$AD$44,E282=$AB$45,$AD$45,E282=$AB$46,$AD$46,E282=$AB$47,$AD$47,E282=$AB$48,$AD$48,E282=$AB$49,$AD$49,E282=$AB$50,$AD$50,E282=$AB$51,$AD$51,E282=$AB$52,$AD$52,E282=$AB$53,$AD$53,E282=$AB$54,$AD$54,E282=$AB$55,$AD$55,E282=$AB$56,$AD$56,E282=$AB$57,$AD$57,E282=$AB$58,$AD$58,E282=$AB$59,$AD$59,E282=$AB$60,$AD$60,E282=$AB$61,$AD$61,E282=$AB$62,$AD$62,E282=$AB$63,$AD$63,E282=$AB$64,$AD$64,E282=$AB$65,$AD$65,E282=$AB$66,$AD$66,TRUE,"0")</f>
        <v xml:space="preserve">  BANG</v>
      </c>
      <c r="E282" s="163" t="s">
        <v>35</v>
      </c>
      <c r="F282" s="2" t="s">
        <v>149</v>
      </c>
      <c r="G282" s="2" t="s">
        <v>153</v>
      </c>
      <c r="H282" s="3">
        <v>45333.65625</v>
      </c>
      <c r="I282" s="2" t="s">
        <v>244</v>
      </c>
      <c r="J282" s="2" t="s">
        <v>188</v>
      </c>
      <c r="K282" s="2">
        <v>68</v>
      </c>
      <c r="L282" s="2">
        <v>89</v>
      </c>
      <c r="M282" s="2">
        <v>63</v>
      </c>
      <c r="N282" s="2">
        <v>42</v>
      </c>
      <c r="O282" s="2">
        <v>19</v>
      </c>
      <c r="P282" s="2">
        <v>1.46</v>
      </c>
      <c r="Q282" s="2" t="s">
        <v>95</v>
      </c>
      <c r="R282" s="14" t="s">
        <v>216</v>
      </c>
      <c r="S282" s="13" t="s">
        <v>287</v>
      </c>
      <c r="T282" s="188">
        <f t="shared" si="33"/>
        <v>168.18642743859712</v>
      </c>
      <c r="U282" s="8">
        <f t="shared" si="30"/>
        <v>30.273556938947479</v>
      </c>
      <c r="V282" s="234">
        <f t="shared" si="36"/>
        <v>3394.0021057108897</v>
      </c>
      <c r="W282" s="15">
        <v>25</v>
      </c>
      <c r="X282" s="8">
        <f t="shared" si="34"/>
        <v>4.5</v>
      </c>
      <c r="Y282" s="233">
        <f t="shared" si="35"/>
        <v>1469.5</v>
      </c>
    </row>
    <row r="283" spans="1:25">
      <c r="A283" s="156" t="e" cm="1">
        <f t="array" aca="1" ref="A283" ca="1">_xlfn.IFS(E283=$AB$42,$AC$42,E283=$AB$43,$AC$43,E283=$AB$44,$AC$44,E283=$AB$45,$AC$45,E283=$AB$46,$AC$46,E283=$AB$47,$AC$47,E283=$AB$48,$AC$48,E283=$AB$49,$AC$49,E283=$AB$50,$AC$50,E283=$AB$51,$AC$51,E283=$AB$52,$AC$52,E283=$AB$53,$AC$53,E283=$AB$54,$AC$54,E283=$AB$55,$AC$55,E283=$AB$56,$AC$56,E283=$AB$57,$AC$57,E283=$AB$58,$AC$58,E283=$AB$59,$AC$59,E283=$AB$60,$AC$60,E283=$AB$61,$AC$61,E283=$AB$62,$AC$62,E283=$AB$63,$AC$63,E283=$AB$64,$AC$64,E283=$AB$65,$AC$65,E283=$AB$66,$AC$66,TRUE,"0")</f>
        <v>#NAME?</v>
      </c>
      <c r="C283" s="161" t="str" cm="1">
        <f t="array" ref="C283">_xlfn.IFS(E283=$AB$42,$AF$42,E283=$AB$43,$AF$43,E283=$AB$44,$AF$44,E283=$AB$45,$AF$45,E283=$AB$46,$AF$46,E283=$AB$47,$AF$47,E283=$AB$48,$AF$48,E283=$AB$49,$AF$49,E283=$AB$50,$AF$50,E283=$AB$51,$AF$51,E283=$AB$52,$AF$52,E283=$AB$53,$AF$53,E283=$AB$54,$AF$54,E283=$AB$55,$AF$55,E283=$AB$56,$AF$56,E283=$AB$57,$AF$57,E283=$AB$58,$AF$58,E283=$AB$59,$AF$59,E283=$AB$60,$AF$60,E283=$AB$61,$AF$61,E283=$AB$62,$AF$62,E283=$AB$63,$AF$63,E283=$AB$64,$AF$64,E283=$AB$65,$AF$65,E283=$AB$66,$AF$66,TRUE,"0")</f>
        <v>if 0-0, BACK+ 0.5 GOALS  @ 1.15+odds.  or @ 40 mins</v>
      </c>
      <c r="D283" s="270" t="str" cm="1">
        <f t="array" ref="D283">_xlfn.IFS(E283=$AB$42,$AD$42,E283=$AB$43,$AD$43,E283=$AB$44,$AD$44,E283=$AB$45,$AD$45,E283=$AB$46,$AD$46,E283=$AB$47,$AD$47,E283=$AB$48,$AD$48,E283=$AB$49,$AD$49,E283=$AB$50,$AD$50,E283=$AB$51,$AD$51,E283=$AB$52,$AD$52,E283=$AB$53,$AD$53,E283=$AB$54,$AD$54,E283=$AB$55,$AD$55,E283=$AB$56,$AD$56,E283=$AB$57,$AD$57,E283=$AB$58,$AD$58,E283=$AB$59,$AD$59,E283=$AB$60,$AD$60,E283=$AB$61,$AD$61,E283=$AB$62,$AD$62,E283=$AB$63,$AD$63,E283=$AB$64,$AD$64,E283=$AB$65,$AD$65,E283=$AB$66,$AD$66,TRUE,"0")</f>
        <v>IP</v>
      </c>
      <c r="E283" s="163" t="s">
        <v>270</v>
      </c>
      <c r="F283" s="2" t="s">
        <v>149</v>
      </c>
      <c r="G283" s="2" t="s">
        <v>153</v>
      </c>
      <c r="H283" s="3">
        <v>45333.65625</v>
      </c>
      <c r="I283" s="2" t="s">
        <v>244</v>
      </c>
      <c r="J283" s="2" t="s">
        <v>188</v>
      </c>
      <c r="K283" s="2">
        <v>66</v>
      </c>
      <c r="L283" s="2">
        <v>0</v>
      </c>
      <c r="M283" s="2">
        <v>20</v>
      </c>
      <c r="N283" s="2">
        <v>2.39</v>
      </c>
      <c r="O283" s="2"/>
      <c r="P283" s="2"/>
      <c r="Q283" s="2" t="s">
        <v>95</v>
      </c>
      <c r="R283" s="14" t="s">
        <v>216</v>
      </c>
      <c r="S283" s="13" t="s">
        <v>287</v>
      </c>
      <c r="T283" s="188">
        <f t="shared" si="33"/>
        <v>169.70010528554451</v>
      </c>
      <c r="U283" s="8">
        <f t="shared" si="30"/>
        <v>30.546018951398011</v>
      </c>
      <c r="V283" s="234">
        <f t="shared" si="36"/>
        <v>3424.5481246622876</v>
      </c>
      <c r="W283" s="15">
        <v>25</v>
      </c>
      <c r="X283" s="8">
        <f t="shared" si="34"/>
        <v>4.5</v>
      </c>
      <c r="Y283" s="233">
        <f t="shared" si="35"/>
        <v>1474</v>
      </c>
    </row>
    <row r="284" spans="1:25">
      <c r="A284" s="156" t="e" cm="1">
        <f t="array" aca="1" ref="A284" ca="1">_xlfn.IFS(E284=$AB$42,$AC$42,E284=$AB$43,$AC$43,E284=$AB$44,$AC$44,E284=$AB$45,$AC$45,E284=$AB$46,$AC$46,E284=$AB$47,$AC$47,E284=$AB$48,$AC$48,E284=$AB$49,$AC$49,E284=$AB$50,$AC$50,E284=$AB$51,$AC$51,E284=$AB$52,$AC$52,E284=$AB$53,$AC$53,E284=$AB$54,$AC$54,E284=$AB$55,$AC$55,E284=$AB$56,$AC$56,E284=$AB$57,$AC$57,E284=$AB$58,$AC$58,E284=$AB$59,$AC$59,E284=$AB$60,$AC$60,E284=$AB$61,$AC$61,E284=$AB$62,$AC$62,E284=$AB$63,$AC$63,E284=$AB$64,$AC$64,E284=$AB$65,$AC$65,E284=$AB$66,$AC$66,TRUE,"0")</f>
        <v>#NAME?</v>
      </c>
      <c r="C284" s="161" t="str" cm="1">
        <f t="array" ref="C284">_xlfn.IFS(E284=$AB$42,$AF$42,E284=$AB$43,$AF$43,E284=$AB$44,$AF$44,E284=$AB$45,$AF$45,E284=$AB$46,$AF$46,E284=$AB$47,$AF$47,E284=$AB$48,$AF$48,E284=$AB$49,$AF$49,E284=$AB$50,$AF$50,E284=$AB$51,$AF$51,E284=$AB$52,$AF$52,E284=$AB$53,$AF$53,E284=$AB$54,$AF$54,E284=$AB$55,$AF$55,E284=$AB$56,$AF$56,E284=$AB$57,$AF$57,E284=$AB$58,$AF$58,E284=$AB$59,$AF$59,E284=$AB$60,$AF$60,E284=$AB$61,$AF$61,E284=$AB$62,$AF$62,E284=$AB$63,$AF$63,E284=$AB$64,$AF$64,E284=$AB$65,$AF$65,E284=$AB$66,$AF$66,TRUE,"0")</f>
        <v>40 mins Back ANother Goal</v>
      </c>
      <c r="D284" s="270" t="str" cm="1">
        <f t="array" ref="D284">_xlfn.IFS(E284=$AB$42,$AD$42,E284=$AB$43,$AD$43,E284=$AB$44,$AD$44,E284=$AB$45,$AD$45,E284=$AB$46,$AD$46,E284=$AB$47,$AD$47,E284=$AB$48,$AD$48,E284=$AB$49,$AD$49,E284=$AB$50,$AD$50,E284=$AB$51,$AD$51,E284=$AB$52,$AD$52,E284=$AB$53,$AD$53,E284=$AB$54,$AD$54,E284=$AB$55,$AD$55,E284=$AB$56,$AD$56,E284=$AB$57,$AD$57,E284=$AB$58,$AD$58,E284=$AB$59,$AD$59,E284=$AB$60,$AD$60,E284=$AB$61,$AD$61,E284=$AB$62,$AD$62,E284=$AB$63,$AD$63,E284=$AB$64,$AD$64,E284=$AB$65,$AD$65,E284=$AB$66,$AD$66,TRUE,"0")</f>
        <v xml:space="preserve">  BANG</v>
      </c>
      <c r="E284" s="163" t="s">
        <v>10</v>
      </c>
      <c r="F284" s="2" t="s">
        <v>6</v>
      </c>
      <c r="G284" s="2" t="s">
        <v>62</v>
      </c>
      <c r="H284" s="3">
        <v>45333.6875</v>
      </c>
      <c r="I284" s="2" t="s">
        <v>102</v>
      </c>
      <c r="J284" s="2" t="s">
        <v>383</v>
      </c>
      <c r="K284" s="2">
        <v>2.0499999999999998</v>
      </c>
      <c r="L284" s="2">
        <v>85</v>
      </c>
      <c r="M284" s="2">
        <v>65</v>
      </c>
      <c r="N284" s="2">
        <v>30</v>
      </c>
      <c r="O284" s="2">
        <v>66</v>
      </c>
      <c r="P284" s="2">
        <v>20</v>
      </c>
      <c r="Q284" s="2" t="s">
        <v>95</v>
      </c>
      <c r="R284" s="14" t="s">
        <v>193</v>
      </c>
      <c r="S284" s="13" t="s">
        <v>223</v>
      </c>
      <c r="T284" s="188">
        <f t="shared" si="33"/>
        <v>171.22740623311438</v>
      </c>
      <c r="U284" s="8">
        <f t="shared" si="30"/>
        <v>30.820933121960586</v>
      </c>
      <c r="V284" s="234">
        <f t="shared" si="36"/>
        <v>3455.3690577842481</v>
      </c>
      <c r="W284" s="15">
        <v>25</v>
      </c>
      <c r="X284" s="8">
        <f t="shared" si="34"/>
        <v>4.5</v>
      </c>
      <c r="Y284" s="233">
        <f t="shared" si="35"/>
        <v>1478.5</v>
      </c>
    </row>
    <row r="285" spans="1:25">
      <c r="A285" s="156" t="e" cm="1">
        <f t="array" aca="1" ref="A285" ca="1">_xlfn.IFS(E285=$AB$42,$AC$42,E285=$AB$43,$AC$43,E285=$AB$44,$AC$44,E285=$AB$45,$AC$45,E285=$AB$46,$AC$46,E285=$AB$47,$AC$47,E285=$AB$48,$AC$48,E285=$AB$49,$AC$49,E285=$AB$50,$AC$50,E285=$AB$51,$AC$51,E285=$AB$52,$AC$52,E285=$AB$53,$AC$53,E285=$AB$54,$AC$54,E285=$AB$55,$AC$55,E285=$AB$56,$AC$56,E285=$AB$57,$AC$57,E285=$AB$58,$AC$58,E285=$AB$59,$AC$59,E285=$AB$60,$AC$60,E285=$AB$61,$AC$61,E285=$AB$62,$AC$62,E285=$AB$63,$AC$63,E285=$AB$64,$AC$64,E285=$AB$65,$AC$65,E285=$AB$66,$AC$66,TRUE,"0")</f>
        <v>#NAME?</v>
      </c>
      <c r="C285" s="161" t="str" cm="1">
        <f t="array" ref="C285">_xlfn.IFS(E285=$AB$42,$AF$42,E285=$AB$43,$AF$43,E285=$AB$44,$AF$44,E285=$AB$45,$AF$45,E285=$AB$46,$AF$46,E285=$AB$47,$AF$47,E285=$AB$48,$AF$48,E285=$AB$49,$AF$49,E285=$AB$50,$AF$50,E285=$AB$51,$AF$51,E285=$AB$52,$AF$52,E285=$AB$53,$AF$53,E285=$AB$54,$AF$54,E285=$AB$55,$AF$55,E285=$AB$56,$AF$56,E285=$AB$57,$AF$57,E285=$AB$58,$AF$58,E285=$AB$59,$AF$59,E285=$AB$60,$AF$60,E285=$AB$61,$AF$61,E285=$AB$62,$AF$62,E285=$AB$63,$AF$63,E285=$AB$64,$AF$64,E285=$AB$65,$AF$65,E285=$AB$66,$AF$66,TRUE,"0")</f>
        <v>40 mins Back ANother Goal</v>
      </c>
      <c r="D285" s="270" t="str" cm="1">
        <f t="array" ref="D285">_xlfn.IFS(E285=$AB$42,$AD$42,E285=$AB$43,$AD$43,E285=$AB$44,$AD$44,E285=$AB$45,$AD$45,E285=$AB$46,$AD$46,E285=$AB$47,$AD$47,E285=$AB$48,$AD$48,E285=$AB$49,$AD$49,E285=$AB$50,$AD$50,E285=$AB$51,$AD$51,E285=$AB$52,$AD$52,E285=$AB$53,$AD$53,E285=$AB$54,$AD$54,E285=$AB$55,$AD$55,E285=$AB$56,$AD$56,E285=$AB$57,$AD$57,E285=$AB$58,$AD$58,E285=$AB$59,$AD$59,E285=$AB$60,$AD$60,E285=$AB$61,$AD$61,E285=$AB$62,$AD$62,E285=$AB$63,$AD$63,E285=$AB$64,$AD$64,E285=$AB$65,$AD$65,E285=$AB$66,$AD$66,TRUE,"0")</f>
        <v xml:space="preserve">  BANG</v>
      </c>
      <c r="E285" s="163" t="s">
        <v>10</v>
      </c>
      <c r="F285" s="2" t="s">
        <v>67</v>
      </c>
      <c r="G285" s="2" t="s">
        <v>68</v>
      </c>
      <c r="H285" s="3">
        <v>45333.729166666664</v>
      </c>
      <c r="I285" s="2" t="s">
        <v>69</v>
      </c>
      <c r="J285" s="2" t="s">
        <v>375</v>
      </c>
      <c r="K285" s="2">
        <v>2.15</v>
      </c>
      <c r="L285" s="2">
        <v>90</v>
      </c>
      <c r="M285" s="2">
        <v>70</v>
      </c>
      <c r="N285" s="2">
        <v>40</v>
      </c>
      <c r="O285" s="2">
        <v>64</v>
      </c>
      <c r="P285" s="2">
        <v>20</v>
      </c>
      <c r="Q285" s="2" t="s">
        <v>95</v>
      </c>
      <c r="R285" s="14" t="s">
        <v>223</v>
      </c>
      <c r="S285" s="13" t="s">
        <v>211</v>
      </c>
      <c r="T285" s="188">
        <f t="shared" si="33"/>
        <v>172.76845288921243</v>
      </c>
      <c r="U285" s="8">
        <f t="shared" si="30"/>
        <v>31.098321520058235</v>
      </c>
      <c r="V285" s="234">
        <f t="shared" si="36"/>
        <v>3486.4673793043062</v>
      </c>
      <c r="W285" s="15">
        <v>25</v>
      </c>
      <c r="X285" s="8">
        <f t="shared" si="34"/>
        <v>4.5</v>
      </c>
      <c r="Y285" s="233">
        <f t="shared" si="35"/>
        <v>1483</v>
      </c>
    </row>
    <row r="286" spans="1:25">
      <c r="A286" s="156" t="e" cm="1">
        <f t="array" aca="1" ref="A286" ca="1">_xlfn.IFS(E286=$AB$42,$AC$42,E286=$AB$43,$AC$43,E286=$AB$44,$AC$44,E286=$AB$45,$AC$45,E286=$AB$46,$AC$46,E286=$AB$47,$AC$47,E286=$AB$48,$AC$48,E286=$AB$49,$AC$49,E286=$AB$50,$AC$50,E286=$AB$51,$AC$51,E286=$AB$52,$AC$52,E286=$AB$53,$AC$53,E286=$AB$54,$AC$54,E286=$AB$55,$AC$55,E286=$AB$56,$AC$56,E286=$AB$57,$AC$57,E286=$AB$58,$AC$58,E286=$AB$59,$AC$59,E286=$AB$60,$AC$60,E286=$AB$61,$AC$61,E286=$AB$62,$AC$62,E286=$AB$63,$AC$63,E286=$AB$64,$AC$64,E286=$AB$65,$AC$65,E286=$AB$66,$AC$66,TRUE,"0")</f>
        <v>#NAME?</v>
      </c>
      <c r="C286" s="161" t="str" cm="1">
        <f t="array" ref="C286">_xlfn.IFS(E286=$AB$42,$AF$42,E286=$AB$43,$AF$43,E286=$AB$44,$AF$44,E286=$AB$45,$AF$45,E286=$AB$46,$AF$46,E286=$AB$47,$AF$47,E286=$AB$48,$AF$48,E286=$AB$49,$AF$49,E286=$AB$50,$AF$50,E286=$AB$51,$AF$51,E286=$AB$52,$AF$52,E286=$AB$53,$AF$53,E286=$AB$54,$AF$54,E286=$AB$55,$AF$55,E286=$AB$56,$AF$56,E286=$AB$57,$AF$57,E286=$AB$58,$AF$58,E286=$AB$59,$AF$59,E286=$AB$60,$AF$60,E286=$AB$61,$AF$61,E286=$AB$62,$AF$62,E286=$AB$63,$AF$63,E286=$AB$64,$AF$64,E286=$AB$65,$AF$65,E286=$AB$66,$AF$66,TRUE,"0")</f>
        <v>if 0-0, BACK+ 0.5 GOALS  @ 1.15+odds.  or @ 40 mins</v>
      </c>
      <c r="D286" s="270" t="str" cm="1">
        <f t="array" ref="D286">_xlfn.IFS(E286=$AB$42,$AD$42,E286=$AB$43,$AD$43,E286=$AB$44,$AD$44,E286=$AB$45,$AD$45,E286=$AB$46,$AD$46,E286=$AB$47,$AD$47,E286=$AB$48,$AD$48,E286=$AB$49,$AD$49,E286=$AB$50,$AD$50,E286=$AB$51,$AD$51,E286=$AB$52,$AD$52,E286=$AB$53,$AD$53,E286=$AB$54,$AD$54,E286=$AB$55,$AD$55,E286=$AB$56,$AD$56,E286=$AB$57,$AD$57,E286=$AB$58,$AD$58,E286=$AB$59,$AD$59,E286=$AB$60,$AD$60,E286=$AB$61,$AD$61,E286=$AB$62,$AD$62,E286=$AB$63,$AD$63,E286=$AB$64,$AD$64,E286=$AB$65,$AD$65,E286=$AB$66,$AD$66,TRUE,"0")</f>
        <v>IP</v>
      </c>
      <c r="E286" s="163" t="s">
        <v>270</v>
      </c>
      <c r="F286" s="2" t="s">
        <v>67</v>
      </c>
      <c r="G286" s="2" t="s">
        <v>68</v>
      </c>
      <c r="H286" s="3">
        <v>45333.729166666664</v>
      </c>
      <c r="I286" s="2" t="s">
        <v>69</v>
      </c>
      <c r="J286" s="2" t="s">
        <v>375</v>
      </c>
      <c r="K286" s="2">
        <v>65</v>
      </c>
      <c r="L286" s="2">
        <v>0</v>
      </c>
      <c r="M286" s="2">
        <v>20</v>
      </c>
      <c r="N286" s="2">
        <v>2.0699999999999998</v>
      </c>
      <c r="O286" s="2"/>
      <c r="P286" s="2"/>
      <c r="Q286" s="2" t="s">
        <v>95</v>
      </c>
      <c r="R286" s="14" t="s">
        <v>223</v>
      </c>
      <c r="S286" s="13" t="s">
        <v>211</v>
      </c>
      <c r="T286" s="188">
        <f t="shared" si="33"/>
        <v>174.32336896521531</v>
      </c>
      <c r="U286" s="8">
        <f t="shared" si="30"/>
        <v>31.378206413738756</v>
      </c>
      <c r="V286" s="234">
        <f t="shared" si="36"/>
        <v>3517.8455857180447</v>
      </c>
      <c r="W286" s="15">
        <v>25</v>
      </c>
      <c r="X286" s="8">
        <f t="shared" si="34"/>
        <v>4.5</v>
      </c>
      <c r="Y286" s="233">
        <f t="shared" si="35"/>
        <v>1487.5</v>
      </c>
    </row>
    <row r="287" spans="1:25">
      <c r="A287" s="156" t="e" cm="1">
        <f t="array" aca="1" ref="A287" ca="1">_xlfn.IFS(E287=$AB$42,$AC$42,E287=$AB$43,$AC$43,E287=$AB$44,$AC$44,E287=$AB$45,$AC$45,E287=$AB$46,$AC$46,E287=$AB$47,$AC$47,E287=$AB$48,$AC$48,E287=$AB$49,$AC$49,E287=$AB$50,$AC$50,E287=$AB$51,$AC$51,E287=$AB$52,$AC$52,E287=$AB$53,$AC$53,E287=$AB$54,$AC$54,E287=$AB$55,$AC$55,E287=$AB$56,$AC$56,E287=$AB$57,$AC$57,E287=$AB$58,$AC$58,E287=$AB$59,$AC$59,E287=$AB$60,$AC$60,E287=$AB$61,$AC$61,E287=$AB$62,$AC$62,E287=$AB$63,$AC$63,E287=$AB$64,$AC$64,E287=$AB$65,$AC$65,E287=$AB$66,$AC$66,TRUE,"0")</f>
        <v>#NAME?</v>
      </c>
      <c r="C287" s="161" t="str" cm="1">
        <f t="array" ref="C287">_xlfn.IFS(E287=$AB$42,$AF$42,E287=$AB$43,$AF$43,E287=$AB$44,$AF$44,E287=$AB$45,$AF$45,E287=$AB$46,$AF$46,E287=$AB$47,$AF$47,E287=$AB$48,$AF$48,E287=$AB$49,$AF$49,E287=$AB$50,$AF$50,E287=$AB$51,$AF$51,E287=$AB$52,$AF$52,E287=$AB$53,$AF$53,E287=$AB$54,$AF$54,E287=$AB$55,$AF$55,E287=$AB$56,$AF$56,E287=$AB$57,$AF$57,E287=$AB$58,$AF$58,E287=$AB$59,$AF$59,E287=$AB$60,$AF$60,E287=$AB$61,$AF$61,E287=$AB$62,$AF$62,E287=$AB$63,$AF$63,E287=$AB$64,$AF$64,E287=$AB$65,$AF$65,E287=$AB$66,$AF$66,TRUE,"0")</f>
        <v>B4 Match, lay HT 0-0 or BACK H1 +0.5 GOALS</v>
      </c>
      <c r="D287" s="270" t="str" cm="1">
        <f t="array" ref="D287">_xlfn.IFS(E287=$AB$42,$AD$42,E287=$AB$43,$AD$43,E287=$AB$44,$AD$44,E287=$AB$45,$AD$45,E287=$AB$46,$AD$46,E287=$AB$47,$AD$47,E287=$AB$48,$AD$48,E287=$AB$49,$AD$49,E287=$AB$50,$AD$50,E287=$AB$51,$AD$51,E287=$AB$52,$AD$52,E287=$AB$53,$AD$53,E287=$AB$54,$AD$54,E287=$AB$55,$AD$55,E287=$AB$56,$AD$56,E287=$AB$57,$AD$57,E287=$AB$58,$AD$58,E287=$AB$59,$AD$59,E287=$AB$60,$AD$60,E287=$AB$61,$AD$61,E287=$AB$62,$AD$62,E287=$AB$63,$AD$63,E287=$AB$64,$AD$64,E287=$AB$65,$AD$65,E287=$AB$66,$AD$66,TRUE,"0")</f>
        <v xml:space="preserve">BFM </v>
      </c>
      <c r="E287" s="163" t="s">
        <v>432</v>
      </c>
      <c r="F287" s="2" t="s">
        <v>133</v>
      </c>
      <c r="G287" s="2" t="s">
        <v>78</v>
      </c>
      <c r="H287" s="3">
        <v>45333.729166666664</v>
      </c>
      <c r="I287" s="2" t="s">
        <v>394</v>
      </c>
      <c r="J287" s="2" t="s">
        <v>374</v>
      </c>
      <c r="K287" s="2">
        <v>85</v>
      </c>
      <c r="L287" s="2">
        <v>20</v>
      </c>
      <c r="M287" s="2">
        <v>40</v>
      </c>
      <c r="N287" s="2">
        <v>5</v>
      </c>
      <c r="O287" s="2">
        <v>1.6</v>
      </c>
      <c r="P287" s="2">
        <v>20</v>
      </c>
      <c r="Q287" s="2" t="s">
        <v>95</v>
      </c>
      <c r="R287" s="14" t="s">
        <v>193</v>
      </c>
      <c r="S287" s="13" t="s">
        <v>222</v>
      </c>
      <c r="T287" s="188">
        <f t="shared" si="33"/>
        <v>175.89227928590225</v>
      </c>
      <c r="U287" s="8">
        <f t="shared" si="30"/>
        <v>31.660610271462403</v>
      </c>
      <c r="V287" s="234">
        <f t="shared" si="36"/>
        <v>3549.506195989507</v>
      </c>
      <c r="W287" s="15">
        <v>25</v>
      </c>
      <c r="X287" s="8">
        <f t="shared" si="34"/>
        <v>4.5</v>
      </c>
      <c r="Y287" s="233">
        <f t="shared" si="35"/>
        <v>1492</v>
      </c>
    </row>
    <row r="288" spans="1:25">
      <c r="A288" s="156" t="e" cm="1">
        <f t="array" aca="1" ref="A288" ca="1">_xlfn.IFS(E288=$AB$42,$AC$42,E288=$AB$43,$AC$43,E288=$AB$44,$AC$44,E288=$AB$45,$AC$45,E288=$AB$46,$AC$46,E288=$AB$47,$AC$47,E288=$AB$48,$AC$48,E288=$AB$49,$AC$49,E288=$AB$50,$AC$50,E288=$AB$51,$AC$51,E288=$AB$52,$AC$52,E288=$AB$53,$AC$53,E288=$AB$54,$AC$54,E288=$AB$55,$AC$55,E288=$AB$56,$AC$56,E288=$AB$57,$AC$57,E288=$AB$58,$AC$58,E288=$AB$59,$AC$59,E288=$AB$60,$AC$60,E288=$AB$61,$AC$61,E288=$AB$62,$AC$62,E288=$AB$63,$AC$63,E288=$AB$64,$AC$64,E288=$AB$65,$AC$65,E288=$AB$66,$AC$66,TRUE,"0")</f>
        <v>#NAME?</v>
      </c>
      <c r="C288" s="161" t="str" cm="1">
        <f t="array" ref="C288">_xlfn.IFS(E288=$AB$42,$AF$42,E288=$AB$43,$AF$43,E288=$AB$44,$AF$44,E288=$AB$45,$AF$45,E288=$AB$46,$AF$46,E288=$AB$47,$AF$47,E288=$AB$48,$AF$48,E288=$AB$49,$AF$49,E288=$AB$50,$AF$50,E288=$AB$51,$AF$51,E288=$AB$52,$AF$52,E288=$AB$53,$AF$53,E288=$AB$54,$AF$54,E288=$AB$55,$AF$55,E288=$AB$56,$AF$56,E288=$AB$57,$AF$57,E288=$AB$58,$AF$58,E288=$AB$59,$AF$59,E288=$AB$60,$AF$60,E288=$AB$61,$AF$61,E288=$AB$62,$AF$62,E288=$AB$63,$AF$63,E288=$AB$64,$AF$64,E288=$AB$65,$AF$65,E288=$AB$66,$AF$66,TRUE,"0")</f>
        <v>if 0-0, BACK+ 0.5 GOALS  @ 1.15+odds.  or @ 40 mins</v>
      </c>
      <c r="D288" s="270" t="str" cm="1">
        <f t="array" ref="D288">_xlfn.IFS(E288=$AB$42,$AD$42,E288=$AB$43,$AD$43,E288=$AB$44,$AD$44,E288=$AB$45,$AD$45,E288=$AB$46,$AD$46,E288=$AB$47,$AD$47,E288=$AB$48,$AD$48,E288=$AB$49,$AD$49,E288=$AB$50,$AD$50,E288=$AB$51,$AD$51,E288=$AB$52,$AD$52,E288=$AB$53,$AD$53,E288=$AB$54,$AD$54,E288=$AB$55,$AD$55,E288=$AB$56,$AD$56,E288=$AB$57,$AD$57,E288=$AB$58,$AD$58,E288=$AB$59,$AD$59,E288=$AB$60,$AD$60,E288=$AB$61,$AD$61,E288=$AB$62,$AD$62,E288=$AB$63,$AD$63,E288=$AB$64,$AD$64,E288=$AB$65,$AD$65,E288=$AB$66,$AD$66,TRUE,"0")</f>
        <v>IP</v>
      </c>
      <c r="E288" s="163" t="s">
        <v>270</v>
      </c>
      <c r="F288" s="2" t="s">
        <v>58</v>
      </c>
      <c r="G288" s="2" t="s">
        <v>59</v>
      </c>
      <c r="H288" s="3">
        <v>45333.75</v>
      </c>
      <c r="I288" s="2" t="s">
        <v>125</v>
      </c>
      <c r="J288" s="2" t="s">
        <v>112</v>
      </c>
      <c r="K288" s="2">
        <v>65</v>
      </c>
      <c r="L288" s="2">
        <v>0</v>
      </c>
      <c r="M288" s="2">
        <v>20</v>
      </c>
      <c r="N288" s="2">
        <v>2.4900000000000002</v>
      </c>
      <c r="O288" s="2"/>
      <c r="P288" s="2"/>
      <c r="Q288" s="2" t="s">
        <v>95</v>
      </c>
      <c r="R288" s="14" t="s">
        <v>220</v>
      </c>
      <c r="S288" s="13" t="s">
        <v>195</v>
      </c>
      <c r="T288" s="188">
        <f t="shared" si="33"/>
        <v>177.47530979947535</v>
      </c>
      <c r="U288" s="8">
        <f t="shared" si="30"/>
        <v>31.945555763905563</v>
      </c>
      <c r="V288" s="234">
        <f t="shared" si="36"/>
        <v>3581.4517517534127</v>
      </c>
      <c r="W288" s="15">
        <v>25</v>
      </c>
      <c r="X288" s="8">
        <f t="shared" si="34"/>
        <v>4.5</v>
      </c>
      <c r="Y288" s="233">
        <f t="shared" si="35"/>
        <v>1496.5</v>
      </c>
    </row>
    <row r="289" spans="1:25">
      <c r="A289" s="156" t="e" cm="1">
        <f t="array" aca="1" ref="A289" ca="1">_xlfn.IFS(E289=$AB$42,$AC$42,E289=$AB$43,$AC$43,E289=$AB$44,$AC$44,E289=$AB$45,$AC$45,E289=$AB$46,$AC$46,E289=$AB$47,$AC$47,E289=$AB$48,$AC$48,E289=$AB$49,$AC$49,E289=$AB$50,$AC$50,E289=$AB$51,$AC$51,E289=$AB$52,$AC$52,E289=$AB$53,$AC$53,E289=$AB$54,$AC$54,E289=$AB$55,$AC$55,E289=$AB$56,$AC$56,E289=$AB$57,$AC$57,E289=$AB$58,$AC$58,E289=$AB$59,$AC$59,E289=$AB$60,$AC$60,E289=$AB$61,$AC$61,E289=$AB$62,$AC$62,E289=$AB$63,$AC$63,E289=$AB$64,$AC$64,E289=$AB$65,$AC$65,E289=$AB$66,$AC$66,TRUE,"0")</f>
        <v>#NAME?</v>
      </c>
      <c r="C289" s="161" t="str" cm="1">
        <f t="array" ref="C289">_xlfn.IFS(E289=$AB$42,$AF$42,E289=$AB$43,$AF$43,E289=$AB$44,$AF$44,E289=$AB$45,$AF$45,E289=$AB$46,$AF$46,E289=$AB$47,$AF$47,E289=$AB$48,$AF$48,E289=$AB$49,$AF$49,E289=$AB$50,$AF$50,E289=$AB$51,$AF$51,E289=$AB$52,$AF$52,E289=$AB$53,$AF$53,E289=$AB$54,$AF$54,E289=$AB$55,$AF$55,E289=$AB$56,$AF$56,E289=$AB$57,$AF$57,E289=$AB$58,$AF$58,E289=$AB$59,$AF$59,E289=$AB$60,$AF$60,E289=$AB$61,$AF$61,E289=$AB$62,$AF$62,E289=$AB$63,$AF$63,E289=$AB$64,$AF$64,E289=$AB$65,$AF$65,E289=$AB$66,$AF$66,TRUE,"0")</f>
        <v>if 0-0, BACK+ 0.5 GOALS  @ 1.15+odds.  or @ 40 mins</v>
      </c>
      <c r="D289" s="270" t="str" cm="1">
        <f t="array" ref="D289">_xlfn.IFS(E289=$AB$42,$AD$42,E289=$AB$43,$AD$43,E289=$AB$44,$AD$44,E289=$AB$45,$AD$45,E289=$AB$46,$AD$46,E289=$AB$47,$AD$47,E289=$AB$48,$AD$48,E289=$AB$49,$AD$49,E289=$AB$50,$AD$50,E289=$AB$51,$AD$51,E289=$AB$52,$AD$52,E289=$AB$53,$AD$53,E289=$AB$54,$AD$54,E289=$AB$55,$AD$55,E289=$AB$56,$AD$56,E289=$AB$57,$AD$57,E289=$AB$58,$AD$58,E289=$AB$59,$AD$59,E289=$AB$60,$AD$60,E289=$AB$61,$AD$61,E289=$AB$62,$AD$62,E289=$AB$63,$AD$63,E289=$AB$64,$AD$64,E289=$AB$65,$AD$65,E289=$AB$66,$AD$66,TRUE,"0")</f>
        <v>IP</v>
      </c>
      <c r="E289" s="163" t="s">
        <v>270</v>
      </c>
      <c r="F289" s="2" t="s">
        <v>119</v>
      </c>
      <c r="G289" s="2" t="s">
        <v>120</v>
      </c>
      <c r="H289" s="3">
        <v>45333.833333333336</v>
      </c>
      <c r="I289" s="2" t="s">
        <v>361</v>
      </c>
      <c r="J289" s="2" t="s">
        <v>388</v>
      </c>
      <c r="K289" s="2">
        <v>61</v>
      </c>
      <c r="L289" s="2">
        <v>0</v>
      </c>
      <c r="M289" s="2">
        <v>20</v>
      </c>
      <c r="N289" s="2">
        <v>2.95</v>
      </c>
      <c r="O289" s="2"/>
      <c r="P289" s="2"/>
      <c r="Q289" s="2" t="s">
        <v>95</v>
      </c>
      <c r="R289" s="14" t="s">
        <v>216</v>
      </c>
      <c r="S289" s="13" t="s">
        <v>279</v>
      </c>
      <c r="T289" s="188">
        <f t="shared" si="33"/>
        <v>179.07258758767065</v>
      </c>
      <c r="U289" s="8">
        <f t="shared" si="30"/>
        <v>32.233065765780715</v>
      </c>
      <c r="V289" s="234">
        <f t="shared" si="36"/>
        <v>3613.6848175191935</v>
      </c>
      <c r="W289" s="15">
        <v>25</v>
      </c>
      <c r="X289" s="8">
        <f t="shared" si="34"/>
        <v>4.5</v>
      </c>
      <c r="Y289" s="233">
        <f t="shared" si="35"/>
        <v>1501</v>
      </c>
    </row>
    <row r="290" spans="1:25">
      <c r="A290" s="156" t="e" cm="1">
        <f t="array" aca="1" ref="A290" ca="1">_xlfn.IFS(E290=$AB$42,$AC$42,E290=$AB$43,$AC$43,E290=$AB$44,$AC$44,E290=$AB$45,$AC$45,E290=$AB$46,$AC$46,E290=$AB$47,$AC$47,E290=$AB$48,$AC$48,E290=$AB$49,$AC$49,E290=$AB$50,$AC$50,E290=$AB$51,$AC$51,E290=$AB$52,$AC$52,E290=$AB$53,$AC$53,E290=$AB$54,$AC$54,E290=$AB$55,$AC$55,E290=$AB$56,$AC$56,E290=$AB$57,$AC$57,E290=$AB$58,$AC$58,E290=$AB$59,$AC$59,E290=$AB$60,$AC$60,E290=$AB$61,$AC$61,E290=$AB$62,$AC$62,E290=$AB$63,$AC$63,E290=$AB$64,$AC$64,E290=$AB$65,$AC$65,E290=$AB$66,$AC$66,TRUE,"0")</f>
        <v>#NAME?</v>
      </c>
      <c r="C290" s="161" t="str" cm="1">
        <f t="array" ref="C290">_xlfn.IFS(E290=$AB$42,$AF$42,E290=$AB$43,$AF$43,E290=$AB$44,$AF$44,E290=$AB$45,$AF$45,E290=$AB$46,$AF$46,E290=$AB$47,$AF$47,E290=$AB$48,$AF$48,E290=$AB$49,$AF$49,E290=$AB$50,$AF$50,E290=$AB$51,$AF$51,E290=$AB$52,$AF$52,E290=$AB$53,$AF$53,E290=$AB$54,$AF$54,E290=$AB$55,$AF$55,E290=$AB$56,$AF$56,E290=$AB$57,$AF$57,E290=$AB$58,$AF$58,E290=$AB$59,$AF$59,E290=$AB$60,$AF$60,E290=$AB$61,$AF$61,E290=$AB$62,$AF$62,E290=$AB$63,$AF$63,E290=$AB$64,$AF$64,E290=$AB$65,$AF$65,E290=$AB$66,$AF$66,TRUE,"0")</f>
        <v>40 mins Back ANother Goal</v>
      </c>
      <c r="D290" s="270" t="str" cm="1">
        <f t="array" ref="D290">_xlfn.IFS(E290=$AB$42,$AD$42,E290=$AB$43,$AD$43,E290=$AB$44,$AD$44,E290=$AB$45,$AD$45,E290=$AB$46,$AD$46,E290=$AB$47,$AD$47,E290=$AB$48,$AD$48,E290=$AB$49,$AD$49,E290=$AB$50,$AD$50,E290=$AB$51,$AD$51,E290=$AB$52,$AD$52,E290=$AB$53,$AD$53,E290=$AB$54,$AD$54,E290=$AB$55,$AD$55,E290=$AB$56,$AD$56,E290=$AB$57,$AD$57,E290=$AB$58,$AD$58,E290=$AB$59,$AD$59,E290=$AB$60,$AD$60,E290=$AB$61,$AD$61,E290=$AB$62,$AD$62,E290=$AB$63,$AD$63,E290=$AB$64,$AD$64,E290=$AB$65,$AD$65,E290=$AB$66,$AD$66,TRUE,"0")</f>
        <v xml:space="preserve">  BANG</v>
      </c>
      <c r="E290" s="163" t="s">
        <v>10</v>
      </c>
      <c r="F290" s="2" t="s">
        <v>58</v>
      </c>
      <c r="G290" s="2" t="s">
        <v>59</v>
      </c>
      <c r="H290" s="3">
        <v>45333.854166666664</v>
      </c>
      <c r="I290" s="2" t="s">
        <v>142</v>
      </c>
      <c r="J290" s="2" t="s">
        <v>60</v>
      </c>
      <c r="K290" s="2">
        <v>1.9</v>
      </c>
      <c r="L290" s="2">
        <v>90</v>
      </c>
      <c r="M290" s="2">
        <v>65</v>
      </c>
      <c r="N290" s="2">
        <v>25</v>
      </c>
      <c r="O290" s="2">
        <v>63</v>
      </c>
      <c r="P290" s="2">
        <v>20</v>
      </c>
      <c r="Q290" s="2" t="s">
        <v>95</v>
      </c>
      <c r="R290" s="14" t="s">
        <v>216</v>
      </c>
      <c r="S290" s="13" t="s">
        <v>210</v>
      </c>
      <c r="T290" s="188">
        <f t="shared" si="33"/>
        <v>180.68424087595969</v>
      </c>
      <c r="U290" s="8">
        <f t="shared" si="30"/>
        <v>32.523163357672743</v>
      </c>
      <c r="V290" s="234">
        <f t="shared" si="36"/>
        <v>3646.2079808768663</v>
      </c>
      <c r="W290" s="15">
        <v>25</v>
      </c>
      <c r="X290" s="8">
        <f t="shared" si="34"/>
        <v>4.5</v>
      </c>
      <c r="Y290" s="233">
        <f t="shared" si="35"/>
        <v>1505.5</v>
      </c>
    </row>
    <row r="291" spans="1:25">
      <c r="A291" s="156" t="e" cm="1">
        <f t="array" aca="1" ref="A291" ca="1">_xlfn.IFS(E291=$AB$42,$AC$42,E291=$AB$43,$AC$43,E291=$AB$44,$AC$44,E291=$AB$45,$AC$45,E291=$AB$46,$AC$46,E291=$AB$47,$AC$47,E291=$AB$48,$AC$48,E291=$AB$49,$AC$49,E291=$AB$50,$AC$50,E291=$AB$51,$AC$51,E291=$AB$52,$AC$52,E291=$AB$53,$AC$53,E291=$AB$54,$AC$54,E291=$AB$55,$AC$55,E291=$AB$56,$AC$56,E291=$AB$57,$AC$57,E291=$AB$58,$AC$58,E291=$AB$59,$AC$59,E291=$AB$60,$AC$60,E291=$AB$61,$AC$61,E291=$AB$62,$AC$62,E291=$AB$63,$AC$63,E291=$AB$64,$AC$64,E291=$AB$65,$AC$65,E291=$AB$66,$AC$66,TRUE,"0")</f>
        <v>#NAME?</v>
      </c>
      <c r="C291" s="161" t="str" cm="1">
        <f t="array" ref="C291">_xlfn.IFS(E291=$AB$42,$AF$42,E291=$AB$43,$AF$43,E291=$AB$44,$AF$44,E291=$AB$45,$AF$45,E291=$AB$46,$AF$46,E291=$AB$47,$AF$47,E291=$AB$48,$AF$48,E291=$AB$49,$AF$49,E291=$AB$50,$AF$50,E291=$AB$51,$AF$51,E291=$AB$52,$AF$52,E291=$AB$53,$AF$53,E291=$AB$54,$AF$54,E291=$AB$55,$AF$55,E291=$AB$56,$AF$56,E291=$AB$57,$AF$57,E291=$AB$58,$AF$58,E291=$AB$59,$AF$59,E291=$AB$60,$AF$60,E291=$AB$61,$AF$61,E291=$AB$62,$AF$62,E291=$AB$63,$AF$63,E291=$AB$64,$AF$64,E291=$AB$65,$AF$65,E291=$AB$66,$AF$66,TRUE,"0")</f>
        <v>B4 Match, lay HT 0-0 or BACK H1 +0.5 GOALS</v>
      </c>
      <c r="D291" s="270" t="str" cm="1">
        <f t="array" ref="D291">_xlfn.IFS(E291=$AB$42,$AD$42,E291=$AB$43,$AD$43,E291=$AB$44,$AD$44,E291=$AB$45,$AD$45,E291=$AB$46,$AD$46,E291=$AB$47,$AD$47,E291=$AB$48,$AD$48,E291=$AB$49,$AD$49,E291=$AB$50,$AD$50,E291=$AB$51,$AD$51,E291=$AB$52,$AD$52,E291=$AB$53,$AD$53,E291=$AB$54,$AD$54,E291=$AB$55,$AD$55,E291=$AB$56,$AD$56,E291=$AB$57,$AD$57,E291=$AB$58,$AD$58,E291=$AB$59,$AD$59,E291=$AB$60,$AD$60,E291=$AB$61,$AD$61,E291=$AB$62,$AD$62,E291=$AB$63,$AD$63,E291=$AB$64,$AD$64,E291=$AB$65,$AD$65,E291=$AB$66,$AD$66,TRUE,"0")</f>
        <v xml:space="preserve">BFM </v>
      </c>
      <c r="E291" s="163" t="s">
        <v>432</v>
      </c>
      <c r="F291" s="2" t="s">
        <v>6</v>
      </c>
      <c r="G291" s="2" t="s">
        <v>7</v>
      </c>
      <c r="H291" s="3">
        <v>45335.822916666664</v>
      </c>
      <c r="I291" s="2" t="s">
        <v>55</v>
      </c>
      <c r="J291" s="2" t="s">
        <v>114</v>
      </c>
      <c r="K291" s="2">
        <v>83</v>
      </c>
      <c r="L291" s="2">
        <v>19</v>
      </c>
      <c r="M291" s="2">
        <v>53</v>
      </c>
      <c r="N291" s="2">
        <v>10</v>
      </c>
      <c r="O291" s="2">
        <v>1.58</v>
      </c>
      <c r="P291" s="2">
        <v>40</v>
      </c>
      <c r="Q291" s="2" t="s">
        <v>95</v>
      </c>
      <c r="R291" s="14" t="s">
        <v>193</v>
      </c>
      <c r="S291" s="14" t="s">
        <v>193</v>
      </c>
      <c r="T291" s="188">
        <f t="shared" si="33"/>
        <v>182.31039904384332</v>
      </c>
      <c r="U291" s="8">
        <f t="shared" si="30"/>
        <v>32.815871827891797</v>
      </c>
      <c r="V291" s="234">
        <f t="shared" si="36"/>
        <v>3679.0238527047582</v>
      </c>
      <c r="W291" s="15">
        <v>25</v>
      </c>
      <c r="X291" s="8">
        <f t="shared" si="34"/>
        <v>4.5</v>
      </c>
      <c r="Y291" s="233">
        <f t="shared" si="35"/>
        <v>1510</v>
      </c>
    </row>
    <row r="292" spans="1:25">
      <c r="A292" s="156" t="e" cm="1">
        <f t="array" aca="1" ref="A292" ca="1">_xlfn.IFS(E292=$AB$42,$AC$42,E292=$AB$43,$AC$43,E292=$AB$44,$AC$44,E292=$AB$45,$AC$45,E292=$AB$46,$AC$46,E292=$AB$47,$AC$47,E292=$AB$48,$AC$48,E292=$AB$49,$AC$49,E292=$AB$50,$AC$50,E292=$AB$51,$AC$51,E292=$AB$52,$AC$52,E292=$AB$53,$AC$53,E292=$AB$54,$AC$54,E292=$AB$55,$AC$55,E292=$AB$56,$AC$56,E292=$AB$57,$AC$57,E292=$AB$58,$AC$58,E292=$AB$59,$AC$59,E292=$AB$60,$AC$60,E292=$AB$61,$AC$61,E292=$AB$62,$AC$62,E292=$AB$63,$AC$63,E292=$AB$64,$AC$64,E292=$AB$65,$AC$65,E292=$AB$66,$AC$66,TRUE,"0")</f>
        <v>#NAME?</v>
      </c>
      <c r="C292" s="161" t="str" cm="1">
        <f t="array" ref="C292">_xlfn.IFS(E292=$AB$42,$AF$42,E292=$AB$43,$AF$43,E292=$AB$44,$AF$44,E292=$AB$45,$AF$45,E292=$AB$46,$AF$46,E292=$AB$47,$AF$47,E292=$AB$48,$AF$48,E292=$AB$49,$AF$49,E292=$AB$50,$AF$50,E292=$AB$51,$AF$51,E292=$AB$52,$AF$52,E292=$AB$53,$AF$53,E292=$AB$54,$AF$54,E292=$AB$55,$AF$55,E292=$AB$56,$AF$56,E292=$AB$57,$AF$57,E292=$AB$58,$AF$58,E292=$AB$59,$AF$59,E292=$AB$60,$AF$60,E292=$AB$61,$AF$61,E292=$AB$62,$AF$62,E292=$AB$63,$AF$63,E292=$AB$64,$AF$64,E292=$AB$65,$AF$65,E292=$AB$66,$AF$66,TRUE,"0")</f>
        <v>40 mins Back ANother Goal</v>
      </c>
      <c r="D292" s="270" t="str" cm="1">
        <f t="array" ref="D292">_xlfn.IFS(E292=$AB$42,$AD$42,E292=$AB$43,$AD$43,E292=$AB$44,$AD$44,E292=$AB$45,$AD$45,E292=$AB$46,$AD$46,E292=$AB$47,$AD$47,E292=$AB$48,$AD$48,E292=$AB$49,$AD$49,E292=$AB$50,$AD$50,E292=$AB$51,$AD$51,E292=$AB$52,$AD$52,E292=$AB$53,$AD$53,E292=$AB$54,$AD$54,E292=$AB$55,$AD$55,E292=$AB$56,$AD$56,E292=$AB$57,$AD$57,E292=$AB$58,$AD$58,E292=$AB$59,$AD$59,E292=$AB$60,$AD$60,E292=$AB$61,$AD$61,E292=$AB$62,$AD$62,E292=$AB$63,$AD$63,E292=$AB$64,$AD$64,E292=$AB$65,$AD$65,E292=$AB$66,$AD$66,TRUE,"0")</f>
        <v xml:space="preserve">  BANG</v>
      </c>
      <c r="E292" s="163" t="s">
        <v>10</v>
      </c>
      <c r="F292" s="2" t="s">
        <v>6</v>
      </c>
      <c r="G292" s="2" t="s">
        <v>7</v>
      </c>
      <c r="H292" s="3">
        <v>45335.822916666664</v>
      </c>
      <c r="I292" s="2" t="s">
        <v>429</v>
      </c>
      <c r="J292" s="2" t="s">
        <v>163</v>
      </c>
      <c r="K292" s="2">
        <v>2</v>
      </c>
      <c r="L292" s="2">
        <v>95</v>
      </c>
      <c r="M292" s="2">
        <v>65</v>
      </c>
      <c r="N292" s="2">
        <v>25</v>
      </c>
      <c r="O292" s="2">
        <v>63</v>
      </c>
      <c r="P292" s="2">
        <v>20</v>
      </c>
      <c r="Q292" s="2" t="s">
        <v>95</v>
      </c>
      <c r="R292" s="14" t="s">
        <v>193</v>
      </c>
      <c r="S292" s="14" t="s">
        <v>210</v>
      </c>
      <c r="T292" s="188">
        <f t="shared" si="33"/>
        <v>183.95119263523793</v>
      </c>
      <c r="U292" s="8">
        <f t="shared" si="30"/>
        <v>33.111214674342826</v>
      </c>
      <c r="V292" s="234">
        <f t="shared" si="36"/>
        <v>3712.1350673791012</v>
      </c>
      <c r="W292" s="15">
        <v>25</v>
      </c>
      <c r="X292" s="8">
        <f t="shared" si="34"/>
        <v>4.5</v>
      </c>
      <c r="Y292" s="233">
        <f t="shared" si="35"/>
        <v>1514.5</v>
      </c>
    </row>
    <row r="293" spans="1:25">
      <c r="A293" s="156" t="e" cm="1">
        <f t="array" aca="1" ref="A293" ca="1">_xlfn.IFS(E293=$AB$42,$AC$42,E293=$AB$43,$AC$43,E293=$AB$44,$AC$44,E293=$AB$45,$AC$45,E293=$AB$46,$AC$46,E293=$AB$47,$AC$47,E293=$AB$48,$AC$48,E293=$AB$49,$AC$49,E293=$AB$50,$AC$50,E293=$AB$51,$AC$51,E293=$AB$52,$AC$52,E293=$AB$53,$AC$53,E293=$AB$54,$AC$54,E293=$AB$55,$AC$55,E293=$AB$56,$AC$56,E293=$AB$57,$AC$57,E293=$AB$58,$AC$58,E293=$AB$59,$AC$59,E293=$AB$60,$AC$60,E293=$AB$61,$AC$61,E293=$AB$62,$AC$62,E293=$AB$63,$AC$63,E293=$AB$64,$AC$64,E293=$AB$65,$AC$65,E293=$AB$66,$AC$66,TRUE,"0")</f>
        <v>#NAME?</v>
      </c>
      <c r="C293" s="161" t="str" cm="1">
        <f t="array" ref="C293">_xlfn.IFS(E293=$AB$42,$AF$42,E293=$AB$43,$AF$43,E293=$AB$44,$AF$44,E293=$AB$45,$AF$45,E293=$AB$46,$AF$46,E293=$AB$47,$AF$47,E293=$AB$48,$AF$48,E293=$AB$49,$AF$49,E293=$AB$50,$AF$50,E293=$AB$51,$AF$51,E293=$AB$52,$AF$52,E293=$AB$53,$AF$53,E293=$AB$54,$AF$54,E293=$AB$55,$AF$55,E293=$AB$56,$AF$56,E293=$AB$57,$AF$57,E293=$AB$58,$AF$58,E293=$AB$59,$AF$59,E293=$AB$60,$AF$60,E293=$AB$61,$AF$61,E293=$AB$62,$AF$62,E293=$AB$63,$AF$63,E293=$AB$64,$AF$64,E293=$AB$65,$AF$65,E293=$AB$66,$AF$66,TRUE,"0")</f>
        <v>if 0-0, BACK+ 0.5 GOALS  @ 1.15+odds.  or @ 40 mins</v>
      </c>
      <c r="D293" s="270" t="str" cm="1">
        <f t="array" ref="D293">_xlfn.IFS(E293=$AB$42,$AD$42,E293=$AB$43,$AD$43,E293=$AB$44,$AD$44,E293=$AB$45,$AD$45,E293=$AB$46,$AD$46,E293=$AB$47,$AD$47,E293=$AB$48,$AD$48,E293=$AB$49,$AD$49,E293=$AB$50,$AD$50,E293=$AB$51,$AD$51,E293=$AB$52,$AD$52,E293=$AB$53,$AD$53,E293=$AB$54,$AD$54,E293=$AB$55,$AD$55,E293=$AB$56,$AD$56,E293=$AB$57,$AD$57,E293=$AB$58,$AD$58,E293=$AB$59,$AD$59,E293=$AB$60,$AD$60,E293=$AB$61,$AD$61,E293=$AB$62,$AD$62,E293=$AB$63,$AD$63,E293=$AB$64,$AD$64,E293=$AB$65,$AD$65,E293=$AB$66,$AD$66,TRUE,"0")</f>
        <v>IP</v>
      </c>
      <c r="E293" s="163" t="s">
        <v>270</v>
      </c>
      <c r="F293" s="2" t="s">
        <v>6</v>
      </c>
      <c r="G293" s="2" t="s">
        <v>7</v>
      </c>
      <c r="H293" s="3">
        <v>45335.822916666664</v>
      </c>
      <c r="I293" s="2" t="s">
        <v>429</v>
      </c>
      <c r="J293" s="2" t="s">
        <v>163</v>
      </c>
      <c r="K293" s="2">
        <v>66</v>
      </c>
      <c r="L293" s="2">
        <v>0</v>
      </c>
      <c r="M293" s="2">
        <v>20</v>
      </c>
      <c r="N293" s="2">
        <v>2.5099999999999998</v>
      </c>
      <c r="O293" s="2"/>
      <c r="P293" s="2"/>
      <c r="Q293" s="2" t="s">
        <v>95</v>
      </c>
      <c r="R293" s="14" t="s">
        <v>193</v>
      </c>
      <c r="S293" s="14" t="s">
        <v>210</v>
      </c>
      <c r="T293" s="188">
        <f t="shared" si="33"/>
        <v>185.60675336895508</v>
      </c>
      <c r="U293" s="8">
        <f t="shared" si="30"/>
        <v>33.409215606411912</v>
      </c>
      <c r="V293" s="234">
        <f t="shared" si="36"/>
        <v>3745.5442829855133</v>
      </c>
      <c r="W293" s="15">
        <v>25</v>
      </c>
      <c r="X293" s="8">
        <f t="shared" si="34"/>
        <v>4.5</v>
      </c>
      <c r="Y293" s="233">
        <f t="shared" si="35"/>
        <v>1519</v>
      </c>
    </row>
    <row r="294" spans="1:25">
      <c r="A294" s="156" t="e" cm="1">
        <f t="array" aca="1" ref="A294" ca="1">_xlfn.IFS(E294=$AB$42,$AC$42,E294=$AB$43,$AC$43,E294=$AB$44,$AC$44,E294=$AB$45,$AC$45,E294=$AB$46,$AC$46,E294=$AB$47,$AC$47,E294=$AB$48,$AC$48,E294=$AB$49,$AC$49,E294=$AB$50,$AC$50,E294=$AB$51,$AC$51,E294=$AB$52,$AC$52,E294=$AB$53,$AC$53,E294=$AB$54,$AC$54,E294=$AB$55,$AC$55,E294=$AB$56,$AC$56,E294=$AB$57,$AC$57,E294=$AB$58,$AC$58,E294=$AB$59,$AC$59,E294=$AB$60,$AC$60,E294=$AB$61,$AC$61,E294=$AB$62,$AC$62,E294=$AB$63,$AC$63,E294=$AB$64,$AC$64,E294=$AB$65,$AC$65,E294=$AB$66,$AC$66,TRUE,"0")</f>
        <v>#NAME?</v>
      </c>
      <c r="C294" s="161" t="str" cm="1">
        <f t="array" ref="C294">_xlfn.IFS(E294=$AB$42,$AF$42,E294=$AB$43,$AF$43,E294=$AB$44,$AF$44,E294=$AB$45,$AF$45,E294=$AB$46,$AF$46,E294=$AB$47,$AF$47,E294=$AB$48,$AF$48,E294=$AB$49,$AF$49,E294=$AB$50,$AF$50,E294=$AB$51,$AF$51,E294=$AB$52,$AF$52,E294=$AB$53,$AF$53,E294=$AB$54,$AF$54,E294=$AB$55,$AF$55,E294=$AB$56,$AF$56,E294=$AB$57,$AF$57,E294=$AB$58,$AF$58,E294=$AB$59,$AF$59,E294=$AB$60,$AF$60,E294=$AB$61,$AF$61,E294=$AB$62,$AF$62,E294=$AB$63,$AF$63,E294=$AB$64,$AF$64,E294=$AB$65,$AF$65,E294=$AB$66,$AF$66,TRUE,"0")</f>
        <v>B4 match BACK FT +1.5 goals. X AFTER  GOAL</v>
      </c>
      <c r="D294" s="270" t="str" cm="1">
        <f t="array" ref="D294">_xlfn.IFS(E294=$AB$42,$AD$42,E294=$AB$43,$AD$43,E294=$AB$44,$AD$44,E294=$AB$45,$AD$45,E294=$AB$46,$AD$46,E294=$AB$47,$AD$47,E294=$AB$48,$AD$48,E294=$AB$49,$AD$49,E294=$AB$50,$AD$50,E294=$AB$51,$AD$51,E294=$AB$52,$AD$52,E294=$AB$53,$AD$53,E294=$AB$54,$AD$54,E294=$AB$55,$AD$55,E294=$AB$56,$AD$56,E294=$AB$57,$AD$57,E294=$AB$58,$AD$58,E294=$AB$59,$AD$59,E294=$AB$60,$AD$60,E294=$AB$61,$AD$61,E294=$AB$62,$AD$62,E294=$AB$63,$AD$63,E294=$AB$64,$AD$64,E294=$AB$65,$AD$65,E294=$AB$66,$AD$66,TRUE,"0")</f>
        <v xml:space="preserve">BFM </v>
      </c>
      <c r="E294" s="163" t="s">
        <v>406</v>
      </c>
      <c r="F294" s="2" t="s">
        <v>6</v>
      </c>
      <c r="G294" s="2" t="s">
        <v>14</v>
      </c>
      <c r="H294" s="3">
        <v>45335.822916666664</v>
      </c>
      <c r="I294" s="2" t="s">
        <v>290</v>
      </c>
      <c r="J294" s="2" t="s">
        <v>202</v>
      </c>
      <c r="K294" s="2">
        <v>1.32</v>
      </c>
      <c r="L294" s="2">
        <v>14</v>
      </c>
      <c r="M294" s="2">
        <v>2.65</v>
      </c>
      <c r="N294" s="2">
        <v>4.7</v>
      </c>
      <c r="O294" s="2">
        <v>2.4900000000000002</v>
      </c>
      <c r="P294" s="2"/>
      <c r="Q294" s="2" t="s">
        <v>95</v>
      </c>
      <c r="R294" s="14" t="s">
        <v>220</v>
      </c>
      <c r="S294" s="14" t="s">
        <v>220</v>
      </c>
      <c r="T294" s="188">
        <f t="shared" si="33"/>
        <v>187.27721414927566</v>
      </c>
      <c r="U294" s="8">
        <f t="shared" si="30"/>
        <v>33.709898546869617</v>
      </c>
      <c r="V294" s="234">
        <f t="shared" si="36"/>
        <v>3779.254181532383</v>
      </c>
      <c r="W294" s="15">
        <v>25</v>
      </c>
      <c r="X294" s="8">
        <f t="shared" si="34"/>
        <v>4.5</v>
      </c>
      <c r="Y294" s="233">
        <f t="shared" si="35"/>
        <v>1523.5</v>
      </c>
    </row>
    <row r="295" spans="1:25">
      <c r="A295" s="156" t="e" cm="1">
        <f t="array" aca="1" ref="A295" ca="1">_xlfn.IFS(E295=$AB$42,$AC$42,E295=$AB$43,$AC$43,E295=$AB$44,$AC$44,E295=$AB$45,$AC$45,E295=$AB$46,$AC$46,E295=$AB$47,$AC$47,E295=$AB$48,$AC$48,E295=$AB$49,$AC$49,E295=$AB$50,$AC$50,E295=$AB$51,$AC$51,E295=$AB$52,$AC$52,E295=$AB$53,$AC$53,E295=$AB$54,$AC$54,E295=$AB$55,$AC$55,E295=$AB$56,$AC$56,E295=$AB$57,$AC$57,E295=$AB$58,$AC$58,E295=$AB$59,$AC$59,E295=$AB$60,$AC$60,E295=$AB$61,$AC$61,E295=$AB$62,$AC$62,E295=$AB$63,$AC$63,E295=$AB$64,$AC$64,E295=$AB$65,$AC$65,E295=$AB$66,$AC$66,TRUE,"0")</f>
        <v>#NAME?</v>
      </c>
      <c r="C295" s="161" t="str" cm="1">
        <f t="array" ref="C295">_xlfn.IFS(E295=$AB$42,$AF$42,E295=$AB$43,$AF$43,E295=$AB$44,$AF$44,E295=$AB$45,$AF$45,E295=$AB$46,$AF$46,E295=$AB$47,$AF$47,E295=$AB$48,$AF$48,E295=$AB$49,$AF$49,E295=$AB$50,$AF$50,E295=$AB$51,$AF$51,E295=$AB$52,$AF$52,E295=$AB$53,$AF$53,E295=$AB$54,$AF$54,E295=$AB$55,$AF$55,E295=$AB$56,$AF$56,E295=$AB$57,$AF$57,E295=$AB$58,$AF$58,E295=$AB$59,$AF$59,E295=$AB$60,$AF$60,E295=$AB$61,$AF$61,E295=$AB$62,$AF$62,E295=$AB$63,$AF$63,E295=$AB$64,$AF$64,E295=$AB$65,$AF$65,E295=$AB$66,$AF$66,TRUE,"0")</f>
        <v>if 0-0, BACK+ 0.5 GOALS  @ 1.15+odds.  or @ 40 mins</v>
      </c>
      <c r="D295" s="270" t="str" cm="1">
        <f t="array" ref="D295">_xlfn.IFS(E295=$AB$42,$AD$42,E295=$AB$43,$AD$43,E295=$AB$44,$AD$44,E295=$AB$45,$AD$45,E295=$AB$46,$AD$46,E295=$AB$47,$AD$47,E295=$AB$48,$AD$48,E295=$AB$49,$AD$49,E295=$AB$50,$AD$50,E295=$AB$51,$AD$51,E295=$AB$52,$AD$52,E295=$AB$53,$AD$53,E295=$AB$54,$AD$54,E295=$AB$55,$AD$55,E295=$AB$56,$AD$56,E295=$AB$57,$AD$57,E295=$AB$58,$AD$58,E295=$AB$59,$AD$59,E295=$AB$60,$AD$60,E295=$AB$61,$AD$61,E295=$AB$62,$AD$62,E295=$AB$63,$AD$63,E295=$AB$64,$AD$64,E295=$AB$65,$AD$65,E295=$AB$66,$AD$66,TRUE,"0")</f>
        <v>IP</v>
      </c>
      <c r="E295" s="163" t="s">
        <v>270</v>
      </c>
      <c r="F295" s="2" t="s">
        <v>6</v>
      </c>
      <c r="G295" s="2" t="s">
        <v>14</v>
      </c>
      <c r="H295" s="3">
        <v>45335.822916666664</v>
      </c>
      <c r="I295" s="2" t="s">
        <v>290</v>
      </c>
      <c r="J295" s="2" t="s">
        <v>202</v>
      </c>
      <c r="K295" s="2">
        <v>70</v>
      </c>
      <c r="L295" s="2">
        <v>0</v>
      </c>
      <c r="M295" s="2">
        <v>20</v>
      </c>
      <c r="N295" s="2">
        <v>2.4900000000000002</v>
      </c>
      <c r="O295" s="2"/>
      <c r="P295" s="2"/>
      <c r="Q295" s="2" t="s">
        <v>95</v>
      </c>
      <c r="R295" s="14" t="s">
        <v>220</v>
      </c>
      <c r="S295" s="14" t="s">
        <v>220</v>
      </c>
      <c r="T295" s="188">
        <f t="shared" si="33"/>
        <v>188.96270907661915</v>
      </c>
      <c r="U295" s="8">
        <f t="shared" si="30"/>
        <v>34.013287633791442</v>
      </c>
      <c r="V295" s="234">
        <f t="shared" si="36"/>
        <v>3813.2674691661746</v>
      </c>
      <c r="W295" s="15">
        <v>25</v>
      </c>
      <c r="X295" s="8">
        <f t="shared" si="34"/>
        <v>4.5</v>
      </c>
      <c r="Y295" s="233">
        <f t="shared" si="35"/>
        <v>1528</v>
      </c>
    </row>
    <row r="296" spans="1:25">
      <c r="A296" s="156" t="e" cm="1">
        <f t="array" aca="1" ref="A296" ca="1">_xlfn.IFS(E296=$AB$42,$AC$42,E296=$AB$43,$AC$43,E296=$AB$44,$AC$44,E296=$AB$45,$AC$45,E296=$AB$46,$AC$46,E296=$AB$47,$AC$47,E296=$AB$48,$AC$48,E296=$AB$49,$AC$49,E296=$AB$50,$AC$50,E296=$AB$51,$AC$51,E296=$AB$52,$AC$52,E296=$AB$53,$AC$53,E296=$AB$54,$AC$54,E296=$AB$55,$AC$55,E296=$AB$56,$AC$56,E296=$AB$57,$AC$57,E296=$AB$58,$AC$58,E296=$AB$59,$AC$59,E296=$AB$60,$AC$60,E296=$AB$61,$AC$61,E296=$AB$62,$AC$62,E296=$AB$63,$AC$63,E296=$AB$64,$AC$64,E296=$AB$65,$AC$65,E296=$AB$66,$AC$66,TRUE,"0")</f>
        <v>#NAME?</v>
      </c>
      <c r="C296" s="161" t="str" cm="1">
        <f t="array" ref="C296">_xlfn.IFS(E296=$AB$42,$AF$42,E296=$AB$43,$AF$43,E296=$AB$44,$AF$44,E296=$AB$45,$AF$45,E296=$AB$46,$AF$46,E296=$AB$47,$AF$47,E296=$AB$48,$AF$48,E296=$AB$49,$AF$49,E296=$AB$50,$AF$50,E296=$AB$51,$AF$51,E296=$AB$52,$AF$52,E296=$AB$53,$AF$53,E296=$AB$54,$AF$54,E296=$AB$55,$AF$55,E296=$AB$56,$AF$56,E296=$AB$57,$AF$57,E296=$AB$58,$AF$58,E296=$AB$59,$AF$59,E296=$AB$60,$AF$60,E296=$AB$61,$AF$61,E296=$AB$62,$AF$62,E296=$AB$63,$AF$63,E296=$AB$64,$AF$64,E296=$AB$65,$AF$65,E296=$AB$66,$AF$66,TRUE,"0")</f>
        <v>40 mins Back ANother Goal</v>
      </c>
      <c r="D296" s="270" t="str" cm="1">
        <f t="array" ref="D296">_xlfn.IFS(E296=$AB$42,$AD$42,E296=$AB$43,$AD$43,E296=$AB$44,$AD$44,E296=$AB$45,$AD$45,E296=$AB$46,$AD$46,E296=$AB$47,$AD$47,E296=$AB$48,$AD$48,E296=$AB$49,$AD$49,E296=$AB$50,$AD$50,E296=$AB$51,$AD$51,E296=$AB$52,$AD$52,E296=$AB$53,$AD$53,E296=$AB$54,$AD$54,E296=$AB$55,$AD$55,E296=$AB$56,$AD$56,E296=$AB$57,$AD$57,E296=$AB$58,$AD$58,E296=$AB$59,$AD$59,E296=$AB$60,$AD$60,E296=$AB$61,$AD$61,E296=$AB$62,$AD$62,E296=$AB$63,$AD$63,E296=$AB$64,$AD$64,E296=$AB$65,$AD$65,E296=$AB$66,$AD$66,TRUE,"0")</f>
        <v xml:space="preserve">  BANG</v>
      </c>
      <c r="E296" s="163" t="s">
        <v>10</v>
      </c>
      <c r="F296" s="2" t="s">
        <v>6</v>
      </c>
      <c r="G296" s="2" t="s">
        <v>7</v>
      </c>
      <c r="H296" s="3">
        <v>45335.822916666664</v>
      </c>
      <c r="I296" s="2" t="s">
        <v>397</v>
      </c>
      <c r="J296" s="2" t="s">
        <v>8</v>
      </c>
      <c r="K296" s="2">
        <v>2.2000000000000002</v>
      </c>
      <c r="L296" s="2">
        <v>85</v>
      </c>
      <c r="M296" s="2">
        <v>70</v>
      </c>
      <c r="N296" s="2">
        <v>30</v>
      </c>
      <c r="O296" s="2">
        <v>62</v>
      </c>
      <c r="P296" s="2">
        <v>20</v>
      </c>
      <c r="Q296" s="2" t="s">
        <v>95</v>
      </c>
      <c r="R296" s="14" t="s">
        <v>217</v>
      </c>
      <c r="S296" s="14" t="s">
        <v>211</v>
      </c>
      <c r="T296" s="188">
        <f t="shared" si="33"/>
        <v>190.66337345830874</v>
      </c>
      <c r="U296" s="8">
        <f t="shared" si="30"/>
        <v>34.31940722249557</v>
      </c>
      <c r="V296" s="234">
        <f t="shared" si="36"/>
        <v>3847.5868763886701</v>
      </c>
      <c r="W296" s="15">
        <v>25</v>
      </c>
      <c r="X296" s="8">
        <f t="shared" si="34"/>
        <v>4.5</v>
      </c>
      <c r="Y296" s="233">
        <f t="shared" si="35"/>
        <v>1532.5</v>
      </c>
    </row>
    <row r="297" spans="1:25">
      <c r="A297" s="156" t="e" cm="1">
        <f t="array" aca="1" ref="A297" ca="1">_xlfn.IFS(E297=$AB$42,$AC$42,E297=$AB$43,$AC$43,E297=$AB$44,$AC$44,E297=$AB$45,$AC$45,E297=$AB$46,$AC$46,E297=$AB$47,$AC$47,E297=$AB$48,$AC$48,E297=$AB$49,$AC$49,E297=$AB$50,$AC$50,E297=$AB$51,$AC$51,E297=$AB$52,$AC$52,E297=$AB$53,$AC$53,E297=$AB$54,$AC$54,E297=$AB$55,$AC$55,E297=$AB$56,$AC$56,E297=$AB$57,$AC$57,E297=$AB$58,$AC$58,E297=$AB$59,$AC$59,E297=$AB$60,$AC$60,E297=$AB$61,$AC$61,E297=$AB$62,$AC$62,E297=$AB$63,$AC$63,E297=$AB$64,$AC$64,E297=$AB$65,$AC$65,E297=$AB$66,$AC$66,TRUE,"0")</f>
        <v>#NAME?</v>
      </c>
      <c r="C297" s="161" t="str" cm="1">
        <f t="array" ref="C297">_xlfn.IFS(E297=$AB$42,$AF$42,E297=$AB$43,$AF$43,E297=$AB$44,$AF$44,E297=$AB$45,$AF$45,E297=$AB$46,$AF$46,E297=$AB$47,$AF$47,E297=$AB$48,$AF$48,E297=$AB$49,$AF$49,E297=$AB$50,$AF$50,E297=$AB$51,$AF$51,E297=$AB$52,$AF$52,E297=$AB$53,$AF$53,E297=$AB$54,$AF$54,E297=$AB$55,$AF$55,E297=$AB$56,$AF$56,E297=$AB$57,$AF$57,E297=$AB$58,$AF$58,E297=$AB$59,$AF$59,E297=$AB$60,$AF$60,E297=$AB$61,$AF$61,E297=$AB$62,$AF$62,E297=$AB$63,$AF$63,E297=$AB$64,$AF$64,E297=$AB$65,$AF$65,E297=$AB$66,$AF$66,TRUE,"0")</f>
        <v>40 mins Back ANother Goal</v>
      </c>
      <c r="D297" s="270" t="str" cm="1">
        <f t="array" ref="D297">_xlfn.IFS(E297=$AB$42,$AD$42,E297=$AB$43,$AD$43,E297=$AB$44,$AD$44,E297=$AB$45,$AD$45,E297=$AB$46,$AD$46,E297=$AB$47,$AD$47,E297=$AB$48,$AD$48,E297=$AB$49,$AD$49,E297=$AB$50,$AD$50,E297=$AB$51,$AD$51,E297=$AB$52,$AD$52,E297=$AB$53,$AD$53,E297=$AB$54,$AD$54,E297=$AB$55,$AD$55,E297=$AB$56,$AD$56,E297=$AB$57,$AD$57,E297=$AB$58,$AD$58,E297=$AB$59,$AD$59,E297=$AB$60,$AD$60,E297=$AB$61,$AD$61,E297=$AB$62,$AD$62,E297=$AB$63,$AD$63,E297=$AB$64,$AD$64,E297=$AB$65,$AD$65,E297=$AB$66,$AD$66,TRUE,"0")</f>
        <v xml:space="preserve">  BANG</v>
      </c>
      <c r="E297" s="163" t="s">
        <v>43</v>
      </c>
      <c r="F297" s="2" t="s">
        <v>6</v>
      </c>
      <c r="G297" s="2" t="s">
        <v>14</v>
      </c>
      <c r="H297" s="3">
        <v>45335.822916666664</v>
      </c>
      <c r="I297" s="2" t="s">
        <v>317</v>
      </c>
      <c r="J297" s="2" t="s">
        <v>431</v>
      </c>
      <c r="K297" s="2">
        <v>67</v>
      </c>
      <c r="L297" s="2">
        <v>69</v>
      </c>
      <c r="M297" s="2">
        <v>61</v>
      </c>
      <c r="N297" s="2">
        <v>1.6</v>
      </c>
      <c r="O297" s="2">
        <v>1.37</v>
      </c>
      <c r="P297" s="2"/>
      <c r="Q297" s="2" t="s">
        <v>95</v>
      </c>
      <c r="R297" s="14" t="s">
        <v>222</v>
      </c>
      <c r="S297" s="14" t="s">
        <v>277</v>
      </c>
      <c r="T297" s="188">
        <f t="shared" si="33"/>
        <v>192.37934381943353</v>
      </c>
      <c r="U297" s="8">
        <f t="shared" si="30"/>
        <v>34.628281887498034</v>
      </c>
      <c r="V297" s="234">
        <f t="shared" si="36"/>
        <v>3882.215158276168</v>
      </c>
      <c r="W297" s="15">
        <v>25</v>
      </c>
      <c r="X297" s="8">
        <f t="shared" si="34"/>
        <v>4.5</v>
      </c>
      <c r="Y297" s="233">
        <f t="shared" si="35"/>
        <v>1537</v>
      </c>
    </row>
    <row r="298" spans="1:25">
      <c r="A298" s="156" t="e" cm="1">
        <f t="array" aca="1" ref="A298" ca="1">_xlfn.IFS(E298=$AB$42,$AC$42,E298=$AB$43,$AC$43,E298=$AB$44,$AC$44,E298=$AB$45,$AC$45,E298=$AB$46,$AC$46,E298=$AB$47,$AC$47,E298=$AB$48,$AC$48,E298=$AB$49,$AC$49,E298=$AB$50,$AC$50,E298=$AB$51,$AC$51,E298=$AB$52,$AC$52,E298=$AB$53,$AC$53,E298=$AB$54,$AC$54,E298=$AB$55,$AC$55,E298=$AB$56,$AC$56,E298=$AB$57,$AC$57,E298=$AB$58,$AC$58,E298=$AB$59,$AC$59,E298=$AB$60,$AC$60,E298=$AB$61,$AC$61,E298=$AB$62,$AC$62,E298=$AB$63,$AC$63,E298=$AB$64,$AC$64,E298=$AB$65,$AC$65,E298=$AB$66,$AC$66,TRUE,"0")</f>
        <v>#NAME?</v>
      </c>
      <c r="C298" s="161" t="str" cm="1">
        <f t="array" ref="C298">_xlfn.IFS(E298=$AB$42,$AF$42,E298=$AB$43,$AF$43,E298=$AB$44,$AF$44,E298=$AB$45,$AF$45,E298=$AB$46,$AF$46,E298=$AB$47,$AF$47,E298=$AB$48,$AF$48,E298=$AB$49,$AF$49,E298=$AB$50,$AF$50,E298=$AB$51,$AF$51,E298=$AB$52,$AF$52,E298=$AB$53,$AF$53,E298=$AB$54,$AF$54,E298=$AB$55,$AF$55,E298=$AB$56,$AF$56,E298=$AB$57,$AF$57,E298=$AB$58,$AF$58,E298=$AB$59,$AF$59,E298=$AB$60,$AF$60,E298=$AB$61,$AF$61,E298=$AB$62,$AF$62,E298=$AB$63,$AF$63,E298=$AB$64,$AF$64,E298=$AB$65,$AF$65,E298=$AB$66,$AF$66,TRUE,"0")</f>
        <v>B4 MATCH back over 2.5 goals.X after goal OR let run</v>
      </c>
      <c r="D298" s="270" t="str" cm="1">
        <f t="array" ref="D298">_xlfn.IFS(E298=$AB$42,$AD$42,E298=$AB$43,$AD$43,E298=$AB$44,$AD$44,E298=$AB$45,$AD$45,E298=$AB$46,$AD$46,E298=$AB$47,$AD$47,E298=$AB$48,$AD$48,E298=$AB$49,$AD$49,E298=$AB$50,$AD$50,E298=$AB$51,$AD$51,E298=$AB$52,$AD$52,E298=$AB$53,$AD$53,E298=$AB$54,$AD$54,E298=$AB$55,$AD$55,E298=$AB$56,$AD$56,E298=$AB$57,$AD$57,E298=$AB$58,$AD$58,E298=$AB$59,$AD$59,E298=$AB$60,$AD$60,E298=$AB$61,$AD$61,E298=$AB$62,$AD$62,E298=$AB$63,$AD$63,E298=$AB$64,$AD$64,E298=$AB$65,$AD$65,E298=$AB$66,$AD$66,TRUE,"0")</f>
        <v xml:space="preserve">BFM </v>
      </c>
      <c r="E298" s="163" t="s">
        <v>177</v>
      </c>
      <c r="F298" s="2" t="s">
        <v>6</v>
      </c>
      <c r="G298" s="2" t="s">
        <v>14</v>
      </c>
      <c r="H298" s="3">
        <v>45336.822916666664</v>
      </c>
      <c r="I298" s="2" t="s">
        <v>57</v>
      </c>
      <c r="J298" s="2" t="s">
        <v>376</v>
      </c>
      <c r="K298" s="2">
        <v>3.5</v>
      </c>
      <c r="L298" s="2">
        <v>95</v>
      </c>
      <c r="M298" s="2">
        <v>75</v>
      </c>
      <c r="N298" s="2">
        <v>32</v>
      </c>
      <c r="O298" s="2">
        <v>55</v>
      </c>
      <c r="P298" s="2">
        <v>2.9</v>
      </c>
      <c r="Q298" s="2" t="s">
        <v>95</v>
      </c>
      <c r="R298" s="14" t="s">
        <v>221</v>
      </c>
      <c r="S298" s="14" t="s">
        <v>210</v>
      </c>
      <c r="T298" s="188">
        <f t="shared" si="33"/>
        <v>194.11075791380841</v>
      </c>
      <c r="U298" s="8">
        <f t="shared" si="30"/>
        <v>34.939936424485516</v>
      </c>
      <c r="V298" s="234">
        <f t="shared" si="36"/>
        <v>3917.1550947006535</v>
      </c>
      <c r="W298" s="15">
        <v>25</v>
      </c>
      <c r="X298" s="8">
        <f t="shared" si="34"/>
        <v>4.5</v>
      </c>
      <c r="Y298" s="233">
        <f t="shared" si="35"/>
        <v>1541.5</v>
      </c>
    </row>
    <row r="299" spans="1:25">
      <c r="A299" s="156" t="e" cm="1">
        <f t="array" aca="1" ref="A299" ca="1">_xlfn.IFS(E299=$AB$42,$AC$42,E299=$AB$43,$AC$43,E299=$AB$44,$AC$44,E299=$AB$45,$AC$45,E299=$AB$46,$AC$46,E299=$AB$47,$AC$47,E299=$AB$48,$AC$48,E299=$AB$49,$AC$49,E299=$AB$50,$AC$50,E299=$AB$51,$AC$51,E299=$AB$52,$AC$52,E299=$AB$53,$AC$53,E299=$AB$54,$AC$54,E299=$AB$55,$AC$55,E299=$AB$56,$AC$56,E299=$AB$57,$AC$57,E299=$AB$58,$AC$58,E299=$AB$59,$AC$59,E299=$AB$60,$AC$60,E299=$AB$61,$AC$61,E299=$AB$62,$AC$62,E299=$AB$63,$AC$63,E299=$AB$64,$AC$64,E299=$AB$65,$AC$65,E299=$AB$66,$AC$66,TRUE,"0")</f>
        <v>#NAME?</v>
      </c>
      <c r="C299" s="161" t="str" cm="1">
        <f t="array" ref="C299">_xlfn.IFS(E299=$AB$42,$AF$42,E299=$AB$43,$AF$43,E299=$AB$44,$AF$44,E299=$AB$45,$AF$45,E299=$AB$46,$AF$46,E299=$AB$47,$AF$47,E299=$AB$48,$AF$48,E299=$AB$49,$AF$49,E299=$AB$50,$AF$50,E299=$AB$51,$AF$51,E299=$AB$52,$AF$52,E299=$AB$53,$AF$53,E299=$AB$54,$AF$54,E299=$AB$55,$AF$55,E299=$AB$56,$AF$56,E299=$AB$57,$AF$57,E299=$AB$58,$AF$58,E299=$AB$59,$AF$59,E299=$AB$60,$AF$60,E299=$AB$61,$AF$61,E299=$AB$62,$AF$62,E299=$AB$63,$AF$63,E299=$AB$64,$AF$64,E299=$AB$65,$AF$65,E299=$AB$66,$AF$66,TRUE,"0")</f>
        <v>if 0-0, BACK+ 0.5 GOALS  @ 1.15+odds.  or @ 40 mins</v>
      </c>
      <c r="D299" s="270" t="str" cm="1">
        <f t="array" ref="D299">_xlfn.IFS(E299=$AB$42,$AD$42,E299=$AB$43,$AD$43,E299=$AB$44,$AD$44,E299=$AB$45,$AD$45,E299=$AB$46,$AD$46,E299=$AB$47,$AD$47,E299=$AB$48,$AD$48,E299=$AB$49,$AD$49,E299=$AB$50,$AD$50,E299=$AB$51,$AD$51,E299=$AB$52,$AD$52,E299=$AB$53,$AD$53,E299=$AB$54,$AD$54,E299=$AB$55,$AD$55,E299=$AB$56,$AD$56,E299=$AB$57,$AD$57,E299=$AB$58,$AD$58,E299=$AB$59,$AD$59,E299=$AB$60,$AD$60,E299=$AB$61,$AD$61,E299=$AB$62,$AD$62,E299=$AB$63,$AD$63,E299=$AB$64,$AD$64,E299=$AB$65,$AD$65,E299=$AB$66,$AD$66,TRUE,"0")</f>
        <v>IP</v>
      </c>
      <c r="E299" s="163" t="s">
        <v>270</v>
      </c>
      <c r="F299" s="2" t="s">
        <v>6</v>
      </c>
      <c r="G299" s="2" t="s">
        <v>14</v>
      </c>
      <c r="H299" s="3">
        <v>45336.822916666664</v>
      </c>
      <c r="I299" s="2" t="s">
        <v>200</v>
      </c>
      <c r="J299" s="2" t="s">
        <v>17</v>
      </c>
      <c r="K299" s="2">
        <v>61</v>
      </c>
      <c r="L299" s="2">
        <v>0</v>
      </c>
      <c r="M299" s="2">
        <v>20</v>
      </c>
      <c r="N299" s="2">
        <v>2.42</v>
      </c>
      <c r="O299" s="2"/>
      <c r="P299" s="2"/>
      <c r="Q299" s="2" t="s">
        <v>95</v>
      </c>
      <c r="R299" s="14" t="s">
        <v>214</v>
      </c>
      <c r="S299" s="14" t="s">
        <v>222</v>
      </c>
      <c r="T299" s="188">
        <f t="shared" si="33"/>
        <v>195.8577547350327</v>
      </c>
      <c r="U299" s="8">
        <f t="shared" si="30"/>
        <v>35.254395852305883</v>
      </c>
      <c r="V299" s="234">
        <f t="shared" si="36"/>
        <v>3952.4094905529596</v>
      </c>
      <c r="W299" s="15">
        <v>25</v>
      </c>
      <c r="X299" s="8">
        <f t="shared" si="34"/>
        <v>4.5</v>
      </c>
      <c r="Y299" s="233">
        <f t="shared" si="35"/>
        <v>1546</v>
      </c>
    </row>
    <row r="300" spans="1:25">
      <c r="A300" s="156" t="e" cm="1">
        <f t="array" aca="1" ref="A300" ca="1">_xlfn.IFS(E300=$AB$42,$AC$42,E300=$AB$43,$AC$43,E300=$AB$44,$AC$44,E300=$AB$45,$AC$45,E300=$AB$46,$AC$46,E300=$AB$47,$AC$47,E300=$AB$48,$AC$48,E300=$AB$49,$AC$49,E300=$AB$50,$AC$50,E300=$AB$51,$AC$51,E300=$AB$52,$AC$52,E300=$AB$53,$AC$53,E300=$AB$54,$AC$54,E300=$AB$55,$AC$55,E300=$AB$56,$AC$56,E300=$AB$57,$AC$57,E300=$AB$58,$AC$58,E300=$AB$59,$AC$59,E300=$AB$60,$AC$60,E300=$AB$61,$AC$61,E300=$AB$62,$AC$62,E300=$AB$63,$AC$63,E300=$AB$64,$AC$64,E300=$AB$65,$AC$65,E300=$AB$66,$AC$66,TRUE,"0")</f>
        <v>#NAME?</v>
      </c>
      <c r="C300" s="161" t="str" cm="1">
        <f t="array" ref="C300">_xlfn.IFS(E300=$AB$42,$AF$42,E300=$AB$43,$AF$43,E300=$AB$44,$AF$44,E300=$AB$45,$AF$45,E300=$AB$46,$AF$46,E300=$AB$47,$AF$47,E300=$AB$48,$AF$48,E300=$AB$49,$AF$49,E300=$AB$50,$AF$50,E300=$AB$51,$AF$51,E300=$AB$52,$AF$52,E300=$AB$53,$AF$53,E300=$AB$54,$AF$54,E300=$AB$55,$AF$55,E300=$AB$56,$AF$56,E300=$AB$57,$AF$57,E300=$AB$58,$AF$58,E300=$AB$59,$AF$59,E300=$AB$60,$AF$60,E300=$AB$61,$AF$61,E300=$AB$62,$AF$62,E300=$AB$63,$AF$63,E300=$AB$64,$AF$64,E300=$AB$65,$AF$65,E300=$AB$66,$AF$66,TRUE,"0")</f>
        <v>40 mins Back ANother Goal</v>
      </c>
      <c r="D300" s="270" t="str" cm="1">
        <f t="array" ref="D300">_xlfn.IFS(E300=$AB$42,$AD$42,E300=$AB$43,$AD$43,E300=$AB$44,$AD$44,E300=$AB$45,$AD$45,E300=$AB$46,$AD$46,E300=$AB$47,$AD$47,E300=$AB$48,$AD$48,E300=$AB$49,$AD$49,E300=$AB$50,$AD$50,E300=$AB$51,$AD$51,E300=$AB$52,$AD$52,E300=$AB$53,$AD$53,E300=$AB$54,$AD$54,E300=$AB$55,$AD$55,E300=$AB$56,$AD$56,E300=$AB$57,$AD$57,E300=$AB$58,$AD$58,E300=$AB$59,$AD$59,E300=$AB$60,$AD$60,E300=$AB$61,$AD$61,E300=$AB$62,$AD$62,E300=$AB$63,$AD$63,E300=$AB$64,$AD$64,E300=$AB$65,$AD$65,E300=$AB$66,$AD$66,TRUE,"0")</f>
        <v xml:space="preserve">  BANG</v>
      </c>
      <c r="E300" s="163" t="s">
        <v>43</v>
      </c>
      <c r="F300" s="2" t="s">
        <v>20</v>
      </c>
      <c r="G300" s="2" t="s">
        <v>21</v>
      </c>
      <c r="H300" s="3">
        <v>45338.75</v>
      </c>
      <c r="I300" s="2" t="s">
        <v>336</v>
      </c>
      <c r="J300" s="2" t="s">
        <v>98</v>
      </c>
      <c r="K300" s="2">
        <v>67</v>
      </c>
      <c r="L300" s="2">
        <v>67</v>
      </c>
      <c r="M300" s="2">
        <v>65</v>
      </c>
      <c r="N300" s="2">
        <v>1.5</v>
      </c>
      <c r="O300" s="2">
        <v>1.22</v>
      </c>
      <c r="P300" s="2"/>
      <c r="Q300" s="2" t="s">
        <v>95</v>
      </c>
      <c r="R300" s="14" t="s">
        <v>221</v>
      </c>
      <c r="S300" s="14" t="s">
        <v>220</v>
      </c>
      <c r="T300" s="188">
        <f t="shared" si="33"/>
        <v>197.62047452764799</v>
      </c>
      <c r="U300" s="8">
        <f t="shared" si="30"/>
        <v>35.571685414976635</v>
      </c>
      <c r="V300" s="234">
        <f t="shared" si="36"/>
        <v>3987.9811759679365</v>
      </c>
      <c r="W300" s="15">
        <v>25</v>
      </c>
      <c r="X300" s="8">
        <f t="shared" si="34"/>
        <v>4.5</v>
      </c>
      <c r="Y300" s="233">
        <f t="shared" si="35"/>
        <v>1550.5</v>
      </c>
    </row>
    <row r="301" spans="1:25">
      <c r="A301" s="156" t="e" cm="1">
        <f t="array" aca="1" ref="A301" ca="1">_xlfn.IFS(E301=$AB$42,$AC$42,E301=$AB$43,$AC$43,E301=$AB$44,$AC$44,E301=$AB$45,$AC$45,E301=$AB$46,$AC$46,E301=$AB$47,$AC$47,E301=$AB$48,$AC$48,E301=$AB$49,$AC$49,E301=$AB$50,$AC$50,E301=$AB$51,$AC$51,E301=$AB$52,$AC$52,E301=$AB$53,$AC$53,E301=$AB$54,$AC$54,E301=$AB$55,$AC$55,E301=$AB$56,$AC$56,E301=$AB$57,$AC$57,E301=$AB$58,$AC$58,E301=$AB$59,$AC$59,E301=$AB$60,$AC$60,E301=$AB$61,$AC$61,E301=$AB$62,$AC$62,E301=$AB$63,$AC$63,E301=$AB$64,$AC$64,E301=$AB$65,$AC$65,E301=$AB$66,$AC$66,TRUE,"0")</f>
        <v>#NAME?</v>
      </c>
      <c r="C301" s="161" t="str" cm="1">
        <f t="array" ref="C301">_xlfn.IFS(E301=$AB$42,$AF$42,E301=$AB$43,$AF$43,E301=$AB$44,$AF$44,E301=$AB$45,$AF$45,E301=$AB$46,$AF$46,E301=$AB$47,$AF$47,E301=$AB$48,$AF$48,E301=$AB$49,$AF$49,E301=$AB$50,$AF$50,E301=$AB$51,$AF$51,E301=$AB$52,$AF$52,E301=$AB$53,$AF$53,E301=$AB$54,$AF$54,E301=$AB$55,$AF$55,E301=$AB$56,$AF$56,E301=$AB$57,$AF$57,E301=$AB$58,$AF$58,E301=$AB$59,$AF$59,E301=$AB$60,$AF$60,E301=$AB$61,$AF$61,E301=$AB$62,$AF$62,E301=$AB$63,$AF$63,E301=$AB$64,$AF$64,E301=$AB$65,$AF$65,E301=$AB$66,$AF$66,TRUE,"0")</f>
        <v>40 mins Back ANother Goal</v>
      </c>
      <c r="D301" s="270" t="str" cm="1">
        <f t="array" ref="D301">_xlfn.IFS(E301=$AB$42,$AD$42,E301=$AB$43,$AD$43,E301=$AB$44,$AD$44,E301=$AB$45,$AD$45,E301=$AB$46,$AD$46,E301=$AB$47,$AD$47,E301=$AB$48,$AD$48,E301=$AB$49,$AD$49,E301=$AB$50,$AD$50,E301=$AB$51,$AD$51,E301=$AB$52,$AD$52,E301=$AB$53,$AD$53,E301=$AB$54,$AD$54,E301=$AB$55,$AD$55,E301=$AB$56,$AD$56,E301=$AB$57,$AD$57,E301=$AB$58,$AD$58,E301=$AB$59,$AD$59,E301=$AB$60,$AD$60,E301=$AB$61,$AD$61,E301=$AB$62,$AD$62,E301=$AB$63,$AD$63,E301=$AB$64,$AD$64,E301=$AB$65,$AD$65,E301=$AB$66,$AD$66,TRUE,"0")</f>
        <v xml:space="preserve">  BANG</v>
      </c>
      <c r="E301" s="163" t="s">
        <v>43</v>
      </c>
      <c r="F301" s="2" t="s">
        <v>67</v>
      </c>
      <c r="G301" s="2" t="s">
        <v>169</v>
      </c>
      <c r="H301" s="3">
        <v>45338.791666666664</v>
      </c>
      <c r="I301" s="2" t="s">
        <v>203</v>
      </c>
      <c r="J301" s="2" t="s">
        <v>373</v>
      </c>
      <c r="K301" s="2">
        <v>77</v>
      </c>
      <c r="L301" s="2">
        <v>69</v>
      </c>
      <c r="M301" s="2">
        <v>59</v>
      </c>
      <c r="N301" s="2">
        <v>2</v>
      </c>
      <c r="O301" s="2">
        <v>0.69</v>
      </c>
      <c r="P301" s="2"/>
      <c r="Q301" s="2" t="s">
        <v>95</v>
      </c>
      <c r="R301" s="14" t="s">
        <v>221</v>
      </c>
      <c r="S301" s="14" t="s">
        <v>211</v>
      </c>
      <c r="T301" s="188">
        <f t="shared" si="33"/>
        <v>199.39905879839682</v>
      </c>
      <c r="U301" s="8">
        <f t="shared" si="30"/>
        <v>35.891830583711425</v>
      </c>
      <c r="V301" s="234">
        <f t="shared" si="36"/>
        <v>4023.8730065516479</v>
      </c>
      <c r="W301" s="15">
        <v>25</v>
      </c>
      <c r="X301" s="8">
        <f t="shared" si="34"/>
        <v>4.5</v>
      </c>
      <c r="Y301" s="233">
        <f t="shared" si="35"/>
        <v>1555</v>
      </c>
    </row>
    <row r="302" spans="1:25">
      <c r="A302" s="156" t="e" cm="1">
        <f t="array" aca="1" ref="A302" ca="1">_xlfn.IFS(E302=$AB$42,$AC$42,E302=$AB$43,$AC$43,E302=$AB$44,$AC$44,E302=$AB$45,$AC$45,E302=$AB$46,$AC$46,E302=$AB$47,$AC$47,E302=$AB$48,$AC$48,E302=$AB$49,$AC$49,E302=$AB$50,$AC$50,E302=$AB$51,$AC$51,E302=$AB$52,$AC$52,E302=$AB$53,$AC$53,E302=$AB$54,$AC$54,E302=$AB$55,$AC$55,E302=$AB$56,$AC$56,E302=$AB$57,$AC$57,E302=$AB$58,$AC$58,E302=$AB$59,$AC$59,E302=$AB$60,$AC$60,E302=$AB$61,$AC$61,E302=$AB$62,$AC$62,E302=$AB$63,$AC$63,E302=$AB$64,$AC$64,E302=$AB$65,$AC$65,E302=$AB$66,$AC$66,TRUE,"0")</f>
        <v>#NAME?</v>
      </c>
      <c r="C302" s="161" t="str" cm="1">
        <f t="array" ref="C302">_xlfn.IFS(E302=$AB$42,$AF$42,E302=$AB$43,$AF$43,E302=$AB$44,$AF$44,E302=$AB$45,$AF$45,E302=$AB$46,$AF$46,E302=$AB$47,$AF$47,E302=$AB$48,$AF$48,E302=$AB$49,$AF$49,E302=$AB$50,$AF$50,E302=$AB$51,$AF$51,E302=$AB$52,$AF$52,E302=$AB$53,$AF$53,E302=$AB$54,$AF$54,E302=$AB$55,$AF$55,E302=$AB$56,$AF$56,E302=$AB$57,$AF$57,E302=$AB$58,$AF$58,E302=$AB$59,$AF$59,E302=$AB$60,$AF$60,E302=$AB$61,$AF$61,E302=$AB$62,$AF$62,E302=$AB$63,$AF$63,E302=$AB$64,$AF$64,E302=$AB$65,$AF$65,E302=$AB$66,$AF$66,TRUE,"0")</f>
        <v>if 0-0, BACK+ 0.5 GOALS  @ 1.15+odds.  or @ 40 mins</v>
      </c>
      <c r="D302" s="270" t="str" cm="1">
        <f t="array" ref="D302">_xlfn.IFS(E302=$AB$42,$AD$42,E302=$AB$43,$AD$43,E302=$AB$44,$AD$44,E302=$AB$45,$AD$45,E302=$AB$46,$AD$46,E302=$AB$47,$AD$47,E302=$AB$48,$AD$48,E302=$AB$49,$AD$49,E302=$AB$50,$AD$50,E302=$AB$51,$AD$51,E302=$AB$52,$AD$52,E302=$AB$53,$AD$53,E302=$AB$54,$AD$54,E302=$AB$55,$AD$55,E302=$AB$56,$AD$56,E302=$AB$57,$AD$57,E302=$AB$58,$AD$58,E302=$AB$59,$AD$59,E302=$AB$60,$AD$60,E302=$AB$61,$AD$61,E302=$AB$62,$AD$62,E302=$AB$63,$AD$63,E302=$AB$64,$AD$64,E302=$AB$65,$AD$65,E302=$AB$66,$AD$66,TRUE,"0")</f>
        <v>IP</v>
      </c>
      <c r="E302" s="163" t="s">
        <v>270</v>
      </c>
      <c r="F302" s="2" t="s">
        <v>67</v>
      </c>
      <c r="G302" s="2" t="s">
        <v>169</v>
      </c>
      <c r="H302" s="3">
        <v>45338.791666666664</v>
      </c>
      <c r="I302" s="2" t="s">
        <v>203</v>
      </c>
      <c r="J302" s="2" t="s">
        <v>373</v>
      </c>
      <c r="K302" s="2">
        <v>63</v>
      </c>
      <c r="L302" s="2">
        <v>0</v>
      </c>
      <c r="M302" s="2">
        <v>20</v>
      </c>
      <c r="N302" s="2">
        <v>1.28</v>
      </c>
      <c r="O302" s="2"/>
      <c r="P302" s="2"/>
      <c r="Q302" s="2" t="s">
        <v>95</v>
      </c>
      <c r="R302" s="14" t="s">
        <v>221</v>
      </c>
      <c r="S302" s="14" t="s">
        <v>211</v>
      </c>
      <c r="T302" s="188">
        <f t="shared" si="33"/>
        <v>201.19365032758242</v>
      </c>
      <c r="U302" s="8">
        <f t="shared" ref="U302:U365" si="37">IF(Q302="won",T302*0.18,-T302)</f>
        <v>36.214857058964832</v>
      </c>
      <c r="V302" s="234">
        <f t="shared" si="36"/>
        <v>4060.0878636106127</v>
      </c>
      <c r="W302" s="15">
        <v>25</v>
      </c>
      <c r="X302" s="8">
        <f t="shared" si="34"/>
        <v>4.5</v>
      </c>
      <c r="Y302" s="233">
        <f t="shared" si="35"/>
        <v>1559.5</v>
      </c>
    </row>
    <row r="303" spans="1:25">
      <c r="A303" s="156" t="e" cm="1">
        <f t="array" aca="1" ref="A303" ca="1">_xlfn.IFS(E303=$AB$42,$AC$42,E303=$AB$43,$AC$43,E303=$AB$44,$AC$44,E303=$AB$45,$AC$45,E303=$AB$46,$AC$46,E303=$AB$47,$AC$47,E303=$AB$48,$AC$48,E303=$AB$49,$AC$49,E303=$AB$50,$AC$50,E303=$AB$51,$AC$51,E303=$AB$52,$AC$52,E303=$AB$53,$AC$53,E303=$AB$54,$AC$54,E303=$AB$55,$AC$55,E303=$AB$56,$AC$56,E303=$AB$57,$AC$57,E303=$AB$58,$AC$58,E303=$AB$59,$AC$59,E303=$AB$60,$AC$60,E303=$AB$61,$AC$61,E303=$AB$62,$AC$62,E303=$AB$63,$AC$63,E303=$AB$64,$AC$64,E303=$AB$65,$AC$65,E303=$AB$66,$AC$66,TRUE,"0")</f>
        <v>#NAME?</v>
      </c>
      <c r="C303" s="161" t="str" cm="1">
        <f t="array" ref="C303">_xlfn.IFS(E303=$AB$42,$AF$42,E303=$AB$43,$AF$43,E303=$AB$44,$AF$44,E303=$AB$45,$AF$45,E303=$AB$46,$AF$46,E303=$AB$47,$AF$47,E303=$AB$48,$AF$48,E303=$AB$49,$AF$49,E303=$AB$50,$AF$50,E303=$AB$51,$AF$51,E303=$AB$52,$AF$52,E303=$AB$53,$AF$53,E303=$AB$54,$AF$54,E303=$AB$55,$AF$55,E303=$AB$56,$AF$56,E303=$AB$57,$AF$57,E303=$AB$58,$AF$58,E303=$AB$59,$AF$59,E303=$AB$60,$AF$60,E303=$AB$61,$AF$61,E303=$AB$62,$AF$62,E303=$AB$63,$AF$63,E303=$AB$64,$AF$64,E303=$AB$65,$AF$65,E303=$AB$66,$AF$66,TRUE,"0")</f>
        <v>if 0-0, BACK+ 0.5 GOALS  @ 1.15+odds.  or @ 40 mins</v>
      </c>
      <c r="D303" s="270" t="str" cm="1">
        <f t="array" ref="D303">_xlfn.IFS(E303=$AB$42,$AD$42,E303=$AB$43,$AD$43,E303=$AB$44,$AD$44,E303=$AB$45,$AD$45,E303=$AB$46,$AD$46,E303=$AB$47,$AD$47,E303=$AB$48,$AD$48,E303=$AB$49,$AD$49,E303=$AB$50,$AD$50,E303=$AB$51,$AD$51,E303=$AB$52,$AD$52,E303=$AB$53,$AD$53,E303=$AB$54,$AD$54,E303=$AB$55,$AD$55,E303=$AB$56,$AD$56,E303=$AB$57,$AD$57,E303=$AB$58,$AD$58,E303=$AB$59,$AD$59,E303=$AB$60,$AD$60,E303=$AB$61,$AD$61,E303=$AB$62,$AD$62,E303=$AB$63,$AD$63,E303=$AB$64,$AD$64,E303=$AB$65,$AD$65,E303=$AB$66,$AD$66,TRUE,"0")</f>
        <v>IP</v>
      </c>
      <c r="E303" s="163" t="s">
        <v>270</v>
      </c>
      <c r="F303" s="2" t="s">
        <v>149</v>
      </c>
      <c r="G303" s="2" t="s">
        <v>153</v>
      </c>
      <c r="H303" s="3">
        <v>45338.791666666664</v>
      </c>
      <c r="I303" s="2" t="s">
        <v>188</v>
      </c>
      <c r="J303" s="2" t="s">
        <v>155</v>
      </c>
      <c r="K303" s="2">
        <v>59</v>
      </c>
      <c r="L303" s="2">
        <v>0</v>
      </c>
      <c r="M303" s="2">
        <v>20</v>
      </c>
      <c r="N303" s="2">
        <v>3.22</v>
      </c>
      <c r="O303" s="2"/>
      <c r="P303" s="2"/>
      <c r="Q303" s="2" t="s">
        <v>95</v>
      </c>
      <c r="R303" s="14" t="s">
        <v>214</v>
      </c>
      <c r="S303" s="14" t="s">
        <v>220</v>
      </c>
      <c r="T303" s="188">
        <f t="shared" si="33"/>
        <v>203.00439318053066</v>
      </c>
      <c r="U303" s="8">
        <f t="shared" si="37"/>
        <v>36.540790772495519</v>
      </c>
      <c r="V303" s="234">
        <f t="shared" si="36"/>
        <v>4096.6286543831084</v>
      </c>
      <c r="W303" s="15">
        <v>25</v>
      </c>
      <c r="X303" s="8">
        <f t="shared" si="34"/>
        <v>4.5</v>
      </c>
      <c r="Y303" s="233">
        <f t="shared" si="35"/>
        <v>1564</v>
      </c>
    </row>
    <row r="304" spans="1:25">
      <c r="A304" s="156" t="e" cm="1">
        <f t="array" aca="1" ref="A304" ca="1">_xlfn.IFS(E304=$AB$42,$AC$42,E304=$AB$43,$AC$43,E304=$AB$44,$AC$44,E304=$AB$45,$AC$45,E304=$AB$46,$AC$46,E304=$AB$47,$AC$47,E304=$AB$48,$AC$48,E304=$AB$49,$AC$49,E304=$AB$50,$AC$50,E304=$AB$51,$AC$51,E304=$AB$52,$AC$52,E304=$AB$53,$AC$53,E304=$AB$54,$AC$54,E304=$AB$55,$AC$55,E304=$AB$56,$AC$56,E304=$AB$57,$AC$57,E304=$AB$58,$AC$58,E304=$AB$59,$AC$59,E304=$AB$60,$AC$60,E304=$AB$61,$AC$61,E304=$AB$62,$AC$62,E304=$AB$63,$AC$63,E304=$AB$64,$AC$64,E304=$AB$65,$AC$65,E304=$AB$66,$AC$66,TRUE,"0")</f>
        <v>#NAME?</v>
      </c>
      <c r="C304" s="161" t="str" cm="1">
        <f t="array" ref="C304">_xlfn.IFS(E304=$AB$42,$AF$42,E304=$AB$43,$AF$43,E304=$AB$44,$AF$44,E304=$AB$45,$AF$45,E304=$AB$46,$AF$46,E304=$AB$47,$AF$47,E304=$AB$48,$AF$48,E304=$AB$49,$AF$49,E304=$AB$50,$AF$50,E304=$AB$51,$AF$51,E304=$AB$52,$AF$52,E304=$AB$53,$AF$53,E304=$AB$54,$AF$54,E304=$AB$55,$AF$55,E304=$AB$56,$AF$56,E304=$AB$57,$AF$57,E304=$AB$58,$AF$58,E304=$AB$59,$AF$59,E304=$AB$60,$AF$60,E304=$AB$61,$AF$61,E304=$AB$62,$AF$62,E304=$AB$63,$AF$63,E304=$AB$64,$AF$64,E304=$AB$65,$AF$65,E304=$AB$66,$AF$66,TRUE,"0")</f>
        <v>B4 Match, lay HT 0-0 or BACK H1 +0.5 GOALS</v>
      </c>
      <c r="D304" s="270" t="str" cm="1">
        <f t="array" ref="D304">_xlfn.IFS(E304=$AB$42,$AD$42,E304=$AB$43,$AD$43,E304=$AB$44,$AD$44,E304=$AB$45,$AD$45,E304=$AB$46,$AD$46,E304=$AB$47,$AD$47,E304=$AB$48,$AD$48,E304=$AB$49,$AD$49,E304=$AB$50,$AD$50,E304=$AB$51,$AD$51,E304=$AB$52,$AD$52,E304=$AB$53,$AD$53,E304=$AB$54,$AD$54,E304=$AB$55,$AD$55,E304=$AB$56,$AD$56,E304=$AB$57,$AD$57,E304=$AB$58,$AD$58,E304=$AB$59,$AD$59,E304=$AB$60,$AD$60,E304=$AB$61,$AD$61,E304=$AB$62,$AD$62,E304=$AB$63,$AD$63,E304=$AB$64,$AD$64,E304=$AB$65,$AD$65,E304=$AB$66,$AD$66,TRUE,"0")</f>
        <v xml:space="preserve">BFM </v>
      </c>
      <c r="E304" s="163" t="s">
        <v>432</v>
      </c>
      <c r="F304" s="2" t="s">
        <v>149</v>
      </c>
      <c r="G304" s="2" t="s">
        <v>153</v>
      </c>
      <c r="H304" s="3">
        <v>45338.791666666664</v>
      </c>
      <c r="I304" s="2" t="s">
        <v>188</v>
      </c>
      <c r="J304" s="2" t="s">
        <v>155</v>
      </c>
      <c r="K304" s="2">
        <v>5</v>
      </c>
      <c r="L304" s="2">
        <v>20</v>
      </c>
      <c r="M304" s="2">
        <v>14</v>
      </c>
      <c r="N304" s="2">
        <v>15</v>
      </c>
      <c r="O304" s="2">
        <v>20</v>
      </c>
      <c r="P304" s="2">
        <v>1.5</v>
      </c>
      <c r="Q304" s="2" t="s">
        <v>95</v>
      </c>
      <c r="R304" s="14" t="s">
        <v>214</v>
      </c>
      <c r="S304" s="14" t="s">
        <v>220</v>
      </c>
      <c r="T304" s="188">
        <f t="shared" si="33"/>
        <v>204.83143271915543</v>
      </c>
      <c r="U304" s="8">
        <f t="shared" si="37"/>
        <v>36.869657889447979</v>
      </c>
      <c r="V304" s="234">
        <f t="shared" si="36"/>
        <v>4133.4983122725562</v>
      </c>
      <c r="W304" s="15">
        <v>25</v>
      </c>
      <c r="X304" s="8">
        <f t="shared" si="34"/>
        <v>4.5</v>
      </c>
      <c r="Y304" s="233">
        <f t="shared" si="35"/>
        <v>1568.5</v>
      </c>
    </row>
    <row r="305" spans="1:25">
      <c r="A305" s="156" t="e" cm="1">
        <f t="array" aca="1" ref="A305" ca="1">_xlfn.IFS(E305=$AB$42,$AC$42,E305=$AB$43,$AC$43,E305=$AB$44,$AC$44,E305=$AB$45,$AC$45,E305=$AB$46,$AC$46,E305=$AB$47,$AC$47,E305=$AB$48,$AC$48,E305=$AB$49,$AC$49,E305=$AB$50,$AC$50,E305=$AB$51,$AC$51,E305=$AB$52,$AC$52,E305=$AB$53,$AC$53,E305=$AB$54,$AC$54,E305=$AB$55,$AC$55,E305=$AB$56,$AC$56,E305=$AB$57,$AC$57,E305=$AB$58,$AC$58,E305=$AB$59,$AC$59,E305=$AB$60,$AC$60,E305=$AB$61,$AC$61,E305=$AB$62,$AC$62,E305=$AB$63,$AC$63,E305=$AB$64,$AC$64,E305=$AB$65,$AC$65,E305=$AB$66,$AC$66,TRUE,"0")</f>
        <v>#NAME?</v>
      </c>
      <c r="C305" s="161" t="str" cm="1">
        <f t="array" ref="C305">_xlfn.IFS(E305=$AB$42,$AF$42,E305=$AB$43,$AF$43,E305=$AB$44,$AF$44,E305=$AB$45,$AF$45,E305=$AB$46,$AF$46,E305=$AB$47,$AF$47,E305=$AB$48,$AF$48,E305=$AB$49,$AF$49,E305=$AB$50,$AF$50,E305=$AB$51,$AF$51,E305=$AB$52,$AF$52,E305=$AB$53,$AF$53,E305=$AB$54,$AF$54,E305=$AB$55,$AF$55,E305=$AB$56,$AF$56,E305=$AB$57,$AF$57,E305=$AB$58,$AF$58,E305=$AB$59,$AF$59,E305=$AB$60,$AF$60,E305=$AB$61,$AF$61,E305=$AB$62,$AF$62,E305=$AB$63,$AF$63,E305=$AB$64,$AF$64,E305=$AB$65,$AF$65,E305=$AB$66,$AF$66,TRUE,"0")</f>
        <v>40 mins Back ANother Goal</v>
      </c>
      <c r="D305" s="270" t="str" cm="1">
        <f t="array" ref="D305">_xlfn.IFS(E305=$AB$42,$AD$42,E305=$AB$43,$AD$43,E305=$AB$44,$AD$44,E305=$AB$45,$AD$45,E305=$AB$46,$AD$46,E305=$AB$47,$AD$47,E305=$AB$48,$AD$48,E305=$AB$49,$AD$49,E305=$AB$50,$AD$50,E305=$AB$51,$AD$51,E305=$AB$52,$AD$52,E305=$AB$53,$AD$53,E305=$AB$54,$AD$54,E305=$AB$55,$AD$55,E305=$AB$56,$AD$56,E305=$AB$57,$AD$57,E305=$AB$58,$AD$58,E305=$AB$59,$AD$59,E305=$AB$60,$AD$60,E305=$AB$61,$AD$61,E305=$AB$62,$AD$62,E305=$AB$63,$AD$63,E305=$AB$64,$AD$64,E305=$AB$65,$AD$65,E305=$AB$66,$AD$66,TRUE,"0")</f>
        <v xml:space="preserve">  BANG</v>
      </c>
      <c r="E305" s="163" t="s">
        <v>10</v>
      </c>
      <c r="F305" s="2" t="s">
        <v>67</v>
      </c>
      <c r="G305" s="2" t="s">
        <v>68</v>
      </c>
      <c r="H305" s="3">
        <v>45338.822916666664</v>
      </c>
      <c r="I305" s="2" t="s">
        <v>266</v>
      </c>
      <c r="J305" s="2" t="s">
        <v>338</v>
      </c>
      <c r="K305" s="2">
        <v>1.8</v>
      </c>
      <c r="L305" s="2">
        <v>95</v>
      </c>
      <c r="M305" s="2">
        <v>70</v>
      </c>
      <c r="N305" s="2">
        <v>15</v>
      </c>
      <c r="O305" s="2">
        <v>69</v>
      </c>
      <c r="P305" s="2">
        <v>20</v>
      </c>
      <c r="Q305" s="2" t="s">
        <v>95</v>
      </c>
      <c r="R305" s="14" t="s">
        <v>216</v>
      </c>
      <c r="S305" s="14" t="s">
        <v>222</v>
      </c>
      <c r="T305" s="188">
        <f t="shared" si="33"/>
        <v>206.67491561362783</v>
      </c>
      <c r="U305" s="8">
        <f t="shared" si="37"/>
        <v>37.20148481045301</v>
      </c>
      <c r="V305" s="234">
        <f t="shared" si="36"/>
        <v>4170.6997970830089</v>
      </c>
      <c r="W305" s="15">
        <v>25</v>
      </c>
      <c r="X305" s="8">
        <f t="shared" si="34"/>
        <v>4.5</v>
      </c>
      <c r="Y305" s="233">
        <f t="shared" si="35"/>
        <v>1573</v>
      </c>
    </row>
    <row r="306" spans="1:25">
      <c r="A306" s="156" t="e" cm="1">
        <f t="array" aca="1" ref="A306" ca="1">_xlfn.IFS(E306=$AB$42,$AC$42,E306=$AB$43,$AC$43,E306=$AB$44,$AC$44,E306=$AB$45,$AC$45,E306=$AB$46,$AC$46,E306=$AB$47,$AC$47,E306=$AB$48,$AC$48,E306=$AB$49,$AC$49,E306=$AB$50,$AC$50,E306=$AB$51,$AC$51,E306=$AB$52,$AC$52,E306=$AB$53,$AC$53,E306=$AB$54,$AC$54,E306=$AB$55,$AC$55,E306=$AB$56,$AC$56,E306=$AB$57,$AC$57,E306=$AB$58,$AC$58,E306=$AB$59,$AC$59,E306=$AB$60,$AC$60,E306=$AB$61,$AC$61,E306=$AB$62,$AC$62,E306=$AB$63,$AC$63,E306=$AB$64,$AC$64,E306=$AB$65,$AC$65,E306=$AB$66,$AC$66,TRUE,"0")</f>
        <v>#NAME?</v>
      </c>
      <c r="C306" s="161" t="str" cm="1">
        <f t="array" ref="C306">_xlfn.IFS(E306=$AB$42,$AF$42,E306=$AB$43,$AF$43,E306=$AB$44,$AF$44,E306=$AB$45,$AF$45,E306=$AB$46,$AF$46,E306=$AB$47,$AF$47,E306=$AB$48,$AF$48,E306=$AB$49,$AF$49,E306=$AB$50,$AF$50,E306=$AB$51,$AF$51,E306=$AB$52,$AF$52,E306=$AB$53,$AF$53,E306=$AB$54,$AF$54,E306=$AB$55,$AF$55,E306=$AB$56,$AF$56,E306=$AB$57,$AF$57,E306=$AB$58,$AF$58,E306=$AB$59,$AF$59,E306=$AB$60,$AF$60,E306=$AB$61,$AF$61,E306=$AB$62,$AF$62,E306=$AB$63,$AF$63,E306=$AB$64,$AF$64,E306=$AB$65,$AF$65,E306=$AB$66,$AF$66,TRUE,"0")</f>
        <v>if 0-0, BACK+ 0.5 GOALS  @ 1.15+odds.  or @ 40 mins</v>
      </c>
      <c r="D306" s="270" t="str" cm="1">
        <f t="array" ref="D306">_xlfn.IFS(E306=$AB$42,$AD$42,E306=$AB$43,$AD$43,E306=$AB$44,$AD$44,E306=$AB$45,$AD$45,E306=$AB$46,$AD$46,E306=$AB$47,$AD$47,E306=$AB$48,$AD$48,E306=$AB$49,$AD$49,E306=$AB$50,$AD$50,E306=$AB$51,$AD$51,E306=$AB$52,$AD$52,E306=$AB$53,$AD$53,E306=$AB$54,$AD$54,E306=$AB$55,$AD$55,E306=$AB$56,$AD$56,E306=$AB$57,$AD$57,E306=$AB$58,$AD$58,E306=$AB$59,$AD$59,E306=$AB$60,$AD$60,E306=$AB$61,$AD$61,E306=$AB$62,$AD$62,E306=$AB$63,$AD$63,E306=$AB$64,$AD$64,E306=$AB$65,$AD$65,E306=$AB$66,$AD$66,TRUE,"0")</f>
        <v>IP</v>
      </c>
      <c r="E306" s="163" t="s">
        <v>270</v>
      </c>
      <c r="F306" s="2" t="s">
        <v>6</v>
      </c>
      <c r="G306" s="2" t="s">
        <v>14</v>
      </c>
      <c r="H306" s="3">
        <v>45338.833333333336</v>
      </c>
      <c r="I306" s="2" t="s">
        <v>414</v>
      </c>
      <c r="J306" s="2" t="s">
        <v>56</v>
      </c>
      <c r="K306" s="2">
        <v>60</v>
      </c>
      <c r="L306" s="2">
        <v>0</v>
      </c>
      <c r="M306" s="2">
        <v>20</v>
      </c>
      <c r="N306" s="2">
        <v>2.2599999999999998</v>
      </c>
      <c r="O306" s="2"/>
      <c r="P306" s="2"/>
      <c r="Q306" s="2" t="s">
        <v>95</v>
      </c>
      <c r="R306" s="14" t="s">
        <v>193</v>
      </c>
      <c r="S306" s="14" t="s">
        <v>217</v>
      </c>
      <c r="T306" s="188">
        <f t="shared" si="33"/>
        <v>208.53498985415047</v>
      </c>
      <c r="U306" s="8">
        <f t="shared" si="37"/>
        <v>37.536298173747085</v>
      </c>
      <c r="V306" s="234">
        <f t="shared" si="36"/>
        <v>4208.236095256756</v>
      </c>
      <c r="W306" s="15">
        <v>25</v>
      </c>
      <c r="X306" s="8">
        <f t="shared" si="34"/>
        <v>4.5</v>
      </c>
      <c r="Y306" s="233">
        <f t="shared" si="35"/>
        <v>1577.5</v>
      </c>
    </row>
    <row r="307" spans="1:25">
      <c r="A307" s="156" t="e" cm="1">
        <f t="array" aca="1" ref="A307" ca="1">_xlfn.IFS(E307=$AB$42,$AC$42,E307=$AB$43,$AC$43,E307=$AB$44,$AC$44,E307=$AB$45,$AC$45,E307=$AB$46,$AC$46,E307=$AB$47,$AC$47,E307=$AB$48,$AC$48,E307=$AB$49,$AC$49,E307=$AB$50,$AC$50,E307=$AB$51,$AC$51,E307=$AB$52,$AC$52,E307=$AB$53,$AC$53,E307=$AB$54,$AC$54,E307=$AB$55,$AC$55,E307=$AB$56,$AC$56,E307=$AB$57,$AC$57,E307=$AB$58,$AC$58,E307=$AB$59,$AC$59,E307=$AB$60,$AC$60,E307=$AB$61,$AC$61,E307=$AB$62,$AC$62,E307=$AB$63,$AC$63,E307=$AB$64,$AC$64,E307=$AB$65,$AC$65,E307=$AB$66,$AC$66,TRUE,"0")</f>
        <v>#NAME?</v>
      </c>
      <c r="C307" s="161" t="str" cm="1">
        <f t="array" ref="C307">_xlfn.IFS(E307=$AB$42,$AF$42,E307=$AB$43,$AF$43,E307=$AB$44,$AF$44,E307=$AB$45,$AF$45,E307=$AB$46,$AF$46,E307=$AB$47,$AF$47,E307=$AB$48,$AF$48,E307=$AB$49,$AF$49,E307=$AB$50,$AF$50,E307=$AB$51,$AF$51,E307=$AB$52,$AF$52,E307=$AB$53,$AF$53,E307=$AB$54,$AF$54,E307=$AB$55,$AF$55,E307=$AB$56,$AF$56,E307=$AB$57,$AF$57,E307=$AB$58,$AF$58,E307=$AB$59,$AF$59,E307=$AB$60,$AF$60,E307=$AB$61,$AF$61,E307=$AB$62,$AF$62,E307=$AB$63,$AF$63,E307=$AB$64,$AF$64,E307=$AB$65,$AF$65,E307=$AB$66,$AF$66,TRUE,"0")</f>
        <v>B4 MATCH back over 2.5 goals.X after goal OR let run</v>
      </c>
      <c r="D307" s="270" t="str" cm="1">
        <f t="array" ref="D307">_xlfn.IFS(E307=$AB$42,$AD$42,E307=$AB$43,$AD$43,E307=$AB$44,$AD$44,E307=$AB$45,$AD$45,E307=$AB$46,$AD$46,E307=$AB$47,$AD$47,E307=$AB$48,$AD$48,E307=$AB$49,$AD$49,E307=$AB$50,$AD$50,E307=$AB$51,$AD$51,E307=$AB$52,$AD$52,E307=$AB$53,$AD$53,E307=$AB$54,$AD$54,E307=$AB$55,$AD$55,E307=$AB$56,$AD$56,E307=$AB$57,$AD$57,E307=$AB$58,$AD$58,E307=$AB$59,$AD$59,E307=$AB$60,$AD$60,E307=$AB$61,$AD$61,E307=$AB$62,$AD$62,E307=$AB$63,$AD$63,E307=$AB$64,$AD$64,E307=$AB$65,$AD$65,E307=$AB$66,$AD$66,TRUE,"0")</f>
        <v xml:space="preserve">BFM </v>
      </c>
      <c r="E307" s="163" t="s">
        <v>177</v>
      </c>
      <c r="F307" s="2" t="s">
        <v>44</v>
      </c>
      <c r="G307" s="2" t="s">
        <v>45</v>
      </c>
      <c r="H307" s="3">
        <v>45339.447916666664</v>
      </c>
      <c r="I307" s="2" t="s">
        <v>131</v>
      </c>
      <c r="J307" s="2" t="s">
        <v>233</v>
      </c>
      <c r="K307" s="2">
        <v>4.1500000000000004</v>
      </c>
      <c r="L307" s="2">
        <v>95</v>
      </c>
      <c r="M307" s="2">
        <v>75</v>
      </c>
      <c r="N307" s="2">
        <v>30</v>
      </c>
      <c r="O307" s="2">
        <v>60</v>
      </c>
      <c r="P307" s="2">
        <v>2.58</v>
      </c>
      <c r="Q307" s="2" t="s">
        <v>95</v>
      </c>
      <c r="R307" s="14" t="s">
        <v>223</v>
      </c>
      <c r="S307" s="14" t="s">
        <v>209</v>
      </c>
      <c r="T307" s="188">
        <f t="shared" si="33"/>
        <v>210.41180476283782</v>
      </c>
      <c r="U307" s="8">
        <f t="shared" si="37"/>
        <v>37.874124857310804</v>
      </c>
      <c r="V307" s="234">
        <f t="shared" si="36"/>
        <v>4246.1102201140666</v>
      </c>
      <c r="W307" s="15">
        <v>25</v>
      </c>
      <c r="X307" s="8">
        <f t="shared" si="34"/>
        <v>4.5</v>
      </c>
      <c r="Y307" s="233">
        <f t="shared" si="35"/>
        <v>1582</v>
      </c>
    </row>
    <row r="308" spans="1:25">
      <c r="A308" s="156" t="e" cm="1">
        <f t="array" aca="1" ref="A308" ca="1">_xlfn.IFS(E308=$AB$42,$AC$42,E308=$AB$43,$AC$43,E308=$AB$44,$AC$44,E308=$AB$45,$AC$45,E308=$AB$46,$AC$46,E308=$AB$47,$AC$47,E308=$AB$48,$AC$48,E308=$AB$49,$AC$49,E308=$AB$50,$AC$50,E308=$AB$51,$AC$51,E308=$AB$52,$AC$52,E308=$AB$53,$AC$53,E308=$AB$54,$AC$54,E308=$AB$55,$AC$55,E308=$AB$56,$AC$56,E308=$AB$57,$AC$57,E308=$AB$58,$AC$58,E308=$AB$59,$AC$59,E308=$AB$60,$AC$60,E308=$AB$61,$AC$61,E308=$AB$62,$AC$62,E308=$AB$63,$AC$63,E308=$AB$64,$AC$64,E308=$AB$65,$AC$65,E308=$AB$66,$AC$66,TRUE,"0")</f>
        <v>#NAME?</v>
      </c>
      <c r="C308" s="161" t="str" cm="1">
        <f t="array" ref="C308">_xlfn.IFS(E308=$AB$42,$AF$42,E308=$AB$43,$AF$43,E308=$AB$44,$AF$44,E308=$AB$45,$AF$45,E308=$AB$46,$AF$46,E308=$AB$47,$AF$47,E308=$AB$48,$AF$48,E308=$AB$49,$AF$49,E308=$AB$50,$AF$50,E308=$AB$51,$AF$51,E308=$AB$52,$AF$52,E308=$AB$53,$AF$53,E308=$AB$54,$AF$54,E308=$AB$55,$AF$55,E308=$AB$56,$AF$56,E308=$AB$57,$AF$57,E308=$AB$58,$AF$58,E308=$AB$59,$AF$59,E308=$AB$60,$AF$60,E308=$AB$61,$AF$61,E308=$AB$62,$AF$62,E308=$AB$63,$AF$63,E308=$AB$64,$AF$64,E308=$AB$65,$AF$65,E308=$AB$66,$AF$66,TRUE,"0")</f>
        <v>40 mins Back ANother Goal</v>
      </c>
      <c r="D308" s="270" t="str" cm="1">
        <f t="array" ref="D308">_xlfn.IFS(E308=$AB$42,$AD$42,E308=$AB$43,$AD$43,E308=$AB$44,$AD$44,E308=$AB$45,$AD$45,E308=$AB$46,$AD$46,E308=$AB$47,$AD$47,E308=$AB$48,$AD$48,E308=$AB$49,$AD$49,E308=$AB$50,$AD$50,E308=$AB$51,$AD$51,E308=$AB$52,$AD$52,E308=$AB$53,$AD$53,E308=$AB$54,$AD$54,E308=$AB$55,$AD$55,E308=$AB$56,$AD$56,E308=$AB$57,$AD$57,E308=$AB$58,$AD$58,E308=$AB$59,$AD$59,E308=$AB$60,$AD$60,E308=$AB$61,$AD$61,E308=$AB$62,$AD$62,E308=$AB$63,$AD$63,E308=$AB$64,$AD$64,E308=$AB$65,$AD$65,E308=$AB$66,$AD$66,TRUE,"0")</f>
        <v xml:space="preserve">  BANG</v>
      </c>
      <c r="E308" s="163" t="s">
        <v>43</v>
      </c>
      <c r="F308" s="2" t="s">
        <v>44</v>
      </c>
      <c r="G308" s="2" t="s">
        <v>45</v>
      </c>
      <c r="H308" s="3">
        <v>45339.447916666664</v>
      </c>
      <c r="I308" s="2" t="s">
        <v>131</v>
      </c>
      <c r="J308" s="2" t="s">
        <v>233</v>
      </c>
      <c r="K308" s="2">
        <v>71</v>
      </c>
      <c r="L308" s="2">
        <v>69</v>
      </c>
      <c r="M308" s="2">
        <v>59</v>
      </c>
      <c r="N308" s="2">
        <v>2.6</v>
      </c>
      <c r="O308" s="2">
        <v>1.38</v>
      </c>
      <c r="P308" s="2"/>
      <c r="Q308" s="2" t="s">
        <v>95</v>
      </c>
      <c r="R308" s="14" t="s">
        <v>223</v>
      </c>
      <c r="S308" s="14" t="s">
        <v>209</v>
      </c>
      <c r="T308" s="188">
        <f t="shared" si="33"/>
        <v>212.30551100570335</v>
      </c>
      <c r="U308" s="8">
        <f t="shared" si="37"/>
        <v>38.2149919810266</v>
      </c>
      <c r="V308" s="234">
        <f t="shared" si="36"/>
        <v>4284.3252120950929</v>
      </c>
      <c r="W308" s="15">
        <v>25</v>
      </c>
      <c r="X308" s="8">
        <f t="shared" si="34"/>
        <v>4.5</v>
      </c>
      <c r="Y308" s="233">
        <f t="shared" si="35"/>
        <v>1586.5</v>
      </c>
    </row>
    <row r="309" spans="1:25">
      <c r="A309" s="156" t="e" cm="1">
        <f t="array" aca="1" ref="A309" ca="1">_xlfn.IFS(E309=$AB$42,$AC$42,E309=$AB$43,$AC$43,E309=$AB$44,$AC$44,E309=$AB$45,$AC$45,E309=$AB$46,$AC$46,E309=$AB$47,$AC$47,E309=$AB$48,$AC$48,E309=$AB$49,$AC$49,E309=$AB$50,$AC$50,E309=$AB$51,$AC$51,E309=$AB$52,$AC$52,E309=$AB$53,$AC$53,E309=$AB$54,$AC$54,E309=$AB$55,$AC$55,E309=$AB$56,$AC$56,E309=$AB$57,$AC$57,E309=$AB$58,$AC$58,E309=$AB$59,$AC$59,E309=$AB$60,$AC$60,E309=$AB$61,$AC$61,E309=$AB$62,$AC$62,E309=$AB$63,$AC$63,E309=$AB$64,$AC$64,E309=$AB$65,$AC$65,E309=$AB$66,$AC$66,TRUE,"0")</f>
        <v>#NAME?</v>
      </c>
      <c r="C309" s="161" t="str" cm="1">
        <f t="array" ref="C309">_xlfn.IFS(E309=$AB$42,$AF$42,E309=$AB$43,$AF$43,E309=$AB$44,$AF$44,E309=$AB$45,$AF$45,E309=$AB$46,$AF$46,E309=$AB$47,$AF$47,E309=$AB$48,$AF$48,E309=$AB$49,$AF$49,E309=$AB$50,$AF$50,E309=$AB$51,$AF$51,E309=$AB$52,$AF$52,E309=$AB$53,$AF$53,E309=$AB$54,$AF$54,E309=$AB$55,$AF$55,E309=$AB$56,$AF$56,E309=$AB$57,$AF$57,E309=$AB$58,$AF$58,E309=$AB$59,$AF$59,E309=$AB$60,$AF$60,E309=$AB$61,$AF$61,E309=$AB$62,$AF$62,E309=$AB$63,$AF$63,E309=$AB$64,$AF$64,E309=$AB$65,$AF$65,E309=$AB$66,$AF$66,TRUE,"0")</f>
        <v>if 0-0, BACK+ 0.5 GOALS  @ 1.15+odds.  or @ 40 mins</v>
      </c>
      <c r="D309" s="270" t="str" cm="1">
        <f t="array" ref="D309">_xlfn.IFS(E309=$AB$42,$AD$42,E309=$AB$43,$AD$43,E309=$AB$44,$AD$44,E309=$AB$45,$AD$45,E309=$AB$46,$AD$46,E309=$AB$47,$AD$47,E309=$AB$48,$AD$48,E309=$AB$49,$AD$49,E309=$AB$50,$AD$50,E309=$AB$51,$AD$51,E309=$AB$52,$AD$52,E309=$AB$53,$AD$53,E309=$AB$54,$AD$54,E309=$AB$55,$AD$55,E309=$AB$56,$AD$56,E309=$AB$57,$AD$57,E309=$AB$58,$AD$58,E309=$AB$59,$AD$59,E309=$AB$60,$AD$60,E309=$AB$61,$AD$61,E309=$AB$62,$AD$62,E309=$AB$63,$AD$63,E309=$AB$64,$AD$64,E309=$AB$65,$AD$65,E309=$AB$66,$AD$66,TRUE,"0")</f>
        <v>IP</v>
      </c>
      <c r="E309" s="163" t="s">
        <v>270</v>
      </c>
      <c r="F309" s="2" t="s">
        <v>44</v>
      </c>
      <c r="G309" s="2" t="s">
        <v>45</v>
      </c>
      <c r="H309" s="3">
        <v>45339.447916666664</v>
      </c>
      <c r="I309" s="2" t="s">
        <v>131</v>
      </c>
      <c r="J309" s="2" t="s">
        <v>233</v>
      </c>
      <c r="K309" s="2">
        <v>63</v>
      </c>
      <c r="L309" s="2">
        <v>0</v>
      </c>
      <c r="M309" s="2">
        <v>20</v>
      </c>
      <c r="N309" s="2">
        <v>2.58</v>
      </c>
      <c r="O309" s="2"/>
      <c r="P309" s="2"/>
      <c r="Q309" s="2" t="s">
        <v>95</v>
      </c>
      <c r="R309" s="14" t="s">
        <v>223</v>
      </c>
      <c r="S309" s="14" t="s">
        <v>209</v>
      </c>
      <c r="T309" s="188">
        <f t="shared" si="33"/>
        <v>214.21626060475467</v>
      </c>
      <c r="U309" s="8">
        <f t="shared" si="37"/>
        <v>38.558926908855838</v>
      </c>
      <c r="V309" s="234">
        <f t="shared" si="36"/>
        <v>4322.8841390039488</v>
      </c>
      <c r="W309" s="15">
        <v>25</v>
      </c>
      <c r="X309" s="8">
        <f t="shared" si="34"/>
        <v>4.5</v>
      </c>
      <c r="Y309" s="233">
        <f t="shared" si="35"/>
        <v>1591</v>
      </c>
    </row>
    <row r="310" spans="1:25">
      <c r="A310" s="156" t="e" cm="1">
        <f t="array" aca="1" ref="A310" ca="1">_xlfn.IFS(E310=$AB$42,$AC$42,E310=$AB$43,$AC$43,E310=$AB$44,$AC$44,E310=$AB$45,$AC$45,E310=$AB$46,$AC$46,E310=$AB$47,$AC$47,E310=$AB$48,$AC$48,E310=$AB$49,$AC$49,E310=$AB$50,$AC$50,E310=$AB$51,$AC$51,E310=$AB$52,$AC$52,E310=$AB$53,$AC$53,E310=$AB$54,$AC$54,E310=$AB$55,$AC$55,E310=$AB$56,$AC$56,E310=$AB$57,$AC$57,E310=$AB$58,$AC$58,E310=$AB$59,$AC$59,E310=$AB$60,$AC$60,E310=$AB$61,$AC$61,E310=$AB$62,$AC$62,E310=$AB$63,$AC$63,E310=$AB$64,$AC$64,E310=$AB$65,$AC$65,E310=$AB$66,$AC$66,TRUE,"0")</f>
        <v>#NAME?</v>
      </c>
      <c r="C310" s="161" t="str" cm="1">
        <f t="array" ref="C310">_xlfn.IFS(E310=$AB$42,$AF$42,E310=$AB$43,$AF$43,E310=$AB$44,$AF$44,E310=$AB$45,$AF$45,E310=$AB$46,$AF$46,E310=$AB$47,$AF$47,E310=$AB$48,$AF$48,E310=$AB$49,$AF$49,E310=$AB$50,$AF$50,E310=$AB$51,$AF$51,E310=$AB$52,$AF$52,E310=$AB$53,$AF$53,E310=$AB$54,$AF$54,E310=$AB$55,$AF$55,E310=$AB$56,$AF$56,E310=$AB$57,$AF$57,E310=$AB$58,$AF$58,E310=$AB$59,$AF$59,E310=$AB$60,$AF$60,E310=$AB$61,$AF$61,E310=$AB$62,$AF$62,E310=$AB$63,$AF$63,E310=$AB$64,$AF$64,E310=$AB$65,$AF$65,E310=$AB$66,$AF$66,TRUE,"0")</f>
        <v>if 0-0, BACK+ 0.5 GOALS  @ 1.15+odds.  or @ 40 mins</v>
      </c>
      <c r="D310" s="270" t="str" cm="1">
        <f t="array" ref="D310">_xlfn.IFS(E310=$AB$42,$AD$42,E310=$AB$43,$AD$43,E310=$AB$44,$AD$44,E310=$AB$45,$AD$45,E310=$AB$46,$AD$46,E310=$AB$47,$AD$47,E310=$AB$48,$AD$48,E310=$AB$49,$AD$49,E310=$AB$50,$AD$50,E310=$AB$51,$AD$51,E310=$AB$52,$AD$52,E310=$AB$53,$AD$53,E310=$AB$54,$AD$54,E310=$AB$55,$AD$55,E310=$AB$56,$AD$56,E310=$AB$57,$AD$57,E310=$AB$58,$AD$58,E310=$AB$59,$AD$59,E310=$AB$60,$AD$60,E310=$AB$61,$AD$61,E310=$AB$62,$AD$62,E310=$AB$63,$AD$63,E310=$AB$64,$AD$64,E310=$AB$65,$AD$65,E310=$AB$66,$AD$66,TRUE,"0")</f>
        <v>IP</v>
      </c>
      <c r="E310" s="163" t="s">
        <v>270</v>
      </c>
      <c r="F310" s="2" t="s">
        <v>77</v>
      </c>
      <c r="G310" s="2" t="s">
        <v>234</v>
      </c>
      <c r="H310" s="3">
        <v>45339.5</v>
      </c>
      <c r="I310" s="2" t="s">
        <v>424</v>
      </c>
      <c r="J310" s="2" t="s">
        <v>235</v>
      </c>
      <c r="K310" s="2">
        <v>60</v>
      </c>
      <c r="L310" s="2">
        <v>0</v>
      </c>
      <c r="M310" s="2">
        <v>20</v>
      </c>
      <c r="N310" s="2">
        <v>2.88</v>
      </c>
      <c r="O310" s="2"/>
      <c r="P310" s="2"/>
      <c r="Q310" s="2" t="s">
        <v>95</v>
      </c>
      <c r="R310" s="14" t="s">
        <v>217</v>
      </c>
      <c r="S310" s="14" t="s">
        <v>288</v>
      </c>
      <c r="T310" s="188">
        <f t="shared" si="33"/>
        <v>216.14420695019746</v>
      </c>
      <c r="U310" s="8">
        <f t="shared" si="37"/>
        <v>38.905957251035538</v>
      </c>
      <c r="V310" s="234">
        <f t="shared" si="36"/>
        <v>4361.7900962549847</v>
      </c>
      <c r="W310" s="15">
        <v>25</v>
      </c>
      <c r="X310" s="8">
        <f t="shared" si="34"/>
        <v>4.5</v>
      </c>
      <c r="Y310" s="233">
        <f t="shared" si="35"/>
        <v>1595.5</v>
      </c>
    </row>
    <row r="311" spans="1:25">
      <c r="A311" s="156" t="e" cm="1">
        <f t="array" aca="1" ref="A311" ca="1">_xlfn.IFS(E311=$AB$42,$AC$42,E311=$AB$43,$AC$43,E311=$AB$44,$AC$44,E311=$AB$45,$AC$45,E311=$AB$46,$AC$46,E311=$AB$47,$AC$47,E311=$AB$48,$AC$48,E311=$AB$49,$AC$49,E311=$AB$50,$AC$50,E311=$AB$51,$AC$51,E311=$AB$52,$AC$52,E311=$AB$53,$AC$53,E311=$AB$54,$AC$54,E311=$AB$55,$AC$55,E311=$AB$56,$AC$56,E311=$AB$57,$AC$57,E311=$AB$58,$AC$58,E311=$AB$59,$AC$59,E311=$AB$60,$AC$60,E311=$AB$61,$AC$61,E311=$AB$62,$AC$62,E311=$AB$63,$AC$63,E311=$AB$64,$AC$64,E311=$AB$65,$AC$65,E311=$AB$66,$AC$66,TRUE,"0")</f>
        <v>#NAME?</v>
      </c>
      <c r="C311" s="161" t="str" cm="1">
        <f t="array" ref="C311">_xlfn.IFS(E311=$AB$42,$AF$42,E311=$AB$43,$AF$43,E311=$AB$44,$AF$44,E311=$AB$45,$AF$45,E311=$AB$46,$AF$46,E311=$AB$47,$AF$47,E311=$AB$48,$AF$48,E311=$AB$49,$AF$49,E311=$AB$50,$AF$50,E311=$AB$51,$AF$51,E311=$AB$52,$AF$52,E311=$AB$53,$AF$53,E311=$AB$54,$AF$54,E311=$AB$55,$AF$55,E311=$AB$56,$AF$56,E311=$AB$57,$AF$57,E311=$AB$58,$AF$58,E311=$AB$59,$AF$59,E311=$AB$60,$AF$60,E311=$AB$61,$AF$61,E311=$AB$62,$AF$62,E311=$AB$63,$AF$63,E311=$AB$64,$AF$64,E311=$AB$65,$AF$65,E311=$AB$66,$AF$66,TRUE,"0")</f>
        <v>if 0-0, BACK+ 0.5 GOALS  @ 1.15+odds.  or @ 40 mins</v>
      </c>
      <c r="D311" s="270" t="str" cm="1">
        <f t="array" ref="D311">_xlfn.IFS(E311=$AB$42,$AD$42,E311=$AB$43,$AD$43,E311=$AB$44,$AD$44,E311=$AB$45,$AD$45,E311=$AB$46,$AD$46,E311=$AB$47,$AD$47,E311=$AB$48,$AD$48,E311=$AB$49,$AD$49,E311=$AB$50,$AD$50,E311=$AB$51,$AD$51,E311=$AB$52,$AD$52,E311=$AB$53,$AD$53,E311=$AB$54,$AD$54,E311=$AB$55,$AD$55,E311=$AB$56,$AD$56,E311=$AB$57,$AD$57,E311=$AB$58,$AD$58,E311=$AB$59,$AD$59,E311=$AB$60,$AD$60,E311=$AB$61,$AD$61,E311=$AB$62,$AD$62,E311=$AB$63,$AD$63,E311=$AB$64,$AD$64,E311=$AB$65,$AD$65,E311=$AB$66,$AD$66,TRUE,"0")</f>
        <v>IP</v>
      </c>
      <c r="E311" s="163" t="s">
        <v>270</v>
      </c>
      <c r="F311" s="2" t="s">
        <v>77</v>
      </c>
      <c r="G311" s="2" t="s">
        <v>234</v>
      </c>
      <c r="H311" s="3">
        <v>45339.5</v>
      </c>
      <c r="I311" s="2" t="s">
        <v>246</v>
      </c>
      <c r="J311" s="2" t="s">
        <v>407</v>
      </c>
      <c r="K311" s="2">
        <v>61</v>
      </c>
      <c r="L311" s="2">
        <v>0</v>
      </c>
      <c r="M311" s="2">
        <v>20</v>
      </c>
      <c r="N311" s="2">
        <v>2.97</v>
      </c>
      <c r="O311" s="2"/>
      <c r="P311" s="2"/>
      <c r="Q311" s="2" t="s">
        <v>95</v>
      </c>
      <c r="R311" s="14" t="s">
        <v>221</v>
      </c>
      <c r="S311" s="14" t="s">
        <v>214</v>
      </c>
      <c r="T311" s="188">
        <f t="shared" si="33"/>
        <v>218.08950481274925</v>
      </c>
      <c r="U311" s="8">
        <f t="shared" si="37"/>
        <v>39.256110866294861</v>
      </c>
      <c r="V311" s="234">
        <f t="shared" si="36"/>
        <v>4401.0462071212796</v>
      </c>
      <c r="W311" s="15">
        <v>25</v>
      </c>
      <c r="X311" s="8">
        <f t="shared" si="34"/>
        <v>4.5</v>
      </c>
      <c r="Y311" s="233">
        <f t="shared" si="35"/>
        <v>1600</v>
      </c>
    </row>
    <row r="312" spans="1:25">
      <c r="A312" s="156" t="e" cm="1">
        <f t="array" aca="1" ref="A312" ca="1">_xlfn.IFS(E312=$AB$42,$AC$42,E312=$AB$43,$AC$43,E312=$AB$44,$AC$44,E312=$AB$45,$AC$45,E312=$AB$46,$AC$46,E312=$AB$47,$AC$47,E312=$AB$48,$AC$48,E312=$AB$49,$AC$49,E312=$AB$50,$AC$50,E312=$AB$51,$AC$51,E312=$AB$52,$AC$52,E312=$AB$53,$AC$53,E312=$AB$54,$AC$54,E312=$AB$55,$AC$55,E312=$AB$56,$AC$56,E312=$AB$57,$AC$57,E312=$AB$58,$AC$58,E312=$AB$59,$AC$59,E312=$AB$60,$AC$60,E312=$AB$61,$AC$61,E312=$AB$62,$AC$62,E312=$AB$63,$AC$63,E312=$AB$64,$AC$64,E312=$AB$65,$AC$65,E312=$AB$66,$AC$66,TRUE,"0")</f>
        <v>#NAME?</v>
      </c>
      <c r="C312" s="161" t="str" cm="1">
        <f t="array" ref="C312">_xlfn.IFS(E312=$AB$42,$AF$42,E312=$AB$43,$AF$43,E312=$AB$44,$AF$44,E312=$AB$45,$AF$45,E312=$AB$46,$AF$46,E312=$AB$47,$AF$47,E312=$AB$48,$AF$48,E312=$AB$49,$AF$49,E312=$AB$50,$AF$50,E312=$AB$51,$AF$51,E312=$AB$52,$AF$52,E312=$AB$53,$AF$53,E312=$AB$54,$AF$54,E312=$AB$55,$AF$55,E312=$AB$56,$AF$56,E312=$AB$57,$AF$57,E312=$AB$58,$AF$58,E312=$AB$59,$AF$59,E312=$AB$60,$AF$60,E312=$AB$61,$AF$61,E312=$AB$62,$AF$62,E312=$AB$63,$AF$63,E312=$AB$64,$AF$64,E312=$AB$65,$AF$65,E312=$AB$66,$AF$66,TRUE,"0")</f>
        <v>40 mins Back ANother Goal</v>
      </c>
      <c r="D312" s="270" t="str" cm="1">
        <f t="array" ref="D312">_xlfn.IFS(E312=$AB$42,$AD$42,E312=$AB$43,$AD$43,E312=$AB$44,$AD$44,E312=$AB$45,$AD$45,E312=$AB$46,$AD$46,E312=$AB$47,$AD$47,E312=$AB$48,$AD$48,E312=$AB$49,$AD$49,E312=$AB$50,$AD$50,E312=$AB$51,$AD$51,E312=$AB$52,$AD$52,E312=$AB$53,$AD$53,E312=$AB$54,$AD$54,E312=$AB$55,$AD$55,E312=$AB$56,$AD$56,E312=$AB$57,$AD$57,E312=$AB$58,$AD$58,E312=$AB$59,$AD$59,E312=$AB$60,$AD$60,E312=$AB$61,$AD$61,E312=$AB$62,$AD$62,E312=$AB$63,$AD$63,E312=$AB$64,$AD$64,E312=$AB$65,$AD$65,E312=$AB$66,$AD$66,TRUE,"0")</f>
        <v xml:space="preserve">  BANG</v>
      </c>
      <c r="E312" s="163" t="s">
        <v>10</v>
      </c>
      <c r="F312" s="2" t="s">
        <v>6</v>
      </c>
      <c r="G312" s="2" t="s">
        <v>62</v>
      </c>
      <c r="H312" s="3">
        <v>45339.520833333336</v>
      </c>
      <c r="I312" s="2" t="s">
        <v>63</v>
      </c>
      <c r="J312" s="2" t="s">
        <v>285</v>
      </c>
      <c r="K312" s="2">
        <v>2</v>
      </c>
      <c r="L312" s="2">
        <v>100</v>
      </c>
      <c r="M312" s="2">
        <v>65</v>
      </c>
      <c r="N312" s="2">
        <v>25</v>
      </c>
      <c r="O312" s="2">
        <v>70</v>
      </c>
      <c r="P312" s="2">
        <v>20</v>
      </c>
      <c r="Q312" s="2" t="s">
        <v>95</v>
      </c>
      <c r="R312" s="14" t="s">
        <v>193</v>
      </c>
      <c r="S312" s="14" t="s">
        <v>225</v>
      </c>
      <c r="T312" s="188">
        <f t="shared" si="33"/>
        <v>220.052310356064</v>
      </c>
      <c r="U312" s="8">
        <f t="shared" si="37"/>
        <v>39.609415864091517</v>
      </c>
      <c r="V312" s="234">
        <f t="shared" si="36"/>
        <v>4440.6556229853713</v>
      </c>
      <c r="W312" s="15">
        <v>25</v>
      </c>
      <c r="X312" s="8">
        <f t="shared" si="34"/>
        <v>4.5</v>
      </c>
      <c r="Y312" s="233">
        <f t="shared" si="35"/>
        <v>1604.5</v>
      </c>
    </row>
    <row r="313" spans="1:25">
      <c r="A313" s="156" t="e" cm="1">
        <f t="array" aca="1" ref="A313" ca="1">_xlfn.IFS(E313=$AB$42,$AC$42,E313=$AB$43,$AC$43,E313=$AB$44,$AC$44,E313=$AB$45,$AC$45,E313=$AB$46,$AC$46,E313=$AB$47,$AC$47,E313=$AB$48,$AC$48,E313=$AB$49,$AC$49,E313=$AB$50,$AC$50,E313=$AB$51,$AC$51,E313=$AB$52,$AC$52,E313=$AB$53,$AC$53,E313=$AB$54,$AC$54,E313=$AB$55,$AC$55,E313=$AB$56,$AC$56,E313=$AB$57,$AC$57,E313=$AB$58,$AC$58,E313=$AB$59,$AC$59,E313=$AB$60,$AC$60,E313=$AB$61,$AC$61,E313=$AB$62,$AC$62,E313=$AB$63,$AC$63,E313=$AB$64,$AC$64,E313=$AB$65,$AC$65,E313=$AB$66,$AC$66,TRUE,"0")</f>
        <v>#NAME?</v>
      </c>
      <c r="C313" s="161" t="str" cm="1">
        <f t="array" ref="C313">_xlfn.IFS(E313=$AB$42,$AF$42,E313=$AB$43,$AF$43,E313=$AB$44,$AF$44,E313=$AB$45,$AF$45,E313=$AB$46,$AF$46,E313=$AB$47,$AF$47,E313=$AB$48,$AF$48,E313=$AB$49,$AF$49,E313=$AB$50,$AF$50,E313=$AB$51,$AF$51,E313=$AB$52,$AF$52,E313=$AB$53,$AF$53,E313=$AB$54,$AF$54,E313=$AB$55,$AF$55,E313=$AB$56,$AF$56,E313=$AB$57,$AF$57,E313=$AB$58,$AF$58,E313=$AB$59,$AF$59,E313=$AB$60,$AF$60,E313=$AB$61,$AF$61,E313=$AB$62,$AF$62,E313=$AB$63,$AF$63,E313=$AB$64,$AF$64,E313=$AB$65,$AF$65,E313=$AB$66,$AF$66,TRUE,"0")</f>
        <v>if 0-0, BACK+ 0.5 GOALS  @ 1.15+odds.  or @ 40 mins</v>
      </c>
      <c r="D313" s="270" t="str" cm="1">
        <f t="array" ref="D313">_xlfn.IFS(E313=$AB$42,$AD$42,E313=$AB$43,$AD$43,E313=$AB$44,$AD$44,E313=$AB$45,$AD$45,E313=$AB$46,$AD$46,E313=$AB$47,$AD$47,E313=$AB$48,$AD$48,E313=$AB$49,$AD$49,E313=$AB$50,$AD$50,E313=$AB$51,$AD$51,E313=$AB$52,$AD$52,E313=$AB$53,$AD$53,E313=$AB$54,$AD$54,E313=$AB$55,$AD$55,E313=$AB$56,$AD$56,E313=$AB$57,$AD$57,E313=$AB$58,$AD$58,E313=$AB$59,$AD$59,E313=$AB$60,$AD$60,E313=$AB$61,$AD$61,E313=$AB$62,$AD$62,E313=$AB$63,$AD$63,E313=$AB$64,$AD$64,E313=$AB$65,$AD$65,E313=$AB$66,$AD$66,TRUE,"0")</f>
        <v>IP</v>
      </c>
      <c r="E313" s="163" t="s">
        <v>270</v>
      </c>
      <c r="F313" s="2" t="s">
        <v>6</v>
      </c>
      <c r="G313" s="2" t="s">
        <v>62</v>
      </c>
      <c r="H313" s="3">
        <v>45339.520833333336</v>
      </c>
      <c r="I313" s="2" t="s">
        <v>63</v>
      </c>
      <c r="J313" s="2" t="s">
        <v>285</v>
      </c>
      <c r="K313" s="2">
        <v>59</v>
      </c>
      <c r="L313" s="2">
        <v>0</v>
      </c>
      <c r="M313" s="2">
        <v>20</v>
      </c>
      <c r="N313" s="2">
        <v>3.24</v>
      </c>
      <c r="O313" s="2"/>
      <c r="P313" s="2"/>
      <c r="Q313" s="2" t="s">
        <v>95</v>
      </c>
      <c r="R313" s="14" t="s">
        <v>193</v>
      </c>
      <c r="S313" s="14" t="s">
        <v>225</v>
      </c>
      <c r="T313" s="188">
        <f t="shared" si="33"/>
        <v>222.03278114926857</v>
      </c>
      <c r="U313" s="8">
        <f t="shared" si="37"/>
        <v>39.965900606868338</v>
      </c>
      <c r="V313" s="234">
        <f t="shared" si="36"/>
        <v>4480.62152359224</v>
      </c>
      <c r="W313" s="15">
        <v>25</v>
      </c>
      <c r="X313" s="8">
        <f t="shared" si="34"/>
        <v>4.5</v>
      </c>
      <c r="Y313" s="233">
        <f t="shared" si="35"/>
        <v>1609</v>
      </c>
    </row>
    <row r="314" spans="1:25">
      <c r="A314" s="156" t="e" cm="1">
        <f t="array" aca="1" ref="A314" ca="1">_xlfn.IFS(E314=$AB$42,$AC$42,E314=$AB$43,$AC$43,E314=$AB$44,$AC$44,E314=$AB$45,$AC$45,E314=$AB$46,$AC$46,E314=$AB$47,$AC$47,E314=$AB$48,$AC$48,E314=$AB$49,$AC$49,E314=$AB$50,$AC$50,E314=$AB$51,$AC$51,E314=$AB$52,$AC$52,E314=$AB$53,$AC$53,E314=$AB$54,$AC$54,E314=$AB$55,$AC$55,E314=$AB$56,$AC$56,E314=$AB$57,$AC$57,E314=$AB$58,$AC$58,E314=$AB$59,$AC$59,E314=$AB$60,$AC$60,E314=$AB$61,$AC$61,E314=$AB$62,$AC$62,E314=$AB$63,$AC$63,E314=$AB$64,$AC$64,E314=$AB$65,$AC$65,E314=$AB$66,$AC$66,TRUE,"0")</f>
        <v>#NAME?</v>
      </c>
      <c r="C314" s="161" t="str" cm="1">
        <f t="array" ref="C314">_xlfn.IFS(E314=$AB$42,$AF$42,E314=$AB$43,$AF$43,E314=$AB$44,$AF$44,E314=$AB$45,$AF$45,E314=$AB$46,$AF$46,E314=$AB$47,$AF$47,E314=$AB$48,$AF$48,E314=$AB$49,$AF$49,E314=$AB$50,$AF$50,E314=$AB$51,$AF$51,E314=$AB$52,$AF$52,E314=$AB$53,$AF$53,E314=$AB$54,$AF$54,E314=$AB$55,$AF$55,E314=$AB$56,$AF$56,E314=$AB$57,$AF$57,E314=$AB$58,$AF$58,E314=$AB$59,$AF$59,E314=$AB$60,$AF$60,E314=$AB$61,$AF$61,E314=$AB$62,$AF$62,E314=$AB$63,$AF$63,E314=$AB$64,$AF$64,E314=$AB$65,$AF$65,E314=$AB$66,$AF$66,TRUE,"0")</f>
        <v>40 mins Back ANother Goal</v>
      </c>
      <c r="D314" s="270" t="str" cm="1">
        <f t="array" ref="D314">_xlfn.IFS(E314=$AB$42,$AD$42,E314=$AB$43,$AD$43,E314=$AB$44,$AD$44,E314=$AB$45,$AD$45,E314=$AB$46,$AD$46,E314=$AB$47,$AD$47,E314=$AB$48,$AD$48,E314=$AB$49,$AD$49,E314=$AB$50,$AD$50,E314=$AB$51,$AD$51,E314=$AB$52,$AD$52,E314=$AB$53,$AD$53,E314=$AB$54,$AD$54,E314=$AB$55,$AD$55,E314=$AB$56,$AD$56,E314=$AB$57,$AD$57,E314=$AB$58,$AD$58,E314=$AB$59,$AD$59,E314=$AB$60,$AD$60,E314=$AB$61,$AD$61,E314=$AB$62,$AD$62,E314=$AB$63,$AD$63,E314=$AB$64,$AD$64,E314=$AB$65,$AD$65,E314=$AB$66,$AD$66,TRUE,"0")</f>
        <v xml:space="preserve">  BANG</v>
      </c>
      <c r="E314" s="163" t="s">
        <v>10</v>
      </c>
      <c r="F314" s="2" t="s">
        <v>77</v>
      </c>
      <c r="G314" s="2" t="s">
        <v>251</v>
      </c>
      <c r="H314" s="3">
        <v>45339.541666666664</v>
      </c>
      <c r="I314" s="2" t="s">
        <v>294</v>
      </c>
      <c r="J314" s="2" t="s">
        <v>398</v>
      </c>
      <c r="K314" s="2">
        <v>2.1</v>
      </c>
      <c r="L314" s="2">
        <v>90</v>
      </c>
      <c r="M314" s="2">
        <v>70</v>
      </c>
      <c r="N314" s="2">
        <v>30</v>
      </c>
      <c r="O314" s="2">
        <v>65</v>
      </c>
      <c r="P314" s="2">
        <v>20</v>
      </c>
      <c r="Q314" s="2" t="s">
        <v>95</v>
      </c>
      <c r="R314" s="14" t="s">
        <v>221</v>
      </c>
      <c r="S314" s="14" t="s">
        <v>217</v>
      </c>
      <c r="T314" s="188">
        <f t="shared" si="33"/>
        <v>224.031076179612</v>
      </c>
      <c r="U314" s="8">
        <f t="shared" si="37"/>
        <v>40.325593712330161</v>
      </c>
      <c r="V314" s="234">
        <f t="shared" si="36"/>
        <v>4520.9471173045704</v>
      </c>
      <c r="W314" s="15">
        <v>25</v>
      </c>
      <c r="X314" s="8">
        <f t="shared" si="34"/>
        <v>4.5</v>
      </c>
      <c r="Y314" s="233">
        <f t="shared" si="35"/>
        <v>1613.5</v>
      </c>
    </row>
    <row r="315" spans="1:25">
      <c r="A315" s="156" t="e" cm="1">
        <f t="array" aca="1" ref="A315" ca="1">_xlfn.IFS(E315=$AB$42,$AC$42,E315=$AB$43,$AC$43,E315=$AB$44,$AC$44,E315=$AB$45,$AC$45,E315=$AB$46,$AC$46,E315=$AB$47,$AC$47,E315=$AB$48,$AC$48,E315=$AB$49,$AC$49,E315=$AB$50,$AC$50,E315=$AB$51,$AC$51,E315=$AB$52,$AC$52,E315=$AB$53,$AC$53,E315=$AB$54,$AC$54,E315=$AB$55,$AC$55,E315=$AB$56,$AC$56,E315=$AB$57,$AC$57,E315=$AB$58,$AC$58,E315=$AB$59,$AC$59,E315=$AB$60,$AC$60,E315=$AB$61,$AC$61,E315=$AB$62,$AC$62,E315=$AB$63,$AC$63,E315=$AB$64,$AC$64,E315=$AB$65,$AC$65,E315=$AB$66,$AC$66,TRUE,"0")</f>
        <v>#NAME?</v>
      </c>
      <c r="C315" s="161" t="str" cm="1">
        <f t="array" ref="C315">_xlfn.IFS(E315=$AB$42,$AF$42,E315=$AB$43,$AF$43,E315=$AB$44,$AF$44,E315=$AB$45,$AF$45,E315=$AB$46,$AF$46,E315=$AB$47,$AF$47,E315=$AB$48,$AF$48,E315=$AB$49,$AF$49,E315=$AB$50,$AF$50,E315=$AB$51,$AF$51,E315=$AB$52,$AF$52,E315=$AB$53,$AF$53,E315=$AB$54,$AF$54,E315=$AB$55,$AF$55,E315=$AB$56,$AF$56,E315=$AB$57,$AF$57,E315=$AB$58,$AF$58,E315=$AB$59,$AF$59,E315=$AB$60,$AF$60,E315=$AB$61,$AF$61,E315=$AB$62,$AF$62,E315=$AB$63,$AF$63,E315=$AB$64,$AF$64,E315=$AB$65,$AF$65,E315=$AB$66,$AF$66,TRUE,"0")</f>
        <v>40 mins Back ANother Goal</v>
      </c>
      <c r="D315" s="270" t="str" cm="1">
        <f t="array" ref="D315">_xlfn.IFS(E315=$AB$42,$AD$42,E315=$AB$43,$AD$43,E315=$AB$44,$AD$44,E315=$AB$45,$AD$45,E315=$AB$46,$AD$46,E315=$AB$47,$AD$47,E315=$AB$48,$AD$48,E315=$AB$49,$AD$49,E315=$AB$50,$AD$50,E315=$AB$51,$AD$51,E315=$AB$52,$AD$52,E315=$AB$53,$AD$53,E315=$AB$54,$AD$54,E315=$AB$55,$AD$55,E315=$AB$56,$AD$56,E315=$AB$57,$AD$57,E315=$AB$58,$AD$58,E315=$AB$59,$AD$59,E315=$AB$60,$AD$60,E315=$AB$61,$AD$61,E315=$AB$62,$AD$62,E315=$AB$63,$AD$63,E315=$AB$64,$AD$64,E315=$AB$65,$AD$65,E315=$AB$66,$AD$66,TRUE,"0")</f>
        <v xml:space="preserve">  BANG</v>
      </c>
      <c r="E315" s="163" t="s">
        <v>10</v>
      </c>
      <c r="F315" s="2" t="s">
        <v>6</v>
      </c>
      <c r="G315" s="2" t="s">
        <v>7</v>
      </c>
      <c r="H315" s="3">
        <v>45339.625</v>
      </c>
      <c r="I315" s="2" t="s">
        <v>26</v>
      </c>
      <c r="J315" s="2" t="s">
        <v>9</v>
      </c>
      <c r="K315" s="2">
        <v>2.1</v>
      </c>
      <c r="L315" s="2">
        <v>90</v>
      </c>
      <c r="M315" s="2">
        <v>65</v>
      </c>
      <c r="N315" s="2">
        <v>35</v>
      </c>
      <c r="O315" s="2">
        <v>60</v>
      </c>
      <c r="P315" s="2">
        <v>20</v>
      </c>
      <c r="Q315" s="2" t="s">
        <v>95</v>
      </c>
      <c r="R315" s="14" t="s">
        <v>221</v>
      </c>
      <c r="S315" s="14" t="s">
        <v>216</v>
      </c>
      <c r="T315" s="188">
        <f t="shared" si="33"/>
        <v>226.04735586522852</v>
      </c>
      <c r="U315" s="8">
        <f t="shared" si="37"/>
        <v>40.688524055741134</v>
      </c>
      <c r="V315" s="234">
        <f t="shared" si="36"/>
        <v>4561.6356413603116</v>
      </c>
      <c r="W315" s="15">
        <v>25</v>
      </c>
      <c r="X315" s="8">
        <f t="shared" si="34"/>
        <v>4.5</v>
      </c>
      <c r="Y315" s="233">
        <f t="shared" si="35"/>
        <v>1618</v>
      </c>
    </row>
    <row r="316" spans="1:25">
      <c r="A316" s="156" t="e" cm="1">
        <f t="array" aca="1" ref="A316" ca="1">_xlfn.IFS(E316=$AB$42,$AC$42,E316=$AB$43,$AC$43,E316=$AB$44,$AC$44,E316=$AB$45,$AC$45,E316=$AB$46,$AC$46,E316=$AB$47,$AC$47,E316=$AB$48,$AC$48,E316=$AB$49,$AC$49,E316=$AB$50,$AC$50,E316=$AB$51,$AC$51,E316=$AB$52,$AC$52,E316=$AB$53,$AC$53,E316=$AB$54,$AC$54,E316=$AB$55,$AC$55,E316=$AB$56,$AC$56,E316=$AB$57,$AC$57,E316=$AB$58,$AC$58,E316=$AB$59,$AC$59,E316=$AB$60,$AC$60,E316=$AB$61,$AC$61,E316=$AB$62,$AC$62,E316=$AB$63,$AC$63,E316=$AB$64,$AC$64,E316=$AB$65,$AC$65,E316=$AB$66,$AC$66,TRUE,"0")</f>
        <v>#NAME?</v>
      </c>
      <c r="C316" s="161" t="str" cm="1">
        <f t="array" ref="C316">_xlfn.IFS(E316=$AB$42,$AF$42,E316=$AB$43,$AF$43,E316=$AB$44,$AF$44,E316=$AB$45,$AF$45,E316=$AB$46,$AF$46,E316=$AB$47,$AF$47,E316=$AB$48,$AF$48,E316=$AB$49,$AF$49,E316=$AB$50,$AF$50,E316=$AB$51,$AF$51,E316=$AB$52,$AF$52,E316=$AB$53,$AF$53,E316=$AB$54,$AF$54,E316=$AB$55,$AF$55,E316=$AB$56,$AF$56,E316=$AB$57,$AF$57,E316=$AB$58,$AF$58,E316=$AB$59,$AF$59,E316=$AB$60,$AF$60,E316=$AB$61,$AF$61,E316=$AB$62,$AF$62,E316=$AB$63,$AF$63,E316=$AB$64,$AF$64,E316=$AB$65,$AF$65,E316=$AB$66,$AF$66,TRUE,"0")</f>
        <v>40 mins Back ANother Goal</v>
      </c>
      <c r="D316" s="270" t="str" cm="1">
        <f t="array" ref="D316">_xlfn.IFS(E316=$AB$42,$AD$42,E316=$AB$43,$AD$43,E316=$AB$44,$AD$44,E316=$AB$45,$AD$45,E316=$AB$46,$AD$46,E316=$AB$47,$AD$47,E316=$AB$48,$AD$48,E316=$AB$49,$AD$49,E316=$AB$50,$AD$50,E316=$AB$51,$AD$51,E316=$AB$52,$AD$52,E316=$AB$53,$AD$53,E316=$AB$54,$AD$54,E316=$AB$55,$AD$55,E316=$AB$56,$AD$56,E316=$AB$57,$AD$57,E316=$AB$58,$AD$58,E316=$AB$59,$AD$59,E316=$AB$60,$AD$60,E316=$AB$61,$AD$61,E316=$AB$62,$AD$62,E316=$AB$63,$AD$63,E316=$AB$64,$AD$64,E316=$AB$65,$AD$65,E316=$AB$66,$AD$66,TRUE,"0")</f>
        <v xml:space="preserve">  BANG</v>
      </c>
      <c r="E316" s="163" t="s">
        <v>10</v>
      </c>
      <c r="F316" s="2" t="s">
        <v>6</v>
      </c>
      <c r="G316" s="2" t="s">
        <v>7</v>
      </c>
      <c r="H316" s="3">
        <v>45339.625</v>
      </c>
      <c r="I316" s="2" t="s">
        <v>27</v>
      </c>
      <c r="J316" s="2" t="s">
        <v>420</v>
      </c>
      <c r="K316" s="2">
        <v>2.2999999999999998</v>
      </c>
      <c r="L316" s="2">
        <v>95</v>
      </c>
      <c r="M316" s="2">
        <v>80</v>
      </c>
      <c r="N316" s="2">
        <v>40</v>
      </c>
      <c r="O316" s="2">
        <v>62</v>
      </c>
      <c r="P316" s="2">
        <v>20</v>
      </c>
      <c r="Q316" s="2" t="s">
        <v>95</v>
      </c>
      <c r="R316" s="14" t="s">
        <v>214</v>
      </c>
      <c r="S316" s="14" t="s">
        <v>216</v>
      </c>
      <c r="T316" s="188">
        <f t="shared" si="33"/>
        <v>228.0817820680156</v>
      </c>
      <c r="U316" s="8">
        <f t="shared" si="37"/>
        <v>41.05472077224281</v>
      </c>
      <c r="V316" s="234">
        <f t="shared" si="36"/>
        <v>4602.6903621325546</v>
      </c>
      <c r="W316" s="15">
        <v>25</v>
      </c>
      <c r="X316" s="8">
        <f t="shared" si="34"/>
        <v>4.5</v>
      </c>
      <c r="Y316" s="233">
        <f t="shared" si="35"/>
        <v>1622.5</v>
      </c>
    </row>
    <row r="317" spans="1:25">
      <c r="A317" s="156" t="e" cm="1">
        <f t="array" aca="1" ref="A317" ca="1">_xlfn.IFS(E317=$AB$42,$AC$42,E317=$AB$43,$AC$43,E317=$AB$44,$AC$44,E317=$AB$45,$AC$45,E317=$AB$46,$AC$46,E317=$AB$47,$AC$47,E317=$AB$48,$AC$48,E317=$AB$49,$AC$49,E317=$AB$50,$AC$50,E317=$AB$51,$AC$51,E317=$AB$52,$AC$52,E317=$AB$53,$AC$53,E317=$AB$54,$AC$54,E317=$AB$55,$AC$55,E317=$AB$56,$AC$56,E317=$AB$57,$AC$57,E317=$AB$58,$AC$58,E317=$AB$59,$AC$59,E317=$AB$60,$AC$60,E317=$AB$61,$AC$61,E317=$AB$62,$AC$62,E317=$AB$63,$AC$63,E317=$AB$64,$AC$64,E317=$AB$65,$AC$65,E317=$AB$66,$AC$66,TRUE,"0")</f>
        <v>#NAME?</v>
      </c>
      <c r="C317" s="161" t="str" cm="1">
        <f t="array" ref="C317">_xlfn.IFS(E317=$AB$42,$AF$42,E317=$AB$43,$AF$43,E317=$AB$44,$AF$44,E317=$AB$45,$AF$45,E317=$AB$46,$AF$46,E317=$AB$47,$AF$47,E317=$AB$48,$AF$48,E317=$AB$49,$AF$49,E317=$AB$50,$AF$50,E317=$AB$51,$AF$51,E317=$AB$52,$AF$52,E317=$AB$53,$AF$53,E317=$AB$54,$AF$54,E317=$AB$55,$AF$55,E317=$AB$56,$AF$56,E317=$AB$57,$AF$57,E317=$AB$58,$AF$58,E317=$AB$59,$AF$59,E317=$AB$60,$AF$60,E317=$AB$61,$AF$61,E317=$AB$62,$AF$62,E317=$AB$63,$AF$63,E317=$AB$64,$AF$64,E317=$AB$65,$AF$65,E317=$AB$66,$AF$66,TRUE,"0")</f>
        <v>40 mins Back ANother Goal</v>
      </c>
      <c r="D317" s="270" t="str" cm="1">
        <f t="array" ref="D317">_xlfn.IFS(E317=$AB$42,$AD$42,E317=$AB$43,$AD$43,E317=$AB$44,$AD$44,E317=$AB$45,$AD$45,E317=$AB$46,$AD$46,E317=$AB$47,$AD$47,E317=$AB$48,$AD$48,E317=$AB$49,$AD$49,E317=$AB$50,$AD$50,E317=$AB$51,$AD$51,E317=$AB$52,$AD$52,E317=$AB$53,$AD$53,E317=$AB$54,$AD$54,E317=$AB$55,$AD$55,E317=$AB$56,$AD$56,E317=$AB$57,$AD$57,E317=$AB$58,$AD$58,E317=$AB$59,$AD$59,E317=$AB$60,$AD$60,E317=$AB$61,$AD$61,E317=$AB$62,$AD$62,E317=$AB$63,$AD$63,E317=$AB$64,$AD$64,E317=$AB$65,$AD$65,E317=$AB$66,$AD$66,TRUE,"0")</f>
        <v xml:space="preserve">  BANG</v>
      </c>
      <c r="E317" s="163" t="s">
        <v>35</v>
      </c>
      <c r="F317" s="2" t="s">
        <v>6</v>
      </c>
      <c r="G317" s="2" t="s">
        <v>7</v>
      </c>
      <c r="H317" s="3">
        <v>45339.625</v>
      </c>
      <c r="I317" s="2" t="s">
        <v>27</v>
      </c>
      <c r="J317" s="2" t="s">
        <v>420</v>
      </c>
      <c r="K317" s="2">
        <v>73</v>
      </c>
      <c r="L317" s="2">
        <v>95</v>
      </c>
      <c r="M317" s="2">
        <v>80</v>
      </c>
      <c r="N317" s="2">
        <v>40</v>
      </c>
      <c r="O317" s="2">
        <v>20</v>
      </c>
      <c r="P317" s="2">
        <v>1.38</v>
      </c>
      <c r="Q317" s="2" t="s">
        <v>95</v>
      </c>
      <c r="R317" s="14" t="s">
        <v>214</v>
      </c>
      <c r="S317" s="14" t="s">
        <v>216</v>
      </c>
      <c r="T317" s="188">
        <f t="shared" si="33"/>
        <v>230.13451810662775</v>
      </c>
      <c r="U317" s="8">
        <f t="shared" si="37"/>
        <v>41.424213259192996</v>
      </c>
      <c r="V317" s="234">
        <f t="shared" si="36"/>
        <v>4644.1145753917472</v>
      </c>
      <c r="W317" s="15">
        <v>25</v>
      </c>
      <c r="X317" s="8">
        <f t="shared" si="34"/>
        <v>4.5</v>
      </c>
      <c r="Y317" s="233">
        <f t="shared" si="35"/>
        <v>1627</v>
      </c>
    </row>
    <row r="318" spans="1:25">
      <c r="A318" s="156" t="e" cm="1">
        <f t="array" aca="1" ref="A318" ca="1">_xlfn.IFS(E318=$AB$42,$AC$42,E318=$AB$43,$AC$43,E318=$AB$44,$AC$44,E318=$AB$45,$AC$45,E318=$AB$46,$AC$46,E318=$AB$47,$AC$47,E318=$AB$48,$AC$48,E318=$AB$49,$AC$49,E318=$AB$50,$AC$50,E318=$AB$51,$AC$51,E318=$AB$52,$AC$52,E318=$AB$53,$AC$53,E318=$AB$54,$AC$54,E318=$AB$55,$AC$55,E318=$AB$56,$AC$56,E318=$AB$57,$AC$57,E318=$AB$58,$AC$58,E318=$AB$59,$AC$59,E318=$AB$60,$AC$60,E318=$AB$61,$AC$61,E318=$AB$62,$AC$62,E318=$AB$63,$AC$63,E318=$AB$64,$AC$64,E318=$AB$65,$AC$65,E318=$AB$66,$AC$66,TRUE,"0")</f>
        <v>#NAME?</v>
      </c>
      <c r="C318" s="161" t="str" cm="1">
        <f t="array" ref="C318">_xlfn.IFS(E318=$AB$42,$AF$42,E318=$AB$43,$AF$43,E318=$AB$44,$AF$44,E318=$AB$45,$AF$45,E318=$AB$46,$AF$46,E318=$AB$47,$AF$47,E318=$AB$48,$AF$48,E318=$AB$49,$AF$49,E318=$AB$50,$AF$50,E318=$AB$51,$AF$51,E318=$AB$52,$AF$52,E318=$AB$53,$AF$53,E318=$AB$54,$AF$54,E318=$AB$55,$AF$55,E318=$AB$56,$AF$56,E318=$AB$57,$AF$57,E318=$AB$58,$AF$58,E318=$AB$59,$AF$59,E318=$AB$60,$AF$60,E318=$AB$61,$AF$61,E318=$AB$62,$AF$62,E318=$AB$63,$AF$63,E318=$AB$64,$AF$64,E318=$AB$65,$AF$65,E318=$AB$66,$AF$66,TRUE,"0")</f>
        <v>if 0-0, BACK+ 0.5 GOALS  @ 1.15+odds.  or @ 40 mins</v>
      </c>
      <c r="D318" s="270" t="str" cm="1">
        <f t="array" ref="D318">_xlfn.IFS(E318=$AB$42,$AD$42,E318=$AB$43,$AD$43,E318=$AB$44,$AD$44,E318=$AB$45,$AD$45,E318=$AB$46,$AD$46,E318=$AB$47,$AD$47,E318=$AB$48,$AD$48,E318=$AB$49,$AD$49,E318=$AB$50,$AD$50,E318=$AB$51,$AD$51,E318=$AB$52,$AD$52,E318=$AB$53,$AD$53,E318=$AB$54,$AD$54,E318=$AB$55,$AD$55,E318=$AB$56,$AD$56,E318=$AB$57,$AD$57,E318=$AB$58,$AD$58,E318=$AB$59,$AD$59,E318=$AB$60,$AD$60,E318=$AB$61,$AD$61,E318=$AB$62,$AD$62,E318=$AB$63,$AD$63,E318=$AB$64,$AD$64,E318=$AB$65,$AD$65,E318=$AB$66,$AD$66,TRUE,"0")</f>
        <v>IP</v>
      </c>
      <c r="E318" s="163" t="s">
        <v>270</v>
      </c>
      <c r="F318" s="2" t="s">
        <v>6</v>
      </c>
      <c r="G318" s="2" t="s">
        <v>7</v>
      </c>
      <c r="H318" s="3">
        <v>45339.625</v>
      </c>
      <c r="I318" s="2" t="s">
        <v>27</v>
      </c>
      <c r="J318" s="2" t="s">
        <v>420</v>
      </c>
      <c r="K318" s="2">
        <v>73</v>
      </c>
      <c r="L318" s="2">
        <v>0</v>
      </c>
      <c r="M318" s="2">
        <v>20</v>
      </c>
      <c r="N318" s="2">
        <v>2.4700000000000002</v>
      </c>
      <c r="O318" s="2"/>
      <c r="P318" s="2"/>
      <c r="Q318" s="2" t="s">
        <v>95</v>
      </c>
      <c r="R318" s="14" t="s">
        <v>214</v>
      </c>
      <c r="S318" s="14" t="s">
        <v>216</v>
      </c>
      <c r="T318" s="188">
        <f t="shared" si="33"/>
        <v>232.20572876958738</v>
      </c>
      <c r="U318" s="8">
        <f t="shared" si="37"/>
        <v>41.797031178525728</v>
      </c>
      <c r="V318" s="234">
        <f t="shared" ref="V318:V345" si="38">SUM(V317,U318)</f>
        <v>4685.9116065702729</v>
      </c>
      <c r="W318" s="15">
        <v>25</v>
      </c>
      <c r="X318" s="8">
        <f t="shared" si="34"/>
        <v>4.5</v>
      </c>
      <c r="Y318" s="233">
        <f t="shared" si="35"/>
        <v>1631.5</v>
      </c>
    </row>
    <row r="319" spans="1:25">
      <c r="A319" s="156" t="e" cm="1">
        <f t="array" aca="1" ref="A319" ca="1">_xlfn.IFS(E319=$AB$42,$AC$42,E319=$AB$43,$AC$43,E319=$AB$44,$AC$44,E319=$AB$45,$AC$45,E319=$AB$46,$AC$46,E319=$AB$47,$AC$47,E319=$AB$48,$AC$48,E319=$AB$49,$AC$49,E319=$AB$50,$AC$50,E319=$AB$51,$AC$51,E319=$AB$52,$AC$52,E319=$AB$53,$AC$53,E319=$AB$54,$AC$54,E319=$AB$55,$AC$55,E319=$AB$56,$AC$56,E319=$AB$57,$AC$57,E319=$AB$58,$AC$58,E319=$AB$59,$AC$59,E319=$AB$60,$AC$60,E319=$AB$61,$AC$61,E319=$AB$62,$AC$62,E319=$AB$63,$AC$63,E319=$AB$64,$AC$64,E319=$AB$65,$AC$65,E319=$AB$66,$AC$66,TRUE,"0")</f>
        <v>#NAME?</v>
      </c>
      <c r="C319" s="161" t="str" cm="1">
        <f t="array" ref="C319">_xlfn.IFS(E319=$AB$42,$AF$42,E319=$AB$43,$AF$43,E319=$AB$44,$AF$44,E319=$AB$45,$AF$45,E319=$AB$46,$AF$46,E319=$AB$47,$AF$47,E319=$AB$48,$AF$48,E319=$AB$49,$AF$49,E319=$AB$50,$AF$50,E319=$AB$51,$AF$51,E319=$AB$52,$AF$52,E319=$AB$53,$AF$53,E319=$AB$54,$AF$54,E319=$AB$55,$AF$55,E319=$AB$56,$AF$56,E319=$AB$57,$AF$57,E319=$AB$58,$AF$58,E319=$AB$59,$AF$59,E319=$AB$60,$AF$60,E319=$AB$61,$AF$61,E319=$AB$62,$AF$62,E319=$AB$63,$AF$63,E319=$AB$64,$AF$64,E319=$AB$65,$AF$65,E319=$AB$66,$AF$66,TRUE,"0")</f>
        <v>if 0-0, BACK+ 0.5 GOALS  @ 1.15+odds.  or @ 40 mins</v>
      </c>
      <c r="D319" s="270" t="str" cm="1">
        <f t="array" ref="D319">_xlfn.IFS(E319=$AB$42,$AD$42,E319=$AB$43,$AD$43,E319=$AB$44,$AD$44,E319=$AB$45,$AD$45,E319=$AB$46,$AD$46,E319=$AB$47,$AD$47,E319=$AB$48,$AD$48,E319=$AB$49,$AD$49,E319=$AB$50,$AD$50,E319=$AB$51,$AD$51,E319=$AB$52,$AD$52,E319=$AB$53,$AD$53,E319=$AB$54,$AD$54,E319=$AB$55,$AD$55,E319=$AB$56,$AD$56,E319=$AB$57,$AD$57,E319=$AB$58,$AD$58,E319=$AB$59,$AD$59,E319=$AB$60,$AD$60,E319=$AB$61,$AD$61,E319=$AB$62,$AD$62,E319=$AB$63,$AD$63,E319=$AB$64,$AD$64,E319=$AB$65,$AD$65,E319=$AB$66,$AD$66,TRUE,"0")</f>
        <v>IP</v>
      </c>
      <c r="E319" s="163" t="s">
        <v>270</v>
      </c>
      <c r="F319" s="2" t="s">
        <v>6</v>
      </c>
      <c r="G319" s="2" t="s">
        <v>7</v>
      </c>
      <c r="H319" s="3">
        <v>45339.625</v>
      </c>
      <c r="I319" s="2" t="s">
        <v>141</v>
      </c>
      <c r="J319" s="2" t="s">
        <v>378</v>
      </c>
      <c r="K319" s="2">
        <v>60</v>
      </c>
      <c r="L319" s="2">
        <v>0</v>
      </c>
      <c r="M319" s="2">
        <v>20</v>
      </c>
      <c r="N319" s="2">
        <v>2.34</v>
      </c>
      <c r="O319" s="2"/>
      <c r="P319" s="2"/>
      <c r="Q319" s="2" t="s">
        <v>96</v>
      </c>
      <c r="R319" s="14" t="s">
        <v>221</v>
      </c>
      <c r="S319" s="14" t="s">
        <v>221</v>
      </c>
      <c r="T319" s="188">
        <f t="shared" si="33"/>
        <v>234.29558032851367</v>
      </c>
      <c r="U319" s="8">
        <f t="shared" si="37"/>
        <v>-234.29558032851367</v>
      </c>
      <c r="V319" s="234">
        <f t="shared" si="38"/>
        <v>4451.6160262417588</v>
      </c>
      <c r="W319" s="15">
        <v>25</v>
      </c>
      <c r="X319" s="8">
        <f t="shared" si="34"/>
        <v>-25</v>
      </c>
      <c r="Y319" s="233">
        <f t="shared" si="35"/>
        <v>1606.5</v>
      </c>
    </row>
    <row r="320" spans="1:25">
      <c r="A320" s="156" t="e" cm="1">
        <f t="array" aca="1" ref="A320" ca="1">_xlfn.IFS(E320=$AB$42,$AC$42,E320=$AB$43,$AC$43,E320=$AB$44,$AC$44,E320=$AB$45,$AC$45,E320=$AB$46,$AC$46,E320=$AB$47,$AC$47,E320=$AB$48,$AC$48,E320=$AB$49,$AC$49,E320=$AB$50,$AC$50,E320=$AB$51,$AC$51,E320=$AB$52,$AC$52,E320=$AB$53,$AC$53,E320=$AB$54,$AC$54,E320=$AB$55,$AC$55,E320=$AB$56,$AC$56,E320=$AB$57,$AC$57,E320=$AB$58,$AC$58,E320=$AB$59,$AC$59,E320=$AB$60,$AC$60,E320=$AB$61,$AC$61,E320=$AB$62,$AC$62,E320=$AB$63,$AC$63,E320=$AB$64,$AC$64,E320=$AB$65,$AC$65,E320=$AB$66,$AC$66,TRUE,"0")</f>
        <v>#NAME?</v>
      </c>
      <c r="C320" s="161" t="str" cm="1">
        <f t="array" ref="C320">_xlfn.IFS(E320=$AB$42,$AF$42,E320=$AB$43,$AF$43,E320=$AB$44,$AF$44,E320=$AB$45,$AF$45,E320=$AB$46,$AF$46,E320=$AB$47,$AF$47,E320=$AB$48,$AF$48,E320=$AB$49,$AF$49,E320=$AB$50,$AF$50,E320=$AB$51,$AF$51,E320=$AB$52,$AF$52,E320=$AB$53,$AF$53,E320=$AB$54,$AF$54,E320=$AB$55,$AF$55,E320=$AB$56,$AF$56,E320=$AB$57,$AF$57,E320=$AB$58,$AF$58,E320=$AB$59,$AF$59,E320=$AB$60,$AF$60,E320=$AB$61,$AF$61,E320=$AB$62,$AF$62,E320=$AB$63,$AF$63,E320=$AB$64,$AF$64,E320=$AB$65,$AF$65,E320=$AB$66,$AF$66,TRUE,"0")</f>
        <v>if 0-0, BACK+ 0.5 GOALS  @ 1.15+odds.  or @ 40 mins</v>
      </c>
      <c r="D320" s="270" t="str" cm="1">
        <f t="array" ref="D320">_xlfn.IFS(E320=$AB$42,$AD$42,E320=$AB$43,$AD$43,E320=$AB$44,$AD$44,E320=$AB$45,$AD$45,E320=$AB$46,$AD$46,E320=$AB$47,$AD$47,E320=$AB$48,$AD$48,E320=$AB$49,$AD$49,E320=$AB$50,$AD$50,E320=$AB$51,$AD$51,E320=$AB$52,$AD$52,E320=$AB$53,$AD$53,E320=$AB$54,$AD$54,E320=$AB$55,$AD$55,E320=$AB$56,$AD$56,E320=$AB$57,$AD$57,E320=$AB$58,$AD$58,E320=$AB$59,$AD$59,E320=$AB$60,$AD$60,E320=$AB$61,$AD$61,E320=$AB$62,$AD$62,E320=$AB$63,$AD$63,E320=$AB$64,$AD$64,E320=$AB$65,$AD$65,E320=$AB$66,$AD$66,TRUE,"0")</f>
        <v>IP</v>
      </c>
      <c r="E320" s="163" t="s">
        <v>270</v>
      </c>
      <c r="F320" s="2" t="s">
        <v>6</v>
      </c>
      <c r="G320" s="2" t="s">
        <v>11</v>
      </c>
      <c r="H320" s="3">
        <v>45339.625</v>
      </c>
      <c r="I320" s="2" t="s">
        <v>231</v>
      </c>
      <c r="J320" s="2" t="s">
        <v>401</v>
      </c>
      <c r="K320" s="2">
        <v>59</v>
      </c>
      <c r="L320" s="2">
        <v>0</v>
      </c>
      <c r="M320" s="2">
        <v>20</v>
      </c>
      <c r="N320" s="2">
        <v>2.14</v>
      </c>
      <c r="O320" s="2"/>
      <c r="P320" s="2"/>
      <c r="Q320" s="2" t="s">
        <v>95</v>
      </c>
      <c r="R320" s="14" t="s">
        <v>221</v>
      </c>
      <c r="S320" s="14" t="s">
        <v>214</v>
      </c>
      <c r="T320" s="188">
        <f t="shared" si="33"/>
        <v>222.58080131208794</v>
      </c>
      <c r="U320" s="8">
        <f t="shared" si="37"/>
        <v>40.064544236175827</v>
      </c>
      <c r="V320" s="234">
        <f t="shared" si="38"/>
        <v>4491.6805704779345</v>
      </c>
      <c r="W320" s="15">
        <v>25</v>
      </c>
      <c r="X320" s="8">
        <f t="shared" si="34"/>
        <v>4.5</v>
      </c>
      <c r="Y320" s="233">
        <f t="shared" si="35"/>
        <v>1611</v>
      </c>
    </row>
    <row r="321" spans="1:25">
      <c r="A321" s="156" t="e" cm="1">
        <f t="array" aca="1" ref="A321" ca="1">_xlfn.IFS(E321=$AB$42,$AC$42,E321=$AB$43,$AC$43,E321=$AB$44,$AC$44,E321=$AB$45,$AC$45,E321=$AB$46,$AC$46,E321=$AB$47,$AC$47,E321=$AB$48,$AC$48,E321=$AB$49,$AC$49,E321=$AB$50,$AC$50,E321=$AB$51,$AC$51,E321=$AB$52,$AC$52,E321=$AB$53,$AC$53,E321=$AB$54,$AC$54,E321=$AB$55,$AC$55,E321=$AB$56,$AC$56,E321=$AB$57,$AC$57,E321=$AB$58,$AC$58,E321=$AB$59,$AC$59,E321=$AB$60,$AC$60,E321=$AB$61,$AC$61,E321=$AB$62,$AC$62,E321=$AB$63,$AC$63,E321=$AB$64,$AC$64,E321=$AB$65,$AC$65,E321=$AB$66,$AC$66,TRUE,"0")</f>
        <v>#NAME?</v>
      </c>
      <c r="C321" s="161" t="str" cm="1">
        <f t="array" ref="C321">_xlfn.IFS(E321=$AB$42,$AF$42,E321=$AB$43,$AF$43,E321=$AB$44,$AF$44,E321=$AB$45,$AF$45,E321=$AB$46,$AF$46,E321=$AB$47,$AF$47,E321=$AB$48,$AF$48,E321=$AB$49,$AF$49,E321=$AB$50,$AF$50,E321=$AB$51,$AF$51,E321=$AB$52,$AF$52,E321=$AB$53,$AF$53,E321=$AB$54,$AF$54,E321=$AB$55,$AF$55,E321=$AB$56,$AF$56,E321=$AB$57,$AF$57,E321=$AB$58,$AF$58,E321=$AB$59,$AF$59,E321=$AB$60,$AF$60,E321=$AB$61,$AF$61,E321=$AB$62,$AF$62,E321=$AB$63,$AF$63,E321=$AB$64,$AF$64,E321=$AB$65,$AF$65,E321=$AB$66,$AF$66,TRUE,"0")</f>
        <v>40 mins Back ANother Goal</v>
      </c>
      <c r="D321" s="270" t="str" cm="1">
        <f t="array" ref="D321">_xlfn.IFS(E321=$AB$42,$AD$42,E321=$AB$43,$AD$43,E321=$AB$44,$AD$44,E321=$AB$45,$AD$45,E321=$AB$46,$AD$46,E321=$AB$47,$AD$47,E321=$AB$48,$AD$48,E321=$AB$49,$AD$49,E321=$AB$50,$AD$50,E321=$AB$51,$AD$51,E321=$AB$52,$AD$52,E321=$AB$53,$AD$53,E321=$AB$54,$AD$54,E321=$AB$55,$AD$55,E321=$AB$56,$AD$56,E321=$AB$57,$AD$57,E321=$AB$58,$AD$58,E321=$AB$59,$AD$59,E321=$AB$60,$AD$60,E321=$AB$61,$AD$61,E321=$AB$62,$AD$62,E321=$AB$63,$AD$63,E321=$AB$64,$AD$64,E321=$AB$65,$AD$65,E321=$AB$66,$AD$66,TRUE,"0")</f>
        <v xml:space="preserve">  BANG</v>
      </c>
      <c r="E321" s="163" t="s">
        <v>10</v>
      </c>
      <c r="F321" s="2" t="s">
        <v>13</v>
      </c>
      <c r="G321" s="2" t="s">
        <v>37</v>
      </c>
      <c r="H321" s="3">
        <v>45339.625</v>
      </c>
      <c r="I321" s="2" t="s">
        <v>306</v>
      </c>
      <c r="J321" s="2" t="s">
        <v>323</v>
      </c>
      <c r="K321" s="2">
        <v>2.1</v>
      </c>
      <c r="L321" s="2">
        <v>85</v>
      </c>
      <c r="M321" s="2">
        <v>65</v>
      </c>
      <c r="N321" s="2">
        <v>30</v>
      </c>
      <c r="O321" s="2">
        <v>65</v>
      </c>
      <c r="P321" s="2">
        <v>20</v>
      </c>
      <c r="Q321" s="2" t="s">
        <v>95</v>
      </c>
      <c r="R321" s="14" t="s">
        <v>214</v>
      </c>
      <c r="S321" s="14" t="s">
        <v>222</v>
      </c>
      <c r="T321" s="188">
        <f t="shared" si="33"/>
        <v>224.58402852389673</v>
      </c>
      <c r="U321" s="8">
        <f t="shared" si="37"/>
        <v>40.42512513430141</v>
      </c>
      <c r="V321" s="234">
        <f t="shared" si="38"/>
        <v>4532.1056956122356</v>
      </c>
      <c r="W321" s="15">
        <v>25</v>
      </c>
      <c r="X321" s="8">
        <f t="shared" si="34"/>
        <v>4.5</v>
      </c>
      <c r="Y321" s="233">
        <f t="shared" si="35"/>
        <v>1615.5</v>
      </c>
    </row>
    <row r="322" spans="1:25">
      <c r="A322" s="156" t="e" cm="1">
        <f t="array" aca="1" ref="A322" ca="1">_xlfn.IFS(E322=$AB$42,$AC$42,E322=$AB$43,$AC$43,E322=$AB$44,$AC$44,E322=$AB$45,$AC$45,E322=$AB$46,$AC$46,E322=$AB$47,$AC$47,E322=$AB$48,$AC$48,E322=$AB$49,$AC$49,E322=$AB$50,$AC$50,E322=$AB$51,$AC$51,E322=$AB$52,$AC$52,E322=$AB$53,$AC$53,E322=$AB$54,$AC$54,E322=$AB$55,$AC$55,E322=$AB$56,$AC$56,E322=$AB$57,$AC$57,E322=$AB$58,$AC$58,E322=$AB$59,$AC$59,E322=$AB$60,$AC$60,E322=$AB$61,$AC$61,E322=$AB$62,$AC$62,E322=$AB$63,$AC$63,E322=$AB$64,$AC$64,E322=$AB$65,$AC$65,E322=$AB$66,$AC$66,TRUE,"0")</f>
        <v>#NAME?</v>
      </c>
      <c r="C322" s="161" t="str" cm="1">
        <f t="array" ref="C322">_xlfn.IFS(E322=$AB$42,$AF$42,E322=$AB$43,$AF$43,E322=$AB$44,$AF$44,E322=$AB$45,$AF$45,E322=$AB$46,$AF$46,E322=$AB$47,$AF$47,E322=$AB$48,$AF$48,E322=$AB$49,$AF$49,E322=$AB$50,$AF$50,E322=$AB$51,$AF$51,E322=$AB$52,$AF$52,E322=$AB$53,$AF$53,E322=$AB$54,$AF$54,E322=$AB$55,$AF$55,E322=$AB$56,$AF$56,E322=$AB$57,$AF$57,E322=$AB$58,$AF$58,E322=$AB$59,$AF$59,E322=$AB$60,$AF$60,E322=$AB$61,$AF$61,E322=$AB$62,$AF$62,E322=$AB$63,$AF$63,E322=$AB$64,$AF$64,E322=$AB$65,$AF$65,E322=$AB$66,$AF$66,TRUE,"0")</f>
        <v>40 mins Back ANother Goal</v>
      </c>
      <c r="D322" s="270" t="str" cm="1">
        <f t="array" ref="D322">_xlfn.IFS(E322=$AB$42,$AD$42,E322=$AB$43,$AD$43,E322=$AB$44,$AD$44,E322=$AB$45,$AD$45,E322=$AB$46,$AD$46,E322=$AB$47,$AD$47,E322=$AB$48,$AD$48,E322=$AB$49,$AD$49,E322=$AB$50,$AD$50,E322=$AB$51,$AD$51,E322=$AB$52,$AD$52,E322=$AB$53,$AD$53,E322=$AB$54,$AD$54,E322=$AB$55,$AD$55,E322=$AB$56,$AD$56,E322=$AB$57,$AD$57,E322=$AB$58,$AD$58,E322=$AB$59,$AD$59,E322=$AB$60,$AD$60,E322=$AB$61,$AD$61,E322=$AB$62,$AD$62,E322=$AB$63,$AD$63,E322=$AB$64,$AD$64,E322=$AB$65,$AD$65,E322=$AB$66,$AD$66,TRUE,"0")</f>
        <v xml:space="preserve">  BANG</v>
      </c>
      <c r="E322" s="163" t="s">
        <v>43</v>
      </c>
      <c r="F322" s="2" t="s">
        <v>13</v>
      </c>
      <c r="G322" s="2" t="s">
        <v>37</v>
      </c>
      <c r="H322" s="3">
        <v>45339.625</v>
      </c>
      <c r="I322" s="2" t="s">
        <v>306</v>
      </c>
      <c r="J322" s="2" t="s">
        <v>323</v>
      </c>
      <c r="K322" s="2">
        <v>69</v>
      </c>
      <c r="L322" s="2">
        <v>80</v>
      </c>
      <c r="M322" s="2">
        <v>65</v>
      </c>
      <c r="N322" s="2">
        <v>2.1</v>
      </c>
      <c r="O322" s="2">
        <v>1.56</v>
      </c>
      <c r="P322" s="2"/>
      <c r="Q322" s="2" t="s">
        <v>95</v>
      </c>
      <c r="R322" s="14" t="s">
        <v>214</v>
      </c>
      <c r="S322" s="14" t="s">
        <v>220</v>
      </c>
      <c r="T322" s="188">
        <f t="shared" si="33"/>
        <v>226.60528478061178</v>
      </c>
      <c r="U322" s="8">
        <f t="shared" si="37"/>
        <v>40.788951260510117</v>
      </c>
      <c r="V322" s="234">
        <f t="shared" si="38"/>
        <v>4572.8946468727454</v>
      </c>
      <c r="W322" s="15">
        <v>25</v>
      </c>
      <c r="X322" s="8">
        <f t="shared" si="34"/>
        <v>4.5</v>
      </c>
      <c r="Y322" s="233">
        <f t="shared" si="35"/>
        <v>1620</v>
      </c>
    </row>
    <row r="323" spans="1:25">
      <c r="A323" s="156" t="e" cm="1">
        <f t="array" aca="1" ref="A323" ca="1">_xlfn.IFS(E323=$AB$42,$AC$42,E323=$AB$43,$AC$43,E323=$AB$44,$AC$44,E323=$AB$45,$AC$45,E323=$AB$46,$AC$46,E323=$AB$47,$AC$47,E323=$AB$48,$AC$48,E323=$AB$49,$AC$49,E323=$AB$50,$AC$50,E323=$AB$51,$AC$51,E323=$AB$52,$AC$52,E323=$AB$53,$AC$53,E323=$AB$54,$AC$54,E323=$AB$55,$AC$55,E323=$AB$56,$AC$56,E323=$AB$57,$AC$57,E323=$AB$58,$AC$58,E323=$AB$59,$AC$59,E323=$AB$60,$AC$60,E323=$AB$61,$AC$61,E323=$AB$62,$AC$62,E323=$AB$63,$AC$63,E323=$AB$64,$AC$64,E323=$AB$65,$AC$65,E323=$AB$66,$AC$66,TRUE,"0")</f>
        <v>#NAME?</v>
      </c>
      <c r="C323" s="161" t="str" cm="1">
        <f t="array" ref="C323">_xlfn.IFS(E323=$AB$42,$AF$42,E323=$AB$43,$AF$43,E323=$AB$44,$AF$44,E323=$AB$45,$AF$45,E323=$AB$46,$AF$46,E323=$AB$47,$AF$47,E323=$AB$48,$AF$48,E323=$AB$49,$AF$49,E323=$AB$50,$AF$50,E323=$AB$51,$AF$51,E323=$AB$52,$AF$52,E323=$AB$53,$AF$53,E323=$AB$54,$AF$54,E323=$AB$55,$AF$55,E323=$AB$56,$AF$56,E323=$AB$57,$AF$57,E323=$AB$58,$AF$58,E323=$AB$59,$AF$59,E323=$AB$60,$AF$60,E323=$AB$61,$AF$61,E323=$AB$62,$AF$62,E323=$AB$63,$AF$63,E323=$AB$64,$AF$64,E323=$AB$65,$AF$65,E323=$AB$66,$AF$66,TRUE,"0")</f>
        <v>B4 match BACK FT +1.5 goals. X AFTER  GOAL</v>
      </c>
      <c r="D323" s="270" t="str" cm="1">
        <f t="array" ref="D323">_xlfn.IFS(E323=$AB$42,$AD$42,E323=$AB$43,$AD$43,E323=$AB$44,$AD$44,E323=$AB$45,$AD$45,E323=$AB$46,$AD$46,E323=$AB$47,$AD$47,E323=$AB$48,$AD$48,E323=$AB$49,$AD$49,E323=$AB$50,$AD$50,E323=$AB$51,$AD$51,E323=$AB$52,$AD$52,E323=$AB$53,$AD$53,E323=$AB$54,$AD$54,E323=$AB$55,$AD$55,E323=$AB$56,$AD$56,E323=$AB$57,$AD$57,E323=$AB$58,$AD$58,E323=$AB$59,$AD$59,E323=$AB$60,$AD$60,E323=$AB$61,$AD$61,E323=$AB$62,$AD$62,E323=$AB$63,$AD$63,E323=$AB$64,$AD$64,E323=$AB$65,$AD$65,E323=$AB$66,$AD$66,TRUE,"0")</f>
        <v xml:space="preserve">BFM </v>
      </c>
      <c r="E323" s="163" t="s">
        <v>406</v>
      </c>
      <c r="F323" s="2" t="s">
        <v>67</v>
      </c>
      <c r="G323" s="2" t="s">
        <v>68</v>
      </c>
      <c r="H323" s="3">
        <v>45339.625</v>
      </c>
      <c r="I323" s="2" t="s">
        <v>343</v>
      </c>
      <c r="J323" s="2" t="s">
        <v>439</v>
      </c>
      <c r="K323" s="2">
        <v>1.32</v>
      </c>
      <c r="L323" s="2">
        <v>11</v>
      </c>
      <c r="M323" s="2">
        <v>3.35</v>
      </c>
      <c r="N323" s="2">
        <v>3.95</v>
      </c>
      <c r="O323" s="2">
        <v>2.41</v>
      </c>
      <c r="P323" s="2"/>
      <c r="Q323" s="2" t="s">
        <v>95</v>
      </c>
      <c r="R323" s="14" t="s">
        <v>222</v>
      </c>
      <c r="S323" s="14" t="s">
        <v>215</v>
      </c>
      <c r="T323" s="188">
        <f t="shared" ref="T323:T386" si="39">SUM(V322*0.05)</f>
        <v>228.64473234363729</v>
      </c>
      <c r="U323" s="8">
        <f t="shared" si="37"/>
        <v>41.15605182185471</v>
      </c>
      <c r="V323" s="234">
        <f t="shared" si="38"/>
        <v>4614.0506986946002</v>
      </c>
      <c r="W323" s="15">
        <v>25</v>
      </c>
      <c r="X323" s="8">
        <f t="shared" ref="X323:X386" si="40">IF(Q323="won",W323*0.18,-W323)</f>
        <v>4.5</v>
      </c>
      <c r="Y323" s="233">
        <f t="shared" ref="Y323:Y386" si="41">SUM(Y322,X323)</f>
        <v>1624.5</v>
      </c>
    </row>
    <row r="324" spans="1:25">
      <c r="A324" s="156" t="e" cm="1">
        <f t="array" aca="1" ref="A324" ca="1">_xlfn.IFS(E324=$AB$42,$AC$42,E324=$AB$43,$AC$43,E324=$AB$44,$AC$44,E324=$AB$45,$AC$45,E324=$AB$46,$AC$46,E324=$AB$47,$AC$47,E324=$AB$48,$AC$48,E324=$AB$49,$AC$49,E324=$AB$50,$AC$50,E324=$AB$51,$AC$51,E324=$AB$52,$AC$52,E324=$AB$53,$AC$53,E324=$AB$54,$AC$54,E324=$AB$55,$AC$55,E324=$AB$56,$AC$56,E324=$AB$57,$AC$57,E324=$AB$58,$AC$58,E324=$AB$59,$AC$59,E324=$AB$60,$AC$60,E324=$AB$61,$AC$61,E324=$AB$62,$AC$62,E324=$AB$63,$AC$63,E324=$AB$64,$AC$64,E324=$AB$65,$AC$65,E324=$AB$66,$AC$66,TRUE,"0")</f>
        <v>#NAME?</v>
      </c>
      <c r="C324" s="161" t="str" cm="1">
        <f t="array" ref="C324">_xlfn.IFS(E324=$AB$42,$AF$42,E324=$AB$43,$AF$43,E324=$AB$44,$AF$44,E324=$AB$45,$AF$45,E324=$AB$46,$AF$46,E324=$AB$47,$AF$47,E324=$AB$48,$AF$48,E324=$AB$49,$AF$49,E324=$AB$50,$AF$50,E324=$AB$51,$AF$51,E324=$AB$52,$AF$52,E324=$AB$53,$AF$53,E324=$AB$54,$AF$54,E324=$AB$55,$AF$55,E324=$AB$56,$AF$56,E324=$AB$57,$AF$57,E324=$AB$58,$AF$58,E324=$AB$59,$AF$59,E324=$AB$60,$AF$60,E324=$AB$61,$AF$61,E324=$AB$62,$AF$62,E324=$AB$63,$AF$63,E324=$AB$64,$AF$64,E324=$AB$65,$AF$65,E324=$AB$66,$AF$66,TRUE,"0")</f>
        <v>40 mins Back ANother Goal</v>
      </c>
      <c r="D324" s="270" t="str" cm="1">
        <f t="array" ref="D324">_xlfn.IFS(E324=$AB$42,$AD$42,E324=$AB$43,$AD$43,E324=$AB$44,$AD$44,E324=$AB$45,$AD$45,E324=$AB$46,$AD$46,E324=$AB$47,$AD$47,E324=$AB$48,$AD$48,E324=$AB$49,$AD$49,E324=$AB$50,$AD$50,E324=$AB$51,$AD$51,E324=$AB$52,$AD$52,E324=$AB$53,$AD$53,E324=$AB$54,$AD$54,E324=$AB$55,$AD$55,E324=$AB$56,$AD$56,E324=$AB$57,$AD$57,E324=$AB$58,$AD$58,E324=$AB$59,$AD$59,E324=$AB$60,$AD$60,E324=$AB$61,$AD$61,E324=$AB$62,$AD$62,E324=$AB$63,$AD$63,E324=$AB$64,$AD$64,E324=$AB$65,$AD$65,E324=$AB$66,$AD$66,TRUE,"0")</f>
        <v xml:space="preserve">  BANG</v>
      </c>
      <c r="E324" s="163" t="s">
        <v>10</v>
      </c>
      <c r="F324" s="2" t="s">
        <v>67</v>
      </c>
      <c r="G324" s="2" t="s">
        <v>68</v>
      </c>
      <c r="H324" s="3">
        <v>45339.625</v>
      </c>
      <c r="I324" s="2" t="s">
        <v>343</v>
      </c>
      <c r="J324" s="2" t="s">
        <v>439</v>
      </c>
      <c r="K324" s="2">
        <v>2.15</v>
      </c>
      <c r="L324" s="2">
        <v>90</v>
      </c>
      <c r="M324" s="2">
        <v>80</v>
      </c>
      <c r="N324" s="2">
        <v>40</v>
      </c>
      <c r="O324" s="2">
        <v>68</v>
      </c>
      <c r="P324" s="2">
        <v>20</v>
      </c>
      <c r="Q324" s="2" t="s">
        <v>95</v>
      </c>
      <c r="R324" s="14" t="s">
        <v>222</v>
      </c>
      <c r="S324" s="14" t="s">
        <v>215</v>
      </c>
      <c r="T324" s="188">
        <f t="shared" si="39"/>
        <v>230.70253493473001</v>
      </c>
      <c r="U324" s="8">
        <f t="shared" si="37"/>
        <v>41.526456288251403</v>
      </c>
      <c r="V324" s="234">
        <f t="shared" si="38"/>
        <v>4655.5771549828514</v>
      </c>
      <c r="W324" s="15">
        <v>25</v>
      </c>
      <c r="X324" s="8">
        <f t="shared" si="40"/>
        <v>4.5</v>
      </c>
      <c r="Y324" s="233">
        <f t="shared" si="41"/>
        <v>1629</v>
      </c>
    </row>
    <row r="325" spans="1:25">
      <c r="A325" s="156" t="e" cm="1">
        <f t="array" aca="1" ref="A325" ca="1">_xlfn.IFS(E325=$AB$42,$AC$42,E325=$AB$43,$AC$43,E325=$AB$44,$AC$44,E325=$AB$45,$AC$45,E325=$AB$46,$AC$46,E325=$AB$47,$AC$47,E325=$AB$48,$AC$48,E325=$AB$49,$AC$49,E325=$AB$50,$AC$50,E325=$AB$51,$AC$51,E325=$AB$52,$AC$52,E325=$AB$53,$AC$53,E325=$AB$54,$AC$54,E325=$AB$55,$AC$55,E325=$AB$56,$AC$56,E325=$AB$57,$AC$57,E325=$AB$58,$AC$58,E325=$AB$59,$AC$59,E325=$AB$60,$AC$60,E325=$AB$61,$AC$61,E325=$AB$62,$AC$62,E325=$AB$63,$AC$63,E325=$AB$64,$AC$64,E325=$AB$65,$AC$65,E325=$AB$66,$AC$66,TRUE,"0")</f>
        <v>#NAME?</v>
      </c>
      <c r="C325" s="161" t="str" cm="1">
        <f t="array" ref="C325">_xlfn.IFS(E325=$AB$42,$AF$42,E325=$AB$43,$AF$43,E325=$AB$44,$AF$44,E325=$AB$45,$AF$45,E325=$AB$46,$AF$46,E325=$AB$47,$AF$47,E325=$AB$48,$AF$48,E325=$AB$49,$AF$49,E325=$AB$50,$AF$50,E325=$AB$51,$AF$51,E325=$AB$52,$AF$52,E325=$AB$53,$AF$53,E325=$AB$54,$AF$54,E325=$AB$55,$AF$55,E325=$AB$56,$AF$56,E325=$AB$57,$AF$57,E325=$AB$58,$AF$58,E325=$AB$59,$AF$59,E325=$AB$60,$AF$60,E325=$AB$61,$AF$61,E325=$AB$62,$AF$62,E325=$AB$63,$AF$63,E325=$AB$64,$AF$64,E325=$AB$65,$AF$65,E325=$AB$66,$AF$66,TRUE,"0")</f>
        <v>40 mins Back ANother Goal</v>
      </c>
      <c r="D325" s="270" t="str" cm="1">
        <f t="array" ref="D325">_xlfn.IFS(E325=$AB$42,$AD$42,E325=$AB$43,$AD$43,E325=$AB$44,$AD$44,E325=$AB$45,$AD$45,E325=$AB$46,$AD$46,E325=$AB$47,$AD$47,E325=$AB$48,$AD$48,E325=$AB$49,$AD$49,E325=$AB$50,$AD$50,E325=$AB$51,$AD$51,E325=$AB$52,$AD$52,E325=$AB$53,$AD$53,E325=$AB$54,$AD$54,E325=$AB$55,$AD$55,E325=$AB$56,$AD$56,E325=$AB$57,$AD$57,E325=$AB$58,$AD$58,E325=$AB$59,$AD$59,E325=$AB$60,$AD$60,E325=$AB$61,$AD$61,E325=$AB$62,$AD$62,E325=$AB$63,$AD$63,E325=$AB$64,$AD$64,E325=$AB$65,$AD$65,E325=$AB$66,$AD$66,TRUE,"0")</f>
        <v xml:space="preserve">  BANG</v>
      </c>
      <c r="E325" s="163" t="s">
        <v>43</v>
      </c>
      <c r="F325" s="2" t="s">
        <v>6</v>
      </c>
      <c r="G325" s="2" t="s">
        <v>14</v>
      </c>
      <c r="H325" s="3">
        <v>45339.625</v>
      </c>
      <c r="I325" s="2" t="s">
        <v>290</v>
      </c>
      <c r="J325" s="2" t="s">
        <v>17</v>
      </c>
      <c r="K325" s="2">
        <v>70</v>
      </c>
      <c r="L325" s="2">
        <v>76</v>
      </c>
      <c r="M325" s="2">
        <v>59</v>
      </c>
      <c r="N325" s="2">
        <v>2.2000000000000002</v>
      </c>
      <c r="O325" s="2">
        <v>1.79</v>
      </c>
      <c r="P325" s="2"/>
      <c r="Q325" s="2" t="s">
        <v>95</v>
      </c>
      <c r="R325" s="14" t="s">
        <v>217</v>
      </c>
      <c r="S325" s="14" t="s">
        <v>223</v>
      </c>
      <c r="T325" s="188">
        <f t="shared" si="39"/>
        <v>232.77885774914259</v>
      </c>
      <c r="U325" s="8">
        <f t="shared" si="37"/>
        <v>41.900194394845663</v>
      </c>
      <c r="V325" s="234">
        <f t="shared" si="38"/>
        <v>4697.4773493776975</v>
      </c>
      <c r="W325" s="15">
        <v>25</v>
      </c>
      <c r="X325" s="8">
        <f t="shared" si="40"/>
        <v>4.5</v>
      </c>
      <c r="Y325" s="233">
        <f t="shared" si="41"/>
        <v>1633.5</v>
      </c>
    </row>
    <row r="326" spans="1:25">
      <c r="A326" s="156" t="e" cm="1">
        <f t="array" aca="1" ref="A326" ca="1">_xlfn.IFS(E326=$AB$42,$AC$42,E326=$AB$43,$AC$43,E326=$AB$44,$AC$44,E326=$AB$45,$AC$45,E326=$AB$46,$AC$46,E326=$AB$47,$AC$47,E326=$AB$48,$AC$48,E326=$AB$49,$AC$49,E326=$AB$50,$AC$50,E326=$AB$51,$AC$51,E326=$AB$52,$AC$52,E326=$AB$53,$AC$53,E326=$AB$54,$AC$54,E326=$AB$55,$AC$55,E326=$AB$56,$AC$56,E326=$AB$57,$AC$57,E326=$AB$58,$AC$58,E326=$AB$59,$AC$59,E326=$AB$60,$AC$60,E326=$AB$61,$AC$61,E326=$AB$62,$AC$62,E326=$AB$63,$AC$63,E326=$AB$64,$AC$64,E326=$AB$65,$AC$65,E326=$AB$66,$AC$66,TRUE,"0")</f>
        <v>#NAME?</v>
      </c>
      <c r="C326" s="161" t="str" cm="1">
        <f t="array" ref="C326">_xlfn.IFS(E326=$AB$42,$AF$42,E326=$AB$43,$AF$43,E326=$AB$44,$AF$44,E326=$AB$45,$AF$45,E326=$AB$46,$AF$46,E326=$AB$47,$AF$47,E326=$AB$48,$AF$48,E326=$AB$49,$AF$49,E326=$AB$50,$AF$50,E326=$AB$51,$AF$51,E326=$AB$52,$AF$52,E326=$AB$53,$AF$53,E326=$AB$54,$AF$54,E326=$AB$55,$AF$55,E326=$AB$56,$AF$56,E326=$AB$57,$AF$57,E326=$AB$58,$AF$58,E326=$AB$59,$AF$59,E326=$AB$60,$AF$60,E326=$AB$61,$AF$61,E326=$AB$62,$AF$62,E326=$AB$63,$AF$63,E326=$AB$64,$AF$64,E326=$AB$65,$AF$65,E326=$AB$66,$AF$66,TRUE,"0")</f>
        <v>if 0-0, BACK+ 0.5 GOALS  @ 1.15+odds.  or @ 40 mins</v>
      </c>
      <c r="D326" s="270" t="str" cm="1">
        <f t="array" ref="D326">_xlfn.IFS(E326=$AB$42,$AD$42,E326=$AB$43,$AD$43,E326=$AB$44,$AD$44,E326=$AB$45,$AD$45,E326=$AB$46,$AD$46,E326=$AB$47,$AD$47,E326=$AB$48,$AD$48,E326=$AB$49,$AD$49,E326=$AB$50,$AD$50,E326=$AB$51,$AD$51,E326=$AB$52,$AD$52,E326=$AB$53,$AD$53,E326=$AB$54,$AD$54,E326=$AB$55,$AD$55,E326=$AB$56,$AD$56,E326=$AB$57,$AD$57,E326=$AB$58,$AD$58,E326=$AB$59,$AD$59,E326=$AB$60,$AD$60,E326=$AB$61,$AD$61,E326=$AB$62,$AD$62,E326=$AB$63,$AD$63,E326=$AB$64,$AD$64,E326=$AB$65,$AD$65,E326=$AB$66,$AD$66,TRUE,"0")</f>
        <v>IP</v>
      </c>
      <c r="E326" s="163" t="s">
        <v>270</v>
      </c>
      <c r="F326" s="2" t="s">
        <v>6</v>
      </c>
      <c r="G326" s="2" t="s">
        <v>14</v>
      </c>
      <c r="H326" s="3">
        <v>45339.625</v>
      </c>
      <c r="I326" s="2" t="s">
        <v>290</v>
      </c>
      <c r="J326" s="2" t="s">
        <v>17</v>
      </c>
      <c r="K326" s="2">
        <v>67</v>
      </c>
      <c r="L326" s="2">
        <v>0</v>
      </c>
      <c r="M326" s="2">
        <v>20</v>
      </c>
      <c r="N326" s="2">
        <v>2.8</v>
      </c>
      <c r="O326" s="2"/>
      <c r="P326" s="2"/>
      <c r="Q326" s="2" t="s">
        <v>95</v>
      </c>
      <c r="R326" s="14" t="s">
        <v>217</v>
      </c>
      <c r="S326" s="14" t="s">
        <v>223</v>
      </c>
      <c r="T326" s="188">
        <f t="shared" si="39"/>
        <v>234.8738674688849</v>
      </c>
      <c r="U326" s="8">
        <f t="shared" si="37"/>
        <v>42.27729614439928</v>
      </c>
      <c r="V326" s="234">
        <f t="shared" si="38"/>
        <v>4739.7546455220963</v>
      </c>
      <c r="W326" s="15">
        <v>25</v>
      </c>
      <c r="X326" s="8">
        <f t="shared" si="40"/>
        <v>4.5</v>
      </c>
      <c r="Y326" s="233">
        <f t="shared" si="41"/>
        <v>1638</v>
      </c>
    </row>
    <row r="327" spans="1:25">
      <c r="A327" s="156" t="e" cm="1">
        <f t="array" aca="1" ref="A327" ca="1">_xlfn.IFS(E327=$AB$42,$AC$42,E327=$AB$43,$AC$43,E327=$AB$44,$AC$44,E327=$AB$45,$AC$45,E327=$AB$46,$AC$46,E327=$AB$47,$AC$47,E327=$AB$48,$AC$48,E327=$AB$49,$AC$49,E327=$AB$50,$AC$50,E327=$AB$51,$AC$51,E327=$AB$52,$AC$52,E327=$AB$53,$AC$53,E327=$AB$54,$AC$54,E327=$AB$55,$AC$55,E327=$AB$56,$AC$56,E327=$AB$57,$AC$57,E327=$AB$58,$AC$58,E327=$AB$59,$AC$59,E327=$AB$60,$AC$60,E327=$AB$61,$AC$61,E327=$AB$62,$AC$62,E327=$AB$63,$AC$63,E327=$AB$64,$AC$64,E327=$AB$65,$AC$65,E327=$AB$66,$AC$66,TRUE,"0")</f>
        <v>#NAME?</v>
      </c>
      <c r="C327" s="161" t="str" cm="1">
        <f t="array" ref="C327">_xlfn.IFS(E327=$AB$42,$AF$42,E327=$AB$43,$AF$43,E327=$AB$44,$AF$44,E327=$AB$45,$AF$45,E327=$AB$46,$AF$46,E327=$AB$47,$AF$47,E327=$AB$48,$AF$48,E327=$AB$49,$AF$49,E327=$AB$50,$AF$50,E327=$AB$51,$AF$51,E327=$AB$52,$AF$52,E327=$AB$53,$AF$53,E327=$AB$54,$AF$54,E327=$AB$55,$AF$55,E327=$AB$56,$AF$56,E327=$AB$57,$AF$57,E327=$AB$58,$AF$58,E327=$AB$59,$AF$59,E327=$AB$60,$AF$60,E327=$AB$61,$AF$61,E327=$AB$62,$AF$62,E327=$AB$63,$AF$63,E327=$AB$64,$AF$64,E327=$AB$65,$AF$65,E327=$AB$66,$AF$66,TRUE,"0")</f>
        <v>40 mins Back ANother Goal</v>
      </c>
      <c r="D327" s="270" t="str" cm="1">
        <f t="array" ref="D327">_xlfn.IFS(E327=$AB$42,$AD$42,E327=$AB$43,$AD$43,E327=$AB$44,$AD$44,E327=$AB$45,$AD$45,E327=$AB$46,$AD$46,E327=$AB$47,$AD$47,E327=$AB$48,$AD$48,E327=$AB$49,$AD$49,E327=$AB$50,$AD$50,E327=$AB$51,$AD$51,E327=$AB$52,$AD$52,E327=$AB$53,$AD$53,E327=$AB$54,$AD$54,E327=$AB$55,$AD$55,E327=$AB$56,$AD$56,E327=$AB$57,$AD$57,E327=$AB$58,$AD$58,E327=$AB$59,$AD$59,E327=$AB$60,$AD$60,E327=$AB$61,$AD$61,E327=$AB$62,$AD$62,E327=$AB$63,$AD$63,E327=$AB$64,$AD$64,E327=$AB$65,$AD$65,E327=$AB$66,$AD$66,TRUE,"0")</f>
        <v xml:space="preserve">  BANG</v>
      </c>
      <c r="E327" s="163" t="s">
        <v>10</v>
      </c>
      <c r="F327" s="2" t="s">
        <v>31</v>
      </c>
      <c r="G327" s="2" t="s">
        <v>32</v>
      </c>
      <c r="H327" s="3">
        <v>45339.625</v>
      </c>
      <c r="I327" s="2" t="s">
        <v>440</v>
      </c>
      <c r="J327" s="2" t="s">
        <v>33</v>
      </c>
      <c r="K327" s="2">
        <v>2.25</v>
      </c>
      <c r="L327" s="2">
        <v>85</v>
      </c>
      <c r="M327" s="2">
        <v>75</v>
      </c>
      <c r="N327" s="2">
        <v>55</v>
      </c>
      <c r="O327" s="2">
        <v>63</v>
      </c>
      <c r="P327" s="2">
        <v>20</v>
      </c>
      <c r="Q327" s="2" t="s">
        <v>95</v>
      </c>
      <c r="R327" s="14" t="s">
        <v>221</v>
      </c>
      <c r="S327" s="14" t="s">
        <v>193</v>
      </c>
      <c r="T327" s="188">
        <f t="shared" si="39"/>
        <v>236.98773227610482</v>
      </c>
      <c r="U327" s="8">
        <f t="shared" si="37"/>
        <v>42.657791809698864</v>
      </c>
      <c r="V327" s="234">
        <f t="shared" si="38"/>
        <v>4782.4124373317954</v>
      </c>
      <c r="W327" s="15">
        <v>25</v>
      </c>
      <c r="X327" s="8">
        <f t="shared" si="40"/>
        <v>4.5</v>
      </c>
      <c r="Y327" s="233">
        <f t="shared" si="41"/>
        <v>1642.5</v>
      </c>
    </row>
    <row r="328" spans="1:25">
      <c r="A328" s="156" t="e" cm="1">
        <f t="array" aca="1" ref="A328" ca="1">_xlfn.IFS(E328=$AB$42,$AC$42,E328=$AB$43,$AC$43,E328=$AB$44,$AC$44,E328=$AB$45,$AC$45,E328=$AB$46,$AC$46,E328=$AB$47,$AC$47,E328=$AB$48,$AC$48,E328=$AB$49,$AC$49,E328=$AB$50,$AC$50,E328=$AB$51,$AC$51,E328=$AB$52,$AC$52,E328=$AB$53,$AC$53,E328=$AB$54,$AC$54,E328=$AB$55,$AC$55,E328=$AB$56,$AC$56,E328=$AB$57,$AC$57,E328=$AB$58,$AC$58,E328=$AB$59,$AC$59,E328=$AB$60,$AC$60,E328=$AB$61,$AC$61,E328=$AB$62,$AC$62,E328=$AB$63,$AC$63,E328=$AB$64,$AC$64,E328=$AB$65,$AC$65,E328=$AB$66,$AC$66,TRUE,"0")</f>
        <v>#NAME?</v>
      </c>
      <c r="C328" s="161" t="str" cm="1">
        <f t="array" ref="C328">_xlfn.IFS(E328=$AB$42,$AF$42,E328=$AB$43,$AF$43,E328=$AB$44,$AF$44,E328=$AB$45,$AF$45,E328=$AB$46,$AF$46,E328=$AB$47,$AF$47,E328=$AB$48,$AF$48,E328=$AB$49,$AF$49,E328=$AB$50,$AF$50,E328=$AB$51,$AF$51,E328=$AB$52,$AF$52,E328=$AB$53,$AF$53,E328=$AB$54,$AF$54,E328=$AB$55,$AF$55,E328=$AB$56,$AF$56,E328=$AB$57,$AF$57,E328=$AB$58,$AF$58,E328=$AB$59,$AF$59,E328=$AB$60,$AF$60,E328=$AB$61,$AF$61,E328=$AB$62,$AF$62,E328=$AB$63,$AF$63,E328=$AB$64,$AF$64,E328=$AB$65,$AF$65,E328=$AB$66,$AF$66,TRUE,"0")</f>
        <v>if 0-0, BACK+ 0.5 GOALS  @ 1.15+odds.  or @ 40 mins</v>
      </c>
      <c r="D328" s="270" t="str" cm="1">
        <f t="array" ref="D328">_xlfn.IFS(E328=$AB$42,$AD$42,E328=$AB$43,$AD$43,E328=$AB$44,$AD$44,E328=$AB$45,$AD$45,E328=$AB$46,$AD$46,E328=$AB$47,$AD$47,E328=$AB$48,$AD$48,E328=$AB$49,$AD$49,E328=$AB$50,$AD$50,E328=$AB$51,$AD$51,E328=$AB$52,$AD$52,E328=$AB$53,$AD$53,E328=$AB$54,$AD$54,E328=$AB$55,$AD$55,E328=$AB$56,$AD$56,E328=$AB$57,$AD$57,E328=$AB$58,$AD$58,E328=$AB$59,$AD$59,E328=$AB$60,$AD$60,E328=$AB$61,$AD$61,E328=$AB$62,$AD$62,E328=$AB$63,$AD$63,E328=$AB$64,$AD$64,E328=$AB$65,$AD$65,E328=$AB$66,$AD$66,TRUE,"0")</f>
        <v>IP</v>
      </c>
      <c r="E328" s="163" t="s">
        <v>270</v>
      </c>
      <c r="F328" s="2" t="s">
        <v>6</v>
      </c>
      <c r="G328" s="2" t="s">
        <v>11</v>
      </c>
      <c r="H328" s="3">
        <v>45339.625</v>
      </c>
      <c r="I328" s="2" t="s">
        <v>286</v>
      </c>
      <c r="J328" s="2" t="s">
        <v>303</v>
      </c>
      <c r="K328" s="2">
        <v>61</v>
      </c>
      <c r="L328" s="2">
        <v>0</v>
      </c>
      <c r="M328" s="2">
        <v>20</v>
      </c>
      <c r="N328" s="2">
        <v>1.95</v>
      </c>
      <c r="O328" s="2"/>
      <c r="P328" s="2"/>
      <c r="Q328" s="2" t="s">
        <v>95</v>
      </c>
      <c r="R328" s="14" t="s">
        <v>220</v>
      </c>
      <c r="S328" s="14" t="s">
        <v>215</v>
      </c>
      <c r="T328" s="188">
        <f t="shared" si="39"/>
        <v>239.12062186658977</v>
      </c>
      <c r="U328" s="8">
        <f t="shared" si="37"/>
        <v>43.041711935986157</v>
      </c>
      <c r="V328" s="234">
        <f t="shared" si="38"/>
        <v>4825.4541492677818</v>
      </c>
      <c r="W328" s="15">
        <v>25</v>
      </c>
      <c r="X328" s="8">
        <f t="shared" si="40"/>
        <v>4.5</v>
      </c>
      <c r="Y328" s="233">
        <f t="shared" si="41"/>
        <v>1647</v>
      </c>
    </row>
    <row r="329" spans="1:25">
      <c r="A329" s="156" t="e" cm="1">
        <f t="array" aca="1" ref="A329" ca="1">_xlfn.IFS(E329=$AB$42,$AC$42,E329=$AB$43,$AC$43,E329=$AB$44,$AC$44,E329=$AB$45,$AC$45,E329=$AB$46,$AC$46,E329=$AB$47,$AC$47,E329=$AB$48,$AC$48,E329=$AB$49,$AC$49,E329=$AB$50,$AC$50,E329=$AB$51,$AC$51,E329=$AB$52,$AC$52,E329=$AB$53,$AC$53,E329=$AB$54,$AC$54,E329=$AB$55,$AC$55,E329=$AB$56,$AC$56,E329=$AB$57,$AC$57,E329=$AB$58,$AC$58,E329=$AB$59,$AC$59,E329=$AB$60,$AC$60,E329=$AB$61,$AC$61,E329=$AB$62,$AC$62,E329=$AB$63,$AC$63,E329=$AB$64,$AC$64,E329=$AB$65,$AC$65,E329=$AB$66,$AC$66,TRUE,"0")</f>
        <v>#NAME?</v>
      </c>
      <c r="C329" s="161" t="str" cm="1">
        <f t="array" ref="C329">_xlfn.IFS(E329=$AB$42,$AF$42,E329=$AB$43,$AF$43,E329=$AB$44,$AF$44,E329=$AB$45,$AF$45,E329=$AB$46,$AF$46,E329=$AB$47,$AF$47,E329=$AB$48,$AF$48,E329=$AB$49,$AF$49,E329=$AB$50,$AF$50,E329=$AB$51,$AF$51,E329=$AB$52,$AF$52,E329=$AB$53,$AF$53,E329=$AB$54,$AF$54,E329=$AB$55,$AF$55,E329=$AB$56,$AF$56,E329=$AB$57,$AF$57,E329=$AB$58,$AF$58,E329=$AB$59,$AF$59,E329=$AB$60,$AF$60,E329=$AB$61,$AF$61,E329=$AB$62,$AF$62,E329=$AB$63,$AF$63,E329=$AB$64,$AF$64,E329=$AB$65,$AF$65,E329=$AB$66,$AF$66,TRUE,"0")</f>
        <v>if 0-0, BACK+ 0.5 GOALS  @ 1.15+odds.  or @ 40 mins</v>
      </c>
      <c r="D329" s="270" t="str" cm="1">
        <f t="array" ref="D329">_xlfn.IFS(E329=$AB$42,$AD$42,E329=$AB$43,$AD$43,E329=$AB$44,$AD$44,E329=$AB$45,$AD$45,E329=$AB$46,$AD$46,E329=$AB$47,$AD$47,E329=$AB$48,$AD$48,E329=$AB$49,$AD$49,E329=$AB$50,$AD$50,E329=$AB$51,$AD$51,E329=$AB$52,$AD$52,E329=$AB$53,$AD$53,E329=$AB$54,$AD$54,E329=$AB$55,$AD$55,E329=$AB$56,$AD$56,E329=$AB$57,$AD$57,E329=$AB$58,$AD$58,E329=$AB$59,$AD$59,E329=$AB$60,$AD$60,E329=$AB$61,$AD$61,E329=$AB$62,$AD$62,E329=$AB$63,$AD$63,E329=$AB$64,$AD$64,E329=$AB$65,$AD$65,E329=$AB$66,$AD$66,TRUE,"0")</f>
        <v>IP</v>
      </c>
      <c r="E329" s="163" t="s">
        <v>270</v>
      </c>
      <c r="F329" s="2" t="s">
        <v>6</v>
      </c>
      <c r="G329" s="2" t="s">
        <v>62</v>
      </c>
      <c r="H329" s="3">
        <v>45339.625</v>
      </c>
      <c r="I329" s="2" t="s">
        <v>264</v>
      </c>
      <c r="J329" s="2" t="s">
        <v>74</v>
      </c>
      <c r="K329" s="2">
        <v>65</v>
      </c>
      <c r="L329" s="2">
        <v>0</v>
      </c>
      <c r="M329" s="2">
        <v>20</v>
      </c>
      <c r="N329" s="2">
        <v>2.83</v>
      </c>
      <c r="O329" s="2"/>
      <c r="P329" s="2"/>
      <c r="Q329" s="2" t="s">
        <v>95</v>
      </c>
      <c r="R329" s="14" t="s">
        <v>214</v>
      </c>
      <c r="S329" s="14" t="s">
        <v>220</v>
      </c>
      <c r="T329" s="188">
        <f t="shared" si="39"/>
        <v>241.27270746338911</v>
      </c>
      <c r="U329" s="8">
        <f t="shared" si="37"/>
        <v>43.429087343410039</v>
      </c>
      <c r="V329" s="234">
        <f t="shared" si="38"/>
        <v>4868.8832366111919</v>
      </c>
      <c r="W329" s="15">
        <v>25</v>
      </c>
      <c r="X329" s="8">
        <f t="shared" si="40"/>
        <v>4.5</v>
      </c>
      <c r="Y329" s="233">
        <f t="shared" si="41"/>
        <v>1651.5</v>
      </c>
    </row>
    <row r="330" spans="1:25">
      <c r="A330" s="156" t="e" cm="1">
        <f t="array" aca="1" ref="A330" ca="1">_xlfn.IFS(E330=$AB$42,$AC$42,E330=$AB$43,$AC$43,E330=$AB$44,$AC$44,E330=$AB$45,$AC$45,E330=$AB$46,$AC$46,E330=$AB$47,$AC$47,E330=$AB$48,$AC$48,E330=$AB$49,$AC$49,E330=$AB$50,$AC$50,E330=$AB$51,$AC$51,E330=$AB$52,$AC$52,E330=$AB$53,$AC$53,E330=$AB$54,$AC$54,E330=$AB$55,$AC$55,E330=$AB$56,$AC$56,E330=$AB$57,$AC$57,E330=$AB$58,$AC$58,E330=$AB$59,$AC$59,E330=$AB$60,$AC$60,E330=$AB$61,$AC$61,E330=$AB$62,$AC$62,E330=$AB$63,$AC$63,E330=$AB$64,$AC$64,E330=$AB$65,$AC$65,E330=$AB$66,$AC$66,TRUE,"0")</f>
        <v>#NAME?</v>
      </c>
      <c r="C330" s="161" t="str" cm="1">
        <f t="array" ref="C330">_xlfn.IFS(E330=$AB$42,$AF$42,E330=$AB$43,$AF$43,E330=$AB$44,$AF$44,E330=$AB$45,$AF$45,E330=$AB$46,$AF$46,E330=$AB$47,$AF$47,E330=$AB$48,$AF$48,E330=$AB$49,$AF$49,E330=$AB$50,$AF$50,E330=$AB$51,$AF$51,E330=$AB$52,$AF$52,E330=$AB$53,$AF$53,E330=$AB$54,$AF$54,E330=$AB$55,$AF$55,E330=$AB$56,$AF$56,E330=$AB$57,$AF$57,E330=$AB$58,$AF$58,E330=$AB$59,$AF$59,E330=$AB$60,$AF$60,E330=$AB$61,$AF$61,E330=$AB$62,$AF$62,E330=$AB$63,$AF$63,E330=$AB$64,$AF$64,E330=$AB$65,$AF$65,E330=$AB$66,$AF$66,TRUE,"0")</f>
        <v>if 0-0, BACK+ 0.5 GOALS  @ 1.15+odds.  or @ 40 mins</v>
      </c>
      <c r="D330" s="270" t="str" cm="1">
        <f t="array" ref="D330">_xlfn.IFS(E330=$AB$42,$AD$42,E330=$AB$43,$AD$43,E330=$AB$44,$AD$44,E330=$AB$45,$AD$45,E330=$AB$46,$AD$46,E330=$AB$47,$AD$47,E330=$AB$48,$AD$48,E330=$AB$49,$AD$49,E330=$AB$50,$AD$50,E330=$AB$51,$AD$51,E330=$AB$52,$AD$52,E330=$AB$53,$AD$53,E330=$AB$54,$AD$54,E330=$AB$55,$AD$55,E330=$AB$56,$AD$56,E330=$AB$57,$AD$57,E330=$AB$58,$AD$58,E330=$AB$59,$AD$59,E330=$AB$60,$AD$60,E330=$AB$61,$AD$61,E330=$AB$62,$AD$62,E330=$AB$63,$AD$63,E330=$AB$64,$AD$64,E330=$AB$65,$AD$65,E330=$AB$66,$AD$66,TRUE,"0")</f>
        <v>IP</v>
      </c>
      <c r="E330" s="163" t="s">
        <v>270</v>
      </c>
      <c r="F330" s="2" t="s">
        <v>6</v>
      </c>
      <c r="G330" s="2" t="s">
        <v>14</v>
      </c>
      <c r="H330" s="3">
        <v>45339.625</v>
      </c>
      <c r="I330" s="2" t="s">
        <v>200</v>
      </c>
      <c r="J330" s="2" t="s">
        <v>428</v>
      </c>
      <c r="K330" s="2">
        <v>60</v>
      </c>
      <c r="L330" s="2">
        <v>0</v>
      </c>
      <c r="M330" s="2">
        <v>20</v>
      </c>
      <c r="N330" s="2">
        <v>2.59</v>
      </c>
      <c r="O330" s="2"/>
      <c r="P330" s="2"/>
      <c r="Q330" s="2" t="s">
        <v>95</v>
      </c>
      <c r="R330" s="14" t="s">
        <v>210</v>
      </c>
      <c r="S330" s="14" t="s">
        <v>210</v>
      </c>
      <c r="T330" s="188">
        <f t="shared" si="39"/>
        <v>243.44416183055961</v>
      </c>
      <c r="U330" s="8">
        <f t="shared" si="37"/>
        <v>43.819949129500728</v>
      </c>
      <c r="V330" s="234">
        <f t="shared" si="38"/>
        <v>4912.7031857406928</v>
      </c>
      <c r="W330" s="15">
        <v>25</v>
      </c>
      <c r="X330" s="8">
        <f t="shared" si="40"/>
        <v>4.5</v>
      </c>
      <c r="Y330" s="233">
        <f t="shared" si="41"/>
        <v>1656</v>
      </c>
    </row>
    <row r="331" spans="1:25">
      <c r="A331" s="156" t="e" cm="1">
        <f t="array" aca="1" ref="A331" ca="1">_xlfn.IFS(E331=$AB$42,$AC$42,E331=$AB$43,$AC$43,E331=$AB$44,$AC$44,E331=$AB$45,$AC$45,E331=$AB$46,$AC$46,E331=$AB$47,$AC$47,E331=$AB$48,$AC$48,E331=$AB$49,$AC$49,E331=$AB$50,$AC$50,E331=$AB$51,$AC$51,E331=$AB$52,$AC$52,E331=$AB$53,$AC$53,E331=$AB$54,$AC$54,E331=$AB$55,$AC$55,E331=$AB$56,$AC$56,E331=$AB$57,$AC$57,E331=$AB$58,$AC$58,E331=$AB$59,$AC$59,E331=$AB$60,$AC$60,E331=$AB$61,$AC$61,E331=$AB$62,$AC$62,E331=$AB$63,$AC$63,E331=$AB$64,$AC$64,E331=$AB$65,$AC$65,E331=$AB$66,$AC$66,TRUE,"0")</f>
        <v>#NAME?</v>
      </c>
      <c r="C331" s="161" t="str" cm="1">
        <f t="array" ref="C331">_xlfn.IFS(E331=$AB$42,$AF$42,E331=$AB$43,$AF$43,E331=$AB$44,$AF$44,E331=$AB$45,$AF$45,E331=$AB$46,$AF$46,E331=$AB$47,$AF$47,E331=$AB$48,$AF$48,E331=$AB$49,$AF$49,E331=$AB$50,$AF$50,E331=$AB$51,$AF$51,E331=$AB$52,$AF$52,E331=$AB$53,$AF$53,E331=$AB$54,$AF$54,E331=$AB$55,$AF$55,E331=$AB$56,$AF$56,E331=$AB$57,$AF$57,E331=$AB$58,$AF$58,E331=$AB$59,$AF$59,E331=$AB$60,$AF$60,E331=$AB$61,$AF$61,E331=$AB$62,$AF$62,E331=$AB$63,$AF$63,E331=$AB$64,$AF$64,E331=$AB$65,$AF$65,E331=$AB$66,$AF$66,TRUE,"0")</f>
        <v>B4 Match, lay HT 0-0 or BACK H1 +0.5 GOALS</v>
      </c>
      <c r="D331" s="270" t="str" cm="1">
        <f t="array" ref="D331">_xlfn.IFS(E331=$AB$42,$AD$42,E331=$AB$43,$AD$43,E331=$AB$44,$AD$44,E331=$AB$45,$AD$45,E331=$AB$46,$AD$46,E331=$AB$47,$AD$47,E331=$AB$48,$AD$48,E331=$AB$49,$AD$49,E331=$AB$50,$AD$50,E331=$AB$51,$AD$51,E331=$AB$52,$AD$52,E331=$AB$53,$AD$53,E331=$AB$54,$AD$54,E331=$AB$55,$AD$55,E331=$AB$56,$AD$56,E331=$AB$57,$AD$57,E331=$AB$58,$AD$58,E331=$AB$59,$AD$59,E331=$AB$60,$AD$60,E331=$AB$61,$AD$61,E331=$AB$62,$AD$62,E331=$AB$63,$AD$63,E331=$AB$64,$AD$64,E331=$AB$65,$AD$65,E331=$AB$66,$AD$66,TRUE,"0")</f>
        <v xml:space="preserve">BFM </v>
      </c>
      <c r="E331" s="163" t="s">
        <v>432</v>
      </c>
      <c r="F331" s="2" t="s">
        <v>6</v>
      </c>
      <c r="G331" s="2" t="s">
        <v>7</v>
      </c>
      <c r="H331" s="3">
        <v>45339.625</v>
      </c>
      <c r="I331" s="2" t="s">
        <v>302</v>
      </c>
      <c r="J331" s="2" t="s">
        <v>418</v>
      </c>
      <c r="K331" s="2">
        <v>5</v>
      </c>
      <c r="L331" s="2">
        <v>20</v>
      </c>
      <c r="M331" s="2">
        <v>18</v>
      </c>
      <c r="N331" s="2">
        <v>19</v>
      </c>
      <c r="O331" s="2">
        <v>16</v>
      </c>
      <c r="P331" s="2">
        <v>1.95</v>
      </c>
      <c r="Q331" s="2" t="s">
        <v>95</v>
      </c>
      <c r="R331" s="14" t="s">
        <v>216</v>
      </c>
      <c r="S331" s="14" t="s">
        <v>219</v>
      </c>
      <c r="T331" s="188">
        <f t="shared" si="39"/>
        <v>245.63515928703464</v>
      </c>
      <c r="U331" s="8">
        <f t="shared" si="37"/>
        <v>44.21432867166623</v>
      </c>
      <c r="V331" s="234">
        <f t="shared" si="38"/>
        <v>4956.9175144123592</v>
      </c>
      <c r="W331" s="15">
        <v>25</v>
      </c>
      <c r="X331" s="8">
        <f t="shared" si="40"/>
        <v>4.5</v>
      </c>
      <c r="Y331" s="233">
        <f t="shared" si="41"/>
        <v>1660.5</v>
      </c>
    </row>
    <row r="332" spans="1:25">
      <c r="A332" s="156" t="e" cm="1">
        <f t="array" aca="1" ref="A332" ca="1">_xlfn.IFS(E332=$AB$42,$AC$42,E332=$AB$43,$AC$43,E332=$AB$44,$AC$44,E332=$AB$45,$AC$45,E332=$AB$46,$AC$46,E332=$AB$47,$AC$47,E332=$AB$48,$AC$48,E332=$AB$49,$AC$49,E332=$AB$50,$AC$50,E332=$AB$51,$AC$51,E332=$AB$52,$AC$52,E332=$AB$53,$AC$53,E332=$AB$54,$AC$54,E332=$AB$55,$AC$55,E332=$AB$56,$AC$56,E332=$AB$57,$AC$57,E332=$AB$58,$AC$58,E332=$AB$59,$AC$59,E332=$AB$60,$AC$60,E332=$AB$61,$AC$61,E332=$AB$62,$AC$62,E332=$AB$63,$AC$63,E332=$AB$64,$AC$64,E332=$AB$65,$AC$65,E332=$AB$66,$AC$66,TRUE,"0")</f>
        <v>#NAME?</v>
      </c>
      <c r="C332" s="161" t="str" cm="1">
        <f t="array" ref="C332">_xlfn.IFS(E332=$AB$42,$AF$42,E332=$AB$43,$AF$43,E332=$AB$44,$AF$44,E332=$AB$45,$AF$45,E332=$AB$46,$AF$46,E332=$AB$47,$AF$47,E332=$AB$48,$AF$48,E332=$AB$49,$AF$49,E332=$AB$50,$AF$50,E332=$AB$51,$AF$51,E332=$AB$52,$AF$52,E332=$AB$53,$AF$53,E332=$AB$54,$AF$54,E332=$AB$55,$AF$55,E332=$AB$56,$AF$56,E332=$AB$57,$AF$57,E332=$AB$58,$AF$58,E332=$AB$59,$AF$59,E332=$AB$60,$AF$60,E332=$AB$61,$AF$61,E332=$AB$62,$AF$62,E332=$AB$63,$AF$63,E332=$AB$64,$AF$64,E332=$AB$65,$AF$65,E332=$AB$66,$AF$66,TRUE,"0")</f>
        <v>40 mins Back ANother Goal</v>
      </c>
      <c r="D332" s="270" t="str" cm="1">
        <f t="array" ref="D332">_xlfn.IFS(E332=$AB$42,$AD$42,E332=$AB$43,$AD$43,E332=$AB$44,$AD$44,E332=$AB$45,$AD$45,E332=$AB$46,$AD$46,E332=$AB$47,$AD$47,E332=$AB$48,$AD$48,E332=$AB$49,$AD$49,E332=$AB$50,$AD$50,E332=$AB$51,$AD$51,E332=$AB$52,$AD$52,E332=$AB$53,$AD$53,E332=$AB$54,$AD$54,E332=$AB$55,$AD$55,E332=$AB$56,$AD$56,E332=$AB$57,$AD$57,E332=$AB$58,$AD$58,E332=$AB$59,$AD$59,E332=$AB$60,$AD$60,E332=$AB$61,$AD$61,E332=$AB$62,$AD$62,E332=$AB$63,$AD$63,E332=$AB$64,$AD$64,E332=$AB$65,$AD$65,E332=$AB$66,$AD$66,TRUE,"0")</f>
        <v xml:space="preserve">  BANG</v>
      </c>
      <c r="E332" s="163" t="s">
        <v>10</v>
      </c>
      <c r="F332" s="2" t="s">
        <v>6</v>
      </c>
      <c r="G332" s="2" t="s">
        <v>7</v>
      </c>
      <c r="H332" s="3">
        <v>45339.625</v>
      </c>
      <c r="I332" s="2" t="s">
        <v>240</v>
      </c>
      <c r="J332" s="2" t="s">
        <v>18</v>
      </c>
      <c r="K332" s="2">
        <v>1.9</v>
      </c>
      <c r="L332" s="2">
        <v>90</v>
      </c>
      <c r="M332" s="2">
        <v>70</v>
      </c>
      <c r="N332" s="2">
        <v>20</v>
      </c>
      <c r="O332" s="2">
        <v>60</v>
      </c>
      <c r="P332" s="2">
        <v>20</v>
      </c>
      <c r="Q332" s="2" t="s">
        <v>95</v>
      </c>
      <c r="R332" s="14" t="s">
        <v>214</v>
      </c>
      <c r="S332" s="14" t="s">
        <v>194</v>
      </c>
      <c r="T332" s="188">
        <f t="shared" si="39"/>
        <v>247.84587572061798</v>
      </c>
      <c r="U332" s="8">
        <f t="shared" si="37"/>
        <v>44.612257629711237</v>
      </c>
      <c r="V332" s="234">
        <f t="shared" si="38"/>
        <v>5001.5297720420704</v>
      </c>
      <c r="W332" s="15">
        <v>25</v>
      </c>
      <c r="X332" s="8">
        <f t="shared" si="40"/>
        <v>4.5</v>
      </c>
      <c r="Y332" s="233">
        <f t="shared" si="41"/>
        <v>1665</v>
      </c>
    </row>
    <row r="333" spans="1:25">
      <c r="A333" s="156" t="e" cm="1">
        <f t="array" aca="1" ref="A333" ca="1">_xlfn.IFS(E333=$AB$42,$AC$42,E333=$AB$43,$AC$43,E333=$AB$44,$AC$44,E333=$AB$45,$AC$45,E333=$AB$46,$AC$46,E333=$AB$47,$AC$47,E333=$AB$48,$AC$48,E333=$AB$49,$AC$49,E333=$AB$50,$AC$50,E333=$AB$51,$AC$51,E333=$AB$52,$AC$52,E333=$AB$53,$AC$53,E333=$AB$54,$AC$54,E333=$AB$55,$AC$55,E333=$AB$56,$AC$56,E333=$AB$57,$AC$57,E333=$AB$58,$AC$58,E333=$AB$59,$AC$59,E333=$AB$60,$AC$60,E333=$AB$61,$AC$61,E333=$AB$62,$AC$62,E333=$AB$63,$AC$63,E333=$AB$64,$AC$64,E333=$AB$65,$AC$65,E333=$AB$66,$AC$66,TRUE,"0")</f>
        <v>#NAME?</v>
      </c>
      <c r="C333" s="161" t="str" cm="1">
        <f t="array" ref="C333">_xlfn.IFS(E333=$AB$42,$AF$42,E333=$AB$43,$AF$43,E333=$AB$44,$AF$44,E333=$AB$45,$AF$45,E333=$AB$46,$AF$46,E333=$AB$47,$AF$47,E333=$AB$48,$AF$48,E333=$AB$49,$AF$49,E333=$AB$50,$AF$50,E333=$AB$51,$AF$51,E333=$AB$52,$AF$52,E333=$AB$53,$AF$53,E333=$AB$54,$AF$54,E333=$AB$55,$AF$55,E333=$AB$56,$AF$56,E333=$AB$57,$AF$57,E333=$AB$58,$AF$58,E333=$AB$59,$AF$59,E333=$AB$60,$AF$60,E333=$AB$61,$AF$61,E333=$AB$62,$AF$62,E333=$AB$63,$AF$63,E333=$AB$64,$AF$64,E333=$AB$65,$AF$65,E333=$AB$66,$AF$66,TRUE,"0")</f>
        <v>40 mins Back ANother Goal</v>
      </c>
      <c r="D333" s="270" t="str" cm="1">
        <f t="array" ref="D333">_xlfn.IFS(E333=$AB$42,$AD$42,E333=$AB$43,$AD$43,E333=$AB$44,$AD$44,E333=$AB$45,$AD$45,E333=$AB$46,$AD$46,E333=$AB$47,$AD$47,E333=$AB$48,$AD$48,E333=$AB$49,$AD$49,E333=$AB$50,$AD$50,E333=$AB$51,$AD$51,E333=$AB$52,$AD$52,E333=$AB$53,$AD$53,E333=$AB$54,$AD$54,E333=$AB$55,$AD$55,E333=$AB$56,$AD$56,E333=$AB$57,$AD$57,E333=$AB$58,$AD$58,E333=$AB$59,$AD$59,E333=$AB$60,$AD$60,E333=$AB$61,$AD$61,E333=$AB$62,$AD$62,E333=$AB$63,$AD$63,E333=$AB$64,$AD$64,E333=$AB$65,$AD$65,E333=$AB$66,$AD$66,TRUE,"0")</f>
        <v xml:space="preserve">  BANG</v>
      </c>
      <c r="E333" s="163" t="s">
        <v>10</v>
      </c>
      <c r="F333" s="2" t="s">
        <v>6</v>
      </c>
      <c r="G333" s="2" t="s">
        <v>62</v>
      </c>
      <c r="H333" s="3">
        <v>45339.729166666664</v>
      </c>
      <c r="I333" s="2" t="s">
        <v>72</v>
      </c>
      <c r="J333" s="2" t="s">
        <v>65</v>
      </c>
      <c r="K333" s="2">
        <v>2.2000000000000002</v>
      </c>
      <c r="L333" s="2">
        <v>90</v>
      </c>
      <c r="M333" s="2">
        <v>70</v>
      </c>
      <c r="N333" s="2">
        <v>55</v>
      </c>
      <c r="O333" s="2">
        <v>62</v>
      </c>
      <c r="P333" s="2">
        <v>20</v>
      </c>
      <c r="Q333" s="2" t="s">
        <v>95</v>
      </c>
      <c r="R333" s="14" t="s">
        <v>193</v>
      </c>
      <c r="S333" s="14" t="s">
        <v>216</v>
      </c>
      <c r="T333" s="188">
        <f t="shared" si="39"/>
        <v>250.07648860210352</v>
      </c>
      <c r="U333" s="8">
        <f t="shared" si="37"/>
        <v>45.013767948378636</v>
      </c>
      <c r="V333" s="234">
        <f t="shared" si="38"/>
        <v>5046.5435399904491</v>
      </c>
      <c r="W333" s="15">
        <v>25</v>
      </c>
      <c r="X333" s="8">
        <f t="shared" si="40"/>
        <v>4.5</v>
      </c>
      <c r="Y333" s="233">
        <f t="shared" si="41"/>
        <v>1669.5</v>
      </c>
    </row>
    <row r="334" spans="1:25">
      <c r="A334" s="156" t="e" cm="1">
        <f t="array" aca="1" ref="A334" ca="1">_xlfn.IFS(E334=$AB$42,$AC$42,E334=$AB$43,$AC$43,E334=$AB$44,$AC$44,E334=$AB$45,$AC$45,E334=$AB$46,$AC$46,E334=$AB$47,$AC$47,E334=$AB$48,$AC$48,E334=$AB$49,$AC$49,E334=$AB$50,$AC$50,E334=$AB$51,$AC$51,E334=$AB$52,$AC$52,E334=$AB$53,$AC$53,E334=$AB$54,$AC$54,E334=$AB$55,$AC$55,E334=$AB$56,$AC$56,E334=$AB$57,$AC$57,E334=$AB$58,$AC$58,E334=$AB$59,$AC$59,E334=$AB$60,$AC$60,E334=$AB$61,$AC$61,E334=$AB$62,$AC$62,E334=$AB$63,$AC$63,E334=$AB$64,$AC$64,E334=$AB$65,$AC$65,E334=$AB$66,$AC$66,TRUE,"0")</f>
        <v>#NAME?</v>
      </c>
      <c r="C334" s="161" t="str" cm="1">
        <f t="array" ref="C334">_xlfn.IFS(E334=$AB$42,$AF$42,E334=$AB$43,$AF$43,E334=$AB$44,$AF$44,E334=$AB$45,$AF$45,E334=$AB$46,$AF$46,E334=$AB$47,$AF$47,E334=$AB$48,$AF$48,E334=$AB$49,$AF$49,E334=$AB$50,$AF$50,E334=$AB$51,$AF$51,E334=$AB$52,$AF$52,E334=$AB$53,$AF$53,E334=$AB$54,$AF$54,E334=$AB$55,$AF$55,E334=$AB$56,$AF$56,E334=$AB$57,$AF$57,E334=$AB$58,$AF$58,E334=$AB$59,$AF$59,E334=$AB$60,$AF$60,E334=$AB$61,$AF$61,E334=$AB$62,$AF$62,E334=$AB$63,$AF$63,E334=$AB$64,$AF$64,E334=$AB$65,$AF$65,E334=$AB$66,$AF$66,TRUE,"0")</f>
        <v>B4 match BACK FT +1.5 goals. X AFTER  GOAL</v>
      </c>
      <c r="D334" s="270" t="str" cm="1">
        <f t="array" ref="D334">_xlfn.IFS(E334=$AB$42,$AD$42,E334=$AB$43,$AD$43,E334=$AB$44,$AD$44,E334=$AB$45,$AD$45,E334=$AB$46,$AD$46,E334=$AB$47,$AD$47,E334=$AB$48,$AD$48,E334=$AB$49,$AD$49,E334=$AB$50,$AD$50,E334=$AB$51,$AD$51,E334=$AB$52,$AD$52,E334=$AB$53,$AD$53,E334=$AB$54,$AD$54,E334=$AB$55,$AD$55,E334=$AB$56,$AD$56,E334=$AB$57,$AD$57,E334=$AB$58,$AD$58,E334=$AB$59,$AD$59,E334=$AB$60,$AD$60,E334=$AB$61,$AD$61,E334=$AB$62,$AD$62,E334=$AB$63,$AD$63,E334=$AB$64,$AD$64,E334=$AB$65,$AD$65,E334=$AB$66,$AD$66,TRUE,"0")</f>
        <v xml:space="preserve">BFM </v>
      </c>
      <c r="E334" s="163" t="s">
        <v>406</v>
      </c>
      <c r="F334" s="2" t="s">
        <v>20</v>
      </c>
      <c r="G334" s="2" t="s">
        <v>21</v>
      </c>
      <c r="H334" s="3">
        <v>45339.822916666664</v>
      </c>
      <c r="I334" s="2" t="s">
        <v>97</v>
      </c>
      <c r="J334" s="2" t="s">
        <v>370</v>
      </c>
      <c r="K334" s="2">
        <v>1.35</v>
      </c>
      <c r="L334" s="2">
        <v>9.8000000000000007</v>
      </c>
      <c r="M334" s="2">
        <v>3.15</v>
      </c>
      <c r="N334" s="2">
        <v>4.3</v>
      </c>
      <c r="O334" s="2">
        <v>2.5499999999999998</v>
      </c>
      <c r="P334" s="2"/>
      <c r="Q334" s="2" t="s">
        <v>95</v>
      </c>
      <c r="R334" s="14" t="s">
        <v>214</v>
      </c>
      <c r="S334" s="14" t="s">
        <v>207</v>
      </c>
      <c r="T334" s="188">
        <f t="shared" si="39"/>
        <v>252.32717699952246</v>
      </c>
      <c r="U334" s="8">
        <f t="shared" si="37"/>
        <v>45.418891859914041</v>
      </c>
      <c r="V334" s="234">
        <f t="shared" si="38"/>
        <v>5091.9624318503629</v>
      </c>
      <c r="W334" s="15">
        <v>25</v>
      </c>
      <c r="X334" s="8">
        <f t="shared" si="40"/>
        <v>4.5</v>
      </c>
      <c r="Y334" s="233">
        <f t="shared" si="41"/>
        <v>1674</v>
      </c>
    </row>
    <row r="335" spans="1:25">
      <c r="A335" s="156" t="e" cm="1">
        <f t="array" aca="1" ref="A335" ca="1">_xlfn.IFS(E335=$AB$42,$AC$42,E335=$AB$43,$AC$43,E335=$AB$44,$AC$44,E335=$AB$45,$AC$45,E335=$AB$46,$AC$46,E335=$AB$47,$AC$47,E335=$AB$48,$AC$48,E335=$AB$49,$AC$49,E335=$AB$50,$AC$50,E335=$AB$51,$AC$51,E335=$AB$52,$AC$52,E335=$AB$53,$AC$53,E335=$AB$54,$AC$54,E335=$AB$55,$AC$55,E335=$AB$56,$AC$56,E335=$AB$57,$AC$57,E335=$AB$58,$AC$58,E335=$AB$59,$AC$59,E335=$AB$60,$AC$60,E335=$AB$61,$AC$61,E335=$AB$62,$AC$62,E335=$AB$63,$AC$63,E335=$AB$64,$AC$64,E335=$AB$65,$AC$65,E335=$AB$66,$AC$66,TRUE,"0")</f>
        <v>#NAME?</v>
      </c>
      <c r="C335" s="161" t="str" cm="1">
        <f t="array" ref="C335">_xlfn.IFS(E335=$AB$42,$AF$42,E335=$AB$43,$AF$43,E335=$AB$44,$AF$44,E335=$AB$45,$AF$45,E335=$AB$46,$AF$46,E335=$AB$47,$AF$47,E335=$AB$48,$AF$48,E335=$AB$49,$AF$49,E335=$AB$50,$AF$50,E335=$AB$51,$AF$51,E335=$AB$52,$AF$52,E335=$AB$53,$AF$53,E335=$AB$54,$AF$54,E335=$AB$55,$AF$55,E335=$AB$56,$AF$56,E335=$AB$57,$AF$57,E335=$AB$58,$AF$58,E335=$AB$59,$AF$59,E335=$AB$60,$AF$60,E335=$AB$61,$AF$61,E335=$AB$62,$AF$62,E335=$AB$63,$AF$63,E335=$AB$64,$AF$64,E335=$AB$65,$AF$65,E335=$AB$66,$AF$66,TRUE,"0")</f>
        <v>40 mins Back ANother Goal</v>
      </c>
      <c r="D335" s="270" t="str" cm="1">
        <f t="array" ref="D335">_xlfn.IFS(E335=$AB$42,$AD$42,E335=$AB$43,$AD$43,E335=$AB$44,$AD$44,E335=$AB$45,$AD$45,E335=$AB$46,$AD$46,E335=$AB$47,$AD$47,E335=$AB$48,$AD$48,E335=$AB$49,$AD$49,E335=$AB$50,$AD$50,E335=$AB$51,$AD$51,E335=$AB$52,$AD$52,E335=$AB$53,$AD$53,E335=$AB$54,$AD$54,E335=$AB$55,$AD$55,E335=$AB$56,$AD$56,E335=$AB$57,$AD$57,E335=$AB$58,$AD$58,E335=$AB$59,$AD$59,E335=$AB$60,$AD$60,E335=$AB$61,$AD$61,E335=$AB$62,$AD$62,E335=$AB$63,$AD$63,E335=$AB$64,$AD$64,E335=$AB$65,$AD$65,E335=$AB$66,$AD$66,TRUE,"0")</f>
        <v xml:space="preserve">  BANG</v>
      </c>
      <c r="E335" s="163" t="s">
        <v>35</v>
      </c>
      <c r="F335" s="2" t="s">
        <v>441</v>
      </c>
      <c r="G335" s="2" t="s">
        <v>442</v>
      </c>
      <c r="H335" s="3">
        <v>45340.458333333336</v>
      </c>
      <c r="I335" s="2" t="s">
        <v>443</v>
      </c>
      <c r="J335" s="2" t="s">
        <v>444</v>
      </c>
      <c r="K335" s="2">
        <v>71</v>
      </c>
      <c r="L335" s="2">
        <v>87</v>
      </c>
      <c r="M335" s="2">
        <v>67</v>
      </c>
      <c r="N335" s="2">
        <v>40</v>
      </c>
      <c r="O335" s="2">
        <v>15</v>
      </c>
      <c r="P335" s="2">
        <v>0.78</v>
      </c>
      <c r="Q335" s="2" t="s">
        <v>95</v>
      </c>
      <c r="R335" s="14" t="s">
        <v>214</v>
      </c>
      <c r="S335" s="14" t="s">
        <v>220</v>
      </c>
      <c r="T335" s="188">
        <f t="shared" si="39"/>
        <v>254.59812159251817</v>
      </c>
      <c r="U335" s="8">
        <f t="shared" si="37"/>
        <v>45.827661886653267</v>
      </c>
      <c r="V335" s="234">
        <f t="shared" si="38"/>
        <v>5137.7900937370159</v>
      </c>
      <c r="W335" s="15">
        <v>25</v>
      </c>
      <c r="X335" s="8">
        <f t="shared" si="40"/>
        <v>4.5</v>
      </c>
      <c r="Y335" s="233">
        <f t="shared" si="41"/>
        <v>1678.5</v>
      </c>
    </row>
    <row r="336" spans="1:25">
      <c r="A336" s="156" t="e" cm="1">
        <f t="array" aca="1" ref="A336" ca="1">_xlfn.IFS(E336=$AB$42,$AC$42,E336=$AB$43,$AC$43,E336=$AB$44,$AC$44,E336=$AB$45,$AC$45,E336=$AB$46,$AC$46,E336=$AB$47,$AC$47,E336=$AB$48,$AC$48,E336=$AB$49,$AC$49,E336=$AB$50,$AC$50,E336=$AB$51,$AC$51,E336=$AB$52,$AC$52,E336=$AB$53,$AC$53,E336=$AB$54,$AC$54,E336=$AB$55,$AC$55,E336=$AB$56,$AC$56,E336=$AB$57,$AC$57,E336=$AB$58,$AC$58,E336=$AB$59,$AC$59,E336=$AB$60,$AC$60,E336=$AB$61,$AC$61,E336=$AB$62,$AC$62,E336=$AB$63,$AC$63,E336=$AB$64,$AC$64,E336=$AB$65,$AC$65,E336=$AB$66,$AC$66,TRUE,"0")</f>
        <v>#NAME?</v>
      </c>
      <c r="C336" s="161" t="str" cm="1">
        <f t="array" ref="C336">_xlfn.IFS(E336=$AB$42,$AF$42,E336=$AB$43,$AF$43,E336=$AB$44,$AF$44,E336=$AB$45,$AF$45,E336=$AB$46,$AF$46,E336=$AB$47,$AF$47,E336=$AB$48,$AF$48,E336=$AB$49,$AF$49,E336=$AB$50,$AF$50,E336=$AB$51,$AF$51,E336=$AB$52,$AF$52,E336=$AB$53,$AF$53,E336=$AB$54,$AF$54,E336=$AB$55,$AF$55,E336=$AB$56,$AF$56,E336=$AB$57,$AF$57,E336=$AB$58,$AF$58,E336=$AB$59,$AF$59,E336=$AB$60,$AF$60,E336=$AB$61,$AF$61,E336=$AB$62,$AF$62,E336=$AB$63,$AF$63,E336=$AB$64,$AF$64,E336=$AB$65,$AF$65,E336=$AB$66,$AF$66,TRUE,"0")</f>
        <v>40 mins Back ANother Goal</v>
      </c>
      <c r="D336" s="270" t="str" cm="1">
        <f t="array" ref="D336">_xlfn.IFS(E336=$AB$42,$AD$42,E336=$AB$43,$AD$43,E336=$AB$44,$AD$44,E336=$AB$45,$AD$45,E336=$AB$46,$AD$46,E336=$AB$47,$AD$47,E336=$AB$48,$AD$48,E336=$AB$49,$AD$49,E336=$AB$50,$AD$50,E336=$AB$51,$AD$51,E336=$AB$52,$AD$52,E336=$AB$53,$AD$53,E336=$AB$54,$AD$54,E336=$AB$55,$AD$55,E336=$AB$56,$AD$56,E336=$AB$57,$AD$57,E336=$AB$58,$AD$58,E336=$AB$59,$AD$59,E336=$AB$60,$AD$60,E336=$AB$61,$AD$61,E336=$AB$62,$AD$62,E336=$AB$63,$AD$63,E336=$AB$64,$AD$64,E336=$AB$65,$AD$65,E336=$AB$66,$AD$66,TRUE,"0")</f>
        <v xml:space="preserve">  BANG</v>
      </c>
      <c r="E336" s="163" t="s">
        <v>35</v>
      </c>
      <c r="F336" s="2" t="s">
        <v>441</v>
      </c>
      <c r="G336" s="2" t="s">
        <v>442</v>
      </c>
      <c r="H336" s="3">
        <v>45340.5</v>
      </c>
      <c r="I336" s="2" t="s">
        <v>445</v>
      </c>
      <c r="J336" s="2" t="s">
        <v>446</v>
      </c>
      <c r="K336" s="2">
        <v>71</v>
      </c>
      <c r="L336" s="2">
        <v>88</v>
      </c>
      <c r="M336" s="2">
        <v>65</v>
      </c>
      <c r="N336" s="2">
        <v>41</v>
      </c>
      <c r="O336" s="2">
        <v>17</v>
      </c>
      <c r="P336" s="2">
        <v>0.54</v>
      </c>
      <c r="Q336" s="2" t="s">
        <v>95</v>
      </c>
      <c r="R336" s="14" t="s">
        <v>221</v>
      </c>
      <c r="S336" s="14" t="s">
        <v>216</v>
      </c>
      <c r="T336" s="188">
        <f t="shared" si="39"/>
        <v>256.88950468685078</v>
      </c>
      <c r="U336" s="8">
        <f t="shared" si="37"/>
        <v>46.24011084363314</v>
      </c>
      <c r="V336" s="234">
        <f>SUM(V335,U336)</f>
        <v>5184.0302045806493</v>
      </c>
      <c r="W336" s="15">
        <v>25</v>
      </c>
      <c r="X336" s="8">
        <f t="shared" si="40"/>
        <v>4.5</v>
      </c>
      <c r="Y336" s="233">
        <f t="shared" si="41"/>
        <v>1683</v>
      </c>
    </row>
    <row r="337" spans="1:25">
      <c r="A337" s="156" t="e" cm="1">
        <f t="array" aca="1" ref="A337" ca="1">_xlfn.IFS(E337=$AB$42,$AC$42,E337=$AB$43,$AC$43,E337=$AB$44,$AC$44,E337=$AB$45,$AC$45,E337=$AB$46,$AC$46,E337=$AB$47,$AC$47,E337=$AB$48,$AC$48,E337=$AB$49,$AC$49,E337=$AB$50,$AC$50,E337=$AB$51,$AC$51,E337=$AB$52,$AC$52,E337=$AB$53,$AC$53,E337=$AB$54,$AC$54,E337=$AB$55,$AC$55,E337=$AB$56,$AC$56,E337=$AB$57,$AC$57,E337=$AB$58,$AC$58,E337=$AB$59,$AC$59,E337=$AB$60,$AC$60,E337=$AB$61,$AC$61,E337=$AB$62,$AC$62,E337=$AB$63,$AC$63,E337=$AB$64,$AC$64,E337=$AB$65,$AC$65,E337=$AB$66,$AC$66,TRUE,"0")</f>
        <v>#NAME?</v>
      </c>
      <c r="C337" s="161" t="str" cm="1">
        <f t="array" ref="C337">_xlfn.IFS(E337=$AB$42,$AF$42,E337=$AB$43,$AF$43,E337=$AB$44,$AF$44,E337=$AB$45,$AF$45,E337=$AB$46,$AF$46,E337=$AB$47,$AF$47,E337=$AB$48,$AF$48,E337=$AB$49,$AF$49,E337=$AB$50,$AF$50,E337=$AB$51,$AF$51,E337=$AB$52,$AF$52,E337=$AB$53,$AF$53,E337=$AB$54,$AF$54,E337=$AB$55,$AF$55,E337=$AB$56,$AF$56,E337=$AB$57,$AF$57,E337=$AB$58,$AF$58,E337=$AB$59,$AF$59,E337=$AB$60,$AF$60,E337=$AB$61,$AF$61,E337=$AB$62,$AF$62,E337=$AB$63,$AF$63,E337=$AB$64,$AF$64,E337=$AB$65,$AF$65,E337=$AB$66,$AF$66,TRUE,"0")</f>
        <v>40 mins Back ANother Goal</v>
      </c>
      <c r="D337" s="270" t="str" cm="1">
        <f t="array" ref="D337">_xlfn.IFS(E337=$AB$42,$AD$42,E337=$AB$43,$AD$43,E337=$AB$44,$AD$44,E337=$AB$45,$AD$45,E337=$AB$46,$AD$46,E337=$AB$47,$AD$47,E337=$AB$48,$AD$48,E337=$AB$49,$AD$49,E337=$AB$50,$AD$50,E337=$AB$51,$AD$51,E337=$AB$52,$AD$52,E337=$AB$53,$AD$53,E337=$AB$54,$AD$54,E337=$AB$55,$AD$55,E337=$AB$56,$AD$56,E337=$AB$57,$AD$57,E337=$AB$58,$AD$58,E337=$AB$59,$AD$59,E337=$AB$60,$AD$60,E337=$AB$61,$AD$61,E337=$AB$62,$AD$62,E337=$AB$63,$AD$63,E337=$AB$64,$AD$64,E337=$AB$65,$AD$65,E337=$AB$66,$AD$66,TRUE,"0")</f>
        <v xml:space="preserve">  BANG</v>
      </c>
      <c r="E337" s="163" t="s">
        <v>43</v>
      </c>
      <c r="F337" s="2" t="s">
        <v>80</v>
      </c>
      <c r="G337" s="2" t="s">
        <v>81</v>
      </c>
      <c r="H337" s="3">
        <v>45340.541666666664</v>
      </c>
      <c r="I337" s="2" t="s">
        <v>312</v>
      </c>
      <c r="J337" s="2" t="s">
        <v>320</v>
      </c>
      <c r="K337" s="2">
        <v>67</v>
      </c>
      <c r="L337" s="2">
        <v>78</v>
      </c>
      <c r="M337" s="2">
        <v>64</v>
      </c>
      <c r="N337" s="2">
        <v>1.55</v>
      </c>
      <c r="O337" s="2">
        <v>0.88</v>
      </c>
      <c r="P337" s="2"/>
      <c r="Q337" s="2" t="s">
        <v>95</v>
      </c>
      <c r="R337" s="14" t="s">
        <v>221</v>
      </c>
      <c r="S337" s="14" t="s">
        <v>216</v>
      </c>
      <c r="T337" s="188">
        <f t="shared" si="39"/>
        <v>259.20151022903246</v>
      </c>
      <c r="U337" s="8">
        <f t="shared" si="37"/>
        <v>46.656271841225845</v>
      </c>
      <c r="V337" s="234">
        <f t="shared" si="38"/>
        <v>5230.6864764218753</v>
      </c>
      <c r="W337" s="15">
        <v>25</v>
      </c>
      <c r="X337" s="8">
        <f t="shared" si="40"/>
        <v>4.5</v>
      </c>
      <c r="Y337" s="233">
        <f t="shared" si="41"/>
        <v>1687.5</v>
      </c>
    </row>
    <row r="338" spans="1:25">
      <c r="A338" s="156" t="e" cm="1">
        <f t="array" aca="1" ref="A338" ca="1">_xlfn.IFS(E338=$AB$42,$AC$42,E338=$AB$43,$AC$43,E338=$AB$44,$AC$44,E338=$AB$45,$AC$45,E338=$AB$46,$AC$46,E338=$AB$47,$AC$47,E338=$AB$48,$AC$48,E338=$AB$49,$AC$49,E338=$AB$50,$AC$50,E338=$AB$51,$AC$51,E338=$AB$52,$AC$52,E338=$AB$53,$AC$53,E338=$AB$54,$AC$54,E338=$AB$55,$AC$55,E338=$AB$56,$AC$56,E338=$AB$57,$AC$57,E338=$AB$58,$AC$58,E338=$AB$59,$AC$59,E338=$AB$60,$AC$60,E338=$AB$61,$AC$61,E338=$AB$62,$AC$62,E338=$AB$63,$AC$63,E338=$AB$64,$AC$64,E338=$AB$65,$AC$65,E338=$AB$66,$AC$66,TRUE,"0")</f>
        <v>#NAME?</v>
      </c>
      <c r="C338" s="161" t="str" cm="1">
        <f t="array" ref="C338">_xlfn.IFS(E338=$AB$42,$AF$42,E338=$AB$43,$AF$43,E338=$AB$44,$AF$44,E338=$AB$45,$AF$45,E338=$AB$46,$AF$46,E338=$AB$47,$AF$47,E338=$AB$48,$AF$48,E338=$AB$49,$AF$49,E338=$AB$50,$AF$50,E338=$AB$51,$AF$51,E338=$AB$52,$AF$52,E338=$AB$53,$AF$53,E338=$AB$54,$AF$54,E338=$AB$55,$AF$55,E338=$AB$56,$AF$56,E338=$AB$57,$AF$57,E338=$AB$58,$AF$58,E338=$AB$59,$AF$59,E338=$AB$60,$AF$60,E338=$AB$61,$AF$61,E338=$AB$62,$AF$62,E338=$AB$63,$AF$63,E338=$AB$64,$AF$64,E338=$AB$65,$AF$65,E338=$AB$66,$AF$66,TRUE,"0")</f>
        <v>if 0-0, BACK+ 0.5 GOALS  @ 1.15+odds.  or @ 40 mins</v>
      </c>
      <c r="D338" s="270" t="str" cm="1">
        <f t="array" ref="D338">_xlfn.IFS(E338=$AB$42,$AD$42,E338=$AB$43,$AD$43,E338=$AB$44,$AD$44,E338=$AB$45,$AD$45,E338=$AB$46,$AD$46,E338=$AB$47,$AD$47,E338=$AB$48,$AD$48,E338=$AB$49,$AD$49,E338=$AB$50,$AD$50,E338=$AB$51,$AD$51,E338=$AB$52,$AD$52,E338=$AB$53,$AD$53,E338=$AB$54,$AD$54,E338=$AB$55,$AD$55,E338=$AB$56,$AD$56,E338=$AB$57,$AD$57,E338=$AB$58,$AD$58,E338=$AB$59,$AD$59,E338=$AB$60,$AD$60,E338=$AB$61,$AD$61,E338=$AB$62,$AD$62,E338=$AB$63,$AD$63,E338=$AB$64,$AD$64,E338=$AB$65,$AD$65,E338=$AB$66,$AD$66,TRUE,"0")</f>
        <v>IP</v>
      </c>
      <c r="E338" s="163" t="s">
        <v>270</v>
      </c>
      <c r="F338" s="2" t="s">
        <v>80</v>
      </c>
      <c r="G338" s="2" t="s">
        <v>81</v>
      </c>
      <c r="H338" s="3">
        <v>45340.541666666664</v>
      </c>
      <c r="I338" s="2" t="s">
        <v>312</v>
      </c>
      <c r="J338" s="2" t="s">
        <v>320</v>
      </c>
      <c r="K338" s="2">
        <v>61</v>
      </c>
      <c r="L338" s="2">
        <v>0</v>
      </c>
      <c r="M338" s="2">
        <v>20</v>
      </c>
      <c r="N338" s="2">
        <v>1.68</v>
      </c>
      <c r="O338" s="2"/>
      <c r="P338" s="2"/>
      <c r="Q338" s="2" t="s">
        <v>95</v>
      </c>
      <c r="R338" s="14" t="s">
        <v>221</v>
      </c>
      <c r="S338" s="14" t="s">
        <v>216</v>
      </c>
      <c r="T338" s="188">
        <f t="shared" si="39"/>
        <v>261.53432382109378</v>
      </c>
      <c r="U338" s="8">
        <f t="shared" si="37"/>
        <v>47.076178287796878</v>
      </c>
      <c r="V338" s="234">
        <f t="shared" si="38"/>
        <v>5277.7626547096725</v>
      </c>
      <c r="W338" s="15">
        <v>25</v>
      </c>
      <c r="X338" s="8">
        <f t="shared" si="40"/>
        <v>4.5</v>
      </c>
      <c r="Y338" s="233">
        <f t="shared" si="41"/>
        <v>1692</v>
      </c>
    </row>
    <row r="339" spans="1:25">
      <c r="A339" s="156" t="e" cm="1">
        <f t="array" aca="1" ref="A339" ca="1">_xlfn.IFS(E339=$AB$42,$AC$42,E339=$AB$43,$AC$43,E339=$AB$44,$AC$44,E339=$AB$45,$AC$45,E339=$AB$46,$AC$46,E339=$AB$47,$AC$47,E339=$AB$48,$AC$48,E339=$AB$49,$AC$49,E339=$AB$50,$AC$50,E339=$AB$51,$AC$51,E339=$AB$52,$AC$52,E339=$AB$53,$AC$53,E339=$AB$54,$AC$54,E339=$AB$55,$AC$55,E339=$AB$56,$AC$56,E339=$AB$57,$AC$57,E339=$AB$58,$AC$58,E339=$AB$59,$AC$59,E339=$AB$60,$AC$60,E339=$AB$61,$AC$61,E339=$AB$62,$AC$62,E339=$AB$63,$AC$63,E339=$AB$64,$AC$64,E339=$AB$65,$AC$65,E339=$AB$66,$AC$66,TRUE,"0")</f>
        <v>#NAME?</v>
      </c>
      <c r="C339" s="161" t="str" cm="1">
        <f t="array" ref="C339">_xlfn.IFS(E339=$AB$42,$AF$42,E339=$AB$43,$AF$43,E339=$AB$44,$AF$44,E339=$AB$45,$AF$45,E339=$AB$46,$AF$46,E339=$AB$47,$AF$47,E339=$AB$48,$AF$48,E339=$AB$49,$AF$49,E339=$AB$50,$AF$50,E339=$AB$51,$AF$51,E339=$AB$52,$AF$52,E339=$AB$53,$AF$53,E339=$AB$54,$AF$54,E339=$AB$55,$AF$55,E339=$AB$56,$AF$56,E339=$AB$57,$AF$57,E339=$AB$58,$AF$58,E339=$AB$59,$AF$59,E339=$AB$60,$AF$60,E339=$AB$61,$AF$61,E339=$AB$62,$AF$62,E339=$AB$63,$AF$63,E339=$AB$64,$AF$64,E339=$AB$65,$AF$65,E339=$AB$66,$AF$66,TRUE,"0")</f>
        <v>40 mins Back ANother Goal</v>
      </c>
      <c r="D339" s="270" t="str" cm="1">
        <f t="array" ref="D339">_xlfn.IFS(E339=$AB$42,$AD$42,E339=$AB$43,$AD$43,E339=$AB$44,$AD$44,E339=$AB$45,$AD$45,E339=$AB$46,$AD$46,E339=$AB$47,$AD$47,E339=$AB$48,$AD$48,E339=$AB$49,$AD$49,E339=$AB$50,$AD$50,E339=$AB$51,$AD$51,E339=$AB$52,$AD$52,E339=$AB$53,$AD$53,E339=$AB$54,$AD$54,E339=$AB$55,$AD$55,E339=$AB$56,$AD$56,E339=$AB$57,$AD$57,E339=$AB$58,$AD$58,E339=$AB$59,$AD$59,E339=$AB$60,$AD$60,E339=$AB$61,$AD$61,E339=$AB$62,$AD$62,E339=$AB$63,$AD$63,E339=$AB$64,$AD$64,E339=$AB$65,$AD$65,E339=$AB$66,$AD$66,TRUE,"0")</f>
        <v xml:space="preserve">  BANG</v>
      </c>
      <c r="E339" s="163" t="s">
        <v>35</v>
      </c>
      <c r="F339" s="2" t="s">
        <v>296</v>
      </c>
      <c r="G339" s="2" t="s">
        <v>78</v>
      </c>
      <c r="H339" s="3">
        <v>45340.645833333336</v>
      </c>
      <c r="I339" s="2" t="s">
        <v>298</v>
      </c>
      <c r="J339" s="2" t="s">
        <v>368</v>
      </c>
      <c r="K339" s="2">
        <v>68</v>
      </c>
      <c r="L339" s="2">
        <v>95</v>
      </c>
      <c r="M339" s="2">
        <v>75</v>
      </c>
      <c r="N339" s="2">
        <v>45</v>
      </c>
      <c r="O339" s="2">
        <v>20</v>
      </c>
      <c r="P339" s="2">
        <v>0.67</v>
      </c>
      <c r="Q339" s="2" t="s">
        <v>95</v>
      </c>
      <c r="R339" s="14" t="s">
        <v>193</v>
      </c>
      <c r="S339" s="14" t="s">
        <v>222</v>
      </c>
      <c r="T339" s="188">
        <f t="shared" si="39"/>
        <v>263.88813273548362</v>
      </c>
      <c r="U339" s="8">
        <f t="shared" si="37"/>
        <v>47.499863892387047</v>
      </c>
      <c r="V339" s="234">
        <f t="shared" si="38"/>
        <v>5325.2625186020596</v>
      </c>
      <c r="W339" s="15">
        <v>25</v>
      </c>
      <c r="X339" s="8">
        <f t="shared" si="40"/>
        <v>4.5</v>
      </c>
      <c r="Y339" s="233">
        <f t="shared" si="41"/>
        <v>1696.5</v>
      </c>
    </row>
    <row r="340" spans="1:25">
      <c r="A340" s="156" t="e" cm="1">
        <f t="array" aca="1" ref="A340" ca="1">_xlfn.IFS(E340=$AB$42,$AC$42,E340=$AB$43,$AC$43,E340=$AB$44,$AC$44,E340=$AB$45,$AC$45,E340=$AB$46,$AC$46,E340=$AB$47,$AC$47,E340=$AB$48,$AC$48,E340=$AB$49,$AC$49,E340=$AB$50,$AC$50,E340=$AB$51,$AC$51,E340=$AB$52,$AC$52,E340=$AB$53,$AC$53,E340=$AB$54,$AC$54,E340=$AB$55,$AC$55,E340=$AB$56,$AC$56,E340=$AB$57,$AC$57,E340=$AB$58,$AC$58,E340=$AB$59,$AC$59,E340=$AB$60,$AC$60,E340=$AB$61,$AC$61,E340=$AB$62,$AC$62,E340=$AB$63,$AC$63,E340=$AB$64,$AC$64,E340=$AB$65,$AC$65,E340=$AB$66,$AC$66,TRUE,"0")</f>
        <v>#NAME?</v>
      </c>
      <c r="C340" s="161" t="str" cm="1">
        <f t="array" ref="C340">_xlfn.IFS(E340=$AB$42,$AF$42,E340=$AB$43,$AF$43,E340=$AB$44,$AF$44,E340=$AB$45,$AF$45,E340=$AB$46,$AF$46,E340=$AB$47,$AF$47,E340=$AB$48,$AF$48,E340=$AB$49,$AF$49,E340=$AB$50,$AF$50,E340=$AB$51,$AF$51,E340=$AB$52,$AF$52,E340=$AB$53,$AF$53,E340=$AB$54,$AF$54,E340=$AB$55,$AF$55,E340=$AB$56,$AF$56,E340=$AB$57,$AF$57,E340=$AB$58,$AF$58,E340=$AB$59,$AF$59,E340=$AB$60,$AF$60,E340=$AB$61,$AF$61,E340=$AB$62,$AF$62,E340=$AB$63,$AF$63,E340=$AB$64,$AF$64,E340=$AB$65,$AF$65,E340=$AB$66,$AF$66,TRUE,"0")</f>
        <v>if 0-0, BACK+ 0.5 GOALS  @ 1.15+odds.  or @ 40 mins</v>
      </c>
      <c r="D340" s="270" t="str" cm="1">
        <f t="array" ref="D340">_xlfn.IFS(E340=$AB$42,$AD$42,E340=$AB$43,$AD$43,E340=$AB$44,$AD$44,E340=$AB$45,$AD$45,E340=$AB$46,$AD$46,E340=$AB$47,$AD$47,E340=$AB$48,$AD$48,E340=$AB$49,$AD$49,E340=$AB$50,$AD$50,E340=$AB$51,$AD$51,E340=$AB$52,$AD$52,E340=$AB$53,$AD$53,E340=$AB$54,$AD$54,E340=$AB$55,$AD$55,E340=$AB$56,$AD$56,E340=$AB$57,$AD$57,E340=$AB$58,$AD$58,E340=$AB$59,$AD$59,E340=$AB$60,$AD$60,E340=$AB$61,$AD$61,E340=$AB$62,$AD$62,E340=$AB$63,$AD$63,E340=$AB$64,$AD$64,E340=$AB$65,$AD$65,E340=$AB$66,$AD$66,TRUE,"0")</f>
        <v>IP</v>
      </c>
      <c r="E340" s="163" t="s">
        <v>270</v>
      </c>
      <c r="F340" s="2" t="s">
        <v>296</v>
      </c>
      <c r="G340" s="2" t="s">
        <v>78</v>
      </c>
      <c r="H340" s="3">
        <v>45340.645833333336</v>
      </c>
      <c r="I340" s="2" t="s">
        <v>298</v>
      </c>
      <c r="J340" s="2" t="s">
        <v>368</v>
      </c>
      <c r="K340" s="2">
        <v>68</v>
      </c>
      <c r="L340" s="2">
        <v>0</v>
      </c>
      <c r="M340" s="2">
        <v>20</v>
      </c>
      <c r="N340" s="2">
        <v>1.17</v>
      </c>
      <c r="O340" s="2"/>
      <c r="P340" s="2"/>
      <c r="Q340" s="2" t="s">
        <v>95</v>
      </c>
      <c r="R340" s="14" t="s">
        <v>193</v>
      </c>
      <c r="S340" s="14" t="s">
        <v>222</v>
      </c>
      <c r="T340" s="188">
        <f t="shared" si="39"/>
        <v>266.263125930103</v>
      </c>
      <c r="U340" s="8">
        <f t="shared" si="37"/>
        <v>47.927362667418535</v>
      </c>
      <c r="V340" s="234">
        <f t="shared" si="38"/>
        <v>5373.1898812694781</v>
      </c>
      <c r="W340" s="15">
        <v>25</v>
      </c>
      <c r="X340" s="8">
        <f t="shared" si="40"/>
        <v>4.5</v>
      </c>
      <c r="Y340" s="233">
        <f t="shared" si="41"/>
        <v>1701</v>
      </c>
    </row>
    <row r="341" spans="1:25">
      <c r="A341" s="156" t="e" cm="1">
        <f t="array" aca="1" ref="A341" ca="1">_xlfn.IFS(E341=$AB$42,$AC$42,E341=$AB$43,$AC$43,E341=$AB$44,$AC$44,E341=$AB$45,$AC$45,E341=$AB$46,$AC$46,E341=$AB$47,$AC$47,E341=$AB$48,$AC$48,E341=$AB$49,$AC$49,E341=$AB$50,$AC$50,E341=$AB$51,$AC$51,E341=$AB$52,$AC$52,E341=$AB$53,$AC$53,E341=$AB$54,$AC$54,E341=$AB$55,$AC$55,E341=$AB$56,$AC$56,E341=$AB$57,$AC$57,E341=$AB$58,$AC$58,E341=$AB$59,$AC$59,E341=$AB$60,$AC$60,E341=$AB$61,$AC$61,E341=$AB$62,$AC$62,E341=$AB$63,$AC$63,E341=$AB$64,$AC$64,E341=$AB$65,$AC$65,E341=$AB$66,$AC$66,TRUE,"0")</f>
        <v>#NAME?</v>
      </c>
      <c r="C341" s="161" t="str" cm="1">
        <f t="array" ref="C341">_xlfn.IFS(E341=$AB$42,$AF$42,E341=$AB$43,$AF$43,E341=$AB$44,$AF$44,E341=$AB$45,$AF$45,E341=$AB$46,$AF$46,E341=$AB$47,$AF$47,E341=$AB$48,$AF$48,E341=$AB$49,$AF$49,E341=$AB$50,$AF$50,E341=$AB$51,$AF$51,E341=$AB$52,$AF$52,E341=$AB$53,$AF$53,E341=$AB$54,$AF$54,E341=$AB$55,$AF$55,E341=$AB$56,$AF$56,E341=$AB$57,$AF$57,E341=$AB$58,$AF$58,E341=$AB$59,$AF$59,E341=$AB$60,$AF$60,E341=$AB$61,$AF$61,E341=$AB$62,$AF$62,E341=$AB$63,$AF$63,E341=$AB$64,$AF$64,E341=$AB$65,$AF$65,E341=$AB$66,$AF$66,TRUE,"0")</f>
        <v>if 0-0, BACK+ 0.5 GOALS  @ 1.15+odds.  or @ 40 mins</v>
      </c>
      <c r="D341" s="270" t="str" cm="1">
        <f t="array" ref="D341">_xlfn.IFS(E341=$AB$42,$AD$42,E341=$AB$43,$AD$43,E341=$AB$44,$AD$44,E341=$AB$45,$AD$45,E341=$AB$46,$AD$46,E341=$AB$47,$AD$47,E341=$AB$48,$AD$48,E341=$AB$49,$AD$49,E341=$AB$50,$AD$50,E341=$AB$51,$AD$51,E341=$AB$52,$AD$52,E341=$AB$53,$AD$53,E341=$AB$54,$AD$54,E341=$AB$55,$AD$55,E341=$AB$56,$AD$56,E341=$AB$57,$AD$57,E341=$AB$58,$AD$58,E341=$AB$59,$AD$59,E341=$AB$60,$AD$60,E341=$AB$61,$AD$61,E341=$AB$62,$AD$62,E341=$AB$63,$AD$63,E341=$AB$64,$AD$64,E341=$AB$65,$AD$65,E341=$AB$66,$AD$66,TRUE,"0")</f>
        <v>IP</v>
      </c>
      <c r="E341" s="163" t="s">
        <v>270</v>
      </c>
      <c r="F341" s="2" t="s">
        <v>434</v>
      </c>
      <c r="G341" s="2" t="s">
        <v>435</v>
      </c>
      <c r="H341" s="3">
        <v>45340.708333333336</v>
      </c>
      <c r="I341" s="2" t="s">
        <v>436</v>
      </c>
      <c r="J341" s="2" t="s">
        <v>437</v>
      </c>
      <c r="K341" s="2">
        <v>64</v>
      </c>
      <c r="L341" s="2">
        <v>0</v>
      </c>
      <c r="M341" s="2">
        <v>20</v>
      </c>
      <c r="N341" s="2">
        <v>1.4</v>
      </c>
      <c r="O341" s="2"/>
      <c r="P341" s="2"/>
      <c r="Q341" s="2" t="s">
        <v>95</v>
      </c>
      <c r="R341" s="14" t="s">
        <v>214</v>
      </c>
      <c r="S341" s="14" t="s">
        <v>214</v>
      </c>
      <c r="T341" s="188">
        <f t="shared" si="39"/>
        <v>268.65949406347391</v>
      </c>
      <c r="U341" s="8">
        <f t="shared" si="37"/>
        <v>48.358708931425305</v>
      </c>
      <c r="V341" s="234">
        <f t="shared" si="38"/>
        <v>5421.5485902009032</v>
      </c>
      <c r="W341" s="15">
        <v>25</v>
      </c>
      <c r="X341" s="8">
        <f t="shared" si="40"/>
        <v>4.5</v>
      </c>
      <c r="Y341" s="233">
        <f t="shared" si="41"/>
        <v>1705.5</v>
      </c>
    </row>
    <row r="342" spans="1:25">
      <c r="A342" s="156" t="e" cm="1">
        <f t="array" aca="1" ref="A342" ca="1">_xlfn.IFS(E342=$AB$42,$AC$42,E342=$AB$43,$AC$43,E342=$AB$44,$AC$44,E342=$AB$45,$AC$45,E342=$AB$46,$AC$46,E342=$AB$47,$AC$47,E342=$AB$48,$AC$48,E342=$AB$49,$AC$49,E342=$AB$50,$AC$50,E342=$AB$51,$AC$51,E342=$AB$52,$AC$52,E342=$AB$53,$AC$53,E342=$AB$54,$AC$54,E342=$AB$55,$AC$55,E342=$AB$56,$AC$56,E342=$AB$57,$AC$57,E342=$AB$58,$AC$58,E342=$AB$59,$AC$59,E342=$AB$60,$AC$60,E342=$AB$61,$AC$61,E342=$AB$62,$AC$62,E342=$AB$63,$AC$63,E342=$AB$64,$AC$64,E342=$AB$65,$AC$65,E342=$AB$66,$AC$66,TRUE,"0")</f>
        <v>#NAME?</v>
      </c>
      <c r="C342" s="161" t="str" cm="1">
        <f t="array" ref="C342">_xlfn.IFS(E342=$AB$42,$AF$42,E342=$AB$43,$AF$43,E342=$AB$44,$AF$44,E342=$AB$45,$AF$45,E342=$AB$46,$AF$46,E342=$AB$47,$AF$47,E342=$AB$48,$AF$48,E342=$AB$49,$AF$49,E342=$AB$50,$AF$50,E342=$AB$51,$AF$51,E342=$AB$52,$AF$52,E342=$AB$53,$AF$53,E342=$AB$54,$AF$54,E342=$AB$55,$AF$55,E342=$AB$56,$AF$56,E342=$AB$57,$AF$57,E342=$AB$58,$AF$58,E342=$AB$59,$AF$59,E342=$AB$60,$AF$60,E342=$AB$61,$AF$61,E342=$AB$62,$AF$62,E342=$AB$63,$AF$63,E342=$AB$64,$AF$64,E342=$AB$65,$AF$65,E342=$AB$66,$AF$66,TRUE,"0")</f>
        <v>40 mins Back ANother Goal</v>
      </c>
      <c r="D342" s="270" t="str" cm="1">
        <f t="array" ref="D342">_xlfn.IFS(E342=$AB$42,$AD$42,E342=$AB$43,$AD$43,E342=$AB$44,$AD$44,E342=$AB$45,$AD$45,E342=$AB$46,$AD$46,E342=$AB$47,$AD$47,E342=$AB$48,$AD$48,E342=$AB$49,$AD$49,E342=$AB$50,$AD$50,E342=$AB$51,$AD$51,E342=$AB$52,$AD$52,E342=$AB$53,$AD$53,E342=$AB$54,$AD$54,E342=$AB$55,$AD$55,E342=$AB$56,$AD$56,E342=$AB$57,$AD$57,E342=$AB$58,$AD$58,E342=$AB$59,$AD$59,E342=$AB$60,$AD$60,E342=$AB$61,$AD$61,E342=$AB$62,$AD$62,E342=$AB$63,$AD$63,E342=$AB$64,$AD$64,E342=$AB$65,$AD$65,E342=$AB$66,$AD$66,TRUE,"0")</f>
        <v xml:space="preserve">  BANG</v>
      </c>
      <c r="E342" s="163" t="s">
        <v>10</v>
      </c>
      <c r="F342" s="2" t="s">
        <v>20</v>
      </c>
      <c r="G342" s="2" t="s">
        <v>21</v>
      </c>
      <c r="H342" s="3">
        <v>45340.708333333336</v>
      </c>
      <c r="I342" s="2" t="s">
        <v>402</v>
      </c>
      <c r="J342" s="2" t="s">
        <v>380</v>
      </c>
      <c r="K342" s="2">
        <v>1.95</v>
      </c>
      <c r="L342" s="2">
        <v>90</v>
      </c>
      <c r="M342" s="2">
        <v>65</v>
      </c>
      <c r="N342" s="2">
        <v>40</v>
      </c>
      <c r="O342" s="2">
        <v>64</v>
      </c>
      <c r="P342" s="2">
        <v>20</v>
      </c>
      <c r="Q342" s="2" t="s">
        <v>95</v>
      </c>
      <c r="R342" s="14" t="s">
        <v>193</v>
      </c>
      <c r="S342" s="14" t="s">
        <v>218</v>
      </c>
      <c r="T342" s="188">
        <f t="shared" si="39"/>
        <v>271.07742951004519</v>
      </c>
      <c r="U342" s="8">
        <f t="shared" si="37"/>
        <v>48.793937311808136</v>
      </c>
      <c r="V342" s="234">
        <f t="shared" si="38"/>
        <v>5470.3425275127111</v>
      </c>
      <c r="W342" s="15">
        <v>25</v>
      </c>
      <c r="X342" s="8">
        <f t="shared" si="40"/>
        <v>4.5</v>
      </c>
      <c r="Y342" s="233">
        <f t="shared" si="41"/>
        <v>1710</v>
      </c>
    </row>
    <row r="343" spans="1:25">
      <c r="A343" s="156" t="e" cm="1">
        <f t="array" aca="1" ref="A343" ca="1">_xlfn.IFS(E343=$AB$42,$AC$42,E343=$AB$43,$AC$43,E343=$AB$44,$AC$44,E343=$AB$45,$AC$45,E343=$AB$46,$AC$46,E343=$AB$47,$AC$47,E343=$AB$48,$AC$48,E343=$AB$49,$AC$49,E343=$AB$50,$AC$50,E343=$AB$51,$AC$51,E343=$AB$52,$AC$52,E343=$AB$53,$AC$53,E343=$AB$54,$AC$54,E343=$AB$55,$AC$55,E343=$AB$56,$AC$56,E343=$AB$57,$AC$57,E343=$AB$58,$AC$58,E343=$AB$59,$AC$59,E343=$AB$60,$AC$60,E343=$AB$61,$AC$61,E343=$AB$62,$AC$62,E343=$AB$63,$AC$63,E343=$AB$64,$AC$64,E343=$AB$65,$AC$65,E343=$AB$66,$AC$66,TRUE,"0")</f>
        <v>#NAME?</v>
      </c>
      <c r="C343" s="161" t="str" cm="1">
        <f t="array" ref="C343">_xlfn.IFS(E343=$AB$42,$AF$42,E343=$AB$43,$AF$43,E343=$AB$44,$AF$44,E343=$AB$45,$AF$45,E343=$AB$46,$AF$46,E343=$AB$47,$AF$47,E343=$AB$48,$AF$48,E343=$AB$49,$AF$49,E343=$AB$50,$AF$50,E343=$AB$51,$AF$51,E343=$AB$52,$AF$52,E343=$AB$53,$AF$53,E343=$AB$54,$AF$54,E343=$AB$55,$AF$55,E343=$AB$56,$AF$56,E343=$AB$57,$AF$57,E343=$AB$58,$AF$58,E343=$AB$59,$AF$59,E343=$AB$60,$AF$60,E343=$AB$61,$AF$61,E343=$AB$62,$AF$62,E343=$AB$63,$AF$63,E343=$AB$64,$AF$64,E343=$AB$65,$AF$65,E343=$AB$66,$AF$66,TRUE,"0")</f>
        <v>40 mins Back ANother Goal</v>
      </c>
      <c r="D343" s="270" t="str" cm="1">
        <f t="array" ref="D343">_xlfn.IFS(E343=$AB$42,$AD$42,E343=$AB$43,$AD$43,E343=$AB$44,$AD$44,E343=$AB$45,$AD$45,E343=$AB$46,$AD$46,E343=$AB$47,$AD$47,E343=$AB$48,$AD$48,E343=$AB$49,$AD$49,E343=$AB$50,$AD$50,E343=$AB$51,$AD$51,E343=$AB$52,$AD$52,E343=$AB$53,$AD$53,E343=$AB$54,$AD$54,E343=$AB$55,$AD$55,E343=$AB$56,$AD$56,E343=$AB$57,$AD$57,E343=$AB$58,$AD$58,E343=$AB$59,$AD$59,E343=$AB$60,$AD$60,E343=$AB$61,$AD$61,E343=$AB$62,$AD$62,E343=$AB$63,$AD$63,E343=$AB$64,$AD$64,E343=$AB$65,$AD$65,E343=$AB$66,$AD$66,TRUE,"0")</f>
        <v xml:space="preserve">  BANG</v>
      </c>
      <c r="E343" s="163" t="s">
        <v>43</v>
      </c>
      <c r="F343" s="2" t="s">
        <v>20</v>
      </c>
      <c r="G343" s="2" t="s">
        <v>21</v>
      </c>
      <c r="H343" s="3">
        <v>45340.708333333336</v>
      </c>
      <c r="I343" s="2" t="s">
        <v>402</v>
      </c>
      <c r="J343" s="2" t="s">
        <v>380</v>
      </c>
      <c r="K343" s="2">
        <v>79</v>
      </c>
      <c r="L343" s="2">
        <v>73</v>
      </c>
      <c r="M343" s="2">
        <v>64</v>
      </c>
      <c r="N343" s="2">
        <v>1.95</v>
      </c>
      <c r="O343" s="2">
        <v>1.22</v>
      </c>
      <c r="P343" s="2"/>
      <c r="Q343" s="2" t="s">
        <v>95</v>
      </c>
      <c r="R343" s="14" t="s">
        <v>193</v>
      </c>
      <c r="S343" s="14" t="s">
        <v>218</v>
      </c>
      <c r="T343" s="188">
        <f t="shared" si="39"/>
        <v>273.51712637563554</v>
      </c>
      <c r="U343" s="8">
        <f t="shared" si="37"/>
        <v>49.233082747614397</v>
      </c>
      <c r="V343" s="234">
        <f t="shared" si="38"/>
        <v>5519.5756102603254</v>
      </c>
      <c r="W343" s="15">
        <v>25</v>
      </c>
      <c r="X343" s="8">
        <f t="shared" si="40"/>
        <v>4.5</v>
      </c>
      <c r="Y343" s="233">
        <f t="shared" si="41"/>
        <v>1714.5</v>
      </c>
    </row>
    <row r="344" spans="1:25">
      <c r="A344" s="156" t="e" cm="1">
        <f t="array" aca="1" ref="A344" ca="1">_xlfn.IFS(E344=$AB$42,$AC$42,E344=$AB$43,$AC$43,E344=$AB$44,$AC$44,E344=$AB$45,$AC$45,E344=$AB$46,$AC$46,E344=$AB$47,$AC$47,E344=$AB$48,$AC$48,E344=$AB$49,$AC$49,E344=$AB$50,$AC$50,E344=$AB$51,$AC$51,E344=$AB$52,$AC$52,E344=$AB$53,$AC$53,E344=$AB$54,$AC$54,E344=$AB$55,$AC$55,E344=$AB$56,$AC$56,E344=$AB$57,$AC$57,E344=$AB$58,$AC$58,E344=$AB$59,$AC$59,E344=$AB$60,$AC$60,E344=$AB$61,$AC$61,E344=$AB$62,$AC$62,E344=$AB$63,$AC$63,E344=$AB$64,$AC$64,E344=$AB$65,$AC$65,E344=$AB$66,$AC$66,TRUE,"0")</f>
        <v>#NAME?</v>
      </c>
      <c r="C344" s="161" t="str" cm="1">
        <f t="array" ref="C344">_xlfn.IFS(E344=$AB$42,$AF$42,E344=$AB$43,$AF$43,E344=$AB$44,$AF$44,E344=$AB$45,$AF$45,E344=$AB$46,$AF$46,E344=$AB$47,$AF$47,E344=$AB$48,$AF$48,E344=$AB$49,$AF$49,E344=$AB$50,$AF$50,E344=$AB$51,$AF$51,E344=$AB$52,$AF$52,E344=$AB$53,$AF$53,E344=$AB$54,$AF$54,E344=$AB$55,$AF$55,E344=$AB$56,$AF$56,E344=$AB$57,$AF$57,E344=$AB$58,$AF$58,E344=$AB$59,$AF$59,E344=$AB$60,$AF$60,E344=$AB$61,$AF$61,E344=$AB$62,$AF$62,E344=$AB$63,$AF$63,E344=$AB$64,$AF$64,E344=$AB$65,$AF$65,E344=$AB$66,$AF$66,TRUE,"0")</f>
        <v>40 mins Back ANother Goal</v>
      </c>
      <c r="D344" s="270" t="str" cm="1">
        <f t="array" ref="D344">_xlfn.IFS(E344=$AB$42,$AD$42,E344=$AB$43,$AD$43,E344=$AB$44,$AD$44,E344=$AB$45,$AD$45,E344=$AB$46,$AD$46,E344=$AB$47,$AD$47,E344=$AB$48,$AD$48,E344=$AB$49,$AD$49,E344=$AB$50,$AD$50,E344=$AB$51,$AD$51,E344=$AB$52,$AD$52,E344=$AB$53,$AD$53,E344=$AB$54,$AD$54,E344=$AB$55,$AD$55,E344=$AB$56,$AD$56,E344=$AB$57,$AD$57,E344=$AB$58,$AD$58,E344=$AB$59,$AD$59,E344=$AB$60,$AD$60,E344=$AB$61,$AD$61,E344=$AB$62,$AD$62,E344=$AB$63,$AD$63,E344=$AB$64,$AD$64,E344=$AB$65,$AD$65,E344=$AB$66,$AD$66,TRUE,"0")</f>
        <v xml:space="preserve">  BANG</v>
      </c>
      <c r="E344" s="163" t="s">
        <v>10</v>
      </c>
      <c r="F344" s="2" t="s">
        <v>67</v>
      </c>
      <c r="G344" s="2" t="s">
        <v>68</v>
      </c>
      <c r="H344" s="3">
        <v>45340.729166666664</v>
      </c>
      <c r="I344" s="2" t="s">
        <v>375</v>
      </c>
      <c r="J344" s="2" t="s">
        <v>342</v>
      </c>
      <c r="K344" s="2">
        <v>1.9</v>
      </c>
      <c r="L344" s="2">
        <v>90</v>
      </c>
      <c r="M344" s="2">
        <v>70</v>
      </c>
      <c r="N344" s="2">
        <v>30</v>
      </c>
      <c r="O344" s="2">
        <v>67</v>
      </c>
      <c r="P344" s="2">
        <v>20</v>
      </c>
      <c r="Q344" s="2" t="s">
        <v>95</v>
      </c>
      <c r="R344" s="14" t="s">
        <v>193</v>
      </c>
      <c r="S344" s="14" t="s">
        <v>196</v>
      </c>
      <c r="T344" s="188">
        <f t="shared" si="39"/>
        <v>275.97878051301626</v>
      </c>
      <c r="U344" s="8">
        <f t="shared" si="37"/>
        <v>49.676180492342922</v>
      </c>
      <c r="V344" s="234">
        <f t="shared" si="38"/>
        <v>5569.2517907526681</v>
      </c>
      <c r="W344" s="15">
        <v>25</v>
      </c>
      <c r="X344" s="8">
        <f t="shared" si="40"/>
        <v>4.5</v>
      </c>
      <c r="Y344" s="233">
        <f t="shared" si="41"/>
        <v>1719</v>
      </c>
    </row>
    <row r="345" spans="1:25">
      <c r="A345" s="156" t="e" cm="1">
        <f t="array" aca="1" ref="A345" ca="1">_xlfn.IFS(E345=$AB$42,$AC$42,E345=$AB$43,$AC$43,E345=$AB$44,$AC$44,E345=$AB$45,$AC$45,E345=$AB$46,$AC$46,E345=$AB$47,$AC$47,E345=$AB$48,$AC$48,E345=$AB$49,$AC$49,E345=$AB$50,$AC$50,E345=$AB$51,$AC$51,E345=$AB$52,$AC$52,E345=$AB$53,$AC$53,E345=$AB$54,$AC$54,E345=$AB$55,$AC$55,E345=$AB$56,$AC$56,E345=$AB$57,$AC$57,E345=$AB$58,$AC$58,E345=$AB$59,$AC$59,E345=$AB$60,$AC$60,E345=$AB$61,$AC$61,E345=$AB$62,$AC$62,E345=$AB$63,$AC$63,E345=$AB$64,$AC$64,E345=$AB$65,$AC$65,E345=$AB$66,$AC$66,TRUE,"0")</f>
        <v>#NAME?</v>
      </c>
      <c r="C345" s="161" t="str" cm="1">
        <f t="array" ref="C345">_xlfn.IFS(E345=$AB$42,$AF$42,E345=$AB$43,$AF$43,E345=$AB$44,$AF$44,E345=$AB$45,$AF$45,E345=$AB$46,$AF$46,E345=$AB$47,$AF$47,E345=$AB$48,$AF$48,E345=$AB$49,$AF$49,E345=$AB$50,$AF$50,E345=$AB$51,$AF$51,E345=$AB$52,$AF$52,E345=$AB$53,$AF$53,E345=$AB$54,$AF$54,E345=$AB$55,$AF$55,E345=$AB$56,$AF$56,E345=$AB$57,$AF$57,E345=$AB$58,$AF$58,E345=$AB$59,$AF$59,E345=$AB$60,$AF$60,E345=$AB$61,$AF$61,E345=$AB$62,$AF$62,E345=$AB$63,$AF$63,E345=$AB$64,$AF$64,E345=$AB$65,$AF$65,E345=$AB$66,$AF$66,TRUE,"0")</f>
        <v>if 0-0, BACK+ 0.5 GOALS  @ 1.15+odds.  or @ 40 mins</v>
      </c>
      <c r="D345" s="270" t="str" cm="1">
        <f t="array" ref="D345">_xlfn.IFS(E345=$AB$42,$AD$42,E345=$AB$43,$AD$43,E345=$AB$44,$AD$44,E345=$AB$45,$AD$45,E345=$AB$46,$AD$46,E345=$AB$47,$AD$47,E345=$AB$48,$AD$48,E345=$AB$49,$AD$49,E345=$AB$50,$AD$50,E345=$AB$51,$AD$51,E345=$AB$52,$AD$52,E345=$AB$53,$AD$53,E345=$AB$54,$AD$54,E345=$AB$55,$AD$55,E345=$AB$56,$AD$56,E345=$AB$57,$AD$57,E345=$AB$58,$AD$58,E345=$AB$59,$AD$59,E345=$AB$60,$AD$60,E345=$AB$61,$AD$61,E345=$AB$62,$AD$62,E345=$AB$63,$AD$63,E345=$AB$64,$AD$64,E345=$AB$65,$AD$65,E345=$AB$66,$AD$66,TRUE,"0")</f>
        <v>IP</v>
      </c>
      <c r="E345" s="163" t="s">
        <v>270</v>
      </c>
      <c r="F345" s="2" t="s">
        <v>58</v>
      </c>
      <c r="G345" s="2" t="s">
        <v>59</v>
      </c>
      <c r="H345" s="3">
        <v>45340.854166666664</v>
      </c>
      <c r="I345" s="2" t="s">
        <v>112</v>
      </c>
      <c r="J345" s="2" t="s">
        <v>106</v>
      </c>
      <c r="K345" s="2">
        <v>59</v>
      </c>
      <c r="L345" s="2">
        <v>0</v>
      </c>
      <c r="M345" s="2">
        <v>20</v>
      </c>
      <c r="N345" s="2">
        <v>2.4700000000000002</v>
      </c>
      <c r="O345" s="2"/>
      <c r="P345" s="2"/>
      <c r="Q345" s="2" t="s">
        <v>95</v>
      </c>
      <c r="R345" s="14" t="s">
        <v>221</v>
      </c>
      <c r="S345" s="14" t="s">
        <v>222</v>
      </c>
      <c r="T345" s="188">
        <f t="shared" si="39"/>
        <v>278.46258953763339</v>
      </c>
      <c r="U345" s="8">
        <f t="shared" si="37"/>
        <v>50.123266116774012</v>
      </c>
      <c r="V345" s="234">
        <f t="shared" si="38"/>
        <v>5619.3750568694422</v>
      </c>
      <c r="W345" s="15">
        <v>25</v>
      </c>
      <c r="X345" s="8">
        <f t="shared" si="40"/>
        <v>4.5</v>
      </c>
      <c r="Y345" s="233">
        <f t="shared" si="41"/>
        <v>1723.5</v>
      </c>
    </row>
    <row r="346" spans="1:25">
      <c r="A346" s="156" t="e" cm="1">
        <f t="array" aca="1" ref="A346" ca="1">_xlfn.IFS(E346=$AB$42,$AC$42,E346=$AB$43,$AC$43,E346=$AB$44,$AC$44,E346=$AB$45,$AC$45,E346=$AB$46,$AC$46,E346=$AB$47,$AC$47,E346=$AB$48,$AC$48,E346=$AB$49,$AC$49,E346=$AB$50,$AC$50,E346=$AB$51,$AC$51,E346=$AB$52,$AC$52,E346=$AB$53,$AC$53,E346=$AB$54,$AC$54,E346=$AB$55,$AC$55,E346=$AB$56,$AC$56,E346=$AB$57,$AC$57,E346=$AB$58,$AC$58,E346=$AB$59,$AC$59,E346=$AB$60,$AC$60,E346=$AB$61,$AC$61,E346=$AB$62,$AC$62,E346=$AB$63,$AC$63,E346=$AB$64,$AC$64,E346=$AB$65,$AC$65,E346=$AB$66,$AC$66,TRUE,"0")</f>
        <v>#NAME?</v>
      </c>
      <c r="C346" s="161" t="str" cm="1">
        <f t="array" ref="C346">_xlfn.IFS(E346=$AB$42,$AF$42,E346=$AB$43,$AF$43,E346=$AB$44,$AF$44,E346=$AB$45,$AF$45,E346=$AB$46,$AF$46,E346=$AB$47,$AF$47,E346=$AB$48,$AF$48,E346=$AB$49,$AF$49,E346=$AB$50,$AF$50,E346=$AB$51,$AF$51,E346=$AB$52,$AF$52,E346=$AB$53,$AF$53,E346=$AB$54,$AF$54,E346=$AB$55,$AF$55,E346=$AB$56,$AF$56,E346=$AB$57,$AF$57,E346=$AB$58,$AF$58,E346=$AB$59,$AF$59,E346=$AB$60,$AF$60,E346=$AB$61,$AF$61,E346=$AB$62,$AF$62,E346=$AB$63,$AF$63,E346=$AB$64,$AF$64,E346=$AB$65,$AF$65,E346=$AB$66,$AF$66,TRUE,"0")</f>
        <v>B4 Match, lay HT 0-0 or BACK H1 +0.5 GOALS</v>
      </c>
      <c r="D346" s="270" t="str" cm="1">
        <f t="array" ref="D346">_xlfn.IFS(E346=$AB$42,$AD$42,E346=$AB$43,$AD$43,E346=$AB$44,$AD$44,E346=$AB$45,$AD$45,E346=$AB$46,$AD$46,E346=$AB$47,$AD$47,E346=$AB$48,$AD$48,E346=$AB$49,$AD$49,E346=$AB$50,$AD$50,E346=$AB$51,$AD$51,E346=$AB$52,$AD$52,E346=$AB$53,$AD$53,E346=$AB$54,$AD$54,E346=$AB$55,$AD$55,E346=$AB$56,$AD$56,E346=$AB$57,$AD$57,E346=$AB$58,$AD$58,E346=$AB$59,$AD$59,E346=$AB$60,$AD$60,E346=$AB$61,$AD$61,E346=$AB$62,$AD$62,E346=$AB$63,$AD$63,E346=$AB$64,$AD$64,E346=$AB$65,$AD$65,E346=$AB$66,$AD$66,TRUE,"0")</f>
        <v xml:space="preserve">BFM </v>
      </c>
      <c r="E346" s="163" t="s">
        <v>448</v>
      </c>
      <c r="F346" s="2" t="s">
        <v>77</v>
      </c>
      <c r="G346" s="2" t="s">
        <v>449</v>
      </c>
      <c r="H346" s="3">
        <v>45341.708333333336</v>
      </c>
      <c r="I346" s="2" t="s">
        <v>450</v>
      </c>
      <c r="J346" s="2" t="s">
        <v>451</v>
      </c>
      <c r="K346" s="2">
        <v>20</v>
      </c>
      <c r="L346" s="2">
        <v>10</v>
      </c>
      <c r="M346" s="2">
        <v>43</v>
      </c>
      <c r="N346" s="2">
        <v>6</v>
      </c>
      <c r="O346" s="2">
        <v>12</v>
      </c>
      <c r="P346" s="2">
        <v>8</v>
      </c>
      <c r="Q346" s="2" t="s">
        <v>95</v>
      </c>
      <c r="R346" s="14" t="s">
        <v>193</v>
      </c>
      <c r="S346" s="14" t="s">
        <v>193</v>
      </c>
      <c r="T346" s="188">
        <f t="shared" si="39"/>
        <v>280.96875284347215</v>
      </c>
      <c r="U346" s="8">
        <f t="shared" si="37"/>
        <v>50.574375511824982</v>
      </c>
      <c r="V346" s="234">
        <f>SUM(V345,U346)</f>
        <v>5669.9494323812669</v>
      </c>
      <c r="W346" s="15">
        <v>25</v>
      </c>
      <c r="X346" s="8">
        <f t="shared" si="40"/>
        <v>4.5</v>
      </c>
      <c r="Y346" s="233">
        <f t="shared" si="41"/>
        <v>1728</v>
      </c>
    </row>
    <row r="347" spans="1:25">
      <c r="A347" s="156" t="e" cm="1">
        <f t="array" aca="1" ref="A347" ca="1">_xlfn.IFS(E347=$AB$42,$AC$42,E347=$AB$43,$AC$43,E347=$AB$44,$AC$44,E347=$AB$45,$AC$45,E347=$AB$46,$AC$46,E347=$AB$47,$AC$47,E347=$AB$48,$AC$48,E347=$AB$49,$AC$49,E347=$AB$50,$AC$50,E347=$AB$51,$AC$51,E347=$AB$52,$AC$52,E347=$AB$53,$AC$53,E347=$AB$54,$AC$54,E347=$AB$55,$AC$55,E347=$AB$56,$AC$56,E347=$AB$57,$AC$57,E347=$AB$58,$AC$58,E347=$AB$59,$AC$59,E347=$AB$60,$AC$60,E347=$AB$61,$AC$61,E347=$AB$62,$AC$62,E347=$AB$63,$AC$63,E347=$AB$64,$AC$64,E347=$AB$65,$AC$65,E347=$AB$66,$AC$66,TRUE,"0")</f>
        <v>#NAME?</v>
      </c>
      <c r="C347" s="161" t="str" cm="1">
        <f t="array" ref="C347">_xlfn.IFS(E347=$AB$42,$AF$42,E347=$AB$43,$AF$43,E347=$AB$44,$AF$44,E347=$AB$45,$AF$45,E347=$AB$46,$AF$46,E347=$AB$47,$AF$47,E347=$AB$48,$AF$48,E347=$AB$49,$AF$49,E347=$AB$50,$AF$50,E347=$AB$51,$AF$51,E347=$AB$52,$AF$52,E347=$AB$53,$AF$53,E347=$AB$54,$AF$54,E347=$AB$55,$AF$55,E347=$AB$56,$AF$56,E347=$AB$57,$AF$57,E347=$AB$58,$AF$58,E347=$AB$59,$AF$59,E347=$AB$60,$AF$60,E347=$AB$61,$AF$61,E347=$AB$62,$AF$62,E347=$AB$63,$AF$63,E347=$AB$64,$AF$64,E347=$AB$65,$AF$65,E347=$AB$66,$AF$66,TRUE,"0")</f>
        <v>40 mins Back ANother Goal</v>
      </c>
      <c r="D347" s="270" t="str" cm="1">
        <f t="array" ref="D347">_xlfn.IFS(E347=$AB$42,$AD$42,E347=$AB$43,$AD$43,E347=$AB$44,$AD$44,E347=$AB$45,$AD$45,E347=$AB$46,$AD$46,E347=$AB$47,$AD$47,E347=$AB$48,$AD$48,E347=$AB$49,$AD$49,E347=$AB$50,$AD$50,E347=$AB$51,$AD$51,E347=$AB$52,$AD$52,E347=$AB$53,$AD$53,E347=$AB$54,$AD$54,E347=$AB$55,$AD$55,E347=$AB$56,$AD$56,E347=$AB$57,$AD$57,E347=$AB$58,$AD$58,E347=$AB$59,$AD$59,E347=$AB$60,$AD$60,E347=$AB$61,$AD$61,E347=$AB$62,$AD$62,E347=$AB$63,$AD$63,E347=$AB$64,$AD$64,E347=$AB$65,$AD$65,E347=$AB$66,$AD$66,TRUE,"0")</f>
        <v xml:space="preserve">  BANG</v>
      </c>
      <c r="E347" s="163" t="s">
        <v>10</v>
      </c>
      <c r="F347" s="2" t="s">
        <v>119</v>
      </c>
      <c r="G347" s="2" t="s">
        <v>120</v>
      </c>
      <c r="H347" s="3">
        <v>45341.833333333336</v>
      </c>
      <c r="I347" s="2" t="s">
        <v>384</v>
      </c>
      <c r="J347" s="2" t="s">
        <v>453</v>
      </c>
      <c r="K347" s="2">
        <v>2.0499999999999998</v>
      </c>
      <c r="L347" s="2">
        <v>90</v>
      </c>
      <c r="M347" s="2">
        <v>65</v>
      </c>
      <c r="N347" s="2">
        <v>45</v>
      </c>
      <c r="O347" s="2">
        <v>64</v>
      </c>
      <c r="P347" s="2">
        <v>20</v>
      </c>
      <c r="Q347" s="2" t="s">
        <v>95</v>
      </c>
      <c r="R347" s="10" t="s">
        <v>214</v>
      </c>
      <c r="S347" s="10" t="s">
        <v>209</v>
      </c>
      <c r="T347" s="188">
        <f t="shared" si="39"/>
        <v>283.49747161906333</v>
      </c>
      <c r="U347" s="8">
        <f t="shared" si="37"/>
        <v>51.029544891431399</v>
      </c>
      <c r="V347" s="234">
        <f t="shared" ref="V347:V358" si="42">SUM(V346,U347)</f>
        <v>5720.9789772726981</v>
      </c>
      <c r="W347" s="15">
        <v>25</v>
      </c>
      <c r="X347" s="8">
        <f t="shared" si="40"/>
        <v>4.5</v>
      </c>
      <c r="Y347" s="233">
        <f t="shared" si="41"/>
        <v>1732.5</v>
      </c>
    </row>
    <row r="348" spans="1:25">
      <c r="A348" s="156" t="e" cm="1">
        <f t="array" aca="1" ref="A348" ca="1">_xlfn.IFS(E348=$AB$42,$AC$42,E348=$AB$43,$AC$43,E348=$AB$44,$AC$44,E348=$AB$45,$AC$45,E348=$AB$46,$AC$46,E348=$AB$47,$AC$47,E348=$AB$48,$AC$48,E348=$AB$49,$AC$49,E348=$AB$50,$AC$50,E348=$AB$51,$AC$51,E348=$AB$52,$AC$52,E348=$AB$53,$AC$53,E348=$AB$54,$AC$54,E348=$AB$55,$AC$55,E348=$AB$56,$AC$56,E348=$AB$57,$AC$57,E348=$AB$58,$AC$58,E348=$AB$59,$AC$59,E348=$AB$60,$AC$60,E348=$AB$61,$AC$61,E348=$AB$62,$AC$62,E348=$AB$63,$AC$63,E348=$AB$64,$AC$64,E348=$AB$65,$AC$65,E348=$AB$66,$AC$66,TRUE,"0")</f>
        <v>#NAME?</v>
      </c>
      <c r="C348" s="161" t="str" cm="1">
        <f t="array" ref="C348">_xlfn.IFS(E348=$AB$42,$AF$42,E348=$AB$43,$AF$43,E348=$AB$44,$AF$44,E348=$AB$45,$AF$45,E348=$AB$46,$AF$46,E348=$AB$47,$AF$47,E348=$AB$48,$AF$48,E348=$AB$49,$AF$49,E348=$AB$50,$AF$50,E348=$AB$51,$AF$51,E348=$AB$52,$AF$52,E348=$AB$53,$AF$53,E348=$AB$54,$AF$54,E348=$AB$55,$AF$55,E348=$AB$56,$AF$56,E348=$AB$57,$AF$57,E348=$AB$58,$AF$58,E348=$AB$59,$AF$59,E348=$AB$60,$AF$60,E348=$AB$61,$AF$61,E348=$AB$62,$AF$62,E348=$AB$63,$AF$63,E348=$AB$64,$AF$64,E348=$AB$65,$AF$65,E348=$AB$66,$AF$66,TRUE,"0")</f>
        <v>if 0-0, BACK+ 0.5 GOALS  @ 1.15+odds.  or @ 40 mins</v>
      </c>
      <c r="D348" s="270" t="str" cm="1">
        <f t="array" ref="D348">_xlfn.IFS(E348=$AB$42,$AD$42,E348=$AB$43,$AD$43,E348=$AB$44,$AD$44,E348=$AB$45,$AD$45,E348=$AB$46,$AD$46,E348=$AB$47,$AD$47,E348=$AB$48,$AD$48,E348=$AB$49,$AD$49,E348=$AB$50,$AD$50,E348=$AB$51,$AD$51,E348=$AB$52,$AD$52,E348=$AB$53,$AD$53,E348=$AB$54,$AD$54,E348=$AB$55,$AD$55,E348=$AB$56,$AD$56,E348=$AB$57,$AD$57,E348=$AB$58,$AD$58,E348=$AB$59,$AD$59,E348=$AB$60,$AD$60,E348=$AB$61,$AD$61,E348=$AB$62,$AD$62,E348=$AB$63,$AD$63,E348=$AB$64,$AD$64,E348=$AB$65,$AD$65,E348=$AB$66,$AD$66,TRUE,"0")</f>
        <v>IP</v>
      </c>
      <c r="E348" s="163" t="s">
        <v>270</v>
      </c>
      <c r="F348" s="2" t="s">
        <v>6</v>
      </c>
      <c r="G348" s="2" t="s">
        <v>7</v>
      </c>
      <c r="H348" s="3">
        <v>45342.822916666664</v>
      </c>
      <c r="I348" s="2" t="s">
        <v>26</v>
      </c>
      <c r="J348" s="2" t="s">
        <v>55</v>
      </c>
      <c r="K348" s="2">
        <v>62</v>
      </c>
      <c r="L348" s="2">
        <v>0</v>
      </c>
      <c r="M348" s="2">
        <v>20</v>
      </c>
      <c r="N348" s="2">
        <v>2.57</v>
      </c>
      <c r="O348" s="2"/>
      <c r="P348" s="2"/>
      <c r="Q348" s="2" t="s">
        <v>95</v>
      </c>
      <c r="R348" s="10" t="s">
        <v>221</v>
      </c>
      <c r="S348" s="10" t="s">
        <v>193</v>
      </c>
      <c r="T348" s="188">
        <f t="shared" si="39"/>
        <v>286.04894886363491</v>
      </c>
      <c r="U348" s="8">
        <f t="shared" si="37"/>
        <v>51.488810795454278</v>
      </c>
      <c r="V348" s="234">
        <f t="shared" si="42"/>
        <v>5772.467788068152</v>
      </c>
      <c r="W348" s="15">
        <v>25</v>
      </c>
      <c r="X348" s="8">
        <f t="shared" si="40"/>
        <v>4.5</v>
      </c>
      <c r="Y348" s="233">
        <f t="shared" si="41"/>
        <v>1737</v>
      </c>
    </row>
    <row r="349" spans="1:25">
      <c r="A349" s="156" t="e" cm="1">
        <f t="array" aca="1" ref="A349" ca="1">_xlfn.IFS(E349=$AB$42,$AC$42,E349=$AB$43,$AC$43,E349=$AB$44,$AC$44,E349=$AB$45,$AC$45,E349=$AB$46,$AC$46,E349=$AB$47,$AC$47,E349=$AB$48,$AC$48,E349=$AB$49,$AC$49,E349=$AB$50,$AC$50,E349=$AB$51,$AC$51,E349=$AB$52,$AC$52,E349=$AB$53,$AC$53,E349=$AB$54,$AC$54,E349=$AB$55,$AC$55,E349=$AB$56,$AC$56,E349=$AB$57,$AC$57,E349=$AB$58,$AC$58,E349=$AB$59,$AC$59,E349=$AB$60,$AC$60,E349=$AB$61,$AC$61,E349=$AB$62,$AC$62,E349=$AB$63,$AC$63,E349=$AB$64,$AC$64,E349=$AB$65,$AC$65,E349=$AB$66,$AC$66,TRUE,"0")</f>
        <v>#NAME?</v>
      </c>
      <c r="C349" s="161" t="str" cm="1">
        <f t="array" ref="C349">_xlfn.IFS(E349=$AB$42,$AF$42,E349=$AB$43,$AF$43,E349=$AB$44,$AF$44,E349=$AB$45,$AF$45,E349=$AB$46,$AF$46,E349=$AB$47,$AF$47,E349=$AB$48,$AF$48,E349=$AB$49,$AF$49,E349=$AB$50,$AF$50,E349=$AB$51,$AF$51,E349=$AB$52,$AF$52,E349=$AB$53,$AF$53,E349=$AB$54,$AF$54,E349=$AB$55,$AF$55,E349=$AB$56,$AF$56,E349=$AB$57,$AF$57,E349=$AB$58,$AF$58,E349=$AB$59,$AF$59,E349=$AB$60,$AF$60,E349=$AB$61,$AF$61,E349=$AB$62,$AF$62,E349=$AB$63,$AF$63,E349=$AB$64,$AF$64,E349=$AB$65,$AF$65,E349=$AB$66,$AF$66,TRUE,"0")</f>
        <v>B4 MATCH bet H1 'under 2.5goals'- X at 40 minutes</v>
      </c>
      <c r="D349" s="270" t="str" cm="1">
        <f t="array" ref="D349">_xlfn.IFS(E349=$AB$42,$AD$42,E349=$AB$43,$AD$43,E349=$AB$44,$AD$44,E349=$AB$45,$AD$45,E349=$AB$46,$AD$46,E349=$AB$47,$AD$47,E349=$AB$48,$AD$48,E349=$AB$49,$AD$49,E349=$AB$50,$AD$50,E349=$AB$51,$AD$51,E349=$AB$52,$AD$52,E349=$AB$53,$AD$53,E349=$AB$54,$AD$54,E349=$AB$55,$AD$55,E349=$AB$56,$AD$56,E349=$AB$57,$AD$57,E349=$AB$58,$AD$58,E349=$AB$59,$AD$59,E349=$AB$60,$AD$60,E349=$AB$61,$AD$61,E349=$AB$62,$AD$62,E349=$AB$63,$AD$63,E349=$AB$64,$AD$64,E349=$AB$65,$AD$65,E349=$AB$66,$AD$66,TRUE,"0")</f>
        <v xml:space="preserve">BFM </v>
      </c>
      <c r="E349" s="164" t="s">
        <v>458</v>
      </c>
      <c r="F349" s="2" t="s">
        <v>6</v>
      </c>
      <c r="G349" s="2" t="s">
        <v>455</v>
      </c>
      <c r="H349" s="3">
        <v>45342.822916666664</v>
      </c>
      <c r="I349" s="2" t="s">
        <v>456</v>
      </c>
      <c r="J349" s="2" t="s">
        <v>457</v>
      </c>
      <c r="K349" s="2">
        <v>20</v>
      </c>
      <c r="L349" s="2">
        <v>20</v>
      </c>
      <c r="M349" s="2">
        <v>27</v>
      </c>
      <c r="N349" s="2">
        <v>3.3</v>
      </c>
      <c r="O349" s="2"/>
      <c r="P349" s="2"/>
      <c r="Q349" s="2" t="s">
        <v>95</v>
      </c>
      <c r="R349" s="10" t="s">
        <v>216</v>
      </c>
      <c r="S349" s="10" t="s">
        <v>222</v>
      </c>
      <c r="T349" s="188">
        <f t="shared" si="39"/>
        <v>288.6233894034076</v>
      </c>
      <c r="U349" s="8">
        <f t="shared" si="37"/>
        <v>51.952210092613363</v>
      </c>
      <c r="V349" s="234">
        <f t="shared" si="42"/>
        <v>5824.4199981607653</v>
      </c>
      <c r="W349" s="15">
        <v>25</v>
      </c>
      <c r="X349" s="8">
        <f t="shared" si="40"/>
        <v>4.5</v>
      </c>
      <c r="Y349" s="233">
        <f t="shared" si="41"/>
        <v>1741.5</v>
      </c>
    </row>
    <row r="350" spans="1:25">
      <c r="A350" s="156" t="e" cm="1">
        <f t="array" aca="1" ref="A350" ca="1">_xlfn.IFS(E350=$AB$42,$AC$42,E350=$AB$43,$AC$43,E350=$AB$44,$AC$44,E350=$AB$45,$AC$45,E350=$AB$46,$AC$46,E350=$AB$47,$AC$47,E350=$AB$48,$AC$48,E350=$AB$49,$AC$49,E350=$AB$50,$AC$50,E350=$AB$51,$AC$51,E350=$AB$52,$AC$52,E350=$AB$53,$AC$53,E350=$AB$54,$AC$54,E350=$AB$55,$AC$55,E350=$AB$56,$AC$56,E350=$AB$57,$AC$57,E350=$AB$58,$AC$58,E350=$AB$59,$AC$59,E350=$AB$60,$AC$60,E350=$AB$61,$AC$61,E350=$AB$62,$AC$62,E350=$AB$63,$AC$63,E350=$AB$64,$AC$64,E350=$AB$65,$AC$65,E350=$AB$66,$AC$66,TRUE,"0")</f>
        <v>#NAME?</v>
      </c>
      <c r="C350" s="161" t="str" cm="1">
        <f t="array" ref="C350">_xlfn.IFS(E350=$AB$42,$AF$42,E350=$AB$43,$AF$43,E350=$AB$44,$AF$44,E350=$AB$45,$AF$45,E350=$AB$46,$AF$46,E350=$AB$47,$AF$47,E350=$AB$48,$AF$48,E350=$AB$49,$AF$49,E350=$AB$50,$AF$50,E350=$AB$51,$AF$51,E350=$AB$52,$AF$52,E350=$AB$53,$AF$53,E350=$AB$54,$AF$54,E350=$AB$55,$AF$55,E350=$AB$56,$AF$56,E350=$AB$57,$AF$57,E350=$AB$58,$AF$58,E350=$AB$59,$AF$59,E350=$AB$60,$AF$60,E350=$AB$61,$AF$61,E350=$AB$62,$AF$62,E350=$AB$63,$AF$63,E350=$AB$64,$AF$64,E350=$AB$65,$AF$65,E350=$AB$66,$AF$66,TRUE,"0")</f>
        <v>B4 match BACK FT +1.5 goals. X AFTER  GOAL</v>
      </c>
      <c r="D350" s="270" t="str" cm="1">
        <f t="array" ref="D350">_xlfn.IFS(E350=$AB$42,$AD$42,E350=$AB$43,$AD$43,E350=$AB$44,$AD$44,E350=$AB$45,$AD$45,E350=$AB$46,$AD$46,E350=$AB$47,$AD$47,E350=$AB$48,$AD$48,E350=$AB$49,$AD$49,E350=$AB$50,$AD$50,E350=$AB$51,$AD$51,E350=$AB$52,$AD$52,E350=$AB$53,$AD$53,E350=$AB$54,$AD$54,E350=$AB$55,$AD$55,E350=$AB$56,$AD$56,E350=$AB$57,$AD$57,E350=$AB$58,$AD$58,E350=$AB$59,$AD$59,E350=$AB$60,$AD$60,E350=$AB$61,$AD$61,E350=$AB$62,$AD$62,E350=$AB$63,$AD$63,E350=$AB$64,$AD$64,E350=$AB$65,$AD$65,E350=$AB$66,$AD$66,TRUE,"0")</f>
        <v xml:space="preserve">BFM </v>
      </c>
      <c r="E350" s="163" t="s">
        <v>406</v>
      </c>
      <c r="F350" s="2" t="s">
        <v>6</v>
      </c>
      <c r="G350" s="2" t="s">
        <v>14</v>
      </c>
      <c r="H350" s="3">
        <v>45342.822916666664</v>
      </c>
      <c r="I350" s="2" t="s">
        <v>291</v>
      </c>
      <c r="J350" s="2" t="s">
        <v>262</v>
      </c>
      <c r="K350" s="2">
        <v>1.27</v>
      </c>
      <c r="L350" s="2">
        <v>16.5</v>
      </c>
      <c r="M350" s="2">
        <v>3.35</v>
      </c>
      <c r="N350" s="2">
        <v>4.4000000000000004</v>
      </c>
      <c r="O350" s="2">
        <v>2.72</v>
      </c>
      <c r="P350" s="2"/>
      <c r="Q350" s="2" t="s">
        <v>95</v>
      </c>
      <c r="R350" s="10" t="s">
        <v>215</v>
      </c>
      <c r="S350" s="14" t="s">
        <v>212</v>
      </c>
      <c r="T350" s="188">
        <f t="shared" si="39"/>
        <v>291.22099990803827</v>
      </c>
      <c r="U350" s="8">
        <f t="shared" si="37"/>
        <v>52.419779983446887</v>
      </c>
      <c r="V350" s="234">
        <f t="shared" si="42"/>
        <v>5876.8397781442118</v>
      </c>
      <c r="W350" s="15">
        <v>25</v>
      </c>
      <c r="X350" s="8">
        <f t="shared" si="40"/>
        <v>4.5</v>
      </c>
      <c r="Y350" s="233">
        <f t="shared" si="41"/>
        <v>1746</v>
      </c>
    </row>
    <row r="351" spans="1:25">
      <c r="A351" s="156" t="e" cm="1">
        <f t="array" aca="1" ref="A351" ca="1">_xlfn.IFS(E351=$AB$42,$AC$42,E351=$AB$43,$AC$43,E351=$AB$44,$AC$44,E351=$AB$45,$AC$45,E351=$AB$46,$AC$46,E351=$AB$47,$AC$47,E351=$AB$48,$AC$48,E351=$AB$49,$AC$49,E351=$AB$50,$AC$50,E351=$AB$51,$AC$51,E351=$AB$52,$AC$52,E351=$AB$53,$AC$53,E351=$AB$54,$AC$54,E351=$AB$55,$AC$55,E351=$AB$56,$AC$56,E351=$AB$57,$AC$57,E351=$AB$58,$AC$58,E351=$AB$59,$AC$59,E351=$AB$60,$AC$60,E351=$AB$61,$AC$61,E351=$AB$62,$AC$62,E351=$AB$63,$AC$63,E351=$AB$64,$AC$64,E351=$AB$65,$AC$65,E351=$AB$66,$AC$66,TRUE,"0")</f>
        <v>#NAME?</v>
      </c>
      <c r="C351" s="161" t="str" cm="1">
        <f t="array" ref="C351">_xlfn.IFS(E351=$AB$42,$AF$42,E351=$AB$43,$AF$43,E351=$AB$44,$AF$44,E351=$AB$45,$AF$45,E351=$AB$46,$AF$46,E351=$AB$47,$AF$47,E351=$AB$48,$AF$48,E351=$AB$49,$AF$49,E351=$AB$50,$AF$50,E351=$AB$51,$AF$51,E351=$AB$52,$AF$52,E351=$AB$53,$AF$53,E351=$AB$54,$AF$54,E351=$AB$55,$AF$55,E351=$AB$56,$AF$56,E351=$AB$57,$AF$57,E351=$AB$58,$AF$58,E351=$AB$59,$AF$59,E351=$AB$60,$AF$60,E351=$AB$61,$AF$61,E351=$AB$62,$AF$62,E351=$AB$63,$AF$63,E351=$AB$64,$AF$64,E351=$AB$65,$AF$65,E351=$AB$66,$AF$66,TRUE,"0")</f>
        <v>B4 Match, lay HT 0-0 or BACK H1 +0.5 GOALS</v>
      </c>
      <c r="D351" s="270" t="str" cm="1">
        <f t="array" ref="D351">_xlfn.IFS(E351=$AB$42,$AD$42,E351=$AB$43,$AD$43,E351=$AB$44,$AD$44,E351=$AB$45,$AD$45,E351=$AB$46,$AD$46,E351=$AB$47,$AD$47,E351=$AB$48,$AD$48,E351=$AB$49,$AD$49,E351=$AB$50,$AD$50,E351=$AB$51,$AD$51,E351=$AB$52,$AD$52,E351=$AB$53,$AD$53,E351=$AB$54,$AD$54,E351=$AB$55,$AD$55,E351=$AB$56,$AD$56,E351=$AB$57,$AD$57,E351=$AB$58,$AD$58,E351=$AB$59,$AD$59,E351=$AB$60,$AD$60,E351=$AB$61,$AD$61,E351=$AB$62,$AD$62,E351=$AB$63,$AD$63,E351=$AB$64,$AD$64,E351=$AB$65,$AD$65,E351=$AB$66,$AD$66,TRUE,"0")</f>
        <v xml:space="preserve">BFM </v>
      </c>
      <c r="E351" s="163" t="s">
        <v>448</v>
      </c>
      <c r="F351" s="2" t="s">
        <v>6</v>
      </c>
      <c r="G351" s="2" t="s">
        <v>11</v>
      </c>
      <c r="H351" s="3">
        <v>45342.822916666664</v>
      </c>
      <c r="I351" s="2" t="s">
        <v>308</v>
      </c>
      <c r="J351" s="2" t="s">
        <v>286</v>
      </c>
      <c r="K351" s="2">
        <v>20</v>
      </c>
      <c r="L351" s="2">
        <v>5</v>
      </c>
      <c r="M351" s="2">
        <v>32</v>
      </c>
      <c r="N351" s="2">
        <v>6</v>
      </c>
      <c r="O351" s="2">
        <v>5</v>
      </c>
      <c r="P351" s="2">
        <v>9</v>
      </c>
      <c r="Q351" s="2" t="s">
        <v>95</v>
      </c>
      <c r="R351" s="10" t="s">
        <v>216</v>
      </c>
      <c r="S351" s="14" t="s">
        <v>210</v>
      </c>
      <c r="T351" s="188">
        <f t="shared" si="39"/>
        <v>293.84198890721058</v>
      </c>
      <c r="U351" s="8">
        <f t="shared" si="37"/>
        <v>52.891558003297902</v>
      </c>
      <c r="V351" s="234">
        <f t="shared" si="42"/>
        <v>5929.7313361475099</v>
      </c>
      <c r="W351" s="15">
        <v>25</v>
      </c>
      <c r="X351" s="8">
        <f t="shared" si="40"/>
        <v>4.5</v>
      </c>
      <c r="Y351" s="233">
        <f t="shared" si="41"/>
        <v>1750.5</v>
      </c>
    </row>
    <row r="352" spans="1:25">
      <c r="A352" s="156" t="e" cm="1">
        <f t="array" aca="1" ref="A352" ca="1">_xlfn.IFS(E352=$AB$42,$AC$42,E352=$AB$43,$AC$43,E352=$AB$44,$AC$44,E352=$AB$45,$AC$45,E352=$AB$46,$AC$46,E352=$AB$47,$AC$47,E352=$AB$48,$AC$48,E352=$AB$49,$AC$49,E352=$AB$50,$AC$50,E352=$AB$51,$AC$51,E352=$AB$52,$AC$52,E352=$AB$53,$AC$53,E352=$AB$54,$AC$54,E352=$AB$55,$AC$55,E352=$AB$56,$AC$56,E352=$AB$57,$AC$57,E352=$AB$58,$AC$58,E352=$AB$59,$AC$59,E352=$AB$60,$AC$60,E352=$AB$61,$AC$61,E352=$AB$62,$AC$62,E352=$AB$63,$AC$63,E352=$AB$64,$AC$64,E352=$AB$65,$AC$65,E352=$AB$66,$AC$66,TRUE,"0")</f>
        <v>#NAME?</v>
      </c>
      <c r="C352" s="161" t="str" cm="1">
        <f t="array" ref="C352">_xlfn.IFS(E352=$AB$42,$AF$42,E352=$AB$43,$AF$43,E352=$AB$44,$AF$44,E352=$AB$45,$AF$45,E352=$AB$46,$AF$46,E352=$AB$47,$AF$47,E352=$AB$48,$AF$48,E352=$AB$49,$AF$49,E352=$AB$50,$AF$50,E352=$AB$51,$AF$51,E352=$AB$52,$AF$52,E352=$AB$53,$AF$53,E352=$AB$54,$AF$54,E352=$AB$55,$AF$55,E352=$AB$56,$AF$56,E352=$AB$57,$AF$57,E352=$AB$58,$AF$58,E352=$AB$59,$AF$59,E352=$AB$60,$AF$60,E352=$AB$61,$AF$61,E352=$AB$62,$AF$62,E352=$AB$63,$AF$63,E352=$AB$64,$AF$64,E352=$AB$65,$AF$65,E352=$AB$66,$AF$66,TRUE,"0")</f>
        <v>40 mins Back ANother Goal</v>
      </c>
      <c r="D352" s="270" t="str" cm="1">
        <f t="array" ref="D352">_xlfn.IFS(E352=$AB$42,$AD$42,E352=$AB$43,$AD$43,E352=$AB$44,$AD$44,E352=$AB$45,$AD$45,E352=$AB$46,$AD$46,E352=$AB$47,$AD$47,E352=$AB$48,$AD$48,E352=$AB$49,$AD$49,E352=$AB$50,$AD$50,E352=$AB$51,$AD$51,E352=$AB$52,$AD$52,E352=$AB$53,$AD$53,E352=$AB$54,$AD$54,E352=$AB$55,$AD$55,E352=$AB$56,$AD$56,E352=$AB$57,$AD$57,E352=$AB$58,$AD$58,E352=$AB$59,$AD$59,E352=$AB$60,$AD$60,E352=$AB$61,$AD$61,E352=$AB$62,$AD$62,E352=$AB$63,$AD$63,E352=$AB$64,$AD$64,E352=$AB$65,$AD$65,E352=$AB$66,$AD$66,TRUE,"0")</f>
        <v xml:space="preserve">  BANG</v>
      </c>
      <c r="E352" s="163" t="s">
        <v>43</v>
      </c>
      <c r="F352" s="2" t="s">
        <v>6</v>
      </c>
      <c r="G352" s="2" t="s">
        <v>14</v>
      </c>
      <c r="H352" s="3">
        <v>45342.822916666664</v>
      </c>
      <c r="I352" s="2" t="s">
        <v>56</v>
      </c>
      <c r="J352" s="2" t="s">
        <v>387</v>
      </c>
      <c r="K352" s="2">
        <v>69</v>
      </c>
      <c r="L352" s="2">
        <v>67</v>
      </c>
      <c r="M352" s="2">
        <v>59</v>
      </c>
      <c r="N352" s="2">
        <v>2.2000000000000002</v>
      </c>
      <c r="O352" s="2">
        <v>1.19</v>
      </c>
      <c r="P352" s="2"/>
      <c r="Q352" s="2" t="s">
        <v>95</v>
      </c>
      <c r="R352" s="10" t="s">
        <v>217</v>
      </c>
      <c r="S352" s="10" t="s">
        <v>223</v>
      </c>
      <c r="T352" s="188">
        <f t="shared" si="39"/>
        <v>296.48656680737548</v>
      </c>
      <c r="U352" s="8">
        <f t="shared" si="37"/>
        <v>53.367582025327586</v>
      </c>
      <c r="V352" s="234">
        <f t="shared" si="42"/>
        <v>5983.0989181728373</v>
      </c>
      <c r="W352" s="15">
        <v>25</v>
      </c>
      <c r="X352" s="8">
        <f t="shared" si="40"/>
        <v>4.5</v>
      </c>
      <c r="Y352" s="233">
        <f t="shared" si="41"/>
        <v>1755</v>
      </c>
    </row>
    <row r="353" spans="1:25">
      <c r="A353" s="156" t="e" cm="1">
        <f t="array" aca="1" ref="A353" ca="1">_xlfn.IFS(E353=$AB$42,$AC$42,E353=$AB$43,$AC$43,E353=$AB$44,$AC$44,E353=$AB$45,$AC$45,E353=$AB$46,$AC$46,E353=$AB$47,$AC$47,E353=$AB$48,$AC$48,E353=$AB$49,$AC$49,E353=$AB$50,$AC$50,E353=$AB$51,$AC$51,E353=$AB$52,$AC$52,E353=$AB$53,$AC$53,E353=$AB$54,$AC$54,E353=$AB$55,$AC$55,E353=$AB$56,$AC$56,E353=$AB$57,$AC$57,E353=$AB$58,$AC$58,E353=$AB$59,$AC$59,E353=$AB$60,$AC$60,E353=$AB$61,$AC$61,E353=$AB$62,$AC$62,E353=$AB$63,$AC$63,E353=$AB$64,$AC$64,E353=$AB$65,$AC$65,E353=$AB$66,$AC$66,TRUE,"0")</f>
        <v>#NAME?</v>
      </c>
      <c r="C353" s="161" t="str" cm="1">
        <f t="array" ref="C353">_xlfn.IFS(E353=$AB$42,$AF$42,E353=$AB$43,$AF$43,E353=$AB$44,$AF$44,E353=$AB$45,$AF$45,E353=$AB$46,$AF$46,E353=$AB$47,$AF$47,E353=$AB$48,$AF$48,E353=$AB$49,$AF$49,E353=$AB$50,$AF$50,E353=$AB$51,$AF$51,E353=$AB$52,$AF$52,E353=$AB$53,$AF$53,E353=$AB$54,$AF$54,E353=$AB$55,$AF$55,E353=$AB$56,$AF$56,E353=$AB$57,$AF$57,E353=$AB$58,$AF$58,E353=$AB$59,$AF$59,E353=$AB$60,$AF$60,E353=$AB$61,$AF$61,E353=$AB$62,$AF$62,E353=$AB$63,$AF$63,E353=$AB$64,$AF$64,E353=$AB$65,$AF$65,E353=$AB$66,$AF$66,TRUE,"0")</f>
        <v>if 0-0, BACK+ 0.5 GOALS  @ 1.15+odds.  or @ 40 mins</v>
      </c>
      <c r="D353" s="270" t="str" cm="1">
        <f t="array" ref="D353">_xlfn.IFS(E353=$AB$42,$AD$42,E353=$AB$43,$AD$43,E353=$AB$44,$AD$44,E353=$AB$45,$AD$45,E353=$AB$46,$AD$46,E353=$AB$47,$AD$47,E353=$AB$48,$AD$48,E353=$AB$49,$AD$49,E353=$AB$50,$AD$50,E353=$AB$51,$AD$51,E353=$AB$52,$AD$52,E353=$AB$53,$AD$53,E353=$AB$54,$AD$54,E353=$AB$55,$AD$55,E353=$AB$56,$AD$56,E353=$AB$57,$AD$57,E353=$AB$58,$AD$58,E353=$AB$59,$AD$59,E353=$AB$60,$AD$60,E353=$AB$61,$AD$61,E353=$AB$62,$AD$62,E353=$AB$63,$AD$63,E353=$AB$64,$AD$64,E353=$AB$65,$AD$65,E353=$AB$66,$AD$66,TRUE,"0")</f>
        <v>IP</v>
      </c>
      <c r="E353" s="163" t="s">
        <v>270</v>
      </c>
      <c r="F353" s="2" t="s">
        <v>6</v>
      </c>
      <c r="G353" s="2" t="s">
        <v>14</v>
      </c>
      <c r="H353" s="3">
        <v>45342.822916666664</v>
      </c>
      <c r="I353" s="2" t="s">
        <v>56</v>
      </c>
      <c r="J353" s="2" t="s">
        <v>387</v>
      </c>
      <c r="K353" s="2">
        <v>66</v>
      </c>
      <c r="L353" s="2">
        <v>0</v>
      </c>
      <c r="M353" s="2">
        <v>20</v>
      </c>
      <c r="N353" s="2">
        <v>2.2400000000000002</v>
      </c>
      <c r="O353" s="2"/>
      <c r="P353" s="2"/>
      <c r="Q353" s="2" t="s">
        <v>95</v>
      </c>
      <c r="R353" s="10" t="s">
        <v>217</v>
      </c>
      <c r="S353" s="10" t="s">
        <v>223</v>
      </c>
      <c r="T353" s="188">
        <f t="shared" si="39"/>
        <v>299.15494590864188</v>
      </c>
      <c r="U353" s="8">
        <f t="shared" si="37"/>
        <v>53.847890263555534</v>
      </c>
      <c r="V353" s="234">
        <f t="shared" si="42"/>
        <v>6036.9468084363925</v>
      </c>
      <c r="W353" s="15">
        <v>25</v>
      </c>
      <c r="X353" s="8">
        <f t="shared" si="40"/>
        <v>4.5</v>
      </c>
      <c r="Y353" s="233">
        <f t="shared" si="41"/>
        <v>1759.5</v>
      </c>
    </row>
    <row r="354" spans="1:25">
      <c r="A354" s="156" t="e" cm="1">
        <f t="array" aca="1" ref="A354" ca="1">_xlfn.IFS(E354=$AB$42,$AC$42,E354=$AB$43,$AC$43,E354=$AB$44,$AC$44,E354=$AB$45,$AC$45,E354=$AB$46,$AC$46,E354=$AB$47,$AC$47,E354=$AB$48,$AC$48,E354=$AB$49,$AC$49,E354=$AB$50,$AC$50,E354=$AB$51,$AC$51,E354=$AB$52,$AC$52,E354=$AB$53,$AC$53,E354=$AB$54,$AC$54,E354=$AB$55,$AC$55,E354=$AB$56,$AC$56,E354=$AB$57,$AC$57,E354=$AB$58,$AC$58,E354=$AB$59,$AC$59,E354=$AB$60,$AC$60,E354=$AB$61,$AC$61,E354=$AB$62,$AC$62,E354=$AB$63,$AC$63,E354=$AB$64,$AC$64,E354=$AB$65,$AC$65,E354=$AB$66,$AC$66,TRUE,"0")</f>
        <v>#NAME?</v>
      </c>
      <c r="C354" s="161" t="str" cm="1">
        <f t="array" ref="C354">_xlfn.IFS(E354=$AB$42,$AF$42,E354=$AB$43,$AF$43,E354=$AB$44,$AF$44,E354=$AB$45,$AF$45,E354=$AB$46,$AF$46,E354=$AB$47,$AF$47,E354=$AB$48,$AF$48,E354=$AB$49,$AF$49,E354=$AB$50,$AF$50,E354=$AB$51,$AF$51,E354=$AB$52,$AF$52,E354=$AB$53,$AF$53,E354=$AB$54,$AF$54,E354=$AB$55,$AF$55,E354=$AB$56,$AF$56,E354=$AB$57,$AF$57,E354=$AB$58,$AF$58,E354=$AB$59,$AF$59,E354=$AB$60,$AF$60,E354=$AB$61,$AF$61,E354=$AB$62,$AF$62,E354=$AB$63,$AF$63,E354=$AB$64,$AF$64,E354=$AB$65,$AF$65,E354=$AB$66,$AF$66,TRUE,"0")</f>
        <v>if 0-0, BACK+ 0.5 GOALS  @ 1.15+odds.  or @ 40 mins</v>
      </c>
      <c r="D354" s="270" t="str" cm="1">
        <f t="array" ref="D354">_xlfn.IFS(E354=$AB$42,$AD$42,E354=$AB$43,$AD$43,E354=$AB$44,$AD$44,E354=$AB$45,$AD$45,E354=$AB$46,$AD$46,E354=$AB$47,$AD$47,E354=$AB$48,$AD$48,E354=$AB$49,$AD$49,E354=$AB$50,$AD$50,E354=$AB$51,$AD$51,E354=$AB$52,$AD$52,E354=$AB$53,$AD$53,E354=$AB$54,$AD$54,E354=$AB$55,$AD$55,E354=$AB$56,$AD$56,E354=$AB$57,$AD$57,E354=$AB$58,$AD$58,E354=$AB$59,$AD$59,E354=$AB$60,$AD$60,E354=$AB$61,$AD$61,E354=$AB$62,$AD$62,E354=$AB$63,$AD$63,E354=$AB$64,$AD$64,E354=$AB$65,$AD$65,E354=$AB$66,$AD$66,TRUE,"0")</f>
        <v>IP</v>
      </c>
      <c r="E354" s="163" t="s">
        <v>270</v>
      </c>
      <c r="F354" s="2" t="s">
        <v>149</v>
      </c>
      <c r="G354" s="2" t="s">
        <v>150</v>
      </c>
      <c r="H354" s="3">
        <v>45345.791666666664</v>
      </c>
      <c r="I354" s="2" t="s">
        <v>178</v>
      </c>
      <c r="J354" s="2" t="s">
        <v>152</v>
      </c>
      <c r="K354" s="2">
        <v>61</v>
      </c>
      <c r="L354" s="2">
        <v>0</v>
      </c>
      <c r="M354" s="2">
        <v>20</v>
      </c>
      <c r="N354" s="2">
        <v>1.42</v>
      </c>
      <c r="O354" s="2"/>
      <c r="P354" s="2"/>
      <c r="Q354" s="2" t="s">
        <v>95</v>
      </c>
      <c r="R354" s="10" t="s">
        <v>214</v>
      </c>
      <c r="S354" s="10" t="s">
        <v>210</v>
      </c>
      <c r="T354" s="188">
        <f t="shared" si="39"/>
        <v>301.84734042181964</v>
      </c>
      <c r="U354" s="8">
        <f t="shared" si="37"/>
        <v>54.332521275927533</v>
      </c>
      <c r="V354" s="234">
        <f t="shared" si="42"/>
        <v>6091.2793297123198</v>
      </c>
      <c r="W354" s="15">
        <v>25</v>
      </c>
      <c r="X354" s="8">
        <f t="shared" si="40"/>
        <v>4.5</v>
      </c>
      <c r="Y354" s="233">
        <f t="shared" si="41"/>
        <v>1764</v>
      </c>
    </row>
    <row r="355" spans="1:25">
      <c r="A355" s="156" t="e" cm="1">
        <f t="array" aca="1" ref="A355" ca="1">_xlfn.IFS(E355=$AB$42,$AC$42,E355=$AB$43,$AC$43,E355=$AB$44,$AC$44,E355=$AB$45,$AC$45,E355=$AB$46,$AC$46,E355=$AB$47,$AC$47,E355=$AB$48,$AC$48,E355=$AB$49,$AC$49,E355=$AB$50,$AC$50,E355=$AB$51,$AC$51,E355=$AB$52,$AC$52,E355=$AB$53,$AC$53,E355=$AB$54,$AC$54,E355=$AB$55,$AC$55,E355=$AB$56,$AC$56,E355=$AB$57,$AC$57,E355=$AB$58,$AC$58,E355=$AB$59,$AC$59,E355=$AB$60,$AC$60,E355=$AB$61,$AC$61,E355=$AB$62,$AC$62,E355=$AB$63,$AC$63,E355=$AB$64,$AC$64,E355=$AB$65,$AC$65,E355=$AB$66,$AC$66,TRUE,"0")</f>
        <v>#NAME?</v>
      </c>
      <c r="C355" s="161" t="str" cm="1">
        <f t="array" ref="C355">_xlfn.IFS(E355=$AB$42,$AF$42,E355=$AB$43,$AF$43,E355=$AB$44,$AF$44,E355=$AB$45,$AF$45,E355=$AB$46,$AF$46,E355=$AB$47,$AF$47,E355=$AB$48,$AF$48,E355=$AB$49,$AF$49,E355=$AB$50,$AF$50,E355=$AB$51,$AF$51,E355=$AB$52,$AF$52,E355=$AB$53,$AF$53,E355=$AB$54,$AF$54,E355=$AB$55,$AF$55,E355=$AB$56,$AF$56,E355=$AB$57,$AF$57,E355=$AB$58,$AF$58,E355=$AB$59,$AF$59,E355=$AB$60,$AF$60,E355=$AB$61,$AF$61,E355=$AB$62,$AF$62,E355=$AB$63,$AF$63,E355=$AB$64,$AF$64,E355=$AB$65,$AF$65,E355=$AB$66,$AF$66,TRUE,"0")</f>
        <v>if 0-0, BACK+ 0.5 GOALS  @ 1.15+odds.  or @ 40 mins</v>
      </c>
      <c r="D355" s="270" t="str" cm="1">
        <f t="array" ref="D355">_xlfn.IFS(E355=$AB$42,$AD$42,E355=$AB$43,$AD$43,E355=$AB$44,$AD$44,E355=$AB$45,$AD$45,E355=$AB$46,$AD$46,E355=$AB$47,$AD$47,E355=$AB$48,$AD$48,E355=$AB$49,$AD$49,E355=$AB$50,$AD$50,E355=$AB$51,$AD$51,E355=$AB$52,$AD$52,E355=$AB$53,$AD$53,E355=$AB$54,$AD$54,E355=$AB$55,$AD$55,E355=$AB$56,$AD$56,E355=$AB$57,$AD$57,E355=$AB$58,$AD$58,E355=$AB$59,$AD$59,E355=$AB$60,$AD$60,E355=$AB$61,$AD$61,E355=$AB$62,$AD$62,E355=$AB$63,$AD$63,E355=$AB$64,$AD$64,E355=$AB$65,$AD$65,E355=$AB$66,$AD$66,TRUE,"0")</f>
        <v>IP</v>
      </c>
      <c r="E355" s="163" t="s">
        <v>270</v>
      </c>
      <c r="F355" s="2" t="s">
        <v>149</v>
      </c>
      <c r="G355" s="2" t="s">
        <v>153</v>
      </c>
      <c r="H355" s="3">
        <v>45345.791666666664</v>
      </c>
      <c r="I355" s="2" t="s">
        <v>250</v>
      </c>
      <c r="J355" s="2" t="s">
        <v>155</v>
      </c>
      <c r="K355" s="2">
        <v>61</v>
      </c>
      <c r="L355" s="2">
        <v>0</v>
      </c>
      <c r="M355" s="2">
        <v>20</v>
      </c>
      <c r="N355" s="2">
        <v>3.07</v>
      </c>
      <c r="O355" s="2"/>
      <c r="P355" s="2"/>
      <c r="Q355" s="2" t="s">
        <v>95</v>
      </c>
      <c r="R355" s="10" t="s">
        <v>221</v>
      </c>
      <c r="S355" s="14" t="s">
        <v>214</v>
      </c>
      <c r="T355" s="188">
        <f t="shared" si="39"/>
        <v>304.56396648561599</v>
      </c>
      <c r="U355" s="8">
        <f t="shared" si="37"/>
        <v>54.82151396741088</v>
      </c>
      <c r="V355" s="234">
        <f t="shared" si="42"/>
        <v>6146.100843679731</v>
      </c>
      <c r="W355" s="15">
        <v>25</v>
      </c>
      <c r="X355" s="8">
        <f t="shared" si="40"/>
        <v>4.5</v>
      </c>
      <c r="Y355" s="233">
        <f t="shared" si="41"/>
        <v>1768.5</v>
      </c>
    </row>
    <row r="356" spans="1:25">
      <c r="A356" s="156" t="e" cm="1">
        <f t="array" aca="1" ref="A356" ca="1">_xlfn.IFS(E356=$AB$42,$AC$42,E356=$AB$43,$AC$43,E356=$AB$44,$AC$44,E356=$AB$45,$AC$45,E356=$AB$46,$AC$46,E356=$AB$47,$AC$47,E356=$AB$48,$AC$48,E356=$AB$49,$AC$49,E356=$AB$50,$AC$50,E356=$AB$51,$AC$51,E356=$AB$52,$AC$52,E356=$AB$53,$AC$53,E356=$AB$54,$AC$54,E356=$AB$55,$AC$55,E356=$AB$56,$AC$56,E356=$AB$57,$AC$57,E356=$AB$58,$AC$58,E356=$AB$59,$AC$59,E356=$AB$60,$AC$60,E356=$AB$61,$AC$61,E356=$AB$62,$AC$62,E356=$AB$63,$AC$63,E356=$AB$64,$AC$64,E356=$AB$65,$AC$65,E356=$AB$66,$AC$66,TRUE,"0")</f>
        <v>#NAME?</v>
      </c>
      <c r="C356" s="161" t="str" cm="1">
        <f t="array" ref="C356">_xlfn.IFS(E356=$AB$42,$AF$42,E356=$AB$43,$AF$43,E356=$AB$44,$AF$44,E356=$AB$45,$AF$45,E356=$AB$46,$AF$46,E356=$AB$47,$AF$47,E356=$AB$48,$AF$48,E356=$AB$49,$AF$49,E356=$AB$50,$AF$50,E356=$AB$51,$AF$51,E356=$AB$52,$AF$52,E356=$AB$53,$AF$53,E356=$AB$54,$AF$54,E356=$AB$55,$AF$55,E356=$AB$56,$AF$56,E356=$AB$57,$AF$57,E356=$AB$58,$AF$58,E356=$AB$59,$AF$59,E356=$AB$60,$AF$60,E356=$AB$61,$AF$61,E356=$AB$62,$AF$62,E356=$AB$63,$AF$63,E356=$AB$64,$AF$64,E356=$AB$65,$AF$65,E356=$AB$66,$AF$66,TRUE,"0")</f>
        <v>if 0-0, BACK+ 0.5 GOALS  @ 1.15+odds.  or @ 40 mins</v>
      </c>
      <c r="D356" s="270" t="str" cm="1">
        <f t="array" ref="D356">_xlfn.IFS(E356=$AB$42,$AD$42,E356=$AB$43,$AD$43,E356=$AB$44,$AD$44,E356=$AB$45,$AD$45,E356=$AB$46,$AD$46,E356=$AB$47,$AD$47,E356=$AB$48,$AD$48,E356=$AB$49,$AD$49,E356=$AB$50,$AD$50,E356=$AB$51,$AD$51,E356=$AB$52,$AD$52,E356=$AB$53,$AD$53,E356=$AB$54,$AD$54,E356=$AB$55,$AD$55,E356=$AB$56,$AD$56,E356=$AB$57,$AD$57,E356=$AB$58,$AD$58,E356=$AB$59,$AD$59,E356=$AB$60,$AD$60,E356=$AB$61,$AD$61,E356=$AB$62,$AD$62,E356=$AB$63,$AD$63,E356=$AB$64,$AD$64,E356=$AB$65,$AD$65,E356=$AB$66,$AD$66,TRUE,"0")</f>
        <v>IP</v>
      </c>
      <c r="E356" s="163" t="s">
        <v>270</v>
      </c>
      <c r="F356" s="2" t="s">
        <v>67</v>
      </c>
      <c r="G356" s="2" t="s">
        <v>169</v>
      </c>
      <c r="H356" s="3">
        <v>45345.791666666664</v>
      </c>
      <c r="I356" s="2" t="s">
        <v>255</v>
      </c>
      <c r="J356" s="2" t="s">
        <v>171</v>
      </c>
      <c r="K356" s="2">
        <v>63</v>
      </c>
      <c r="L356" s="2">
        <v>0</v>
      </c>
      <c r="M356" s="2">
        <v>20</v>
      </c>
      <c r="N356" s="2">
        <v>1.31</v>
      </c>
      <c r="O356" s="2"/>
      <c r="P356" s="2"/>
      <c r="Q356" s="2" t="s">
        <v>95</v>
      </c>
      <c r="R356" s="10" t="s">
        <v>221</v>
      </c>
      <c r="S356" s="14" t="s">
        <v>210</v>
      </c>
      <c r="T356" s="188">
        <f t="shared" si="39"/>
        <v>307.30504218398659</v>
      </c>
      <c r="U356" s="8">
        <f t="shared" si="37"/>
        <v>55.314907593117582</v>
      </c>
      <c r="V356" s="234">
        <f t="shared" si="42"/>
        <v>6201.4157512728489</v>
      </c>
      <c r="W356" s="15">
        <v>25</v>
      </c>
      <c r="X356" s="8">
        <f t="shared" si="40"/>
        <v>4.5</v>
      </c>
      <c r="Y356" s="233">
        <f t="shared" si="41"/>
        <v>1773</v>
      </c>
    </row>
    <row r="357" spans="1:25">
      <c r="A357" s="156" t="e" cm="1">
        <f t="array" aca="1" ref="A357" ca="1">_xlfn.IFS(E357=$AB$42,$AC$42,E357=$AB$43,$AC$43,E357=$AB$44,$AC$44,E357=$AB$45,$AC$45,E357=$AB$46,$AC$46,E357=$AB$47,$AC$47,E357=$AB$48,$AC$48,E357=$AB$49,$AC$49,E357=$AB$50,$AC$50,E357=$AB$51,$AC$51,E357=$AB$52,$AC$52,E357=$AB$53,$AC$53,E357=$AB$54,$AC$54,E357=$AB$55,$AC$55,E357=$AB$56,$AC$56,E357=$AB$57,$AC$57,E357=$AB$58,$AC$58,E357=$AB$59,$AC$59,E357=$AB$60,$AC$60,E357=$AB$61,$AC$61,E357=$AB$62,$AC$62,E357=$AB$63,$AC$63,E357=$AB$64,$AC$64,E357=$AB$65,$AC$65,E357=$AB$66,$AC$66,TRUE,"0")</f>
        <v>#NAME?</v>
      </c>
      <c r="C357" s="161" t="str" cm="1">
        <f t="array" ref="C357">_xlfn.IFS(E357=$AB$42,$AF$42,E357=$AB$43,$AF$43,E357=$AB$44,$AF$44,E357=$AB$45,$AF$45,E357=$AB$46,$AF$46,E357=$AB$47,$AF$47,E357=$AB$48,$AF$48,E357=$AB$49,$AF$49,E357=$AB$50,$AF$50,E357=$AB$51,$AF$51,E357=$AB$52,$AF$52,E357=$AB$53,$AF$53,E357=$AB$54,$AF$54,E357=$AB$55,$AF$55,E357=$AB$56,$AF$56,E357=$AB$57,$AF$57,E357=$AB$58,$AF$58,E357=$AB$59,$AF$59,E357=$AB$60,$AF$60,E357=$AB$61,$AF$61,E357=$AB$62,$AF$62,E357=$AB$63,$AF$63,E357=$AB$64,$AF$64,E357=$AB$65,$AF$65,E357=$AB$66,$AF$66,TRUE,"0")</f>
        <v>B4 match BACK FT +1.5 goals. X AFTER  GOAL</v>
      </c>
      <c r="D357" s="270" t="str" cm="1">
        <f t="array" ref="D357">_xlfn.IFS(E357=$AB$42,$AD$42,E357=$AB$43,$AD$43,E357=$AB$44,$AD$44,E357=$AB$45,$AD$45,E357=$AB$46,$AD$46,E357=$AB$47,$AD$47,E357=$AB$48,$AD$48,E357=$AB$49,$AD$49,E357=$AB$50,$AD$50,E357=$AB$51,$AD$51,E357=$AB$52,$AD$52,E357=$AB$53,$AD$53,E357=$AB$54,$AD$54,E357=$AB$55,$AD$55,E357=$AB$56,$AD$56,E357=$AB$57,$AD$57,E357=$AB$58,$AD$58,E357=$AB$59,$AD$59,E357=$AB$60,$AD$60,E357=$AB$61,$AD$61,E357=$AB$62,$AD$62,E357=$AB$63,$AD$63,E357=$AB$64,$AD$64,E357=$AB$65,$AD$65,E357=$AB$66,$AD$66,TRUE,"0")</f>
        <v xml:space="preserve">BFM </v>
      </c>
      <c r="E357" s="163" t="s">
        <v>406</v>
      </c>
      <c r="F357" s="2" t="s">
        <v>77</v>
      </c>
      <c r="G357" s="2" t="s">
        <v>156</v>
      </c>
      <c r="H357" s="3">
        <v>45345.8125</v>
      </c>
      <c r="I357" s="2" t="s">
        <v>325</v>
      </c>
      <c r="J357" s="2" t="s">
        <v>160</v>
      </c>
      <c r="K357" s="2">
        <v>1.26</v>
      </c>
      <c r="L357" s="2">
        <v>15.5</v>
      </c>
      <c r="M357" s="2">
        <v>2.85</v>
      </c>
      <c r="N357" s="2">
        <v>4.7</v>
      </c>
      <c r="O357" s="2">
        <v>3.12</v>
      </c>
      <c r="P357" s="2"/>
      <c r="Q357" s="2" t="s">
        <v>95</v>
      </c>
      <c r="R357" s="10" t="s">
        <v>216</v>
      </c>
      <c r="S357" s="14" t="s">
        <v>222</v>
      </c>
      <c r="T357" s="188">
        <f t="shared" si="39"/>
        <v>310.07078756364245</v>
      </c>
      <c r="U357" s="8">
        <f t="shared" si="37"/>
        <v>55.812741761455641</v>
      </c>
      <c r="V357" s="234">
        <f t="shared" si="42"/>
        <v>6257.2284930343048</v>
      </c>
      <c r="W357" s="15">
        <v>25</v>
      </c>
      <c r="X357" s="8">
        <f t="shared" si="40"/>
        <v>4.5</v>
      </c>
      <c r="Y357" s="233">
        <f t="shared" si="41"/>
        <v>1777.5</v>
      </c>
    </row>
    <row r="358" spans="1:25">
      <c r="A358" s="156" t="e" cm="1">
        <f t="array" aca="1" ref="A358" ca="1">_xlfn.IFS(E358=$AB$42,$AC$42,E358=$AB$43,$AC$43,E358=$AB$44,$AC$44,E358=$AB$45,$AC$45,E358=$AB$46,$AC$46,E358=$AB$47,$AC$47,E358=$AB$48,$AC$48,E358=$AB$49,$AC$49,E358=$AB$50,$AC$50,E358=$AB$51,$AC$51,E358=$AB$52,$AC$52,E358=$AB$53,$AC$53,E358=$AB$54,$AC$54,E358=$AB$55,$AC$55,E358=$AB$56,$AC$56,E358=$AB$57,$AC$57,E358=$AB$58,$AC$58,E358=$AB$59,$AC$59,E358=$AB$60,$AC$60,E358=$AB$61,$AC$61,E358=$AB$62,$AC$62,E358=$AB$63,$AC$63,E358=$AB$64,$AC$64,E358=$AB$65,$AC$65,E358=$AB$66,$AC$66,TRUE,"0")</f>
        <v>#NAME?</v>
      </c>
      <c r="C358" s="161" t="str" cm="1">
        <f t="array" ref="C358">_xlfn.IFS(E358=$AB$42,$AF$42,E358=$AB$43,$AF$43,E358=$AB$44,$AF$44,E358=$AB$45,$AF$45,E358=$AB$46,$AF$46,E358=$AB$47,$AF$47,E358=$AB$48,$AF$48,E358=$AB$49,$AF$49,E358=$AB$50,$AF$50,E358=$AB$51,$AF$51,E358=$AB$52,$AF$52,E358=$AB$53,$AF$53,E358=$AB$54,$AF$54,E358=$AB$55,$AF$55,E358=$AB$56,$AF$56,E358=$AB$57,$AF$57,E358=$AB$58,$AF$58,E358=$AB$59,$AF$59,E358=$AB$60,$AF$60,E358=$AB$61,$AF$61,E358=$AB$62,$AF$62,E358=$AB$63,$AF$63,E358=$AB$64,$AF$64,E358=$AB$65,$AF$65,E358=$AB$66,$AF$66,TRUE,"0")</f>
        <v>if 0-0, BACK+ 0.5 GOALS  @ 1.15+odds.  or @ 40 mins</v>
      </c>
      <c r="D358" s="270" t="str" cm="1">
        <f t="array" ref="D358">_xlfn.IFS(E358=$AB$42,$AD$42,E358=$AB$43,$AD$43,E358=$AB$44,$AD$44,E358=$AB$45,$AD$45,E358=$AB$46,$AD$46,E358=$AB$47,$AD$47,E358=$AB$48,$AD$48,E358=$AB$49,$AD$49,E358=$AB$50,$AD$50,E358=$AB$51,$AD$51,E358=$AB$52,$AD$52,E358=$AB$53,$AD$53,E358=$AB$54,$AD$54,E358=$AB$55,$AD$55,E358=$AB$56,$AD$56,E358=$AB$57,$AD$57,E358=$AB$58,$AD$58,E358=$AB$59,$AD$59,E358=$AB$60,$AD$60,E358=$AB$61,$AD$61,E358=$AB$62,$AD$62,E358=$AB$63,$AD$63,E358=$AB$64,$AD$64,E358=$AB$65,$AD$65,E358=$AB$66,$AD$66,TRUE,"0")</f>
        <v>IP</v>
      </c>
      <c r="E358" s="163" t="s">
        <v>270</v>
      </c>
      <c r="F358" s="2" t="s">
        <v>67</v>
      </c>
      <c r="G358" s="2" t="s">
        <v>68</v>
      </c>
      <c r="H358" s="3">
        <v>45345.822916666664</v>
      </c>
      <c r="I358" s="2" t="s">
        <v>69</v>
      </c>
      <c r="J358" s="2" t="s">
        <v>343</v>
      </c>
      <c r="K358" s="2">
        <v>67</v>
      </c>
      <c r="L358" s="2">
        <v>0</v>
      </c>
      <c r="M358" s="2">
        <v>20</v>
      </c>
      <c r="N358" s="2">
        <v>2.29</v>
      </c>
      <c r="O358" s="2"/>
      <c r="P358" s="2"/>
      <c r="Q358" s="2" t="s">
        <v>95</v>
      </c>
      <c r="R358" s="10" t="s">
        <v>221</v>
      </c>
      <c r="S358" s="14" t="s">
        <v>193</v>
      </c>
      <c r="T358" s="188">
        <f t="shared" si="39"/>
        <v>312.86142465171525</v>
      </c>
      <c r="U358" s="8">
        <f t="shared" si="37"/>
        <v>56.315056437308741</v>
      </c>
      <c r="V358" s="234">
        <f t="shared" si="42"/>
        <v>6313.5435494716139</v>
      </c>
      <c r="W358" s="15">
        <v>25</v>
      </c>
      <c r="X358" s="8">
        <f t="shared" si="40"/>
        <v>4.5</v>
      </c>
      <c r="Y358" s="233">
        <f t="shared" si="41"/>
        <v>1782</v>
      </c>
    </row>
    <row r="359" spans="1:25">
      <c r="A359" s="156" t="e" cm="1">
        <f t="array" aca="1" ref="A359" ca="1">_xlfn.IFS(E359=$AB$42,$AC$42,E359=$AB$43,$AC$43,E359=$AB$44,$AC$44,E359=$AB$45,$AC$45,E359=$AB$46,$AC$46,E359=$AB$47,$AC$47,E359=$AB$48,$AC$48,E359=$AB$49,$AC$49,E359=$AB$50,$AC$50,E359=$AB$51,$AC$51,E359=$AB$52,$AC$52,E359=$AB$53,$AC$53,E359=$AB$54,$AC$54,E359=$AB$55,$AC$55,E359=$AB$56,$AC$56,E359=$AB$57,$AC$57,E359=$AB$58,$AC$58,E359=$AB$59,$AC$59,E359=$AB$60,$AC$60,E359=$AB$61,$AC$61,E359=$AB$62,$AC$62,E359=$AB$63,$AC$63,E359=$AB$64,$AC$64,E359=$AB$65,$AC$65,E359=$AB$66,$AC$66,TRUE,"0")</f>
        <v>#NAME?</v>
      </c>
      <c r="C359" s="161" t="str" cm="1">
        <f t="array" ref="C359">_xlfn.IFS(E359=$AB$42,$AF$42,E359=$AB$43,$AF$43,E359=$AB$44,$AF$44,E359=$AB$45,$AF$45,E359=$AB$46,$AF$46,E359=$AB$47,$AF$47,E359=$AB$48,$AF$48,E359=$AB$49,$AF$49,E359=$AB$50,$AF$50,E359=$AB$51,$AF$51,E359=$AB$52,$AF$52,E359=$AB$53,$AF$53,E359=$AB$54,$AF$54,E359=$AB$55,$AF$55,E359=$AB$56,$AF$56,E359=$AB$57,$AF$57,E359=$AB$58,$AF$58,E359=$AB$59,$AF$59,E359=$AB$60,$AF$60,E359=$AB$61,$AF$61,E359=$AB$62,$AF$62,E359=$AB$63,$AF$63,E359=$AB$64,$AF$64,E359=$AB$65,$AF$65,E359=$AB$66,$AF$66,TRUE,"0")</f>
        <v>if 0-0, BACK+ 0.5 GOALS  @ 1.15+odds.  or @ 40 mins</v>
      </c>
      <c r="D359" s="270" t="str" cm="1">
        <f t="array" ref="D359">_xlfn.IFS(E359=$AB$42,$AD$42,E359=$AB$43,$AD$43,E359=$AB$44,$AD$44,E359=$AB$45,$AD$45,E359=$AB$46,$AD$46,E359=$AB$47,$AD$47,E359=$AB$48,$AD$48,E359=$AB$49,$AD$49,E359=$AB$50,$AD$50,E359=$AB$51,$AD$51,E359=$AB$52,$AD$52,E359=$AB$53,$AD$53,E359=$AB$54,$AD$54,E359=$AB$55,$AD$55,E359=$AB$56,$AD$56,E359=$AB$57,$AD$57,E359=$AB$58,$AD$58,E359=$AB$59,$AD$59,E359=$AB$60,$AD$60,E359=$AB$61,$AD$61,E359=$AB$62,$AD$62,E359=$AB$63,$AD$63,E359=$AB$64,$AD$64,E359=$AB$65,$AD$65,E359=$AB$66,$AD$66,TRUE,"0")</f>
        <v>IP</v>
      </c>
      <c r="E359" s="163" t="s">
        <v>270</v>
      </c>
      <c r="F359" s="2" t="s">
        <v>44</v>
      </c>
      <c r="G359" s="2" t="s">
        <v>45</v>
      </c>
      <c r="H359" s="3">
        <v>45346.270833333336</v>
      </c>
      <c r="I359" s="2" t="s">
        <v>46</v>
      </c>
      <c r="J359" s="2" t="s">
        <v>126</v>
      </c>
      <c r="K359" s="2">
        <v>61</v>
      </c>
      <c r="L359" s="2">
        <v>0</v>
      </c>
      <c r="M359" s="2">
        <v>20</v>
      </c>
      <c r="N359" s="2">
        <v>2.6</v>
      </c>
      <c r="O359" s="2"/>
      <c r="P359" s="2"/>
      <c r="Q359" s="2" t="s">
        <v>95</v>
      </c>
      <c r="R359" s="10" t="s">
        <v>214</v>
      </c>
      <c r="S359" s="14" t="s">
        <v>216</v>
      </c>
      <c r="T359" s="188">
        <f t="shared" si="39"/>
        <v>315.67717747358074</v>
      </c>
      <c r="U359" s="8">
        <f t="shared" si="37"/>
        <v>56.821891945244531</v>
      </c>
      <c r="V359" s="234">
        <f t="shared" ref="V359:V368" si="43">SUM(V358,U359)</f>
        <v>6370.3654414168586</v>
      </c>
      <c r="W359" s="15">
        <v>25</v>
      </c>
      <c r="X359" s="8">
        <f t="shared" si="40"/>
        <v>4.5</v>
      </c>
      <c r="Y359" s="233">
        <f t="shared" si="41"/>
        <v>1786.5</v>
      </c>
    </row>
    <row r="360" spans="1:25">
      <c r="A360" s="156" t="e" cm="1">
        <f t="array" aca="1" ref="A360" ca="1">_xlfn.IFS(E360=$AB$42,$AC$42,E360=$AB$43,$AC$43,E360=$AB$44,$AC$44,E360=$AB$45,$AC$45,E360=$AB$46,$AC$46,E360=$AB$47,$AC$47,E360=$AB$48,$AC$48,E360=$AB$49,$AC$49,E360=$AB$50,$AC$50,E360=$AB$51,$AC$51,E360=$AB$52,$AC$52,E360=$AB$53,$AC$53,E360=$AB$54,$AC$54,E360=$AB$55,$AC$55,E360=$AB$56,$AC$56,E360=$AB$57,$AC$57,E360=$AB$58,$AC$58,E360=$AB$59,$AC$59,E360=$AB$60,$AC$60,E360=$AB$61,$AC$61,E360=$AB$62,$AC$62,E360=$AB$63,$AC$63,E360=$AB$64,$AC$64,E360=$AB$65,$AC$65,E360=$AB$66,$AC$66,TRUE,"0")</f>
        <v>#NAME?</v>
      </c>
      <c r="C360" s="161" t="str" cm="1">
        <f t="array" ref="C360">_xlfn.IFS(E360=$AB$42,$AF$42,E360=$AB$43,$AF$43,E360=$AB$44,$AF$44,E360=$AB$45,$AF$45,E360=$AB$46,$AF$46,E360=$AB$47,$AF$47,E360=$AB$48,$AF$48,E360=$AB$49,$AF$49,E360=$AB$50,$AF$50,E360=$AB$51,$AF$51,E360=$AB$52,$AF$52,E360=$AB$53,$AF$53,E360=$AB$54,$AF$54,E360=$AB$55,$AF$55,E360=$AB$56,$AF$56,E360=$AB$57,$AF$57,E360=$AB$58,$AF$58,E360=$AB$59,$AF$59,E360=$AB$60,$AF$60,E360=$AB$61,$AF$61,E360=$AB$62,$AF$62,E360=$AB$63,$AF$63,E360=$AB$64,$AF$64,E360=$AB$65,$AF$65,E360=$AB$66,$AF$66,TRUE,"0")</f>
        <v>if 0-0, BACK+ 0.5 GOALS  @ 1.15+odds.  or @ 40 mins</v>
      </c>
      <c r="D360" s="270" t="str" cm="1">
        <f t="array" ref="D360">_xlfn.IFS(E360=$AB$42,$AD$42,E360=$AB$43,$AD$43,E360=$AB$44,$AD$44,E360=$AB$45,$AD$45,E360=$AB$46,$AD$46,E360=$AB$47,$AD$47,E360=$AB$48,$AD$48,E360=$AB$49,$AD$49,E360=$AB$50,$AD$50,E360=$AB$51,$AD$51,E360=$AB$52,$AD$52,E360=$AB$53,$AD$53,E360=$AB$54,$AD$54,E360=$AB$55,$AD$55,E360=$AB$56,$AD$56,E360=$AB$57,$AD$57,E360=$AB$58,$AD$58,E360=$AB$59,$AD$59,E360=$AB$60,$AD$60,E360=$AB$61,$AD$61,E360=$AB$62,$AD$62,E360=$AB$63,$AD$63,E360=$AB$64,$AD$64,E360=$AB$65,$AD$65,E360=$AB$66,$AD$66,TRUE,"0")</f>
        <v>IP</v>
      </c>
      <c r="E360" s="163" t="s">
        <v>270</v>
      </c>
      <c r="F360" s="2" t="s">
        <v>6</v>
      </c>
      <c r="G360" s="2" t="s">
        <v>14</v>
      </c>
      <c r="H360" s="3">
        <v>45346.520833333336</v>
      </c>
      <c r="I360" s="2" t="s">
        <v>387</v>
      </c>
      <c r="J360" s="2" t="s">
        <v>414</v>
      </c>
      <c r="K360" s="2">
        <v>61</v>
      </c>
      <c r="L360" s="2">
        <v>0</v>
      </c>
      <c r="M360" s="2">
        <v>20</v>
      </c>
      <c r="N360" s="2">
        <v>2.13</v>
      </c>
      <c r="O360" s="2"/>
      <c r="P360" s="2"/>
      <c r="Q360" s="2" t="s">
        <v>95</v>
      </c>
      <c r="R360" s="10" t="s">
        <v>216</v>
      </c>
      <c r="S360" s="14" t="s">
        <v>216</v>
      </c>
      <c r="T360" s="188">
        <f t="shared" si="39"/>
        <v>318.51827207084295</v>
      </c>
      <c r="U360" s="8">
        <f t="shared" si="37"/>
        <v>57.333288972751731</v>
      </c>
      <c r="V360" s="234">
        <f t="shared" si="43"/>
        <v>6427.6987303896103</v>
      </c>
      <c r="W360" s="15">
        <v>25</v>
      </c>
      <c r="X360" s="8">
        <f t="shared" si="40"/>
        <v>4.5</v>
      </c>
      <c r="Y360" s="233">
        <f t="shared" si="41"/>
        <v>1791</v>
      </c>
    </row>
    <row r="361" spans="1:25">
      <c r="A361" s="156" t="e" cm="1">
        <f t="array" aca="1" ref="A361" ca="1">_xlfn.IFS(E361=$AB$42,$AC$42,E361=$AB$43,$AC$43,E361=$AB$44,$AC$44,E361=$AB$45,$AC$45,E361=$AB$46,$AC$46,E361=$AB$47,$AC$47,E361=$AB$48,$AC$48,E361=$AB$49,$AC$49,E361=$AB$50,$AC$50,E361=$AB$51,$AC$51,E361=$AB$52,$AC$52,E361=$AB$53,$AC$53,E361=$AB$54,$AC$54,E361=$AB$55,$AC$55,E361=$AB$56,$AC$56,E361=$AB$57,$AC$57,E361=$AB$58,$AC$58,E361=$AB$59,$AC$59,E361=$AB$60,$AC$60,E361=$AB$61,$AC$61,E361=$AB$62,$AC$62,E361=$AB$63,$AC$63,E361=$AB$64,$AC$64,E361=$AB$65,$AC$65,E361=$AB$66,$AC$66,TRUE,"0")</f>
        <v>#NAME?</v>
      </c>
      <c r="C361" s="161" t="str" cm="1">
        <f t="array" ref="C361">_xlfn.IFS(E361=$AB$42,$AF$42,E361=$AB$43,$AF$43,E361=$AB$44,$AF$44,E361=$AB$45,$AF$45,E361=$AB$46,$AF$46,E361=$AB$47,$AF$47,E361=$AB$48,$AF$48,E361=$AB$49,$AF$49,E361=$AB$50,$AF$50,E361=$AB$51,$AF$51,E361=$AB$52,$AF$52,E361=$AB$53,$AF$53,E361=$AB$54,$AF$54,E361=$AB$55,$AF$55,E361=$AB$56,$AF$56,E361=$AB$57,$AF$57,E361=$AB$58,$AF$58,E361=$AB$59,$AF$59,E361=$AB$60,$AF$60,E361=$AB$61,$AF$61,E361=$AB$62,$AF$62,E361=$AB$63,$AF$63,E361=$AB$64,$AF$64,E361=$AB$65,$AF$65,E361=$AB$66,$AF$66,TRUE,"0")</f>
        <v>B4 Match, lay HT 0-0 or BACK H1 +0.5 GOALS</v>
      </c>
      <c r="D361" s="270" t="str" cm="1">
        <f t="array" ref="D361">_xlfn.IFS(E361=$AB$42,$AD$42,E361=$AB$43,$AD$43,E361=$AB$44,$AD$44,E361=$AB$45,$AD$45,E361=$AB$46,$AD$46,E361=$AB$47,$AD$47,E361=$AB$48,$AD$48,E361=$AB$49,$AD$49,E361=$AB$50,$AD$50,E361=$AB$51,$AD$51,E361=$AB$52,$AD$52,E361=$AB$53,$AD$53,E361=$AB$54,$AD$54,E361=$AB$55,$AD$55,E361=$AB$56,$AD$56,E361=$AB$57,$AD$57,E361=$AB$58,$AD$58,E361=$AB$59,$AD$59,E361=$AB$60,$AD$60,E361=$AB$61,$AD$61,E361=$AB$62,$AD$62,E361=$AB$63,$AD$63,E361=$AB$64,$AD$64,E361=$AB$65,$AD$65,E361=$AB$66,$AD$66,TRUE,"0")</f>
        <v xml:space="preserve">BFM </v>
      </c>
      <c r="E361" s="163" t="s">
        <v>448</v>
      </c>
      <c r="F361" s="2" t="s">
        <v>20</v>
      </c>
      <c r="G361" s="2" t="s">
        <v>322</v>
      </c>
      <c r="H361" s="3">
        <v>45346.541666666664</v>
      </c>
      <c r="I361" s="2" t="s">
        <v>415</v>
      </c>
      <c r="J361" s="2" t="s">
        <v>333</v>
      </c>
      <c r="K361" s="2">
        <v>20</v>
      </c>
      <c r="L361" s="2">
        <v>10</v>
      </c>
      <c r="M361" s="2">
        <v>32</v>
      </c>
      <c r="N361" s="2">
        <v>6</v>
      </c>
      <c r="O361" s="2">
        <v>5</v>
      </c>
      <c r="P361" s="2">
        <v>8</v>
      </c>
      <c r="Q361" s="2" t="s">
        <v>95</v>
      </c>
      <c r="R361" s="10" t="s">
        <v>216</v>
      </c>
      <c r="S361" s="14" t="s">
        <v>223</v>
      </c>
      <c r="T361" s="188">
        <f t="shared" si="39"/>
        <v>321.38493651948056</v>
      </c>
      <c r="U361" s="8">
        <f t="shared" si="37"/>
        <v>57.849288573506499</v>
      </c>
      <c r="V361" s="234">
        <f t="shared" si="43"/>
        <v>6485.5480189631171</v>
      </c>
      <c r="W361" s="15">
        <v>25</v>
      </c>
      <c r="X361" s="8">
        <f t="shared" si="40"/>
        <v>4.5</v>
      </c>
      <c r="Y361" s="233">
        <f t="shared" si="41"/>
        <v>1795.5</v>
      </c>
    </row>
    <row r="362" spans="1:25">
      <c r="A362" s="156" t="e" cm="1">
        <f t="array" aca="1" ref="A362" ca="1">_xlfn.IFS(E362=$AB$42,$AC$42,E362=$AB$43,$AC$43,E362=$AB$44,$AC$44,E362=$AB$45,$AC$45,E362=$AB$46,$AC$46,E362=$AB$47,$AC$47,E362=$AB$48,$AC$48,E362=$AB$49,$AC$49,E362=$AB$50,$AC$50,E362=$AB$51,$AC$51,E362=$AB$52,$AC$52,E362=$AB$53,$AC$53,E362=$AB$54,$AC$54,E362=$AB$55,$AC$55,E362=$AB$56,$AC$56,E362=$AB$57,$AC$57,E362=$AB$58,$AC$58,E362=$AB$59,$AC$59,E362=$AB$60,$AC$60,E362=$AB$61,$AC$61,E362=$AB$62,$AC$62,E362=$AB$63,$AC$63,E362=$AB$64,$AC$64,E362=$AB$65,$AC$65,E362=$AB$66,$AC$66,TRUE,"0")</f>
        <v>#NAME?</v>
      </c>
      <c r="C362" s="161" t="str" cm="1">
        <f t="array" ref="C362">_xlfn.IFS(E362=$AB$42,$AF$42,E362=$AB$43,$AF$43,E362=$AB$44,$AF$44,E362=$AB$45,$AF$45,E362=$AB$46,$AF$46,E362=$AB$47,$AF$47,E362=$AB$48,$AF$48,E362=$AB$49,$AF$49,E362=$AB$50,$AF$50,E362=$AB$51,$AF$51,E362=$AB$52,$AF$52,E362=$AB$53,$AF$53,E362=$AB$54,$AF$54,E362=$AB$55,$AF$55,E362=$AB$56,$AF$56,E362=$AB$57,$AF$57,E362=$AB$58,$AF$58,E362=$AB$59,$AF$59,E362=$AB$60,$AF$60,E362=$AB$61,$AF$61,E362=$AB$62,$AF$62,E362=$AB$63,$AF$63,E362=$AB$64,$AF$64,E362=$AB$65,$AF$65,E362=$AB$66,$AF$66,TRUE,"0")</f>
        <v>if 0-0, BACK+ 0.5 GOALS  @ 1.15+odds.  or @ 40 mins</v>
      </c>
      <c r="D362" s="270" t="str" cm="1">
        <f t="array" ref="D362">_xlfn.IFS(E362=$AB$42,$AD$42,E362=$AB$43,$AD$43,E362=$AB$44,$AD$44,E362=$AB$45,$AD$45,E362=$AB$46,$AD$46,E362=$AB$47,$AD$47,E362=$AB$48,$AD$48,E362=$AB$49,$AD$49,E362=$AB$50,$AD$50,E362=$AB$51,$AD$51,E362=$AB$52,$AD$52,E362=$AB$53,$AD$53,E362=$AB$54,$AD$54,E362=$AB$55,$AD$55,E362=$AB$56,$AD$56,E362=$AB$57,$AD$57,E362=$AB$58,$AD$58,E362=$AB$59,$AD$59,E362=$AB$60,$AD$60,E362=$AB$61,$AD$61,E362=$AB$62,$AD$62,E362=$AB$63,$AD$63,E362=$AB$64,$AD$64,E362=$AB$65,$AD$65,E362=$AB$66,$AD$66,TRUE,"0")</f>
        <v>IP</v>
      </c>
      <c r="E362" s="163" t="s">
        <v>270</v>
      </c>
      <c r="F362" s="2" t="s">
        <v>20</v>
      </c>
      <c r="G362" s="2" t="s">
        <v>322</v>
      </c>
      <c r="H362" s="3">
        <v>45346.541666666664</v>
      </c>
      <c r="I362" s="2" t="s">
        <v>454</v>
      </c>
      <c r="J362" s="2" t="s">
        <v>334</v>
      </c>
      <c r="K362" s="2">
        <v>62</v>
      </c>
      <c r="L362" s="2">
        <v>0</v>
      </c>
      <c r="M362" s="2">
        <v>20</v>
      </c>
      <c r="N362" s="2">
        <v>2.21</v>
      </c>
      <c r="O362" s="2"/>
      <c r="P362" s="2"/>
      <c r="Q362" s="2" t="s">
        <v>95</v>
      </c>
      <c r="R362" s="10" t="s">
        <v>217</v>
      </c>
      <c r="S362" s="14" t="s">
        <v>210</v>
      </c>
      <c r="T362" s="188">
        <f t="shared" si="39"/>
        <v>324.2774009481559</v>
      </c>
      <c r="U362" s="8">
        <f t="shared" si="37"/>
        <v>58.369932170668058</v>
      </c>
      <c r="V362" s="234">
        <f t="shared" si="43"/>
        <v>6543.9179511337852</v>
      </c>
      <c r="W362" s="15">
        <v>25</v>
      </c>
      <c r="X362" s="8">
        <f t="shared" si="40"/>
        <v>4.5</v>
      </c>
      <c r="Y362" s="233">
        <f t="shared" si="41"/>
        <v>1800</v>
      </c>
    </row>
    <row r="363" spans="1:25">
      <c r="A363" s="156" t="e" cm="1">
        <f t="array" aca="1" ref="A363" ca="1">_xlfn.IFS(E363=$AB$42,$AC$42,E363=$AB$43,$AC$43,E363=$AB$44,$AC$44,E363=$AB$45,$AC$45,E363=$AB$46,$AC$46,E363=$AB$47,$AC$47,E363=$AB$48,$AC$48,E363=$AB$49,$AC$49,E363=$AB$50,$AC$50,E363=$AB$51,$AC$51,E363=$AB$52,$AC$52,E363=$AB$53,$AC$53,E363=$AB$54,$AC$54,E363=$AB$55,$AC$55,E363=$AB$56,$AC$56,E363=$AB$57,$AC$57,E363=$AB$58,$AC$58,E363=$AB$59,$AC$59,E363=$AB$60,$AC$60,E363=$AB$61,$AC$61,E363=$AB$62,$AC$62,E363=$AB$63,$AC$63,E363=$AB$64,$AC$64,E363=$AB$65,$AC$65,E363=$AB$66,$AC$66,TRUE,"0")</f>
        <v>#NAME?</v>
      </c>
      <c r="C363" s="161" t="str" cm="1">
        <f t="array" ref="C363">_xlfn.IFS(E363=$AB$42,$AF$42,E363=$AB$43,$AF$43,E363=$AB$44,$AF$44,E363=$AB$45,$AF$45,E363=$AB$46,$AF$46,E363=$AB$47,$AF$47,E363=$AB$48,$AF$48,E363=$AB$49,$AF$49,E363=$AB$50,$AF$50,E363=$AB$51,$AF$51,E363=$AB$52,$AF$52,E363=$AB$53,$AF$53,E363=$AB$54,$AF$54,E363=$AB$55,$AF$55,E363=$AB$56,$AF$56,E363=$AB$57,$AF$57,E363=$AB$58,$AF$58,E363=$AB$59,$AF$59,E363=$AB$60,$AF$60,E363=$AB$61,$AF$61,E363=$AB$62,$AF$62,E363=$AB$63,$AF$63,E363=$AB$64,$AF$64,E363=$AB$65,$AF$65,E363=$AB$66,$AF$66,TRUE,"0")</f>
        <v>if 0-0, BACK+ 0.5 GOALS  @ 1.15+odds.  or @ 40 mins</v>
      </c>
      <c r="D363" s="270" t="str" cm="1">
        <f t="array" ref="D363">_xlfn.IFS(E363=$AB$42,$AD$42,E363=$AB$43,$AD$43,E363=$AB$44,$AD$44,E363=$AB$45,$AD$45,E363=$AB$46,$AD$46,E363=$AB$47,$AD$47,E363=$AB$48,$AD$48,E363=$AB$49,$AD$49,E363=$AB$50,$AD$50,E363=$AB$51,$AD$51,E363=$AB$52,$AD$52,E363=$AB$53,$AD$53,E363=$AB$54,$AD$54,E363=$AB$55,$AD$55,E363=$AB$56,$AD$56,E363=$AB$57,$AD$57,E363=$AB$58,$AD$58,E363=$AB$59,$AD$59,E363=$AB$60,$AD$60,E363=$AB$61,$AD$61,E363=$AB$62,$AD$62,E363=$AB$63,$AD$63,E363=$AB$64,$AD$64,E363=$AB$65,$AD$65,E363=$AB$66,$AD$66,TRUE,"0")</f>
        <v>IP</v>
      </c>
      <c r="E363" s="163" t="s">
        <v>270</v>
      </c>
      <c r="F363" s="2" t="s">
        <v>20</v>
      </c>
      <c r="G363" s="2" t="s">
        <v>322</v>
      </c>
      <c r="H363" s="3">
        <v>45346.541666666664</v>
      </c>
      <c r="I363" s="2" t="s">
        <v>356</v>
      </c>
      <c r="J363" s="2" t="s">
        <v>422</v>
      </c>
      <c r="K363" s="2">
        <v>61</v>
      </c>
      <c r="L363" s="2">
        <v>0</v>
      </c>
      <c r="M363" s="2">
        <v>20</v>
      </c>
      <c r="N363" s="2">
        <v>2.2599999999999998</v>
      </c>
      <c r="O363" s="2"/>
      <c r="P363" s="2"/>
      <c r="Q363" s="2" t="s">
        <v>95</v>
      </c>
      <c r="R363" s="10" t="s">
        <v>193</v>
      </c>
      <c r="S363" s="14" t="s">
        <v>193</v>
      </c>
      <c r="T363" s="188">
        <f t="shared" si="39"/>
        <v>327.19589755668926</v>
      </c>
      <c r="U363" s="8">
        <f t="shared" si="37"/>
        <v>58.895261560204062</v>
      </c>
      <c r="V363" s="234">
        <f t="shared" si="43"/>
        <v>6602.813212693989</v>
      </c>
      <c r="W363" s="15">
        <v>25</v>
      </c>
      <c r="X363" s="8">
        <f t="shared" si="40"/>
        <v>4.5</v>
      </c>
      <c r="Y363" s="233">
        <f t="shared" si="41"/>
        <v>1804.5</v>
      </c>
    </row>
    <row r="364" spans="1:25">
      <c r="A364" s="156" t="e" cm="1">
        <f t="array" aca="1" ref="A364" ca="1">_xlfn.IFS(E364=$AB$42,$AC$42,E364=$AB$43,$AC$43,E364=$AB$44,$AC$44,E364=$AB$45,$AC$45,E364=$AB$46,$AC$46,E364=$AB$47,$AC$47,E364=$AB$48,$AC$48,E364=$AB$49,$AC$49,E364=$AB$50,$AC$50,E364=$AB$51,$AC$51,E364=$AB$52,$AC$52,E364=$AB$53,$AC$53,E364=$AB$54,$AC$54,E364=$AB$55,$AC$55,E364=$AB$56,$AC$56,E364=$AB$57,$AC$57,E364=$AB$58,$AC$58,E364=$AB$59,$AC$59,E364=$AB$60,$AC$60,E364=$AB$61,$AC$61,E364=$AB$62,$AC$62,E364=$AB$63,$AC$63,E364=$AB$64,$AC$64,E364=$AB$65,$AC$65,E364=$AB$66,$AC$66,TRUE,"0")</f>
        <v>#NAME?</v>
      </c>
      <c r="C364" s="161" t="str" cm="1">
        <f t="array" ref="C364">_xlfn.IFS(E364=$AB$42,$AF$42,E364=$AB$43,$AF$43,E364=$AB$44,$AF$44,E364=$AB$45,$AF$45,E364=$AB$46,$AF$46,E364=$AB$47,$AF$47,E364=$AB$48,$AF$48,E364=$AB$49,$AF$49,E364=$AB$50,$AF$50,E364=$AB$51,$AF$51,E364=$AB$52,$AF$52,E364=$AB$53,$AF$53,E364=$AB$54,$AF$54,E364=$AB$55,$AF$55,E364=$AB$56,$AF$56,E364=$AB$57,$AF$57,E364=$AB$58,$AF$58,E364=$AB$59,$AF$59,E364=$AB$60,$AF$60,E364=$AB$61,$AF$61,E364=$AB$62,$AF$62,E364=$AB$63,$AF$63,E364=$AB$64,$AF$64,E364=$AB$65,$AF$65,E364=$AB$66,$AF$66,TRUE,"0")</f>
        <v>B4 match BACK FT +1.5 goals. X AFTER  GOAL</v>
      </c>
      <c r="D364" s="270" t="str" cm="1">
        <f t="array" ref="D364">_xlfn.IFS(E364=$AB$42,$AD$42,E364=$AB$43,$AD$43,E364=$AB$44,$AD$44,E364=$AB$45,$AD$45,E364=$AB$46,$AD$46,E364=$AB$47,$AD$47,E364=$AB$48,$AD$48,E364=$AB$49,$AD$49,E364=$AB$50,$AD$50,E364=$AB$51,$AD$51,E364=$AB$52,$AD$52,E364=$AB$53,$AD$53,E364=$AB$54,$AD$54,E364=$AB$55,$AD$55,E364=$AB$56,$AD$56,E364=$AB$57,$AD$57,E364=$AB$58,$AD$58,E364=$AB$59,$AD$59,E364=$AB$60,$AD$60,E364=$AB$61,$AD$61,E364=$AB$62,$AD$62,E364=$AB$63,$AD$63,E364=$AB$64,$AD$64,E364=$AB$65,$AD$65,E364=$AB$66,$AD$66,TRUE,"0")</f>
        <v xml:space="preserve">BFM </v>
      </c>
      <c r="E364" s="163" t="s">
        <v>406</v>
      </c>
      <c r="F364" s="2" t="s">
        <v>77</v>
      </c>
      <c r="G364" s="2" t="s">
        <v>156</v>
      </c>
      <c r="H364" s="3">
        <v>45346.604166666664</v>
      </c>
      <c r="I364" s="2" t="s">
        <v>168</v>
      </c>
      <c r="J364" s="2" t="s">
        <v>438</v>
      </c>
      <c r="K364" s="2">
        <v>1.35</v>
      </c>
      <c r="L364" s="2">
        <v>11.5</v>
      </c>
      <c r="M364" s="2">
        <v>3.2</v>
      </c>
      <c r="N364" s="2">
        <v>4.7</v>
      </c>
      <c r="O364" s="2">
        <v>3.64</v>
      </c>
      <c r="P364" s="2"/>
      <c r="Q364" s="2" t="s">
        <v>95</v>
      </c>
      <c r="R364" s="10" t="s">
        <v>221</v>
      </c>
      <c r="S364" s="14" t="s">
        <v>216</v>
      </c>
      <c r="T364" s="188">
        <f t="shared" si="39"/>
        <v>330.14066063469949</v>
      </c>
      <c r="U364" s="8">
        <f t="shared" si="37"/>
        <v>59.425318914245906</v>
      </c>
      <c r="V364" s="234">
        <f t="shared" si="43"/>
        <v>6662.2385316082346</v>
      </c>
      <c r="W364" s="15">
        <v>25</v>
      </c>
      <c r="X364" s="8">
        <f t="shared" si="40"/>
        <v>4.5</v>
      </c>
      <c r="Y364" s="233">
        <f t="shared" si="41"/>
        <v>1809</v>
      </c>
    </row>
    <row r="365" spans="1:25">
      <c r="A365" s="156" t="e" cm="1">
        <f t="array" aca="1" ref="A365" ca="1">_xlfn.IFS(E365=$AB$42,$AC$42,E365=$AB$43,$AC$43,E365=$AB$44,$AC$44,E365=$AB$45,$AC$45,E365=$AB$46,$AC$46,E365=$AB$47,$AC$47,E365=$AB$48,$AC$48,E365=$AB$49,$AC$49,E365=$AB$50,$AC$50,E365=$AB$51,$AC$51,E365=$AB$52,$AC$52,E365=$AB$53,$AC$53,E365=$AB$54,$AC$54,E365=$AB$55,$AC$55,E365=$AB$56,$AC$56,E365=$AB$57,$AC$57,E365=$AB$58,$AC$58,E365=$AB$59,$AC$59,E365=$AB$60,$AC$60,E365=$AB$61,$AC$61,E365=$AB$62,$AC$62,E365=$AB$63,$AC$63,E365=$AB$64,$AC$64,E365=$AB$65,$AC$65,E365=$AB$66,$AC$66,TRUE,"0")</f>
        <v>#NAME?</v>
      </c>
      <c r="C365" s="161" t="str" cm="1">
        <f t="array" ref="C365">_xlfn.IFS(E365=$AB$42,$AF$42,E365=$AB$43,$AF$43,E365=$AB$44,$AF$44,E365=$AB$45,$AF$45,E365=$AB$46,$AF$46,E365=$AB$47,$AF$47,E365=$AB$48,$AF$48,E365=$AB$49,$AF$49,E365=$AB$50,$AF$50,E365=$AB$51,$AF$51,E365=$AB$52,$AF$52,E365=$AB$53,$AF$53,E365=$AB$54,$AF$54,E365=$AB$55,$AF$55,E365=$AB$56,$AF$56,E365=$AB$57,$AF$57,E365=$AB$58,$AF$58,E365=$AB$59,$AF$59,E365=$AB$60,$AF$60,E365=$AB$61,$AF$61,E365=$AB$62,$AF$62,E365=$AB$63,$AF$63,E365=$AB$64,$AF$64,E365=$AB$65,$AF$65,E365=$AB$66,$AF$66,TRUE,"0")</f>
        <v>40 mins Back ANother Goal</v>
      </c>
      <c r="D365" s="270" t="str" cm="1">
        <f t="array" ref="D365">_xlfn.IFS(E365=$AB$42,$AD$42,E365=$AB$43,$AD$43,E365=$AB$44,$AD$44,E365=$AB$45,$AD$45,E365=$AB$46,$AD$46,E365=$AB$47,$AD$47,E365=$AB$48,$AD$48,E365=$AB$49,$AD$49,E365=$AB$50,$AD$50,E365=$AB$51,$AD$51,E365=$AB$52,$AD$52,E365=$AB$53,$AD$53,E365=$AB$54,$AD$54,E365=$AB$55,$AD$55,E365=$AB$56,$AD$56,E365=$AB$57,$AD$57,E365=$AB$58,$AD$58,E365=$AB$59,$AD$59,E365=$AB$60,$AD$60,E365=$AB$61,$AD$61,E365=$AB$62,$AD$62,E365=$AB$63,$AD$63,E365=$AB$64,$AD$64,E365=$AB$65,$AD$65,E365=$AB$66,$AD$66,TRUE,"0")</f>
        <v xml:space="preserve">  BANG</v>
      </c>
      <c r="E365" s="163" t="s">
        <v>10</v>
      </c>
      <c r="F365" s="2" t="s">
        <v>31</v>
      </c>
      <c r="G365" s="2" t="s">
        <v>32</v>
      </c>
      <c r="H365" s="3">
        <v>45346.625</v>
      </c>
      <c r="I365" s="2" t="s">
        <v>440</v>
      </c>
      <c r="J365" s="2" t="s">
        <v>34</v>
      </c>
      <c r="K365" s="2">
        <v>2.2000000000000002</v>
      </c>
      <c r="L365" s="2">
        <v>95</v>
      </c>
      <c r="M365" s="2">
        <v>65</v>
      </c>
      <c r="N365" s="2">
        <v>45</v>
      </c>
      <c r="O365" s="2">
        <v>63</v>
      </c>
      <c r="P365" s="2">
        <v>20</v>
      </c>
      <c r="Q365" s="2" t="s">
        <v>95</v>
      </c>
      <c r="R365" s="10" t="s">
        <v>223</v>
      </c>
      <c r="S365" s="14" t="s">
        <v>279</v>
      </c>
      <c r="T365" s="188">
        <f t="shared" si="39"/>
        <v>333.11192658041176</v>
      </c>
      <c r="U365" s="8">
        <f t="shared" si="37"/>
        <v>59.960146784474112</v>
      </c>
      <c r="V365" s="234">
        <f t="shared" si="43"/>
        <v>6722.1986783927086</v>
      </c>
      <c r="W365" s="15">
        <v>25</v>
      </c>
      <c r="X365" s="8">
        <f t="shared" si="40"/>
        <v>4.5</v>
      </c>
      <c r="Y365" s="233">
        <f t="shared" si="41"/>
        <v>1813.5</v>
      </c>
    </row>
    <row r="366" spans="1:25">
      <c r="A366" s="156" t="e" cm="1">
        <f t="array" aca="1" ref="A366" ca="1">_xlfn.IFS(E366=$AB$42,$AC$42,E366=$AB$43,$AC$43,E366=$AB$44,$AC$44,E366=$AB$45,$AC$45,E366=$AB$46,$AC$46,E366=$AB$47,$AC$47,E366=$AB$48,$AC$48,E366=$AB$49,$AC$49,E366=$AB$50,$AC$50,E366=$AB$51,$AC$51,E366=$AB$52,$AC$52,E366=$AB$53,$AC$53,E366=$AB$54,$AC$54,E366=$AB$55,$AC$55,E366=$AB$56,$AC$56,E366=$AB$57,$AC$57,E366=$AB$58,$AC$58,E366=$AB$59,$AC$59,E366=$AB$60,$AC$60,E366=$AB$61,$AC$61,E366=$AB$62,$AC$62,E366=$AB$63,$AC$63,E366=$AB$64,$AC$64,E366=$AB$65,$AC$65,E366=$AB$66,$AC$66,TRUE,"0")</f>
        <v>#NAME?</v>
      </c>
      <c r="C366" s="161" t="str" cm="1">
        <f t="array" ref="C366">_xlfn.IFS(E366=$AB$42,$AF$42,E366=$AB$43,$AF$43,E366=$AB$44,$AF$44,E366=$AB$45,$AF$45,E366=$AB$46,$AF$46,E366=$AB$47,$AF$47,E366=$AB$48,$AF$48,E366=$AB$49,$AF$49,E366=$AB$50,$AF$50,E366=$AB$51,$AF$51,E366=$AB$52,$AF$52,E366=$AB$53,$AF$53,E366=$AB$54,$AF$54,E366=$AB$55,$AF$55,E366=$AB$56,$AF$56,E366=$AB$57,$AF$57,E366=$AB$58,$AF$58,E366=$AB$59,$AF$59,E366=$AB$60,$AF$60,E366=$AB$61,$AF$61,E366=$AB$62,$AF$62,E366=$AB$63,$AF$63,E366=$AB$64,$AF$64,E366=$AB$65,$AF$65,E366=$AB$66,$AF$66,TRUE,"0")</f>
        <v>40 mins Back ANother Goal</v>
      </c>
      <c r="D366" s="270" t="str" cm="1">
        <f t="array" ref="D366">_xlfn.IFS(E366=$AB$42,$AD$42,E366=$AB$43,$AD$43,E366=$AB$44,$AD$44,E366=$AB$45,$AD$45,E366=$AB$46,$AD$46,E366=$AB$47,$AD$47,E366=$AB$48,$AD$48,E366=$AB$49,$AD$49,E366=$AB$50,$AD$50,E366=$AB$51,$AD$51,E366=$AB$52,$AD$52,E366=$AB$53,$AD$53,E366=$AB$54,$AD$54,E366=$AB$55,$AD$55,E366=$AB$56,$AD$56,E366=$AB$57,$AD$57,E366=$AB$58,$AD$58,E366=$AB$59,$AD$59,E366=$AB$60,$AD$60,E366=$AB$61,$AD$61,E366=$AB$62,$AD$62,E366=$AB$63,$AD$63,E366=$AB$64,$AD$64,E366=$AB$65,$AD$65,E366=$AB$66,$AD$66,TRUE,"0")</f>
        <v xml:space="preserve">  BANG</v>
      </c>
      <c r="E366" s="163" t="s">
        <v>43</v>
      </c>
      <c r="F366" s="2" t="s">
        <v>6</v>
      </c>
      <c r="G366" s="2" t="s">
        <v>14</v>
      </c>
      <c r="H366" s="3">
        <v>45346.625</v>
      </c>
      <c r="I366" s="2" t="s">
        <v>430</v>
      </c>
      <c r="J366" s="2" t="s">
        <v>262</v>
      </c>
      <c r="K366" s="2">
        <v>69</v>
      </c>
      <c r="L366" s="2">
        <v>67</v>
      </c>
      <c r="M366" s="2">
        <v>60</v>
      </c>
      <c r="N366" s="2">
        <v>1.8</v>
      </c>
      <c r="O366" s="2">
        <v>1.27</v>
      </c>
      <c r="P366" s="2"/>
      <c r="Q366" s="2" t="s">
        <v>95</v>
      </c>
      <c r="R366" s="10" t="s">
        <v>193</v>
      </c>
      <c r="S366" s="14" t="s">
        <v>222</v>
      </c>
      <c r="T366" s="188">
        <f t="shared" si="39"/>
        <v>336.10993391963547</v>
      </c>
      <c r="U366" s="8">
        <f t="shared" ref="U366:U429" si="44">IF(Q366="won",T366*0.18,-T366)</f>
        <v>60.499788105534378</v>
      </c>
      <c r="V366" s="234">
        <f t="shared" si="43"/>
        <v>6782.6984664982429</v>
      </c>
      <c r="W366" s="15">
        <v>25</v>
      </c>
      <c r="X366" s="8">
        <f t="shared" si="40"/>
        <v>4.5</v>
      </c>
      <c r="Y366" s="233">
        <f t="shared" si="41"/>
        <v>1818</v>
      </c>
    </row>
    <row r="367" spans="1:25">
      <c r="A367" s="156" t="e" cm="1">
        <f t="array" aca="1" ref="A367" ca="1">_xlfn.IFS(E367=$AB$42,$AC$42,E367=$AB$43,$AC$43,E367=$AB$44,$AC$44,E367=$AB$45,$AC$45,E367=$AB$46,$AC$46,E367=$AB$47,$AC$47,E367=$AB$48,$AC$48,E367=$AB$49,$AC$49,E367=$AB$50,$AC$50,E367=$AB$51,$AC$51,E367=$AB$52,$AC$52,E367=$AB$53,$AC$53,E367=$AB$54,$AC$54,E367=$AB$55,$AC$55,E367=$AB$56,$AC$56,E367=$AB$57,$AC$57,E367=$AB$58,$AC$58,E367=$AB$59,$AC$59,E367=$AB$60,$AC$60,E367=$AB$61,$AC$61,E367=$AB$62,$AC$62,E367=$AB$63,$AC$63,E367=$AB$64,$AC$64,E367=$AB$65,$AC$65,E367=$AB$66,$AC$66,TRUE,"0")</f>
        <v>#NAME?</v>
      </c>
      <c r="C367" s="161" t="str" cm="1">
        <f t="array" ref="C367">_xlfn.IFS(E367=$AB$42,$AF$42,E367=$AB$43,$AF$43,E367=$AB$44,$AF$44,E367=$AB$45,$AF$45,E367=$AB$46,$AF$46,E367=$AB$47,$AF$47,E367=$AB$48,$AF$48,E367=$AB$49,$AF$49,E367=$AB$50,$AF$50,E367=$AB$51,$AF$51,E367=$AB$52,$AF$52,E367=$AB$53,$AF$53,E367=$AB$54,$AF$54,E367=$AB$55,$AF$55,E367=$AB$56,$AF$56,E367=$AB$57,$AF$57,E367=$AB$58,$AF$58,E367=$AB$59,$AF$59,E367=$AB$60,$AF$60,E367=$AB$61,$AF$61,E367=$AB$62,$AF$62,E367=$AB$63,$AF$63,E367=$AB$64,$AF$64,E367=$AB$65,$AF$65,E367=$AB$66,$AF$66,TRUE,"0")</f>
        <v>B4 match BACK FT +1.5 goals. X AFTER  GOAL</v>
      </c>
      <c r="D367" s="270" t="str" cm="1">
        <f t="array" ref="D367">_xlfn.IFS(E367=$AB$42,$AD$42,E367=$AB$43,$AD$43,E367=$AB$44,$AD$44,E367=$AB$45,$AD$45,E367=$AB$46,$AD$46,E367=$AB$47,$AD$47,E367=$AB$48,$AD$48,E367=$AB$49,$AD$49,E367=$AB$50,$AD$50,E367=$AB$51,$AD$51,E367=$AB$52,$AD$52,E367=$AB$53,$AD$53,E367=$AB$54,$AD$54,E367=$AB$55,$AD$55,E367=$AB$56,$AD$56,E367=$AB$57,$AD$57,E367=$AB$58,$AD$58,E367=$AB$59,$AD$59,E367=$AB$60,$AD$60,E367=$AB$61,$AD$61,E367=$AB$62,$AD$62,E367=$AB$63,$AD$63,E367=$AB$64,$AD$64,E367=$AB$65,$AD$65,E367=$AB$66,$AD$66,TRUE,"0")</f>
        <v xml:space="preserve">BFM </v>
      </c>
      <c r="E367" s="163" t="s">
        <v>406</v>
      </c>
      <c r="F367" s="2" t="s">
        <v>13</v>
      </c>
      <c r="G367" s="2" t="s">
        <v>37</v>
      </c>
      <c r="H367" s="3">
        <v>45346.625</v>
      </c>
      <c r="I367" s="2" t="s">
        <v>79</v>
      </c>
      <c r="J367" s="2" t="s">
        <v>305</v>
      </c>
      <c r="K367" s="2">
        <v>1.31</v>
      </c>
      <c r="L367" s="2">
        <v>13</v>
      </c>
      <c r="M367" s="2">
        <v>2.8</v>
      </c>
      <c r="N367" s="2">
        <v>4.2</v>
      </c>
      <c r="O367" s="2">
        <v>2.89</v>
      </c>
      <c r="P367" s="2"/>
      <c r="Q367" s="2" t="s">
        <v>95</v>
      </c>
      <c r="R367" s="10" t="s">
        <v>207</v>
      </c>
      <c r="S367" s="14" t="s">
        <v>195</v>
      </c>
      <c r="T367" s="188">
        <f t="shared" si="39"/>
        <v>339.13492332491217</v>
      </c>
      <c r="U367" s="8">
        <f t="shared" si="44"/>
        <v>61.044286198484187</v>
      </c>
      <c r="V367" s="234">
        <f t="shared" si="43"/>
        <v>6843.7427526967267</v>
      </c>
      <c r="W367" s="15">
        <v>25</v>
      </c>
      <c r="X367" s="8">
        <f t="shared" si="40"/>
        <v>4.5</v>
      </c>
      <c r="Y367" s="233">
        <f t="shared" si="41"/>
        <v>1822.5</v>
      </c>
    </row>
    <row r="368" spans="1:25">
      <c r="A368" s="156" t="e" cm="1">
        <f t="array" aca="1" ref="A368" ca="1">_xlfn.IFS(E368=$AB$42,$AC$42,E368=$AB$43,$AC$43,E368=$AB$44,$AC$44,E368=$AB$45,$AC$45,E368=$AB$46,$AC$46,E368=$AB$47,$AC$47,E368=$AB$48,$AC$48,E368=$AB$49,$AC$49,E368=$AB$50,$AC$50,E368=$AB$51,$AC$51,E368=$AB$52,$AC$52,E368=$AB$53,$AC$53,E368=$AB$54,$AC$54,E368=$AB$55,$AC$55,E368=$AB$56,$AC$56,E368=$AB$57,$AC$57,E368=$AB$58,$AC$58,E368=$AB$59,$AC$59,E368=$AB$60,$AC$60,E368=$AB$61,$AC$61,E368=$AB$62,$AC$62,E368=$AB$63,$AC$63,E368=$AB$64,$AC$64,E368=$AB$65,$AC$65,E368=$AB$66,$AC$66,TRUE,"0")</f>
        <v>#NAME?</v>
      </c>
      <c r="C368" s="161" t="str" cm="1">
        <f t="array" ref="C368">_xlfn.IFS(E368=$AB$42,$AF$42,E368=$AB$43,$AF$43,E368=$AB$44,$AF$44,E368=$AB$45,$AF$45,E368=$AB$46,$AF$46,E368=$AB$47,$AF$47,E368=$AB$48,$AF$48,E368=$AB$49,$AF$49,E368=$AB$50,$AF$50,E368=$AB$51,$AF$51,E368=$AB$52,$AF$52,E368=$AB$53,$AF$53,E368=$AB$54,$AF$54,E368=$AB$55,$AF$55,E368=$AB$56,$AF$56,E368=$AB$57,$AF$57,E368=$AB$58,$AF$58,E368=$AB$59,$AF$59,E368=$AB$60,$AF$60,E368=$AB$61,$AF$61,E368=$AB$62,$AF$62,E368=$AB$63,$AF$63,E368=$AB$64,$AF$64,E368=$AB$65,$AF$65,E368=$AB$66,$AF$66,TRUE,"0")</f>
        <v>40 mins Back ANother Goal</v>
      </c>
      <c r="D368" s="270" t="str" cm="1">
        <f t="array" ref="D368">_xlfn.IFS(E368=$AB$42,$AD$42,E368=$AB$43,$AD$43,E368=$AB$44,$AD$44,E368=$AB$45,$AD$45,E368=$AB$46,$AD$46,E368=$AB$47,$AD$47,E368=$AB$48,$AD$48,E368=$AB$49,$AD$49,E368=$AB$50,$AD$50,E368=$AB$51,$AD$51,E368=$AB$52,$AD$52,E368=$AB$53,$AD$53,E368=$AB$54,$AD$54,E368=$AB$55,$AD$55,E368=$AB$56,$AD$56,E368=$AB$57,$AD$57,E368=$AB$58,$AD$58,E368=$AB$59,$AD$59,E368=$AB$60,$AD$60,E368=$AB$61,$AD$61,E368=$AB$62,$AD$62,E368=$AB$63,$AD$63,E368=$AB$64,$AD$64,E368=$AB$65,$AD$65,E368=$AB$66,$AD$66,TRUE,"0")</f>
        <v xml:space="preserve">  BANG</v>
      </c>
      <c r="E368" s="163" t="s">
        <v>10</v>
      </c>
      <c r="F368" s="2" t="s">
        <v>145</v>
      </c>
      <c r="G368" s="2" t="s">
        <v>190</v>
      </c>
      <c r="H368" s="3">
        <v>45346.666666666664</v>
      </c>
      <c r="I368" s="2" t="s">
        <v>227</v>
      </c>
      <c r="J368" s="2" t="s">
        <v>344</v>
      </c>
      <c r="K368" s="2">
        <v>1.75</v>
      </c>
      <c r="L368" s="2">
        <v>85</v>
      </c>
      <c r="M368" s="2">
        <v>65</v>
      </c>
      <c r="N368" s="2">
        <v>20</v>
      </c>
      <c r="O368" s="2">
        <v>60</v>
      </c>
      <c r="P368" s="2">
        <v>20</v>
      </c>
      <c r="Q368" s="2" t="s">
        <v>95</v>
      </c>
      <c r="R368" s="10" t="s">
        <v>221</v>
      </c>
      <c r="S368" s="14" t="s">
        <v>193</v>
      </c>
      <c r="T368" s="188">
        <f t="shared" si="39"/>
        <v>342.18713763483635</v>
      </c>
      <c r="U368" s="8">
        <f t="shared" si="44"/>
        <v>61.593684774270542</v>
      </c>
      <c r="V368" s="234">
        <f t="shared" si="43"/>
        <v>6905.3364374709972</v>
      </c>
      <c r="W368" s="15">
        <v>25</v>
      </c>
      <c r="X368" s="8">
        <f t="shared" si="40"/>
        <v>4.5</v>
      </c>
      <c r="Y368" s="233">
        <f t="shared" si="41"/>
        <v>1827</v>
      </c>
    </row>
    <row r="369" spans="1:25">
      <c r="A369" s="156" t="e" cm="1">
        <f t="array" aca="1" ref="A369" ca="1">_xlfn.IFS(E369=$AB$42,$AC$42,E369=$AB$43,$AC$43,E369=$AB$44,$AC$44,E369=$AB$45,$AC$45,E369=$AB$46,$AC$46,E369=$AB$47,$AC$47,E369=$AB$48,$AC$48,E369=$AB$49,$AC$49,E369=$AB$50,$AC$50,E369=$AB$51,$AC$51,E369=$AB$52,$AC$52,E369=$AB$53,$AC$53,E369=$AB$54,$AC$54,E369=$AB$55,$AC$55,E369=$AB$56,$AC$56,E369=$AB$57,$AC$57,E369=$AB$58,$AC$58,E369=$AB$59,$AC$59,E369=$AB$60,$AC$60,E369=$AB$61,$AC$61,E369=$AB$62,$AC$62,E369=$AB$63,$AC$63,E369=$AB$64,$AC$64,E369=$AB$65,$AC$65,E369=$AB$66,$AC$66,TRUE,"0")</f>
        <v>#NAME?</v>
      </c>
      <c r="C369" s="161" t="str" cm="1">
        <f t="array" ref="C369">_xlfn.IFS(E369=$AB$42,$AF$42,E369=$AB$43,$AF$43,E369=$AB$44,$AF$44,E369=$AB$45,$AF$45,E369=$AB$46,$AF$46,E369=$AB$47,$AF$47,E369=$AB$48,$AF$48,E369=$AB$49,$AF$49,E369=$AB$50,$AF$50,E369=$AB$51,$AF$51,E369=$AB$52,$AF$52,E369=$AB$53,$AF$53,E369=$AB$54,$AF$54,E369=$AB$55,$AF$55,E369=$AB$56,$AF$56,E369=$AB$57,$AF$57,E369=$AB$58,$AF$58,E369=$AB$59,$AF$59,E369=$AB$60,$AF$60,E369=$AB$61,$AF$61,E369=$AB$62,$AF$62,E369=$AB$63,$AF$63,E369=$AB$64,$AF$64,E369=$AB$65,$AF$65,E369=$AB$66,$AF$66,TRUE,"0")</f>
        <v>if 0-0, BACK+ 0.5 GOALS  @ 1.15+odds.  or @ 40 mins</v>
      </c>
      <c r="D369" s="270" t="str" cm="1">
        <f t="array" ref="D369">_xlfn.IFS(E369=$AB$42,$AD$42,E369=$AB$43,$AD$43,E369=$AB$44,$AD$44,E369=$AB$45,$AD$45,E369=$AB$46,$AD$46,E369=$AB$47,$AD$47,E369=$AB$48,$AD$48,E369=$AB$49,$AD$49,E369=$AB$50,$AD$50,E369=$AB$51,$AD$51,E369=$AB$52,$AD$52,E369=$AB$53,$AD$53,E369=$AB$54,$AD$54,E369=$AB$55,$AD$55,E369=$AB$56,$AD$56,E369=$AB$57,$AD$57,E369=$AB$58,$AD$58,E369=$AB$59,$AD$59,E369=$AB$60,$AD$60,E369=$AB$61,$AD$61,E369=$AB$62,$AD$62,E369=$AB$63,$AD$63,E369=$AB$64,$AD$64,E369=$AB$65,$AD$65,E369=$AB$66,$AD$66,TRUE,"0")</f>
        <v>IP</v>
      </c>
      <c r="E369" s="163" t="s">
        <v>270</v>
      </c>
      <c r="F369" s="2" t="s">
        <v>77</v>
      </c>
      <c r="G369" s="2" t="s">
        <v>156</v>
      </c>
      <c r="H369" s="3">
        <v>45346.729166666664</v>
      </c>
      <c r="I369" s="2" t="s">
        <v>157</v>
      </c>
      <c r="J369" s="2" t="s">
        <v>181</v>
      </c>
      <c r="K369" s="2">
        <v>63</v>
      </c>
      <c r="L369" s="2">
        <v>0</v>
      </c>
      <c r="M369" s="2">
        <v>20</v>
      </c>
      <c r="N369" s="2">
        <v>3.28</v>
      </c>
      <c r="O369" s="2"/>
      <c r="P369" s="2"/>
      <c r="Q369" s="2" t="s">
        <v>95</v>
      </c>
      <c r="R369" s="10" t="s">
        <v>221</v>
      </c>
      <c r="S369" s="14" t="s">
        <v>222</v>
      </c>
      <c r="T369" s="188">
        <f t="shared" si="39"/>
        <v>345.26682187354987</v>
      </c>
      <c r="U369" s="8">
        <f t="shared" si="44"/>
        <v>62.148027937238972</v>
      </c>
      <c r="V369" s="234">
        <f t="shared" ref="V369:V374" si="45">SUM(V368,U369)</f>
        <v>6967.4844654082362</v>
      </c>
      <c r="W369" s="15">
        <v>25</v>
      </c>
      <c r="X369" s="8">
        <f t="shared" si="40"/>
        <v>4.5</v>
      </c>
      <c r="Y369" s="233">
        <f t="shared" si="41"/>
        <v>1831.5</v>
      </c>
    </row>
    <row r="370" spans="1:25">
      <c r="A370" s="156" t="e" cm="1">
        <f t="array" aca="1" ref="A370" ca="1">_xlfn.IFS(E370=$AB$42,$AC$42,E370=$AB$43,$AC$43,E370=$AB$44,$AC$44,E370=$AB$45,$AC$45,E370=$AB$46,$AC$46,E370=$AB$47,$AC$47,E370=$AB$48,$AC$48,E370=$AB$49,$AC$49,E370=$AB$50,$AC$50,E370=$AB$51,$AC$51,E370=$AB$52,$AC$52,E370=$AB$53,$AC$53,E370=$AB$54,$AC$54,E370=$AB$55,$AC$55,E370=$AB$56,$AC$56,E370=$AB$57,$AC$57,E370=$AB$58,$AC$58,E370=$AB$59,$AC$59,E370=$AB$60,$AC$60,E370=$AB$61,$AC$61,E370=$AB$62,$AC$62,E370=$AB$63,$AC$63,E370=$AB$64,$AC$64,E370=$AB$65,$AC$65,E370=$AB$66,$AC$66,TRUE,"0")</f>
        <v>#NAME?</v>
      </c>
      <c r="C370" s="161" t="str" cm="1">
        <f t="array" ref="C370">_xlfn.IFS(E370=$AB$42,$AF$42,E370=$AB$43,$AF$43,E370=$AB$44,$AF$44,E370=$AB$45,$AF$45,E370=$AB$46,$AF$46,E370=$AB$47,$AF$47,E370=$AB$48,$AF$48,E370=$AB$49,$AF$49,E370=$AB$50,$AF$50,E370=$AB$51,$AF$51,E370=$AB$52,$AF$52,E370=$AB$53,$AF$53,E370=$AB$54,$AF$54,E370=$AB$55,$AF$55,E370=$AB$56,$AF$56,E370=$AB$57,$AF$57,E370=$AB$58,$AF$58,E370=$AB$59,$AF$59,E370=$AB$60,$AF$60,E370=$AB$61,$AF$61,E370=$AB$62,$AF$62,E370=$AB$63,$AF$63,E370=$AB$64,$AF$64,E370=$AB$65,$AF$65,E370=$AB$66,$AF$66,TRUE,"0")</f>
        <v>if 0-0, BACK+ 0.5 GOALS  @ 1.15+odds.  or @ 40 mins</v>
      </c>
      <c r="D370" s="270" t="str" cm="1">
        <f t="array" ref="D370">_xlfn.IFS(E370=$AB$42,$AD$42,E370=$AB$43,$AD$43,E370=$AB$44,$AD$44,E370=$AB$45,$AD$45,E370=$AB$46,$AD$46,E370=$AB$47,$AD$47,E370=$AB$48,$AD$48,E370=$AB$49,$AD$49,E370=$AB$50,$AD$50,E370=$AB$51,$AD$51,E370=$AB$52,$AD$52,E370=$AB$53,$AD$53,E370=$AB$54,$AD$54,E370=$AB$55,$AD$55,E370=$AB$56,$AD$56,E370=$AB$57,$AD$57,E370=$AB$58,$AD$58,E370=$AB$59,$AD$59,E370=$AB$60,$AD$60,E370=$AB$61,$AD$61,E370=$AB$62,$AD$62,E370=$AB$63,$AD$63,E370=$AB$64,$AD$64,E370=$AB$65,$AD$65,E370=$AB$66,$AD$66,TRUE,"0")</f>
        <v>IP</v>
      </c>
      <c r="E370" s="163" t="s">
        <v>270</v>
      </c>
      <c r="F370" s="2" t="s">
        <v>67</v>
      </c>
      <c r="G370" s="2" t="s">
        <v>169</v>
      </c>
      <c r="H370" s="3">
        <v>45346.791666666664</v>
      </c>
      <c r="I370" s="2" t="s">
        <v>372</v>
      </c>
      <c r="J370" s="2" t="s">
        <v>283</v>
      </c>
      <c r="K370" s="2">
        <v>62</v>
      </c>
      <c r="L370" s="2">
        <v>0</v>
      </c>
      <c r="M370" s="2">
        <v>20</v>
      </c>
      <c r="N370" s="2">
        <v>1.48</v>
      </c>
      <c r="O370" s="2"/>
      <c r="P370" s="29"/>
      <c r="Q370" s="29" t="s">
        <v>95</v>
      </c>
      <c r="R370" s="10" t="s">
        <v>221</v>
      </c>
      <c r="S370" s="14" t="s">
        <v>216</v>
      </c>
      <c r="T370" s="188">
        <f t="shared" si="39"/>
        <v>348.37422327041185</v>
      </c>
      <c r="U370" s="8">
        <f t="shared" si="44"/>
        <v>62.70736018867413</v>
      </c>
      <c r="V370" s="234">
        <f t="shared" si="45"/>
        <v>7030.1918255969103</v>
      </c>
      <c r="W370" s="15">
        <v>25</v>
      </c>
      <c r="X370" s="8">
        <f t="shared" si="40"/>
        <v>4.5</v>
      </c>
      <c r="Y370" s="233">
        <f t="shared" si="41"/>
        <v>1836</v>
      </c>
    </row>
    <row r="371" spans="1:25">
      <c r="A371" s="156" t="e" cm="1">
        <f t="array" aca="1" ref="A371" ca="1">_xlfn.IFS(E371=$AB$42,$AC$42,E371=$AB$43,$AC$43,E371=$AB$44,$AC$44,E371=$AB$45,$AC$45,E371=$AB$46,$AC$46,E371=$AB$47,$AC$47,E371=$AB$48,$AC$48,E371=$AB$49,$AC$49,E371=$AB$50,$AC$50,E371=$AB$51,$AC$51,E371=$AB$52,$AC$52,E371=$AB$53,$AC$53,E371=$AB$54,$AC$54,E371=$AB$55,$AC$55,E371=$AB$56,$AC$56,E371=$AB$57,$AC$57,E371=$AB$58,$AC$58,E371=$AB$59,$AC$59,E371=$AB$60,$AC$60,E371=$AB$61,$AC$61,E371=$AB$62,$AC$62,E371=$AB$63,$AC$63,E371=$AB$64,$AC$64,E371=$AB$65,$AC$65,E371=$AB$66,$AC$66,TRUE,"0")</f>
        <v>#NAME?</v>
      </c>
      <c r="C371" s="161" t="str" cm="1">
        <f t="array" ref="C371">_xlfn.IFS(E371=$AB$42,$AF$42,E371=$AB$43,$AF$43,E371=$AB$44,$AF$44,E371=$AB$45,$AF$45,E371=$AB$46,$AF$46,E371=$AB$47,$AF$47,E371=$AB$48,$AF$48,E371=$AB$49,$AF$49,E371=$AB$50,$AF$50,E371=$AB$51,$AF$51,E371=$AB$52,$AF$52,E371=$AB$53,$AF$53,E371=$AB$54,$AF$54,E371=$AB$55,$AF$55,E371=$AB$56,$AF$56,E371=$AB$57,$AF$57,E371=$AB$58,$AF$58,E371=$AB$59,$AF$59,E371=$AB$60,$AF$60,E371=$AB$61,$AF$61,E371=$AB$62,$AF$62,E371=$AB$63,$AF$63,E371=$AB$64,$AF$64,E371=$AB$65,$AF$65,E371=$AB$66,$AF$66,TRUE,"0")</f>
        <v>if 0-0, BACK+ 0.5 GOALS  @ 1.15+odds.  or @ 40 mins</v>
      </c>
      <c r="D371" s="270" t="str" cm="1">
        <f t="array" ref="D371">_xlfn.IFS(E371=$AB$42,$AD$42,E371=$AB$43,$AD$43,E371=$AB$44,$AD$44,E371=$AB$45,$AD$45,E371=$AB$46,$AD$46,E371=$AB$47,$AD$47,E371=$AB$48,$AD$48,E371=$AB$49,$AD$49,E371=$AB$50,$AD$50,E371=$AB$51,$AD$51,E371=$AB$52,$AD$52,E371=$AB$53,$AD$53,E371=$AB$54,$AD$54,E371=$AB$55,$AD$55,E371=$AB$56,$AD$56,E371=$AB$57,$AD$57,E371=$AB$58,$AD$58,E371=$AB$59,$AD$59,E371=$AB$60,$AD$60,E371=$AB$61,$AD$61,E371=$AB$62,$AD$62,E371=$AB$63,$AD$63,E371=$AB$64,$AD$64,E371=$AB$65,$AD$65,E371=$AB$66,$AD$66,TRUE,"0")</f>
        <v>IP</v>
      </c>
      <c r="E371" s="163" t="s">
        <v>270</v>
      </c>
      <c r="F371" s="2" t="s">
        <v>149</v>
      </c>
      <c r="G371" s="2" t="s">
        <v>153</v>
      </c>
      <c r="H371" s="3">
        <v>45346.791666666664</v>
      </c>
      <c r="I371" s="2" t="s">
        <v>205</v>
      </c>
      <c r="J371" s="2" t="s">
        <v>188</v>
      </c>
      <c r="K371" s="2">
        <v>64</v>
      </c>
      <c r="L371" s="2">
        <v>0</v>
      </c>
      <c r="M371" s="2">
        <v>20</v>
      </c>
      <c r="N371" s="2">
        <v>2.57</v>
      </c>
      <c r="O371" s="2"/>
      <c r="P371" s="2"/>
      <c r="Q371" s="2" t="s">
        <v>95</v>
      </c>
      <c r="R371" s="10" t="s">
        <v>223</v>
      </c>
      <c r="S371" s="14" t="s">
        <v>461</v>
      </c>
      <c r="T371" s="188">
        <f t="shared" si="39"/>
        <v>351.50959127984555</v>
      </c>
      <c r="U371" s="8">
        <f t="shared" si="44"/>
        <v>63.271726430372198</v>
      </c>
      <c r="V371" s="234">
        <f t="shared" si="45"/>
        <v>7093.4635520272823</v>
      </c>
      <c r="W371" s="15">
        <v>25</v>
      </c>
      <c r="X371" s="8">
        <f t="shared" si="40"/>
        <v>4.5</v>
      </c>
      <c r="Y371" s="233">
        <f t="shared" si="41"/>
        <v>1840.5</v>
      </c>
    </row>
    <row r="372" spans="1:25">
      <c r="A372" s="156" t="e" cm="1">
        <f t="array" aca="1" ref="A372" ca="1">_xlfn.IFS(E372=$AB$42,$AC$42,E372=$AB$43,$AC$43,E372=$AB$44,$AC$44,E372=$AB$45,$AC$45,E372=$AB$46,$AC$46,E372=$AB$47,$AC$47,E372=$AB$48,$AC$48,E372=$AB$49,$AC$49,E372=$AB$50,$AC$50,E372=$AB$51,$AC$51,E372=$AB$52,$AC$52,E372=$AB$53,$AC$53,E372=$AB$54,$AC$54,E372=$AB$55,$AC$55,E372=$AB$56,$AC$56,E372=$AB$57,$AC$57,E372=$AB$58,$AC$58,E372=$AB$59,$AC$59,E372=$AB$60,$AC$60,E372=$AB$61,$AC$61,E372=$AB$62,$AC$62,E372=$AB$63,$AC$63,E372=$AB$64,$AC$64,E372=$AB$65,$AC$65,E372=$AB$66,$AC$66,TRUE,"0")</f>
        <v>#NAME?</v>
      </c>
      <c r="C372" s="161" t="str" cm="1">
        <f t="array" ref="C372">_xlfn.IFS(E372=$AB$42,$AF$42,E372=$AB$43,$AF$43,E372=$AB$44,$AF$44,E372=$AB$45,$AF$45,E372=$AB$46,$AF$46,E372=$AB$47,$AF$47,E372=$AB$48,$AF$48,E372=$AB$49,$AF$49,E372=$AB$50,$AF$50,E372=$AB$51,$AF$51,E372=$AB$52,$AF$52,E372=$AB$53,$AF$53,E372=$AB$54,$AF$54,E372=$AB$55,$AF$55,E372=$AB$56,$AF$56,E372=$AB$57,$AF$57,E372=$AB$58,$AF$58,E372=$AB$59,$AF$59,E372=$AB$60,$AF$60,E372=$AB$61,$AF$61,E372=$AB$62,$AF$62,E372=$AB$63,$AF$63,E372=$AB$64,$AF$64,E372=$AB$65,$AF$65,E372=$AB$66,$AF$66,TRUE,"0")</f>
        <v>if 0-0, BACK+ 0.5 GOALS  @ 1.15+odds.  or @ 40 mins</v>
      </c>
      <c r="D372" s="270" t="str" cm="1">
        <f t="array" ref="D372">_xlfn.IFS(E372=$AB$42,$AD$42,E372=$AB$43,$AD$43,E372=$AB$44,$AD$44,E372=$AB$45,$AD$45,E372=$AB$46,$AD$46,E372=$AB$47,$AD$47,E372=$AB$48,$AD$48,E372=$AB$49,$AD$49,E372=$AB$50,$AD$50,E372=$AB$51,$AD$51,E372=$AB$52,$AD$52,E372=$AB$53,$AD$53,E372=$AB$54,$AD$54,E372=$AB$55,$AD$55,E372=$AB$56,$AD$56,E372=$AB$57,$AD$57,E372=$AB$58,$AD$58,E372=$AB$59,$AD$59,E372=$AB$60,$AD$60,E372=$AB$61,$AD$61,E372=$AB$62,$AD$62,E372=$AB$63,$AD$63,E372=$AB$64,$AD$64,E372=$AB$65,$AD$65,E372=$AB$66,$AD$66,TRUE,"0")</f>
        <v>IP</v>
      </c>
      <c r="E372" s="163" t="s">
        <v>270</v>
      </c>
      <c r="F372" s="2" t="s">
        <v>296</v>
      </c>
      <c r="G372" s="2" t="s">
        <v>78</v>
      </c>
      <c r="H372" s="3">
        <v>45346.8125</v>
      </c>
      <c r="I372" s="2" t="s">
        <v>391</v>
      </c>
      <c r="J372" s="2" t="s">
        <v>299</v>
      </c>
      <c r="K372" s="2">
        <v>60</v>
      </c>
      <c r="L372" s="2">
        <v>0</v>
      </c>
      <c r="M372" s="2">
        <v>20</v>
      </c>
      <c r="N372" s="2">
        <v>1.63</v>
      </c>
      <c r="O372" s="2"/>
      <c r="P372" s="2"/>
      <c r="Q372" s="2" t="s">
        <v>95</v>
      </c>
      <c r="R372" s="10" t="s">
        <v>221</v>
      </c>
      <c r="S372" s="14" t="s">
        <v>193</v>
      </c>
      <c r="T372" s="188">
        <f t="shared" si="39"/>
        <v>354.67317760136416</v>
      </c>
      <c r="U372" s="8">
        <f t="shared" si="44"/>
        <v>63.841171968245547</v>
      </c>
      <c r="V372" s="234">
        <f t="shared" si="45"/>
        <v>7157.3047239955276</v>
      </c>
      <c r="W372" s="15">
        <v>25</v>
      </c>
      <c r="X372" s="8">
        <f t="shared" si="40"/>
        <v>4.5</v>
      </c>
      <c r="Y372" s="233">
        <f t="shared" si="41"/>
        <v>1845</v>
      </c>
    </row>
    <row r="373" spans="1:25">
      <c r="A373" s="156" t="e" cm="1">
        <f t="array" aca="1" ref="A373" ca="1">_xlfn.IFS(E373=$AB$42,$AC$42,E373=$AB$43,$AC$43,E373=$AB$44,$AC$44,E373=$AB$45,$AC$45,E373=$AB$46,$AC$46,E373=$AB$47,$AC$47,E373=$AB$48,$AC$48,E373=$AB$49,$AC$49,E373=$AB$50,$AC$50,E373=$AB$51,$AC$51,E373=$AB$52,$AC$52,E373=$AB$53,$AC$53,E373=$AB$54,$AC$54,E373=$AB$55,$AC$55,E373=$AB$56,$AC$56,E373=$AB$57,$AC$57,E373=$AB$58,$AC$58,E373=$AB$59,$AC$59,E373=$AB$60,$AC$60,E373=$AB$61,$AC$61,E373=$AB$62,$AC$62,E373=$AB$63,$AC$63,E373=$AB$64,$AC$64,E373=$AB$65,$AC$65,E373=$AB$66,$AC$66,TRUE,"0")</f>
        <v>#NAME?</v>
      </c>
      <c r="C373" s="161" t="str" cm="1">
        <f t="array" ref="C373">_xlfn.IFS(E373=$AB$42,$AF$42,E373=$AB$43,$AF$43,E373=$AB$44,$AF$44,E373=$AB$45,$AF$45,E373=$AB$46,$AF$46,E373=$AB$47,$AF$47,E373=$AB$48,$AF$48,E373=$AB$49,$AF$49,E373=$AB$50,$AF$50,E373=$AB$51,$AF$51,E373=$AB$52,$AF$52,E373=$AB$53,$AF$53,E373=$AB$54,$AF$54,E373=$AB$55,$AF$55,E373=$AB$56,$AF$56,E373=$AB$57,$AF$57,E373=$AB$58,$AF$58,E373=$AB$59,$AF$59,E373=$AB$60,$AF$60,E373=$AB$61,$AF$61,E373=$AB$62,$AF$62,E373=$AB$63,$AF$63,E373=$AB$64,$AF$64,E373=$AB$65,$AF$65,E373=$AB$66,$AF$66,TRUE,"0")</f>
        <v>if 0-0, BACK+ 0.5 GOALS  @ 1.15+odds.  or @ 40 mins</v>
      </c>
      <c r="D373" s="270" t="str" cm="1">
        <f t="array" ref="D373">_xlfn.IFS(E373=$AB$42,$AD$42,E373=$AB$43,$AD$43,E373=$AB$44,$AD$44,E373=$AB$45,$AD$45,E373=$AB$46,$AD$46,E373=$AB$47,$AD$47,E373=$AB$48,$AD$48,E373=$AB$49,$AD$49,E373=$AB$50,$AD$50,E373=$AB$51,$AD$51,E373=$AB$52,$AD$52,E373=$AB$53,$AD$53,E373=$AB$54,$AD$54,E373=$AB$55,$AD$55,E373=$AB$56,$AD$56,E373=$AB$57,$AD$57,E373=$AB$58,$AD$58,E373=$AB$59,$AD$59,E373=$AB$60,$AD$60,E373=$AB$61,$AD$61,E373=$AB$62,$AD$62,E373=$AB$63,$AD$63,E373=$AB$64,$AD$64,E373=$AB$65,$AD$65,E373=$AB$66,$AD$66,TRUE,"0")</f>
        <v>IP</v>
      </c>
      <c r="E373" s="163" t="s">
        <v>270</v>
      </c>
      <c r="F373" s="2" t="s">
        <v>77</v>
      </c>
      <c r="G373" s="2" t="s">
        <v>234</v>
      </c>
      <c r="H373" s="3">
        <v>45346.8125</v>
      </c>
      <c r="I373" s="2" t="s">
        <v>413</v>
      </c>
      <c r="J373" s="2" t="s">
        <v>246</v>
      </c>
      <c r="K373" s="2">
        <v>61</v>
      </c>
      <c r="L373" s="2">
        <v>0</v>
      </c>
      <c r="M373" s="2">
        <v>20</v>
      </c>
      <c r="N373" s="2">
        <v>2.82</v>
      </c>
      <c r="O373" s="2"/>
      <c r="P373" s="2"/>
      <c r="Q373" s="2" t="s">
        <v>95</v>
      </c>
      <c r="R373" s="10" t="s">
        <v>207</v>
      </c>
      <c r="S373" s="14" t="s">
        <v>207</v>
      </c>
      <c r="T373" s="188">
        <f t="shared" si="39"/>
        <v>357.8652361997764</v>
      </c>
      <c r="U373" s="8">
        <f t="shared" si="44"/>
        <v>64.415742515959749</v>
      </c>
      <c r="V373" s="234">
        <f t="shared" si="45"/>
        <v>7221.7204665114878</v>
      </c>
      <c r="W373" s="15">
        <v>25</v>
      </c>
      <c r="X373" s="8">
        <f t="shared" si="40"/>
        <v>4.5</v>
      </c>
      <c r="Y373" s="233">
        <f t="shared" si="41"/>
        <v>1849.5</v>
      </c>
    </row>
    <row r="374" spans="1:25">
      <c r="A374" s="156" t="e" cm="1">
        <f t="array" aca="1" ref="A374" ca="1">_xlfn.IFS(E374=$AB$42,$AC$42,E374=$AB$43,$AC$43,E374=$AB$44,$AC$44,E374=$AB$45,$AC$45,E374=$AB$46,$AC$46,E374=$AB$47,$AC$47,E374=$AB$48,$AC$48,E374=$AB$49,$AC$49,E374=$AB$50,$AC$50,E374=$AB$51,$AC$51,E374=$AB$52,$AC$52,E374=$AB$53,$AC$53,E374=$AB$54,$AC$54,E374=$AB$55,$AC$55,E374=$AB$56,$AC$56,E374=$AB$57,$AC$57,E374=$AB$58,$AC$58,E374=$AB$59,$AC$59,E374=$AB$60,$AC$60,E374=$AB$61,$AC$61,E374=$AB$62,$AC$62,E374=$AB$63,$AC$63,E374=$AB$64,$AC$64,E374=$AB$65,$AC$65,E374=$AB$66,$AC$66,TRUE,"0")</f>
        <v>#NAME?</v>
      </c>
      <c r="C374" s="161" t="str" cm="1">
        <f t="array" ref="C374">_xlfn.IFS(E374=$AB$42,$AF$42,E374=$AB$43,$AF$43,E374=$AB$44,$AF$44,E374=$AB$45,$AF$45,E374=$AB$46,$AF$46,E374=$AB$47,$AF$47,E374=$AB$48,$AF$48,E374=$AB$49,$AF$49,E374=$AB$50,$AF$50,E374=$AB$51,$AF$51,E374=$AB$52,$AF$52,E374=$AB$53,$AF$53,E374=$AB$54,$AF$54,E374=$AB$55,$AF$55,E374=$AB$56,$AF$56,E374=$AB$57,$AF$57,E374=$AB$58,$AF$58,E374=$AB$59,$AF$59,E374=$AB$60,$AF$60,E374=$AB$61,$AF$61,E374=$AB$62,$AF$62,E374=$AB$63,$AF$63,E374=$AB$64,$AF$64,E374=$AB$65,$AF$65,E374=$AB$66,$AF$66,TRUE,"0")</f>
        <v>40 mins Back ANother Goal</v>
      </c>
      <c r="D374" s="270" t="str" cm="1">
        <f t="array" ref="D374">_xlfn.IFS(E374=$AB$42,$AD$42,E374=$AB$43,$AD$43,E374=$AB$44,$AD$44,E374=$AB$45,$AD$45,E374=$AB$46,$AD$46,E374=$AB$47,$AD$47,E374=$AB$48,$AD$48,E374=$AB$49,$AD$49,E374=$AB$50,$AD$50,E374=$AB$51,$AD$51,E374=$AB$52,$AD$52,E374=$AB$53,$AD$53,E374=$AB$54,$AD$54,E374=$AB$55,$AD$55,E374=$AB$56,$AD$56,E374=$AB$57,$AD$57,E374=$AB$58,$AD$58,E374=$AB$59,$AD$59,E374=$AB$60,$AD$60,E374=$AB$61,$AD$61,E374=$AB$62,$AD$62,E374=$AB$63,$AD$63,E374=$AB$64,$AD$64,E374=$AB$65,$AD$65,E374=$AB$66,$AD$66,TRUE,"0")</f>
        <v xml:space="preserve">  BANG</v>
      </c>
      <c r="E374" s="163" t="s">
        <v>10</v>
      </c>
      <c r="F374" s="2" t="s">
        <v>6</v>
      </c>
      <c r="G374" s="2" t="s">
        <v>62</v>
      </c>
      <c r="H374" s="3">
        <v>45346.833333333336</v>
      </c>
      <c r="I374" s="2" t="s">
        <v>73</v>
      </c>
      <c r="J374" s="2" t="s">
        <v>164</v>
      </c>
      <c r="K374" s="2">
        <v>2.35</v>
      </c>
      <c r="L374" s="2">
        <v>95</v>
      </c>
      <c r="M374" s="2">
        <v>70</v>
      </c>
      <c r="N374" s="2">
        <v>40</v>
      </c>
      <c r="O374" s="2">
        <v>63</v>
      </c>
      <c r="P374" s="2">
        <v>20</v>
      </c>
      <c r="Q374" s="2" t="s">
        <v>95</v>
      </c>
      <c r="R374" s="10" t="s">
        <v>220</v>
      </c>
      <c r="S374" s="14" t="s">
        <v>196</v>
      </c>
      <c r="T374" s="188">
        <f t="shared" si="39"/>
        <v>361.08602332557439</v>
      </c>
      <c r="U374" s="8">
        <f t="shared" si="44"/>
        <v>64.995484198603393</v>
      </c>
      <c r="V374" s="234">
        <f t="shared" si="45"/>
        <v>7286.7159507100914</v>
      </c>
      <c r="W374" s="15">
        <v>25</v>
      </c>
      <c r="X374" s="8">
        <f t="shared" si="40"/>
        <v>4.5</v>
      </c>
      <c r="Y374" s="233">
        <f t="shared" si="41"/>
        <v>1854</v>
      </c>
    </row>
    <row r="375" spans="1:25">
      <c r="A375" s="156" t="e" cm="1">
        <f t="array" aca="1" ref="A375" ca="1">_xlfn.IFS(E375=$AB$42,$AC$42,E375=$AB$43,$AC$43,E375=$AB$44,$AC$44,E375=$AB$45,$AC$45,E375=$AB$46,$AC$46,E375=$AB$47,$AC$47,E375=$AB$48,$AC$48,E375=$AB$49,$AC$49,E375=$AB$50,$AC$50,E375=$AB$51,$AC$51,E375=$AB$52,$AC$52,E375=$AB$53,$AC$53,E375=$AB$54,$AC$54,E375=$AB$55,$AC$55,E375=$AB$56,$AC$56,E375=$AB$57,$AC$57,E375=$AB$58,$AC$58,E375=$AB$59,$AC$59,E375=$AB$60,$AC$60,E375=$AB$61,$AC$61,E375=$AB$62,$AC$62,E375=$AB$63,$AC$63,E375=$AB$64,$AC$64,E375=$AB$65,$AC$65,E375=$AB$66,$AC$66,TRUE,"0")</f>
        <v>#NAME?</v>
      </c>
      <c r="C375" s="161" t="str" cm="1">
        <f t="array" ref="C375">_xlfn.IFS(E375=$AB$42,$AF$42,E375=$AB$43,$AF$43,E375=$AB$44,$AF$44,E375=$AB$45,$AF$45,E375=$AB$46,$AF$46,E375=$AB$47,$AF$47,E375=$AB$48,$AF$48,E375=$AB$49,$AF$49,E375=$AB$50,$AF$50,E375=$AB$51,$AF$51,E375=$AB$52,$AF$52,E375=$AB$53,$AF$53,E375=$AB$54,$AF$54,E375=$AB$55,$AF$55,E375=$AB$56,$AF$56,E375=$AB$57,$AF$57,E375=$AB$58,$AF$58,E375=$AB$59,$AF$59,E375=$AB$60,$AF$60,E375=$AB$61,$AF$61,E375=$AB$62,$AF$62,E375=$AB$63,$AF$63,E375=$AB$64,$AF$64,E375=$AB$65,$AF$65,E375=$AB$66,$AF$66,TRUE,"0")</f>
        <v>if 0-0, BACK+ 0.5 GOALS  @ 1.15+odds.  or @ 40 mins</v>
      </c>
      <c r="D375" s="270" t="str" cm="1">
        <f t="array" ref="D375">_xlfn.IFS(E375=$AB$42,$AD$42,E375=$AB$43,$AD$43,E375=$AB$44,$AD$44,E375=$AB$45,$AD$45,E375=$AB$46,$AD$46,E375=$AB$47,$AD$47,E375=$AB$48,$AD$48,E375=$AB$49,$AD$49,E375=$AB$50,$AD$50,E375=$AB$51,$AD$51,E375=$AB$52,$AD$52,E375=$AB$53,$AD$53,E375=$AB$54,$AD$54,E375=$AB$55,$AD$55,E375=$AB$56,$AD$56,E375=$AB$57,$AD$57,E375=$AB$58,$AD$58,E375=$AB$59,$AD$59,E375=$AB$60,$AD$60,E375=$AB$61,$AD$61,E375=$AB$62,$AD$62,E375=$AB$63,$AD$63,E375=$AB$64,$AD$64,E375=$AB$65,$AD$65,E375=$AB$66,$AD$66,TRUE,"0")</f>
        <v>IP</v>
      </c>
      <c r="E375" s="163" t="s">
        <v>270</v>
      </c>
      <c r="F375" s="2" t="s">
        <v>6</v>
      </c>
      <c r="G375" s="2" t="s">
        <v>62</v>
      </c>
      <c r="H375" s="3">
        <v>45346.833333333336</v>
      </c>
      <c r="I375" s="2" t="s">
        <v>73</v>
      </c>
      <c r="J375" s="2" t="s">
        <v>164</v>
      </c>
      <c r="K375" s="2">
        <v>62</v>
      </c>
      <c r="L375" s="2">
        <v>0</v>
      </c>
      <c r="M375" s="2">
        <v>20</v>
      </c>
      <c r="N375" s="2">
        <v>3.5</v>
      </c>
      <c r="O375" s="2"/>
      <c r="P375" s="2"/>
      <c r="Q375" s="2" t="s">
        <v>95</v>
      </c>
      <c r="R375" s="10" t="s">
        <v>220</v>
      </c>
      <c r="S375" s="14" t="s">
        <v>196</v>
      </c>
      <c r="T375" s="188">
        <f t="shared" si="39"/>
        <v>364.33579753550458</v>
      </c>
      <c r="U375" s="8">
        <f t="shared" si="44"/>
        <v>65.580443556390819</v>
      </c>
      <c r="V375" s="234">
        <f t="shared" ref="V375:V391" si="46">SUM(V374,U375)</f>
        <v>7352.2963942664819</v>
      </c>
      <c r="W375" s="15">
        <v>25</v>
      </c>
      <c r="X375" s="8">
        <f t="shared" si="40"/>
        <v>4.5</v>
      </c>
      <c r="Y375" s="233">
        <f t="shared" si="41"/>
        <v>1858.5</v>
      </c>
    </row>
    <row r="376" spans="1:25">
      <c r="A376" s="156" t="e" cm="1">
        <f t="array" aca="1" ref="A376" ca="1">_xlfn.IFS(E376=$AB$42,$AC$42,E376=$AB$43,$AC$43,E376=$AB$44,$AC$44,E376=$AB$45,$AC$45,E376=$AB$46,$AC$46,E376=$AB$47,$AC$47,E376=$AB$48,$AC$48,E376=$AB$49,$AC$49,E376=$AB$50,$AC$50,E376=$AB$51,$AC$51,E376=$AB$52,$AC$52,E376=$AB$53,$AC$53,E376=$AB$54,$AC$54,E376=$AB$55,$AC$55,E376=$AB$56,$AC$56,E376=$AB$57,$AC$57,E376=$AB$58,$AC$58,E376=$AB$59,$AC$59,E376=$AB$60,$AC$60,E376=$AB$61,$AC$61,E376=$AB$62,$AC$62,E376=$AB$63,$AC$63,E376=$AB$64,$AC$64,E376=$AB$65,$AC$65,E376=$AB$66,$AC$66,TRUE,"0")</f>
        <v>#NAME?</v>
      </c>
      <c r="C376" s="161" t="str" cm="1">
        <f t="array" ref="C376">_xlfn.IFS(E376=$AB$42,$AF$42,E376=$AB$43,$AF$43,E376=$AB$44,$AF$44,E376=$AB$45,$AF$45,E376=$AB$46,$AF$46,E376=$AB$47,$AF$47,E376=$AB$48,$AF$48,E376=$AB$49,$AF$49,E376=$AB$50,$AF$50,E376=$AB$51,$AF$51,E376=$AB$52,$AF$52,E376=$AB$53,$AF$53,E376=$AB$54,$AF$54,E376=$AB$55,$AF$55,E376=$AB$56,$AF$56,E376=$AB$57,$AF$57,E376=$AB$58,$AF$58,E376=$AB$59,$AF$59,E376=$AB$60,$AF$60,E376=$AB$61,$AF$61,E376=$AB$62,$AF$62,E376=$AB$63,$AF$63,E376=$AB$64,$AF$64,E376=$AB$65,$AF$65,E376=$AB$66,$AF$66,TRUE,"0")</f>
        <v>if 0-0, BACK+ 0.5 GOALS  @ 1.15+odds.  or @ 40 mins</v>
      </c>
      <c r="D376" s="270" t="str" cm="1">
        <f t="array" ref="D376">_xlfn.IFS(E376=$AB$42,$AD$42,E376=$AB$43,$AD$43,E376=$AB$44,$AD$44,E376=$AB$45,$AD$45,E376=$AB$46,$AD$46,E376=$AB$47,$AD$47,E376=$AB$48,$AD$48,E376=$AB$49,$AD$49,E376=$AB$50,$AD$50,E376=$AB$51,$AD$51,E376=$AB$52,$AD$52,E376=$AB$53,$AD$53,E376=$AB$54,$AD$54,E376=$AB$55,$AD$55,E376=$AB$56,$AD$56,E376=$AB$57,$AD$57,E376=$AB$58,$AD$58,E376=$AB$59,$AD$59,E376=$AB$60,$AD$60,E376=$AB$61,$AD$61,E376=$AB$62,$AD$62,E376=$AB$63,$AD$63,E376=$AB$64,$AD$64,E376=$AB$65,$AD$65,E376=$AB$66,$AD$66,TRUE,"0")</f>
        <v>IP</v>
      </c>
      <c r="E376" s="163" t="s">
        <v>270</v>
      </c>
      <c r="F376" s="2" t="s">
        <v>44</v>
      </c>
      <c r="G376" s="2" t="s">
        <v>45</v>
      </c>
      <c r="H376" s="3">
        <v>45347.25</v>
      </c>
      <c r="I376" s="2" t="s">
        <v>52</v>
      </c>
      <c r="J376" s="2" t="s">
        <v>143</v>
      </c>
      <c r="K376" s="2">
        <v>65</v>
      </c>
      <c r="L376" s="2">
        <v>0</v>
      </c>
      <c r="M376" s="2">
        <v>20</v>
      </c>
      <c r="N376" s="2">
        <v>2.52</v>
      </c>
      <c r="O376" s="2"/>
      <c r="P376" s="2"/>
      <c r="Q376" s="2" t="s">
        <v>95</v>
      </c>
      <c r="R376" s="10" t="s">
        <v>221</v>
      </c>
      <c r="S376" s="14" t="s">
        <v>210</v>
      </c>
      <c r="T376" s="188">
        <f t="shared" si="39"/>
        <v>367.6148197133241</v>
      </c>
      <c r="U376" s="8">
        <f t="shared" si="44"/>
        <v>66.170667548398342</v>
      </c>
      <c r="V376" s="234">
        <f t="shared" si="46"/>
        <v>7418.4670618148803</v>
      </c>
      <c r="W376" s="15">
        <v>25</v>
      </c>
      <c r="X376" s="8">
        <f t="shared" si="40"/>
        <v>4.5</v>
      </c>
      <c r="Y376" s="233">
        <f t="shared" si="41"/>
        <v>1863</v>
      </c>
    </row>
    <row r="377" spans="1:25">
      <c r="A377" s="156" t="e" cm="1">
        <f t="array" aca="1" ref="A377" ca="1">_xlfn.IFS(E377=$AB$42,$AC$42,E377=$AB$43,$AC$43,E377=$AB$44,$AC$44,E377=$AB$45,$AC$45,E377=$AB$46,$AC$46,E377=$AB$47,$AC$47,E377=$AB$48,$AC$48,E377=$AB$49,$AC$49,E377=$AB$50,$AC$50,E377=$AB$51,$AC$51,E377=$AB$52,$AC$52,E377=$AB$53,$AC$53,E377=$AB$54,$AC$54,E377=$AB$55,$AC$55,E377=$AB$56,$AC$56,E377=$AB$57,$AC$57,E377=$AB$58,$AC$58,E377=$AB$59,$AC$59,E377=$AB$60,$AC$60,E377=$AB$61,$AC$61,E377=$AB$62,$AC$62,E377=$AB$63,$AC$63,E377=$AB$64,$AC$64,E377=$AB$65,$AC$65,E377=$AB$66,$AC$66,TRUE,"0")</f>
        <v>#NAME?</v>
      </c>
      <c r="C377" s="161" t="str" cm="1">
        <f t="array" ref="C377">_xlfn.IFS(E377=$AB$42,$AF$42,E377=$AB$43,$AF$43,E377=$AB$44,$AF$44,E377=$AB$45,$AF$45,E377=$AB$46,$AF$46,E377=$AB$47,$AF$47,E377=$AB$48,$AF$48,E377=$AB$49,$AF$49,E377=$AB$50,$AF$50,E377=$AB$51,$AF$51,E377=$AB$52,$AF$52,E377=$AB$53,$AF$53,E377=$AB$54,$AF$54,E377=$AB$55,$AF$55,E377=$AB$56,$AF$56,E377=$AB$57,$AF$57,E377=$AB$58,$AF$58,E377=$AB$59,$AF$59,E377=$AB$60,$AF$60,E377=$AB$61,$AF$61,E377=$AB$62,$AF$62,E377=$AB$63,$AF$63,E377=$AB$64,$AF$64,E377=$AB$65,$AF$65,E377=$AB$66,$AF$66,TRUE,"0")</f>
        <v>B4 match BACK FT +1.5 goals. X AFTER  GOAL</v>
      </c>
      <c r="D377" s="270" t="str" cm="1">
        <f t="array" ref="D377">_xlfn.IFS(E377=$AB$42,$AD$42,E377=$AB$43,$AD$43,E377=$AB$44,$AD$44,E377=$AB$45,$AD$45,E377=$AB$46,$AD$46,E377=$AB$47,$AD$47,E377=$AB$48,$AD$48,E377=$AB$49,$AD$49,E377=$AB$50,$AD$50,E377=$AB$51,$AD$51,E377=$AB$52,$AD$52,E377=$AB$53,$AD$53,E377=$AB$54,$AD$54,E377=$AB$55,$AD$55,E377=$AB$56,$AD$56,E377=$AB$57,$AD$57,E377=$AB$58,$AD$58,E377=$AB$59,$AD$59,E377=$AB$60,$AD$60,E377=$AB$61,$AD$61,E377=$AB$62,$AD$62,E377=$AB$63,$AD$63,E377=$AB$64,$AD$64,E377=$AB$65,$AD$65,E377=$AB$66,$AD$66,TRUE,"0")</f>
        <v xml:space="preserve">BFM </v>
      </c>
      <c r="E377" s="163" t="s">
        <v>406</v>
      </c>
      <c r="F377" s="2" t="s">
        <v>20</v>
      </c>
      <c r="G377" s="2" t="s">
        <v>21</v>
      </c>
      <c r="H377" s="3">
        <v>45347.479166666664</v>
      </c>
      <c r="I377" s="2" t="s">
        <v>358</v>
      </c>
      <c r="J377" s="2" t="s">
        <v>402</v>
      </c>
      <c r="K377" s="2">
        <v>1.39</v>
      </c>
      <c r="L377" s="2">
        <v>10.5</v>
      </c>
      <c r="M377" s="2">
        <v>2.75</v>
      </c>
      <c r="N377" s="2">
        <v>6</v>
      </c>
      <c r="O377" s="2">
        <v>2.48</v>
      </c>
      <c r="P377" s="2"/>
      <c r="Q377" s="2" t="s">
        <v>95</v>
      </c>
      <c r="R377" s="10" t="s">
        <v>210</v>
      </c>
      <c r="S377" s="14" t="s">
        <v>209</v>
      </c>
      <c r="T377" s="188">
        <f t="shared" si="39"/>
        <v>370.92335309074406</v>
      </c>
      <c r="U377" s="8">
        <f t="shared" si="44"/>
        <v>66.766203556333934</v>
      </c>
      <c r="V377" s="234">
        <f t="shared" si="46"/>
        <v>7485.2332653712137</v>
      </c>
      <c r="W377" s="15">
        <v>25</v>
      </c>
      <c r="X377" s="8">
        <f t="shared" si="40"/>
        <v>4.5</v>
      </c>
      <c r="Y377" s="233">
        <f t="shared" si="41"/>
        <v>1867.5</v>
      </c>
    </row>
    <row r="378" spans="1:25">
      <c r="A378" s="156" t="e" cm="1">
        <f t="array" aca="1" ref="A378" ca="1">_xlfn.IFS(E378=$AB$42,$AC$42,E378=$AB$43,$AC$43,E378=$AB$44,$AC$44,E378=$AB$45,$AC$45,E378=$AB$46,$AC$46,E378=$AB$47,$AC$47,E378=$AB$48,$AC$48,E378=$AB$49,$AC$49,E378=$AB$50,$AC$50,E378=$AB$51,$AC$51,E378=$AB$52,$AC$52,E378=$AB$53,$AC$53,E378=$AB$54,$AC$54,E378=$AB$55,$AC$55,E378=$AB$56,$AC$56,E378=$AB$57,$AC$57,E378=$AB$58,$AC$58,E378=$AB$59,$AC$59,E378=$AB$60,$AC$60,E378=$AB$61,$AC$61,E378=$AB$62,$AC$62,E378=$AB$63,$AC$63,E378=$AB$64,$AC$64,E378=$AB$65,$AC$65,E378=$AB$66,$AC$66,TRUE,"0")</f>
        <v>#NAME?</v>
      </c>
      <c r="C378" s="161" t="str" cm="1">
        <f t="array" ref="C378">_xlfn.IFS(E378=$AB$42,$AF$42,E378=$AB$43,$AF$43,E378=$AB$44,$AF$44,E378=$AB$45,$AF$45,E378=$AB$46,$AF$46,E378=$AB$47,$AF$47,E378=$AB$48,$AF$48,E378=$AB$49,$AF$49,E378=$AB$50,$AF$50,E378=$AB$51,$AF$51,E378=$AB$52,$AF$52,E378=$AB$53,$AF$53,E378=$AB$54,$AF$54,E378=$AB$55,$AF$55,E378=$AB$56,$AF$56,E378=$AB$57,$AF$57,E378=$AB$58,$AF$58,E378=$AB$59,$AF$59,E378=$AB$60,$AF$60,E378=$AB$61,$AF$61,E378=$AB$62,$AF$62,E378=$AB$63,$AF$63,E378=$AB$64,$AF$64,E378=$AB$65,$AF$65,E378=$AB$66,$AF$66,TRUE,"0")</f>
        <v>40 mins Back ANother Goal</v>
      </c>
      <c r="D378" s="270" t="str" cm="1">
        <f t="array" ref="D378">_xlfn.IFS(E378=$AB$42,$AD$42,E378=$AB$43,$AD$43,E378=$AB$44,$AD$44,E378=$AB$45,$AD$45,E378=$AB$46,$AD$46,E378=$AB$47,$AD$47,E378=$AB$48,$AD$48,E378=$AB$49,$AD$49,E378=$AB$50,$AD$50,E378=$AB$51,$AD$51,E378=$AB$52,$AD$52,E378=$AB$53,$AD$53,E378=$AB$54,$AD$54,E378=$AB$55,$AD$55,E378=$AB$56,$AD$56,E378=$AB$57,$AD$57,E378=$AB$58,$AD$58,E378=$AB$59,$AD$59,E378=$AB$60,$AD$60,E378=$AB$61,$AD$61,E378=$AB$62,$AD$62,E378=$AB$63,$AD$63,E378=$AB$64,$AD$64,E378=$AB$65,$AD$65,E378=$AB$66,$AD$66,TRUE,"0")</f>
        <v xml:space="preserve">  BANG</v>
      </c>
      <c r="E378" s="163" t="s">
        <v>43</v>
      </c>
      <c r="F378" s="2" t="s">
        <v>20</v>
      </c>
      <c r="G378" s="2" t="s">
        <v>21</v>
      </c>
      <c r="H378" s="3">
        <v>45347.479166666664</v>
      </c>
      <c r="I378" s="2" t="s">
        <v>358</v>
      </c>
      <c r="J378" s="2" t="s">
        <v>402</v>
      </c>
      <c r="K378" s="2">
        <v>77</v>
      </c>
      <c r="L378" s="2">
        <v>67</v>
      </c>
      <c r="M378" s="2">
        <v>63</v>
      </c>
      <c r="N378" s="2">
        <v>1.7</v>
      </c>
      <c r="O378" s="2">
        <v>1.29</v>
      </c>
      <c r="P378" s="2"/>
      <c r="Q378" s="2" t="s">
        <v>95</v>
      </c>
      <c r="R378" s="10" t="s">
        <v>210</v>
      </c>
      <c r="S378" s="14" t="s">
        <v>209</v>
      </c>
      <c r="T378" s="188">
        <f t="shared" si="39"/>
        <v>374.26166326856071</v>
      </c>
      <c r="U378" s="8">
        <f t="shared" si="44"/>
        <v>67.367099388340932</v>
      </c>
      <c r="V378" s="234">
        <f t="shared" si="46"/>
        <v>7552.6003647595544</v>
      </c>
      <c r="W378" s="15">
        <v>25</v>
      </c>
      <c r="X378" s="8">
        <f t="shared" si="40"/>
        <v>4.5</v>
      </c>
      <c r="Y378" s="233">
        <f t="shared" si="41"/>
        <v>1872</v>
      </c>
    </row>
    <row r="379" spans="1:25">
      <c r="A379" s="156" t="e" cm="1">
        <f t="array" aca="1" ref="A379" ca="1">_xlfn.IFS(E379=$AB$42,$AC$42,E379=$AB$43,$AC$43,E379=$AB$44,$AC$44,E379=$AB$45,$AC$45,E379=$AB$46,$AC$46,E379=$AB$47,$AC$47,E379=$AB$48,$AC$48,E379=$AB$49,$AC$49,E379=$AB$50,$AC$50,E379=$AB$51,$AC$51,E379=$AB$52,$AC$52,E379=$AB$53,$AC$53,E379=$AB$54,$AC$54,E379=$AB$55,$AC$55,E379=$AB$56,$AC$56,E379=$AB$57,$AC$57,E379=$AB$58,$AC$58,E379=$AB$59,$AC$59,E379=$AB$60,$AC$60,E379=$AB$61,$AC$61,E379=$AB$62,$AC$62,E379=$AB$63,$AC$63,E379=$AB$64,$AC$64,E379=$AB$65,$AC$65,E379=$AB$66,$AC$66,TRUE,"0")</f>
        <v>#NAME?</v>
      </c>
      <c r="C379" s="161" t="str" cm="1">
        <f t="array" ref="C379">_xlfn.IFS(E379=$AB$42,$AF$42,E379=$AB$43,$AF$43,E379=$AB$44,$AF$44,E379=$AB$45,$AF$45,E379=$AB$46,$AF$46,E379=$AB$47,$AF$47,E379=$AB$48,$AF$48,E379=$AB$49,$AF$49,E379=$AB$50,$AF$50,E379=$AB$51,$AF$51,E379=$AB$52,$AF$52,E379=$AB$53,$AF$53,E379=$AB$54,$AF$54,E379=$AB$55,$AF$55,E379=$AB$56,$AF$56,E379=$AB$57,$AF$57,E379=$AB$58,$AF$58,E379=$AB$59,$AF$59,E379=$AB$60,$AF$60,E379=$AB$61,$AF$61,E379=$AB$62,$AF$62,E379=$AB$63,$AF$63,E379=$AB$64,$AF$64,E379=$AB$65,$AF$65,E379=$AB$66,$AF$66,TRUE,"0")</f>
        <v>if 0-0, BACK+ 0.5 GOALS  @ 1.15+odds.  or @ 40 mins</v>
      </c>
      <c r="D379" s="270" t="str" cm="1">
        <f t="array" ref="D379">_xlfn.IFS(E379=$AB$42,$AD$42,E379=$AB$43,$AD$43,E379=$AB$44,$AD$44,E379=$AB$45,$AD$45,E379=$AB$46,$AD$46,E379=$AB$47,$AD$47,E379=$AB$48,$AD$48,E379=$AB$49,$AD$49,E379=$AB$50,$AD$50,E379=$AB$51,$AD$51,E379=$AB$52,$AD$52,E379=$AB$53,$AD$53,E379=$AB$54,$AD$54,E379=$AB$55,$AD$55,E379=$AB$56,$AD$56,E379=$AB$57,$AD$57,E379=$AB$58,$AD$58,E379=$AB$59,$AD$59,E379=$AB$60,$AD$60,E379=$AB$61,$AD$61,E379=$AB$62,$AD$62,E379=$AB$63,$AD$63,E379=$AB$64,$AD$64,E379=$AB$65,$AD$65,E379=$AB$66,$AD$66,TRUE,"0")</f>
        <v>IP</v>
      </c>
      <c r="E379" s="163" t="s">
        <v>270</v>
      </c>
      <c r="F379" s="2" t="s">
        <v>20</v>
      </c>
      <c r="G379" s="2" t="s">
        <v>21</v>
      </c>
      <c r="H379" s="3">
        <v>45347.479166666664</v>
      </c>
      <c r="I379" s="2" t="s">
        <v>358</v>
      </c>
      <c r="J379" s="2" t="s">
        <v>402</v>
      </c>
      <c r="K379" s="2">
        <v>62</v>
      </c>
      <c r="L379" s="2">
        <v>0</v>
      </c>
      <c r="M379" s="2">
        <v>20</v>
      </c>
      <c r="N379" s="2">
        <v>2.48</v>
      </c>
      <c r="O379" s="2"/>
      <c r="P379" s="2"/>
      <c r="Q379" s="2" t="s">
        <v>95</v>
      </c>
      <c r="R379" s="10" t="s">
        <v>210</v>
      </c>
      <c r="S379" s="14" t="s">
        <v>209</v>
      </c>
      <c r="T379" s="188">
        <f t="shared" si="39"/>
        <v>377.63001823797777</v>
      </c>
      <c r="U379" s="8">
        <f t="shared" si="44"/>
        <v>67.973403282835989</v>
      </c>
      <c r="V379" s="234">
        <f t="shared" si="46"/>
        <v>7620.5737680423899</v>
      </c>
      <c r="W379" s="15">
        <v>25</v>
      </c>
      <c r="X379" s="8">
        <f t="shared" si="40"/>
        <v>4.5</v>
      </c>
      <c r="Y379" s="233">
        <f t="shared" si="41"/>
        <v>1876.5</v>
      </c>
    </row>
    <row r="380" spans="1:25">
      <c r="A380" s="156" t="e" cm="1">
        <f t="array" aca="1" ref="A380" ca="1">_xlfn.IFS(E380=$AB$42,$AC$42,E380=$AB$43,$AC$43,E380=$AB$44,$AC$44,E380=$AB$45,$AC$45,E380=$AB$46,$AC$46,E380=$AB$47,$AC$47,E380=$AB$48,$AC$48,E380=$AB$49,$AC$49,E380=$AB$50,$AC$50,E380=$AB$51,$AC$51,E380=$AB$52,$AC$52,E380=$AB$53,$AC$53,E380=$AB$54,$AC$54,E380=$AB$55,$AC$55,E380=$AB$56,$AC$56,E380=$AB$57,$AC$57,E380=$AB$58,$AC$58,E380=$AB$59,$AC$59,E380=$AB$60,$AC$60,E380=$AB$61,$AC$61,E380=$AB$62,$AC$62,E380=$AB$63,$AC$63,E380=$AB$64,$AC$64,E380=$AB$65,$AC$65,E380=$AB$66,$AC$66,TRUE,"0")</f>
        <v>#NAME?</v>
      </c>
      <c r="C380" s="161" t="str" cm="1">
        <f t="array" ref="C380">_xlfn.IFS(E380=$AB$42,$AF$42,E380=$AB$43,$AF$43,E380=$AB$44,$AF$44,E380=$AB$45,$AF$45,E380=$AB$46,$AF$46,E380=$AB$47,$AF$47,E380=$AB$48,$AF$48,E380=$AB$49,$AF$49,E380=$AB$50,$AF$50,E380=$AB$51,$AF$51,E380=$AB$52,$AF$52,E380=$AB$53,$AF$53,E380=$AB$54,$AF$54,E380=$AB$55,$AF$55,E380=$AB$56,$AF$56,E380=$AB$57,$AF$57,E380=$AB$58,$AF$58,E380=$AB$59,$AF$59,E380=$AB$60,$AF$60,E380=$AB$61,$AF$61,E380=$AB$62,$AF$62,E380=$AB$63,$AF$63,E380=$AB$64,$AF$64,E380=$AB$65,$AF$65,E380=$AB$66,$AF$66,TRUE,"0")</f>
        <v>if 0-0, BACK+ 0.5 GOALS  @ 1.15+odds.  or @ 40 mins</v>
      </c>
      <c r="D380" s="270" t="str" cm="1">
        <f t="array" ref="D380">_xlfn.IFS(E380=$AB$42,$AD$42,E380=$AB$43,$AD$43,E380=$AB$44,$AD$44,E380=$AB$45,$AD$45,E380=$AB$46,$AD$46,E380=$AB$47,$AD$47,E380=$AB$48,$AD$48,E380=$AB$49,$AD$49,E380=$AB$50,$AD$50,E380=$AB$51,$AD$51,E380=$AB$52,$AD$52,E380=$AB$53,$AD$53,E380=$AB$54,$AD$54,E380=$AB$55,$AD$55,E380=$AB$56,$AD$56,E380=$AB$57,$AD$57,E380=$AB$58,$AD$58,E380=$AB$59,$AD$59,E380=$AB$60,$AD$60,E380=$AB$61,$AD$61,E380=$AB$62,$AD$62,E380=$AB$63,$AD$63,E380=$AB$64,$AD$64,E380=$AB$65,$AD$65,E380=$AB$66,$AD$66,TRUE,"0")</f>
        <v>IP</v>
      </c>
      <c r="E380" s="163" t="s">
        <v>270</v>
      </c>
      <c r="F380" s="2" t="s">
        <v>412</v>
      </c>
      <c r="G380" s="2" t="s">
        <v>156</v>
      </c>
      <c r="H380" s="3">
        <v>45347.5625</v>
      </c>
      <c r="I380" s="2" t="s">
        <v>462</v>
      </c>
      <c r="J380" s="2" t="s">
        <v>463</v>
      </c>
      <c r="K380" s="2">
        <v>59</v>
      </c>
      <c r="L380" s="2">
        <v>0</v>
      </c>
      <c r="M380" s="2">
        <v>20</v>
      </c>
      <c r="N380" s="2">
        <v>1.43</v>
      </c>
      <c r="O380" s="2"/>
      <c r="P380" s="2"/>
      <c r="Q380" s="2" t="s">
        <v>95</v>
      </c>
      <c r="R380" s="10" t="s">
        <v>214</v>
      </c>
      <c r="S380" s="14" t="s">
        <v>220</v>
      </c>
      <c r="T380" s="188">
        <f t="shared" si="39"/>
        <v>381.02868840211954</v>
      </c>
      <c r="U380" s="8">
        <f t="shared" si="44"/>
        <v>68.585163912381518</v>
      </c>
      <c r="V380" s="234">
        <f t="shared" si="46"/>
        <v>7689.1589319547711</v>
      </c>
      <c r="W380" s="15">
        <v>25</v>
      </c>
      <c r="X380" s="8">
        <f t="shared" si="40"/>
        <v>4.5</v>
      </c>
      <c r="Y380" s="233">
        <f t="shared" si="41"/>
        <v>1881</v>
      </c>
    </row>
    <row r="381" spans="1:25">
      <c r="A381" s="156" t="e" cm="1">
        <f t="array" aca="1" ref="A381" ca="1">_xlfn.IFS(E381=$AB$42,$AC$42,E381=$AB$43,$AC$43,E381=$AB$44,$AC$44,E381=$AB$45,$AC$45,E381=$AB$46,$AC$46,E381=$AB$47,$AC$47,E381=$AB$48,$AC$48,E381=$AB$49,$AC$49,E381=$AB$50,$AC$50,E381=$AB$51,$AC$51,E381=$AB$52,$AC$52,E381=$AB$53,$AC$53,E381=$AB$54,$AC$54,E381=$AB$55,$AC$55,E381=$AB$56,$AC$56,E381=$AB$57,$AC$57,E381=$AB$58,$AC$58,E381=$AB$59,$AC$59,E381=$AB$60,$AC$60,E381=$AB$61,$AC$61,E381=$AB$62,$AC$62,E381=$AB$63,$AC$63,E381=$AB$64,$AC$64,E381=$AB$65,$AC$65,E381=$AB$66,$AC$66,TRUE,"0")</f>
        <v>#NAME?</v>
      </c>
      <c r="C381" s="161" t="str" cm="1">
        <f t="array" ref="C381">_xlfn.IFS(E381=$AB$42,$AF$42,E381=$AB$43,$AF$43,E381=$AB$44,$AF$44,E381=$AB$45,$AF$45,E381=$AB$46,$AF$46,E381=$AB$47,$AF$47,E381=$AB$48,$AF$48,E381=$AB$49,$AF$49,E381=$AB$50,$AF$50,E381=$AB$51,$AF$51,E381=$AB$52,$AF$52,E381=$AB$53,$AF$53,E381=$AB$54,$AF$54,E381=$AB$55,$AF$55,E381=$AB$56,$AF$56,E381=$AB$57,$AF$57,E381=$AB$58,$AF$58,E381=$AB$59,$AF$59,E381=$AB$60,$AF$60,E381=$AB$61,$AF$61,E381=$AB$62,$AF$62,E381=$AB$63,$AF$63,E381=$AB$64,$AF$64,E381=$AB$65,$AF$65,E381=$AB$66,$AF$66,TRUE,"0")</f>
        <v>if 0-0, BACK+ 0.5 GOALS  @ 1.15+odds.  or @ 40 mins</v>
      </c>
      <c r="D381" s="270" t="str" cm="1">
        <f t="array" ref="D381">_xlfn.IFS(E381=$AB$42,$AD$42,E381=$AB$43,$AD$43,E381=$AB$44,$AD$44,E381=$AB$45,$AD$45,E381=$AB$46,$AD$46,E381=$AB$47,$AD$47,E381=$AB$48,$AD$48,E381=$AB$49,$AD$49,E381=$AB$50,$AD$50,E381=$AB$51,$AD$51,E381=$AB$52,$AD$52,E381=$AB$53,$AD$53,E381=$AB$54,$AD$54,E381=$AB$55,$AD$55,E381=$AB$56,$AD$56,E381=$AB$57,$AD$57,E381=$AB$58,$AD$58,E381=$AB$59,$AD$59,E381=$AB$60,$AD$60,E381=$AB$61,$AD$61,E381=$AB$62,$AD$62,E381=$AB$63,$AD$63,E381=$AB$64,$AD$64,E381=$AB$65,$AD$65,E381=$AB$66,$AD$66,TRUE,"0")</f>
        <v>IP</v>
      </c>
      <c r="E381" s="163" t="s">
        <v>270</v>
      </c>
      <c r="F381" s="2" t="s">
        <v>6</v>
      </c>
      <c r="G381" s="2" t="s">
        <v>62</v>
      </c>
      <c r="H381" s="3">
        <v>45347.5625</v>
      </c>
      <c r="I381" s="2" t="s">
        <v>64</v>
      </c>
      <c r="J381" s="2" t="s">
        <v>85</v>
      </c>
      <c r="K381" s="2">
        <v>60</v>
      </c>
      <c r="L381" s="2">
        <v>0</v>
      </c>
      <c r="M381" s="2">
        <v>20</v>
      </c>
      <c r="N381" s="2">
        <v>2.63</v>
      </c>
      <c r="O381" s="2"/>
      <c r="P381" s="2"/>
      <c r="Q381" s="2" t="s">
        <v>95</v>
      </c>
      <c r="R381" s="10" t="s">
        <v>214</v>
      </c>
      <c r="S381" s="14" t="s">
        <v>214</v>
      </c>
      <c r="T381" s="188">
        <f t="shared" si="39"/>
        <v>384.45794659773856</v>
      </c>
      <c r="U381" s="8">
        <f t="shared" si="44"/>
        <v>69.202430387592941</v>
      </c>
      <c r="V381" s="234">
        <f t="shared" si="46"/>
        <v>7758.3613623423644</v>
      </c>
      <c r="W381" s="15">
        <v>25</v>
      </c>
      <c r="X381" s="8">
        <f t="shared" si="40"/>
        <v>4.5</v>
      </c>
      <c r="Y381" s="233">
        <f t="shared" si="41"/>
        <v>1885.5</v>
      </c>
    </row>
    <row r="382" spans="1:25">
      <c r="A382" s="156" t="e" cm="1">
        <f t="array" aca="1" ref="A382" ca="1">_xlfn.IFS(E382=$AB$42,$AC$42,E382=$AB$43,$AC$43,E382=$AB$44,$AC$44,E382=$AB$45,$AC$45,E382=$AB$46,$AC$46,E382=$AB$47,$AC$47,E382=$AB$48,$AC$48,E382=$AB$49,$AC$49,E382=$AB$50,$AC$50,E382=$AB$51,$AC$51,E382=$AB$52,$AC$52,E382=$AB$53,$AC$53,E382=$AB$54,$AC$54,E382=$AB$55,$AC$55,E382=$AB$56,$AC$56,E382=$AB$57,$AC$57,E382=$AB$58,$AC$58,E382=$AB$59,$AC$59,E382=$AB$60,$AC$60,E382=$AB$61,$AC$61,E382=$AB$62,$AC$62,E382=$AB$63,$AC$63,E382=$AB$64,$AC$64,E382=$AB$65,$AC$65,E382=$AB$66,$AC$66,TRUE,"0")</f>
        <v>#NAME?</v>
      </c>
      <c r="C382" s="161" t="str" cm="1">
        <f t="array" ref="C382">_xlfn.IFS(E382=$AB$42,$AF$42,E382=$AB$43,$AF$43,E382=$AB$44,$AF$44,E382=$AB$45,$AF$45,E382=$AB$46,$AF$46,E382=$AB$47,$AF$47,E382=$AB$48,$AF$48,E382=$AB$49,$AF$49,E382=$AB$50,$AF$50,E382=$AB$51,$AF$51,E382=$AB$52,$AF$52,E382=$AB$53,$AF$53,E382=$AB$54,$AF$54,E382=$AB$55,$AF$55,E382=$AB$56,$AF$56,E382=$AB$57,$AF$57,E382=$AB$58,$AF$58,E382=$AB$59,$AF$59,E382=$AB$60,$AF$60,E382=$AB$61,$AF$61,E382=$AB$62,$AF$62,E382=$AB$63,$AF$63,E382=$AB$64,$AF$64,E382=$AB$65,$AF$65,E382=$AB$66,$AF$66,TRUE,"0")</f>
        <v>if 0-0, BACK+ 0.5 GOALS  @ 1.15+odds.  or @ 40 mins</v>
      </c>
      <c r="D382" s="270" t="str" cm="1">
        <f t="array" ref="D382">_xlfn.IFS(E382=$AB$42,$AD$42,E382=$AB$43,$AD$43,E382=$AB$44,$AD$44,E382=$AB$45,$AD$45,E382=$AB$46,$AD$46,E382=$AB$47,$AD$47,E382=$AB$48,$AD$48,E382=$AB$49,$AD$49,E382=$AB$50,$AD$50,E382=$AB$51,$AD$51,E382=$AB$52,$AD$52,E382=$AB$53,$AD$53,E382=$AB$54,$AD$54,E382=$AB$55,$AD$55,E382=$AB$56,$AD$56,E382=$AB$57,$AD$57,E382=$AB$58,$AD$58,E382=$AB$59,$AD$59,E382=$AB$60,$AD$60,E382=$AB$61,$AD$61,E382=$AB$62,$AD$62,E382=$AB$63,$AD$63,E382=$AB$64,$AD$64,E382=$AB$65,$AD$65,E382=$AB$66,$AD$66,TRUE,"0")</f>
        <v>IP</v>
      </c>
      <c r="E382" s="163" t="s">
        <v>270</v>
      </c>
      <c r="F382" s="2" t="s">
        <v>67</v>
      </c>
      <c r="G382" s="2" t="s">
        <v>169</v>
      </c>
      <c r="H382" s="3">
        <v>45347.625</v>
      </c>
      <c r="I382" s="2" t="s">
        <v>170</v>
      </c>
      <c r="J382" s="2" t="s">
        <v>204</v>
      </c>
      <c r="K382" s="2">
        <v>60</v>
      </c>
      <c r="L382" s="2">
        <v>0</v>
      </c>
      <c r="M382" s="2">
        <v>20</v>
      </c>
      <c r="N382" s="2">
        <v>1.37</v>
      </c>
      <c r="O382" s="2"/>
      <c r="P382" s="2"/>
      <c r="Q382" s="2" t="s">
        <v>95</v>
      </c>
      <c r="R382" s="10" t="s">
        <v>221</v>
      </c>
      <c r="S382" s="14" t="s">
        <v>216</v>
      </c>
      <c r="T382" s="188">
        <f t="shared" si="39"/>
        <v>387.91806811711825</v>
      </c>
      <c r="U382" s="8">
        <f t="shared" si="44"/>
        <v>69.825252261081289</v>
      </c>
      <c r="V382" s="234">
        <f t="shared" si="46"/>
        <v>7828.1866146034454</v>
      </c>
      <c r="W382" s="15">
        <v>25</v>
      </c>
      <c r="X382" s="8">
        <f t="shared" si="40"/>
        <v>4.5</v>
      </c>
      <c r="Y382" s="233">
        <f t="shared" si="41"/>
        <v>1890</v>
      </c>
    </row>
    <row r="383" spans="1:25">
      <c r="A383" s="156" t="e" cm="1">
        <f t="array" aca="1" ref="A383" ca="1">_xlfn.IFS(E383=$AB$42,$AC$42,E383=$AB$43,$AC$43,E383=$AB$44,$AC$44,E383=$AB$45,$AC$45,E383=$AB$46,$AC$46,E383=$AB$47,$AC$47,E383=$AB$48,$AC$48,E383=$AB$49,$AC$49,E383=$AB$50,$AC$50,E383=$AB$51,$AC$51,E383=$AB$52,$AC$52,E383=$AB$53,$AC$53,E383=$AB$54,$AC$54,E383=$AB$55,$AC$55,E383=$AB$56,$AC$56,E383=$AB$57,$AC$57,E383=$AB$58,$AC$58,E383=$AB$59,$AC$59,E383=$AB$60,$AC$60,E383=$AB$61,$AC$61,E383=$AB$62,$AC$62,E383=$AB$63,$AC$63,E383=$AB$64,$AC$64,E383=$AB$65,$AC$65,E383=$AB$66,$AC$66,TRUE,"0")</f>
        <v>#NAME?</v>
      </c>
      <c r="C383" s="161" t="str" cm="1">
        <f t="array" ref="C383">_xlfn.IFS(E383=$AB$42,$AF$42,E383=$AB$43,$AF$43,E383=$AB$44,$AF$44,E383=$AB$45,$AF$45,E383=$AB$46,$AF$46,E383=$AB$47,$AF$47,E383=$AB$48,$AF$48,E383=$AB$49,$AF$49,E383=$AB$50,$AF$50,E383=$AB$51,$AF$51,E383=$AB$52,$AF$52,E383=$AB$53,$AF$53,E383=$AB$54,$AF$54,E383=$AB$55,$AF$55,E383=$AB$56,$AF$56,E383=$AB$57,$AF$57,E383=$AB$58,$AF$58,E383=$AB$59,$AF$59,E383=$AB$60,$AF$60,E383=$AB$61,$AF$61,E383=$AB$62,$AF$62,E383=$AB$63,$AF$63,E383=$AB$64,$AF$64,E383=$AB$65,$AF$65,E383=$AB$66,$AF$66,TRUE,"0")</f>
        <v>if 0-0, BACK+ 0.5 GOALS  @ 1.15+odds.  or @ 40 mins</v>
      </c>
      <c r="D383" s="270" t="str" cm="1">
        <f t="array" ref="D383">_xlfn.IFS(E383=$AB$42,$AD$42,E383=$AB$43,$AD$43,E383=$AB$44,$AD$44,E383=$AB$45,$AD$45,E383=$AB$46,$AD$46,E383=$AB$47,$AD$47,E383=$AB$48,$AD$48,E383=$AB$49,$AD$49,E383=$AB$50,$AD$50,E383=$AB$51,$AD$51,E383=$AB$52,$AD$52,E383=$AB$53,$AD$53,E383=$AB$54,$AD$54,E383=$AB$55,$AD$55,E383=$AB$56,$AD$56,E383=$AB$57,$AD$57,E383=$AB$58,$AD$58,E383=$AB$59,$AD$59,E383=$AB$60,$AD$60,E383=$AB$61,$AD$61,E383=$AB$62,$AD$62,E383=$AB$63,$AD$63,E383=$AB$64,$AD$64,E383=$AB$65,$AD$65,E383=$AB$66,$AD$66,TRUE,"0")</f>
        <v>IP</v>
      </c>
      <c r="E383" s="163" t="s">
        <v>270</v>
      </c>
      <c r="F383" s="2" t="s">
        <v>133</v>
      </c>
      <c r="G383" s="2" t="s">
        <v>78</v>
      </c>
      <c r="H383" s="3">
        <v>45347.625</v>
      </c>
      <c r="I383" s="2" t="s">
        <v>423</v>
      </c>
      <c r="J383" s="2" t="s">
        <v>137</v>
      </c>
      <c r="K383" s="2">
        <v>59</v>
      </c>
      <c r="L383" s="2">
        <v>0</v>
      </c>
      <c r="M383" s="2">
        <v>20</v>
      </c>
      <c r="N383" s="2">
        <v>2.5499999999999998</v>
      </c>
      <c r="O383" s="2"/>
      <c r="P383" s="2"/>
      <c r="Q383" s="2" t="s">
        <v>95</v>
      </c>
      <c r="R383" s="10" t="s">
        <v>214</v>
      </c>
      <c r="S383" s="14" t="s">
        <v>211</v>
      </c>
      <c r="T383" s="188">
        <f t="shared" si="39"/>
        <v>391.40933073017231</v>
      </c>
      <c r="U383" s="8">
        <f t="shared" si="44"/>
        <v>70.453679531431007</v>
      </c>
      <c r="V383" s="234">
        <f t="shared" si="46"/>
        <v>7898.6402941348761</v>
      </c>
      <c r="W383" s="15">
        <v>25</v>
      </c>
      <c r="X383" s="8">
        <f t="shared" si="40"/>
        <v>4.5</v>
      </c>
      <c r="Y383" s="233">
        <f t="shared" si="41"/>
        <v>1894.5</v>
      </c>
    </row>
    <row r="384" spans="1:25">
      <c r="A384" s="156" t="e" cm="1">
        <f t="array" aca="1" ref="A384" ca="1">_xlfn.IFS(E384=$AB$42,$AC$42,E384=$AB$43,$AC$43,E384=$AB$44,$AC$44,E384=$AB$45,$AC$45,E384=$AB$46,$AC$46,E384=$AB$47,$AC$47,E384=$AB$48,$AC$48,E384=$AB$49,$AC$49,E384=$AB$50,$AC$50,E384=$AB$51,$AC$51,E384=$AB$52,$AC$52,E384=$AB$53,$AC$53,E384=$AB$54,$AC$54,E384=$AB$55,$AC$55,E384=$AB$56,$AC$56,E384=$AB$57,$AC$57,E384=$AB$58,$AC$58,E384=$AB$59,$AC$59,E384=$AB$60,$AC$60,E384=$AB$61,$AC$61,E384=$AB$62,$AC$62,E384=$AB$63,$AC$63,E384=$AB$64,$AC$64,E384=$AB$65,$AC$65,E384=$AB$66,$AC$66,TRUE,"0")</f>
        <v>#NAME?</v>
      </c>
      <c r="C384" s="161" t="str" cm="1">
        <f t="array" ref="C384">_xlfn.IFS(E384=$AB$42,$AF$42,E384=$AB$43,$AF$43,E384=$AB$44,$AF$44,E384=$AB$45,$AF$45,E384=$AB$46,$AF$46,E384=$AB$47,$AF$47,E384=$AB$48,$AF$48,E384=$AB$49,$AF$49,E384=$AB$50,$AF$50,E384=$AB$51,$AF$51,E384=$AB$52,$AF$52,E384=$AB$53,$AF$53,E384=$AB$54,$AF$54,E384=$AB$55,$AF$55,E384=$AB$56,$AF$56,E384=$AB$57,$AF$57,E384=$AB$58,$AF$58,E384=$AB$59,$AF$59,E384=$AB$60,$AF$60,E384=$AB$61,$AF$61,E384=$AB$62,$AF$62,E384=$AB$63,$AF$63,E384=$AB$64,$AF$64,E384=$AB$65,$AF$65,E384=$AB$66,$AF$66,TRUE,"0")</f>
        <v>if 0-0, BACK+ 0.5 GOALS  @ 1.15+odds.  or @ 40 mins</v>
      </c>
      <c r="D384" s="270" t="str" cm="1">
        <f t="array" ref="D384">_xlfn.IFS(E384=$AB$42,$AD$42,E384=$AB$43,$AD$43,E384=$AB$44,$AD$44,E384=$AB$45,$AD$45,E384=$AB$46,$AD$46,E384=$AB$47,$AD$47,E384=$AB$48,$AD$48,E384=$AB$49,$AD$49,E384=$AB$50,$AD$50,E384=$AB$51,$AD$51,E384=$AB$52,$AD$52,E384=$AB$53,$AD$53,E384=$AB$54,$AD$54,E384=$AB$55,$AD$55,E384=$AB$56,$AD$56,E384=$AB$57,$AD$57,E384=$AB$58,$AD$58,E384=$AB$59,$AD$59,E384=$AB$60,$AD$60,E384=$AB$61,$AD$61,E384=$AB$62,$AD$62,E384=$AB$63,$AD$63,E384=$AB$64,$AD$64,E384=$AB$65,$AD$65,E384=$AB$66,$AD$66,TRUE,"0")</f>
        <v>IP</v>
      </c>
      <c r="E384" s="163" t="s">
        <v>270</v>
      </c>
      <c r="F384" s="2" t="s">
        <v>434</v>
      </c>
      <c r="G384" s="2" t="s">
        <v>435</v>
      </c>
      <c r="H384" s="3">
        <v>45347.708333333336</v>
      </c>
      <c r="I384" s="2" t="s">
        <v>464</v>
      </c>
      <c r="J384" s="2" t="s">
        <v>437</v>
      </c>
      <c r="K384" s="2">
        <v>63</v>
      </c>
      <c r="L384" s="2">
        <v>0</v>
      </c>
      <c r="M384" s="2">
        <v>20</v>
      </c>
      <c r="N384" s="2">
        <v>1.1599999999999999</v>
      </c>
      <c r="O384" s="2"/>
      <c r="P384" s="2"/>
      <c r="Q384" s="2" t="s">
        <v>95</v>
      </c>
      <c r="R384" s="10" t="s">
        <v>216</v>
      </c>
      <c r="S384" s="14" t="s">
        <v>213</v>
      </c>
      <c r="T384" s="188">
        <f t="shared" si="39"/>
        <v>394.93201470674381</v>
      </c>
      <c r="U384" s="8">
        <f t="shared" si="44"/>
        <v>71.087762647213879</v>
      </c>
      <c r="V384" s="234">
        <f t="shared" si="46"/>
        <v>7969.7280567820899</v>
      </c>
      <c r="W384" s="15">
        <v>25</v>
      </c>
      <c r="X384" s="8">
        <f t="shared" si="40"/>
        <v>4.5</v>
      </c>
      <c r="Y384" s="233">
        <f t="shared" si="41"/>
        <v>1899</v>
      </c>
    </row>
    <row r="385" spans="1:25">
      <c r="A385" s="156" t="e" cm="1">
        <f t="array" aca="1" ref="A385" ca="1">_xlfn.IFS(E385=$AB$42,$AC$42,E385=$AB$43,$AC$43,E385=$AB$44,$AC$44,E385=$AB$45,$AC$45,E385=$AB$46,$AC$46,E385=$AB$47,$AC$47,E385=$AB$48,$AC$48,E385=$AB$49,$AC$49,E385=$AB$50,$AC$50,E385=$AB$51,$AC$51,E385=$AB$52,$AC$52,E385=$AB$53,$AC$53,E385=$AB$54,$AC$54,E385=$AB$55,$AC$55,E385=$AB$56,$AC$56,E385=$AB$57,$AC$57,E385=$AB$58,$AC$58,E385=$AB$59,$AC$59,E385=$AB$60,$AC$60,E385=$AB$61,$AC$61,E385=$AB$62,$AC$62,E385=$AB$63,$AC$63,E385=$AB$64,$AC$64,E385=$AB$65,$AC$65,E385=$AB$66,$AC$66,TRUE,"0")</f>
        <v>#NAME?</v>
      </c>
      <c r="C385" s="161" t="str" cm="1">
        <f t="array" ref="C385">_xlfn.IFS(E385=$AB$42,$AF$42,E385=$AB$43,$AF$43,E385=$AB$44,$AF$44,E385=$AB$45,$AF$45,E385=$AB$46,$AF$46,E385=$AB$47,$AF$47,E385=$AB$48,$AF$48,E385=$AB$49,$AF$49,E385=$AB$50,$AF$50,E385=$AB$51,$AF$51,E385=$AB$52,$AF$52,E385=$AB$53,$AF$53,E385=$AB$54,$AF$54,E385=$AB$55,$AF$55,E385=$AB$56,$AF$56,E385=$AB$57,$AF$57,E385=$AB$58,$AF$58,E385=$AB$59,$AF$59,E385=$AB$60,$AF$60,E385=$AB$61,$AF$61,E385=$AB$62,$AF$62,E385=$AB$63,$AF$63,E385=$AB$64,$AF$64,E385=$AB$65,$AF$65,E385=$AB$66,$AF$66,TRUE,"0")</f>
        <v>40 mins Back ANother Goal</v>
      </c>
      <c r="D385" s="270" t="str" cm="1">
        <f t="array" ref="D385">_xlfn.IFS(E385=$AB$42,$AD$42,E385=$AB$43,$AD$43,E385=$AB$44,$AD$44,E385=$AB$45,$AD$45,E385=$AB$46,$AD$46,E385=$AB$47,$AD$47,E385=$AB$48,$AD$48,E385=$AB$49,$AD$49,E385=$AB$50,$AD$50,E385=$AB$51,$AD$51,E385=$AB$52,$AD$52,E385=$AB$53,$AD$53,E385=$AB$54,$AD$54,E385=$AB$55,$AD$55,E385=$AB$56,$AD$56,E385=$AB$57,$AD$57,E385=$AB$58,$AD$58,E385=$AB$59,$AD$59,E385=$AB$60,$AD$60,E385=$AB$61,$AD$61,E385=$AB$62,$AD$62,E385=$AB$63,$AD$63,E385=$AB$64,$AD$64,E385=$AB$65,$AD$65,E385=$AB$66,$AD$66,TRUE,"0")</f>
        <v xml:space="preserve">  BANG</v>
      </c>
      <c r="E385" s="163" t="s">
        <v>43</v>
      </c>
      <c r="F385" s="2" t="s">
        <v>20</v>
      </c>
      <c r="G385" s="2" t="s">
        <v>21</v>
      </c>
      <c r="H385" s="3">
        <v>45347.708333333336</v>
      </c>
      <c r="I385" s="2" t="s">
        <v>98</v>
      </c>
      <c r="J385" s="2" t="s">
        <v>25</v>
      </c>
      <c r="K385" s="2">
        <v>73</v>
      </c>
      <c r="L385" s="2">
        <v>65</v>
      </c>
      <c r="M385" s="2">
        <v>62</v>
      </c>
      <c r="N385" s="2">
        <v>1.85</v>
      </c>
      <c r="O385" s="2">
        <v>1.4</v>
      </c>
      <c r="P385" s="2"/>
      <c r="Q385" s="2" t="s">
        <v>95</v>
      </c>
      <c r="R385" s="10" t="s">
        <v>193</v>
      </c>
      <c r="S385" s="14" t="s">
        <v>288</v>
      </c>
      <c r="T385" s="188">
        <f t="shared" si="39"/>
        <v>398.48640283910453</v>
      </c>
      <c r="U385" s="8">
        <f t="shared" si="44"/>
        <v>71.727552511038809</v>
      </c>
      <c r="V385" s="234">
        <f t="shared" si="46"/>
        <v>8041.4556092931289</v>
      </c>
      <c r="W385" s="15">
        <v>25</v>
      </c>
      <c r="X385" s="8">
        <f t="shared" si="40"/>
        <v>4.5</v>
      </c>
      <c r="Y385" s="233">
        <f t="shared" si="41"/>
        <v>1903.5</v>
      </c>
    </row>
    <row r="386" spans="1:25">
      <c r="A386" s="156" t="e" cm="1">
        <f t="array" aca="1" ref="A386" ca="1">_xlfn.IFS(E386=$AB$42,$AC$42,E386=$AB$43,$AC$43,E386=$AB$44,$AC$44,E386=$AB$45,$AC$45,E386=$AB$46,$AC$46,E386=$AB$47,$AC$47,E386=$AB$48,$AC$48,E386=$AB$49,$AC$49,E386=$AB$50,$AC$50,E386=$AB$51,$AC$51,E386=$AB$52,$AC$52,E386=$AB$53,$AC$53,E386=$AB$54,$AC$54,E386=$AB$55,$AC$55,E386=$AB$56,$AC$56,E386=$AB$57,$AC$57,E386=$AB$58,$AC$58,E386=$AB$59,$AC$59,E386=$AB$60,$AC$60,E386=$AB$61,$AC$61,E386=$AB$62,$AC$62,E386=$AB$63,$AC$63,E386=$AB$64,$AC$64,E386=$AB$65,$AC$65,E386=$AB$66,$AC$66,TRUE,"0")</f>
        <v>#NAME?</v>
      </c>
      <c r="C386" s="161" t="str" cm="1">
        <f t="array" ref="C386">_xlfn.IFS(E386=$AB$42,$AF$42,E386=$AB$43,$AF$43,E386=$AB$44,$AF$44,E386=$AB$45,$AF$45,E386=$AB$46,$AF$46,E386=$AB$47,$AF$47,E386=$AB$48,$AF$48,E386=$AB$49,$AF$49,E386=$AB$50,$AF$50,E386=$AB$51,$AF$51,E386=$AB$52,$AF$52,E386=$AB$53,$AF$53,E386=$AB$54,$AF$54,E386=$AB$55,$AF$55,E386=$AB$56,$AF$56,E386=$AB$57,$AF$57,E386=$AB$58,$AF$58,E386=$AB$59,$AF$59,E386=$AB$60,$AF$60,E386=$AB$61,$AF$61,E386=$AB$62,$AF$62,E386=$AB$63,$AF$63,E386=$AB$64,$AF$64,E386=$AB$65,$AF$65,E386=$AB$66,$AF$66,TRUE,"0")</f>
        <v>if 0-0, BACK+ 0.5 GOALS  @ 1.15+odds.  or @ 40 mins</v>
      </c>
      <c r="D386" s="270" t="str" cm="1">
        <f t="array" ref="D386">_xlfn.IFS(E386=$AB$42,$AD$42,E386=$AB$43,$AD$43,E386=$AB$44,$AD$44,E386=$AB$45,$AD$45,E386=$AB$46,$AD$46,E386=$AB$47,$AD$47,E386=$AB$48,$AD$48,E386=$AB$49,$AD$49,E386=$AB$50,$AD$50,E386=$AB$51,$AD$51,E386=$AB$52,$AD$52,E386=$AB$53,$AD$53,E386=$AB$54,$AD$54,E386=$AB$55,$AD$55,E386=$AB$56,$AD$56,E386=$AB$57,$AD$57,E386=$AB$58,$AD$58,E386=$AB$59,$AD$59,E386=$AB$60,$AD$60,E386=$AB$61,$AD$61,E386=$AB$62,$AD$62,E386=$AB$63,$AD$63,E386=$AB$64,$AD$64,E386=$AB$65,$AD$65,E386=$AB$66,$AD$66,TRUE,"0")</f>
        <v>IP</v>
      </c>
      <c r="E386" s="163" t="s">
        <v>270</v>
      </c>
      <c r="F386" s="2" t="s">
        <v>20</v>
      </c>
      <c r="G386" s="2" t="s">
        <v>21</v>
      </c>
      <c r="H386" s="3">
        <v>45347.708333333336</v>
      </c>
      <c r="I386" s="2" t="s">
        <v>98</v>
      </c>
      <c r="J386" s="2" t="s">
        <v>25</v>
      </c>
      <c r="K386" s="2">
        <v>63</v>
      </c>
      <c r="L386" s="2">
        <v>0</v>
      </c>
      <c r="M386" s="2">
        <v>20</v>
      </c>
      <c r="N386" s="2">
        <v>2.4700000000000002</v>
      </c>
      <c r="O386" s="2"/>
      <c r="P386" s="2"/>
      <c r="Q386" s="2" t="s">
        <v>95</v>
      </c>
      <c r="R386" s="10" t="s">
        <v>193</v>
      </c>
      <c r="S386" s="14" t="s">
        <v>288</v>
      </c>
      <c r="T386" s="188">
        <f t="shared" si="39"/>
        <v>402.07278046465649</v>
      </c>
      <c r="U386" s="8">
        <f t="shared" si="44"/>
        <v>72.373100483638169</v>
      </c>
      <c r="V386" s="234">
        <f t="shared" si="46"/>
        <v>8113.828709776767</v>
      </c>
      <c r="W386" s="15">
        <v>25</v>
      </c>
      <c r="X386" s="8">
        <f t="shared" si="40"/>
        <v>4.5</v>
      </c>
      <c r="Y386" s="233">
        <f t="shared" si="41"/>
        <v>1908</v>
      </c>
    </row>
    <row r="387" spans="1:25">
      <c r="A387" s="156" t="e" cm="1">
        <f t="array" aca="1" ref="A387" ca="1">_xlfn.IFS(E387=$AB$42,$AC$42,E387=$AB$43,$AC$43,E387=$AB$44,$AC$44,E387=$AB$45,$AC$45,E387=$AB$46,$AC$46,E387=$AB$47,$AC$47,E387=$AB$48,$AC$48,E387=$AB$49,$AC$49,E387=$AB$50,$AC$50,E387=$AB$51,$AC$51,E387=$AB$52,$AC$52,E387=$AB$53,$AC$53,E387=$AB$54,$AC$54,E387=$AB$55,$AC$55,E387=$AB$56,$AC$56,E387=$AB$57,$AC$57,E387=$AB$58,$AC$58,E387=$AB$59,$AC$59,E387=$AB$60,$AC$60,E387=$AB$61,$AC$61,E387=$AB$62,$AC$62,E387=$AB$63,$AC$63,E387=$AB$64,$AC$64,E387=$AB$65,$AC$65,E387=$AB$66,$AC$66,TRUE,"0")</f>
        <v>#NAME?</v>
      </c>
      <c r="C387" s="161" t="str" cm="1">
        <f t="array" ref="C387">_xlfn.IFS(E387=$AB$42,$AF$42,E387=$AB$43,$AF$43,E387=$AB$44,$AF$44,E387=$AB$45,$AF$45,E387=$AB$46,$AF$46,E387=$AB$47,$AF$47,E387=$AB$48,$AF$48,E387=$AB$49,$AF$49,E387=$AB$50,$AF$50,E387=$AB$51,$AF$51,E387=$AB$52,$AF$52,E387=$AB$53,$AF$53,E387=$AB$54,$AF$54,E387=$AB$55,$AF$55,E387=$AB$56,$AF$56,E387=$AB$57,$AF$57,E387=$AB$58,$AF$58,E387=$AB$59,$AF$59,E387=$AB$60,$AF$60,E387=$AB$61,$AF$61,E387=$AB$62,$AF$62,E387=$AB$63,$AF$63,E387=$AB$64,$AF$64,E387=$AB$65,$AF$65,E387=$AB$66,$AF$66,TRUE,"0")</f>
        <v>if 0-0, BACK+ 0.5 GOALS  @ 1.15+odds.  or @ 40 mins</v>
      </c>
      <c r="D387" s="270" t="str" cm="1">
        <f t="array" ref="D387">_xlfn.IFS(E387=$AB$42,$AD$42,E387=$AB$43,$AD$43,E387=$AB$44,$AD$44,E387=$AB$45,$AD$45,E387=$AB$46,$AD$46,E387=$AB$47,$AD$47,E387=$AB$48,$AD$48,E387=$AB$49,$AD$49,E387=$AB$50,$AD$50,E387=$AB$51,$AD$51,E387=$AB$52,$AD$52,E387=$AB$53,$AD$53,E387=$AB$54,$AD$54,E387=$AB$55,$AD$55,E387=$AB$56,$AD$56,E387=$AB$57,$AD$57,E387=$AB$58,$AD$58,E387=$AB$59,$AD$59,E387=$AB$60,$AD$60,E387=$AB$61,$AD$61,E387=$AB$62,$AD$62,E387=$AB$63,$AD$63,E387=$AB$64,$AD$64,E387=$AB$65,$AD$65,E387=$AB$66,$AD$66,TRUE,"0")</f>
        <v>IP</v>
      </c>
      <c r="E387" s="163" t="s">
        <v>270</v>
      </c>
      <c r="F387" s="2" t="s">
        <v>119</v>
      </c>
      <c r="G387" s="2" t="s">
        <v>120</v>
      </c>
      <c r="H387" s="3">
        <v>45347.729166666664</v>
      </c>
      <c r="I387" s="2" t="s">
        <v>389</v>
      </c>
      <c r="J387" s="2" t="s">
        <v>348</v>
      </c>
      <c r="K387" s="2">
        <v>75</v>
      </c>
      <c r="L387" s="2">
        <v>0</v>
      </c>
      <c r="M387" s="2">
        <v>20</v>
      </c>
      <c r="N387" s="2">
        <v>2.38</v>
      </c>
      <c r="O387" s="2"/>
      <c r="P387" s="2"/>
      <c r="Q387" s="2" t="s">
        <v>95</v>
      </c>
      <c r="R387" s="10" t="s">
        <v>221</v>
      </c>
      <c r="S387" s="14" t="s">
        <v>216</v>
      </c>
      <c r="T387" s="188">
        <f t="shared" ref="T387:T450" si="47">SUM(V386*0.05)</f>
        <v>405.69143548883835</v>
      </c>
      <c r="U387" s="8">
        <f t="shared" si="44"/>
        <v>73.024458387990904</v>
      </c>
      <c r="V387" s="234">
        <f t="shared" si="46"/>
        <v>8186.8531681647582</v>
      </c>
      <c r="W387" s="15">
        <v>25</v>
      </c>
      <c r="X387" s="8">
        <f t="shared" ref="X387:X450" si="48">IF(Q387="won",W387*0.18,-W387)</f>
        <v>4.5</v>
      </c>
      <c r="Y387" s="233">
        <f t="shared" ref="Y387:Y450" si="49">SUM(Y386,X387)</f>
        <v>1912.5</v>
      </c>
    </row>
    <row r="388" spans="1:25">
      <c r="A388" s="156" t="e" cm="1">
        <f t="array" aca="1" ref="A388" ca="1">_xlfn.IFS(E388=$AB$42,$AC$42,E388=$AB$43,$AC$43,E388=$AB$44,$AC$44,E388=$AB$45,$AC$45,E388=$AB$46,$AC$46,E388=$AB$47,$AC$47,E388=$AB$48,$AC$48,E388=$AB$49,$AC$49,E388=$AB$50,$AC$50,E388=$AB$51,$AC$51,E388=$AB$52,$AC$52,E388=$AB$53,$AC$53,E388=$AB$54,$AC$54,E388=$AB$55,$AC$55,E388=$AB$56,$AC$56,E388=$AB$57,$AC$57,E388=$AB$58,$AC$58,E388=$AB$59,$AC$59,E388=$AB$60,$AC$60,E388=$AB$61,$AC$61,E388=$AB$62,$AC$62,E388=$AB$63,$AC$63,E388=$AB$64,$AC$64,E388=$AB$65,$AC$65,E388=$AB$66,$AC$66,TRUE,"0")</f>
        <v>#NAME?</v>
      </c>
      <c r="C388" s="161" t="str" cm="1">
        <f t="array" ref="C388">_xlfn.IFS(E388=$AB$42,$AF$42,E388=$AB$43,$AF$43,E388=$AB$44,$AF$44,E388=$AB$45,$AF$45,E388=$AB$46,$AF$46,E388=$AB$47,$AF$47,E388=$AB$48,$AF$48,E388=$AB$49,$AF$49,E388=$AB$50,$AF$50,E388=$AB$51,$AF$51,E388=$AB$52,$AF$52,E388=$AB$53,$AF$53,E388=$AB$54,$AF$54,E388=$AB$55,$AF$55,E388=$AB$56,$AF$56,E388=$AB$57,$AF$57,E388=$AB$58,$AF$58,E388=$AB$59,$AF$59,E388=$AB$60,$AF$60,E388=$AB$61,$AF$61,E388=$AB$62,$AF$62,E388=$AB$63,$AF$63,E388=$AB$64,$AF$64,E388=$AB$65,$AF$65,E388=$AB$66,$AF$66,TRUE,"0")</f>
        <v>B4 MATCH back over 2.5 goals.X after goal OR let run</v>
      </c>
      <c r="D388" s="270" t="str" cm="1">
        <f t="array" ref="D388">_xlfn.IFS(E388=$AB$42,$AD$42,E388=$AB$43,$AD$43,E388=$AB$44,$AD$44,E388=$AB$45,$AD$45,E388=$AB$46,$AD$46,E388=$AB$47,$AD$47,E388=$AB$48,$AD$48,E388=$AB$49,$AD$49,E388=$AB$50,$AD$50,E388=$AB$51,$AD$51,E388=$AB$52,$AD$52,E388=$AB$53,$AD$53,E388=$AB$54,$AD$54,E388=$AB$55,$AD$55,E388=$AB$56,$AD$56,E388=$AB$57,$AD$57,E388=$AB$58,$AD$58,E388=$AB$59,$AD$59,E388=$AB$60,$AD$60,E388=$AB$61,$AD$61,E388=$AB$62,$AD$62,E388=$AB$63,$AD$63,E388=$AB$64,$AD$64,E388=$AB$65,$AD$65,E388=$AB$66,$AD$66,TRUE,"0")</f>
        <v xml:space="preserve">BFM </v>
      </c>
      <c r="E388" s="163" t="s">
        <v>177</v>
      </c>
      <c r="F388" s="2" t="s">
        <v>67</v>
      </c>
      <c r="G388" s="2" t="s">
        <v>68</v>
      </c>
      <c r="H388" s="3">
        <v>45347.729166666664</v>
      </c>
      <c r="I388" s="2" t="s">
        <v>465</v>
      </c>
      <c r="J388" s="2" t="s">
        <v>338</v>
      </c>
      <c r="K388" s="2">
        <v>3.4</v>
      </c>
      <c r="L388" s="2">
        <v>95</v>
      </c>
      <c r="M388" s="2">
        <v>80</v>
      </c>
      <c r="N388" s="2">
        <v>28</v>
      </c>
      <c r="O388" s="2">
        <v>65</v>
      </c>
      <c r="P388" s="2">
        <v>2.2000000000000002</v>
      </c>
      <c r="Q388" s="2" t="s">
        <v>95</v>
      </c>
      <c r="R388" s="10" t="s">
        <v>220</v>
      </c>
      <c r="S388" s="14" t="s">
        <v>222</v>
      </c>
      <c r="T388" s="188">
        <f t="shared" si="47"/>
        <v>409.34265840823792</v>
      </c>
      <c r="U388" s="8">
        <f t="shared" si="44"/>
        <v>73.681678513482822</v>
      </c>
      <c r="V388" s="234">
        <f t="shared" si="46"/>
        <v>8260.5348466782416</v>
      </c>
      <c r="W388" s="15">
        <v>25</v>
      </c>
      <c r="X388" s="8">
        <f t="shared" si="48"/>
        <v>4.5</v>
      </c>
      <c r="Y388" s="233">
        <f t="shared" si="49"/>
        <v>1917</v>
      </c>
    </row>
    <row r="389" spans="1:25">
      <c r="A389" s="156" t="e" cm="1">
        <f t="array" aca="1" ref="A389" ca="1">_xlfn.IFS(E389=$AB$42,$AC$42,E389=$AB$43,$AC$43,E389=$AB$44,$AC$44,E389=$AB$45,$AC$45,E389=$AB$46,$AC$46,E389=$AB$47,$AC$47,E389=$AB$48,$AC$48,E389=$AB$49,$AC$49,E389=$AB$50,$AC$50,E389=$AB$51,$AC$51,E389=$AB$52,$AC$52,E389=$AB$53,$AC$53,E389=$AB$54,$AC$54,E389=$AB$55,$AC$55,E389=$AB$56,$AC$56,E389=$AB$57,$AC$57,E389=$AB$58,$AC$58,E389=$AB$59,$AC$59,E389=$AB$60,$AC$60,E389=$AB$61,$AC$61,E389=$AB$62,$AC$62,E389=$AB$63,$AC$63,E389=$AB$64,$AC$64,E389=$AB$65,$AC$65,E389=$AB$66,$AC$66,TRUE,"0")</f>
        <v>#NAME?</v>
      </c>
      <c r="C389" s="161" t="str" cm="1">
        <f t="array" ref="C389">_xlfn.IFS(E389=$AB$42,$AF$42,E389=$AB$43,$AF$43,E389=$AB$44,$AF$44,E389=$AB$45,$AF$45,E389=$AB$46,$AF$46,E389=$AB$47,$AF$47,E389=$AB$48,$AF$48,E389=$AB$49,$AF$49,E389=$AB$50,$AF$50,E389=$AB$51,$AF$51,E389=$AB$52,$AF$52,E389=$AB$53,$AF$53,E389=$AB$54,$AF$54,E389=$AB$55,$AF$55,E389=$AB$56,$AF$56,E389=$AB$57,$AF$57,E389=$AB$58,$AF$58,E389=$AB$59,$AF$59,E389=$AB$60,$AF$60,E389=$AB$61,$AF$61,E389=$AB$62,$AF$62,E389=$AB$63,$AF$63,E389=$AB$64,$AF$64,E389=$AB$65,$AF$65,E389=$AB$66,$AF$66,TRUE,"0")</f>
        <v>if 0-0, BACK+ 0.5 GOALS  @ 1.15+odds.  or @ 40 mins</v>
      </c>
      <c r="D389" s="270" t="str" cm="1">
        <f t="array" ref="D389">_xlfn.IFS(E389=$AB$42,$AD$42,E389=$AB$43,$AD$43,E389=$AB$44,$AD$44,E389=$AB$45,$AD$45,E389=$AB$46,$AD$46,E389=$AB$47,$AD$47,E389=$AB$48,$AD$48,E389=$AB$49,$AD$49,E389=$AB$50,$AD$50,E389=$AB$51,$AD$51,E389=$AB$52,$AD$52,E389=$AB$53,$AD$53,E389=$AB$54,$AD$54,E389=$AB$55,$AD$55,E389=$AB$56,$AD$56,E389=$AB$57,$AD$57,E389=$AB$58,$AD$58,E389=$AB$59,$AD$59,E389=$AB$60,$AD$60,E389=$AB$61,$AD$61,E389=$AB$62,$AD$62,E389=$AB$63,$AD$63,E389=$AB$64,$AD$64,E389=$AB$65,$AD$65,E389=$AB$66,$AD$66,TRUE,"0")</f>
        <v>IP</v>
      </c>
      <c r="E389" s="163" t="s">
        <v>270</v>
      </c>
      <c r="F389" s="2" t="s">
        <v>58</v>
      </c>
      <c r="G389" s="2" t="s">
        <v>59</v>
      </c>
      <c r="H389" s="3">
        <v>45347.75</v>
      </c>
      <c r="I389" s="2" t="s">
        <v>107</v>
      </c>
      <c r="J389" s="2" t="s">
        <v>172</v>
      </c>
      <c r="K389" s="2">
        <v>59</v>
      </c>
      <c r="L389" s="2">
        <v>0</v>
      </c>
      <c r="M389" s="2">
        <v>20</v>
      </c>
      <c r="N389" s="2">
        <v>1.99</v>
      </c>
      <c r="O389" s="2"/>
      <c r="P389" s="2"/>
      <c r="Q389" s="2" t="s">
        <v>95</v>
      </c>
      <c r="R389" s="10" t="s">
        <v>221</v>
      </c>
      <c r="S389" s="14" t="s">
        <v>216</v>
      </c>
      <c r="T389" s="188">
        <f t="shared" si="47"/>
        <v>413.02674233391213</v>
      </c>
      <c r="U389" s="8">
        <f t="shared" si="44"/>
        <v>74.344813620104176</v>
      </c>
      <c r="V389" s="234">
        <f t="shared" si="46"/>
        <v>8334.8796602983457</v>
      </c>
      <c r="W389" s="15">
        <v>25</v>
      </c>
      <c r="X389" s="8">
        <f t="shared" si="48"/>
        <v>4.5</v>
      </c>
      <c r="Y389" s="233">
        <f t="shared" si="49"/>
        <v>1921.5</v>
      </c>
    </row>
    <row r="390" spans="1:25">
      <c r="A390" s="156" t="e" cm="1">
        <f t="array" aca="1" ref="A390" ca="1">_xlfn.IFS(E390=$AB$42,$AC$42,E390=$AB$43,$AC$43,E390=$AB$44,$AC$44,E390=$AB$45,$AC$45,E390=$AB$46,$AC$46,E390=$AB$47,$AC$47,E390=$AB$48,$AC$48,E390=$AB$49,$AC$49,E390=$AB$50,$AC$50,E390=$AB$51,$AC$51,E390=$AB$52,$AC$52,E390=$AB$53,$AC$53,E390=$AB$54,$AC$54,E390=$AB$55,$AC$55,E390=$AB$56,$AC$56,E390=$AB$57,$AC$57,E390=$AB$58,$AC$58,E390=$AB$59,$AC$59,E390=$AB$60,$AC$60,E390=$AB$61,$AC$61,E390=$AB$62,$AC$62,E390=$AB$63,$AC$63,E390=$AB$64,$AC$64,E390=$AB$65,$AC$65,E390=$AB$66,$AC$66,TRUE,"0")</f>
        <v>#NAME?</v>
      </c>
      <c r="C390" s="161" t="str" cm="1">
        <f t="array" ref="C390">_xlfn.IFS(E390=$AB$42,$AF$42,E390=$AB$43,$AF$43,E390=$AB$44,$AF$44,E390=$AB$45,$AF$45,E390=$AB$46,$AF$46,E390=$AB$47,$AF$47,E390=$AB$48,$AF$48,E390=$AB$49,$AF$49,E390=$AB$50,$AF$50,E390=$AB$51,$AF$51,E390=$AB$52,$AF$52,E390=$AB$53,$AF$53,E390=$AB$54,$AF$54,E390=$AB$55,$AF$55,E390=$AB$56,$AF$56,E390=$AB$57,$AF$57,E390=$AB$58,$AF$58,E390=$AB$59,$AF$59,E390=$AB$60,$AF$60,E390=$AB$61,$AF$61,E390=$AB$62,$AF$62,E390=$AB$63,$AF$63,E390=$AB$64,$AF$64,E390=$AB$65,$AF$65,E390=$AB$66,$AF$66,TRUE,"0")</f>
        <v>40 mins Back ANother Goal</v>
      </c>
      <c r="D390" s="270" t="str" cm="1">
        <f t="array" ref="D390">_xlfn.IFS(E390=$AB$42,$AD$42,E390=$AB$43,$AD$43,E390=$AB$44,$AD$44,E390=$AB$45,$AD$45,E390=$AB$46,$AD$46,E390=$AB$47,$AD$47,E390=$AB$48,$AD$48,E390=$AB$49,$AD$49,E390=$AB$50,$AD$50,E390=$AB$51,$AD$51,E390=$AB$52,$AD$52,E390=$AB$53,$AD$53,E390=$AB$54,$AD$54,E390=$AB$55,$AD$55,E390=$AB$56,$AD$56,E390=$AB$57,$AD$57,E390=$AB$58,$AD$58,E390=$AB$59,$AD$59,E390=$AB$60,$AD$60,E390=$AB$61,$AD$61,E390=$AB$62,$AD$62,E390=$AB$63,$AD$63,E390=$AB$64,$AD$64,E390=$AB$65,$AD$65,E390=$AB$66,$AD$66,TRUE,"0")</f>
        <v xml:space="preserve">  BANG</v>
      </c>
      <c r="E390" s="163" t="s">
        <v>10</v>
      </c>
      <c r="F390" s="2" t="s">
        <v>133</v>
      </c>
      <c r="G390" s="2" t="s">
        <v>78</v>
      </c>
      <c r="H390" s="3">
        <v>45347.75</v>
      </c>
      <c r="I390" s="2" t="s">
        <v>466</v>
      </c>
      <c r="J390" s="2" t="s">
        <v>427</v>
      </c>
      <c r="K390" s="2">
        <v>1.8</v>
      </c>
      <c r="L390" s="2">
        <v>100</v>
      </c>
      <c r="M390" s="2">
        <v>70</v>
      </c>
      <c r="N390" s="2">
        <v>10</v>
      </c>
      <c r="O390" s="2">
        <v>64</v>
      </c>
      <c r="P390" s="2">
        <v>20</v>
      </c>
      <c r="Q390" s="2" t="s">
        <v>95</v>
      </c>
      <c r="R390" s="10" t="s">
        <v>214</v>
      </c>
      <c r="S390" s="14" t="s">
        <v>216</v>
      </c>
      <c r="T390" s="188">
        <f t="shared" si="47"/>
        <v>416.74398301491732</v>
      </c>
      <c r="U390" s="8">
        <f t="shared" si="44"/>
        <v>75.013916942685114</v>
      </c>
      <c r="V390" s="234">
        <f t="shared" si="46"/>
        <v>8409.8935772410314</v>
      </c>
      <c r="W390" s="15">
        <v>25</v>
      </c>
      <c r="X390" s="8">
        <f t="shared" si="48"/>
        <v>4.5</v>
      </c>
      <c r="Y390" s="233">
        <f t="shared" si="49"/>
        <v>1926</v>
      </c>
    </row>
    <row r="391" spans="1:25">
      <c r="A391" s="156" t="e" cm="1">
        <f t="array" aca="1" ref="A391" ca="1">_xlfn.IFS(E391=$AB$42,$AC$42,E391=$AB$43,$AC$43,E391=$AB$44,$AC$44,E391=$AB$45,$AC$45,E391=$AB$46,$AC$46,E391=$AB$47,$AC$47,E391=$AB$48,$AC$48,E391=$AB$49,$AC$49,E391=$AB$50,$AC$50,E391=$AB$51,$AC$51,E391=$AB$52,$AC$52,E391=$AB$53,$AC$53,E391=$AB$54,$AC$54,E391=$AB$55,$AC$55,E391=$AB$56,$AC$56,E391=$AB$57,$AC$57,E391=$AB$58,$AC$58,E391=$AB$59,$AC$59,E391=$AB$60,$AC$60,E391=$AB$61,$AC$61,E391=$AB$62,$AC$62,E391=$AB$63,$AC$63,E391=$AB$64,$AC$64,E391=$AB$65,$AC$65,E391=$AB$66,$AC$66,TRUE,"0")</f>
        <v>#NAME?</v>
      </c>
      <c r="C391" s="161" t="str" cm="1">
        <f t="array" ref="C391">_xlfn.IFS(E391=$AB$42,$AF$42,E391=$AB$43,$AF$43,E391=$AB$44,$AF$44,E391=$AB$45,$AF$45,E391=$AB$46,$AF$46,E391=$AB$47,$AF$47,E391=$AB$48,$AF$48,E391=$AB$49,$AF$49,E391=$AB$50,$AF$50,E391=$AB$51,$AF$51,E391=$AB$52,$AF$52,E391=$AB$53,$AF$53,E391=$AB$54,$AF$54,E391=$AB$55,$AF$55,E391=$AB$56,$AF$56,E391=$AB$57,$AF$57,E391=$AB$58,$AF$58,E391=$AB$59,$AF$59,E391=$AB$60,$AF$60,E391=$AB$61,$AF$61,E391=$AB$62,$AF$62,E391=$AB$63,$AF$63,E391=$AB$64,$AF$64,E391=$AB$65,$AF$65,E391=$AB$66,$AF$66,TRUE,"0")</f>
        <v>40 mins Back ANother Goal</v>
      </c>
      <c r="D391" s="270" t="str" cm="1">
        <f t="array" ref="D391">_xlfn.IFS(E391=$AB$42,$AD$42,E391=$AB$43,$AD$43,E391=$AB$44,$AD$44,E391=$AB$45,$AD$45,E391=$AB$46,$AD$46,E391=$AB$47,$AD$47,E391=$AB$48,$AD$48,E391=$AB$49,$AD$49,E391=$AB$50,$AD$50,E391=$AB$51,$AD$51,E391=$AB$52,$AD$52,E391=$AB$53,$AD$53,E391=$AB$54,$AD$54,E391=$AB$55,$AD$55,E391=$AB$56,$AD$56,E391=$AB$57,$AD$57,E391=$AB$58,$AD$58,E391=$AB$59,$AD$59,E391=$AB$60,$AD$60,E391=$AB$61,$AD$61,E391=$AB$62,$AD$62,E391=$AB$63,$AD$63,E391=$AB$64,$AD$64,E391=$AB$65,$AD$65,E391=$AB$66,$AD$66,TRUE,"0")</f>
        <v xml:space="preserve">  BANG</v>
      </c>
      <c r="E391" s="163" t="s">
        <v>10</v>
      </c>
      <c r="F391" s="2" t="s">
        <v>77</v>
      </c>
      <c r="G391" s="2" t="s">
        <v>251</v>
      </c>
      <c r="H391" s="3">
        <v>45347.770833333336</v>
      </c>
      <c r="I391" s="2" t="s">
        <v>467</v>
      </c>
      <c r="J391" s="2" t="s">
        <v>259</v>
      </c>
      <c r="K391" s="2">
        <v>2.0499999999999998</v>
      </c>
      <c r="L391" s="2">
        <v>85</v>
      </c>
      <c r="M391" s="2">
        <v>70</v>
      </c>
      <c r="N391" s="2">
        <v>35</v>
      </c>
      <c r="O391" s="2">
        <v>62</v>
      </c>
      <c r="P391" s="2">
        <v>20</v>
      </c>
      <c r="Q391" s="2" t="s">
        <v>96</v>
      </c>
      <c r="R391" s="10" t="s">
        <v>214</v>
      </c>
      <c r="S391" s="14" t="s">
        <v>214</v>
      </c>
      <c r="T391" s="188">
        <f t="shared" si="47"/>
        <v>420.49467886205161</v>
      </c>
      <c r="U391" s="8">
        <f t="shared" si="44"/>
        <v>-420.49467886205161</v>
      </c>
      <c r="V391" s="234">
        <f t="shared" si="46"/>
        <v>7989.3988983789795</v>
      </c>
      <c r="W391" s="15">
        <v>25</v>
      </c>
      <c r="X391" s="8">
        <f t="shared" si="48"/>
        <v>-25</v>
      </c>
      <c r="Y391" s="233">
        <f t="shared" si="49"/>
        <v>1901</v>
      </c>
    </row>
    <row r="392" spans="1:25">
      <c r="A392" s="156" t="e" cm="1">
        <f t="array" aca="1" ref="A392" ca="1">_xlfn.IFS(E392=$AB$42,$AC$42,E392=$AB$43,$AC$43,E392=$AB$44,$AC$44,E392=$AB$45,$AC$45,E392=$AB$46,$AC$46,E392=$AB$47,$AC$47,E392=$AB$48,$AC$48,E392=$AB$49,$AC$49,E392=$AB$50,$AC$50,E392=$AB$51,$AC$51,E392=$AB$52,$AC$52,E392=$AB$53,$AC$53,E392=$AB$54,$AC$54,E392=$AB$55,$AC$55,E392=$AB$56,$AC$56,E392=$AB$57,$AC$57,E392=$AB$58,$AC$58,E392=$AB$59,$AC$59,E392=$AB$60,$AC$60,E392=$AB$61,$AC$61,E392=$AB$62,$AC$62,E392=$AB$63,$AC$63,E392=$AB$64,$AC$64,E392=$AB$65,$AC$65,E392=$AB$66,$AC$66,TRUE,"0")</f>
        <v>#NAME?</v>
      </c>
      <c r="C392" s="161" t="str" cm="1">
        <f t="array" ref="C392">_xlfn.IFS(E392=$AB$42,$AF$42,E392=$AB$43,$AF$43,E392=$AB$44,$AF$44,E392=$AB$45,$AF$45,E392=$AB$46,$AF$46,E392=$AB$47,$AF$47,E392=$AB$48,$AF$48,E392=$AB$49,$AF$49,E392=$AB$50,$AF$50,E392=$AB$51,$AF$51,E392=$AB$52,$AF$52,E392=$AB$53,$AF$53,E392=$AB$54,$AF$54,E392=$AB$55,$AF$55,E392=$AB$56,$AF$56,E392=$AB$57,$AF$57,E392=$AB$58,$AF$58,E392=$AB$59,$AF$59,E392=$AB$60,$AF$60,E392=$AB$61,$AF$61,E392=$AB$62,$AF$62,E392=$AB$63,$AF$63,E392=$AB$64,$AF$64,E392=$AB$65,$AF$65,E392=$AB$66,$AF$66,TRUE,"0")</f>
        <v>if 0-0, BACK+ 0.5 GOALS  @ 1.15+odds.  or @ 40 mins</v>
      </c>
      <c r="D392" s="270" t="str" cm="1">
        <f t="array" ref="D392">_xlfn.IFS(E392=$AB$42,$AD$42,E392=$AB$43,$AD$43,E392=$AB$44,$AD$44,E392=$AB$45,$AD$45,E392=$AB$46,$AD$46,E392=$AB$47,$AD$47,E392=$AB$48,$AD$48,E392=$AB$49,$AD$49,E392=$AB$50,$AD$50,E392=$AB$51,$AD$51,E392=$AB$52,$AD$52,E392=$AB$53,$AD$53,E392=$AB$54,$AD$54,E392=$AB$55,$AD$55,E392=$AB$56,$AD$56,E392=$AB$57,$AD$57,E392=$AB$58,$AD$58,E392=$AB$59,$AD$59,E392=$AB$60,$AD$60,E392=$AB$61,$AD$61,E392=$AB$62,$AD$62,E392=$AB$63,$AD$63,E392=$AB$64,$AD$64,E392=$AB$65,$AD$65,E392=$AB$66,$AD$66,TRUE,"0")</f>
        <v>IP</v>
      </c>
      <c r="E392" s="163" t="s">
        <v>270</v>
      </c>
      <c r="F392" s="2" t="s">
        <v>149</v>
      </c>
      <c r="G392" s="2" t="s">
        <v>153</v>
      </c>
      <c r="H392" s="3">
        <v>45347.791666666664</v>
      </c>
      <c r="I392" s="2" t="s">
        <v>244</v>
      </c>
      <c r="J392" s="2" t="s">
        <v>206</v>
      </c>
      <c r="K392" s="2">
        <v>61</v>
      </c>
      <c r="L392" s="2">
        <v>0</v>
      </c>
      <c r="M392" s="2">
        <v>20</v>
      </c>
      <c r="N392" s="2">
        <v>2.83</v>
      </c>
      <c r="O392" s="2"/>
      <c r="P392" s="2"/>
      <c r="Q392" s="2" t="s">
        <v>95</v>
      </c>
      <c r="R392" s="10" t="s">
        <v>193</v>
      </c>
      <c r="S392" s="14" t="s">
        <v>288</v>
      </c>
      <c r="T392" s="188">
        <f t="shared" si="47"/>
        <v>399.46994491894901</v>
      </c>
      <c r="U392" s="8">
        <f t="shared" si="44"/>
        <v>71.904590085410817</v>
      </c>
      <c r="V392" s="234">
        <f>SUM(V391,U392)</f>
        <v>8061.3034884643903</v>
      </c>
      <c r="W392" s="15">
        <v>25</v>
      </c>
      <c r="X392" s="8">
        <f t="shared" si="48"/>
        <v>4.5</v>
      </c>
      <c r="Y392" s="233">
        <f t="shared" si="49"/>
        <v>1905.5</v>
      </c>
    </row>
    <row r="393" spans="1:25">
      <c r="A393" s="156" t="e" cm="1">
        <f t="array" aca="1" ref="A393" ca="1">_xlfn.IFS(E393=$AB$42,$AC$42,E393=$AB$43,$AC$43,E393=$AB$44,$AC$44,E393=$AB$45,$AC$45,E393=$AB$46,$AC$46,E393=$AB$47,$AC$47,E393=$AB$48,$AC$48,E393=$AB$49,$AC$49,E393=$AB$50,$AC$50,E393=$AB$51,$AC$51,E393=$AB$52,$AC$52,E393=$AB$53,$AC$53,E393=$AB$54,$AC$54,E393=$AB$55,$AC$55,E393=$AB$56,$AC$56,E393=$AB$57,$AC$57,E393=$AB$58,$AC$58,E393=$AB$59,$AC$59,E393=$AB$60,$AC$60,E393=$AB$61,$AC$61,E393=$AB$62,$AC$62,E393=$AB$63,$AC$63,E393=$AB$64,$AC$64,E393=$AB$65,$AC$65,E393=$AB$66,$AC$66,TRUE,"0")</f>
        <v>#NAME?</v>
      </c>
      <c r="C393" s="161" t="str" cm="1">
        <f t="array" ref="C393">_xlfn.IFS(E393=$AB$42,$AF$42,E393=$AB$43,$AF$43,E393=$AB$44,$AF$44,E393=$AB$45,$AF$45,E393=$AB$46,$AF$46,E393=$AB$47,$AF$47,E393=$AB$48,$AF$48,E393=$AB$49,$AF$49,E393=$AB$50,$AF$50,E393=$AB$51,$AF$51,E393=$AB$52,$AF$52,E393=$AB$53,$AF$53,E393=$AB$54,$AF$54,E393=$AB$55,$AF$55,E393=$AB$56,$AF$56,E393=$AB$57,$AF$57,E393=$AB$58,$AF$58,E393=$AB$59,$AF$59,E393=$AB$60,$AF$60,E393=$AB$61,$AF$61,E393=$AB$62,$AF$62,E393=$AB$63,$AF$63,E393=$AB$64,$AF$64,E393=$AB$65,$AF$65,E393=$AB$66,$AF$66,TRUE,"0")</f>
        <v>B4 match BACK FT +1.5 goals. X AFTER  GOAL</v>
      </c>
      <c r="D393" s="270" t="str" cm="1">
        <f t="array" ref="D393">_xlfn.IFS(E393=$AB$42,$AD$42,E393=$AB$43,$AD$43,E393=$AB$44,$AD$44,E393=$AB$45,$AD$45,E393=$AB$46,$AD$46,E393=$AB$47,$AD$47,E393=$AB$48,$AD$48,E393=$AB$49,$AD$49,E393=$AB$50,$AD$50,E393=$AB$51,$AD$51,E393=$AB$52,$AD$52,E393=$AB$53,$AD$53,E393=$AB$54,$AD$54,E393=$AB$55,$AD$55,E393=$AB$56,$AD$56,E393=$AB$57,$AD$57,E393=$AB$58,$AD$58,E393=$AB$59,$AD$59,E393=$AB$60,$AD$60,E393=$AB$61,$AD$61,E393=$AB$62,$AD$62,E393=$AB$63,$AD$63,E393=$AB$64,$AD$64,E393=$AB$65,$AD$65,E393=$AB$66,$AD$66,TRUE,"0")</f>
        <v xml:space="preserve">BFM </v>
      </c>
      <c r="E393" s="163" t="s">
        <v>406</v>
      </c>
      <c r="F393" s="2" t="s">
        <v>119</v>
      </c>
      <c r="G393" s="2" t="s">
        <v>120</v>
      </c>
      <c r="H393" s="3">
        <v>45347.833333333336</v>
      </c>
      <c r="I393" s="2" t="s">
        <v>122</v>
      </c>
      <c r="J393" s="2" t="s">
        <v>347</v>
      </c>
      <c r="K393" s="2">
        <v>1.29</v>
      </c>
      <c r="L393" s="2">
        <v>13.5</v>
      </c>
      <c r="M393" s="2">
        <v>2.75</v>
      </c>
      <c r="N393" s="2">
        <v>3.9</v>
      </c>
      <c r="O393" s="2">
        <v>2.36</v>
      </c>
      <c r="P393" s="2"/>
      <c r="Q393" s="2" t="s">
        <v>95</v>
      </c>
      <c r="R393" s="10" t="s">
        <v>221</v>
      </c>
      <c r="S393" s="14" t="s">
        <v>214</v>
      </c>
      <c r="T393" s="188">
        <f t="shared" si="47"/>
        <v>403.06517442321956</v>
      </c>
      <c r="U393" s="8">
        <f t="shared" si="44"/>
        <v>72.55173139617952</v>
      </c>
      <c r="V393" s="234">
        <f>SUM(V392,U393)</f>
        <v>8133.8552198605694</v>
      </c>
      <c r="W393" s="15">
        <v>25</v>
      </c>
      <c r="X393" s="8">
        <f t="shared" si="48"/>
        <v>4.5</v>
      </c>
      <c r="Y393" s="233">
        <f t="shared" si="49"/>
        <v>1910</v>
      </c>
    </row>
    <row r="394" spans="1:25">
      <c r="A394" s="156" t="e" cm="1">
        <f t="array" aca="1" ref="A394" ca="1">_xlfn.IFS(E394=$AB$42,$AC$42,E394=$AB$43,$AC$43,E394=$AB$44,$AC$44,E394=$AB$45,$AC$45,E394=$AB$46,$AC$46,E394=$AB$47,$AC$47,E394=$AB$48,$AC$48,E394=$AB$49,$AC$49,E394=$AB$50,$AC$50,E394=$AB$51,$AC$51,E394=$AB$52,$AC$52,E394=$AB$53,$AC$53,E394=$AB$54,$AC$54,E394=$AB$55,$AC$55,E394=$AB$56,$AC$56,E394=$AB$57,$AC$57,E394=$AB$58,$AC$58,E394=$AB$59,$AC$59,E394=$AB$60,$AC$60,E394=$AB$61,$AC$61,E394=$AB$62,$AC$62,E394=$AB$63,$AC$63,E394=$AB$64,$AC$64,E394=$AB$65,$AC$65,E394=$AB$66,$AC$66,TRUE,"0")</f>
        <v>#NAME?</v>
      </c>
      <c r="C394" s="161" t="str" cm="1">
        <f t="array" ref="C394">_xlfn.IFS(E394=$AB$42,$AF$42,E394=$AB$43,$AF$43,E394=$AB$44,$AF$44,E394=$AB$45,$AF$45,E394=$AB$46,$AF$46,E394=$AB$47,$AF$47,E394=$AB$48,$AF$48,E394=$AB$49,$AF$49,E394=$AB$50,$AF$50,E394=$AB$51,$AF$51,E394=$AB$52,$AF$52,E394=$AB$53,$AF$53,E394=$AB$54,$AF$54,E394=$AB$55,$AF$55,E394=$AB$56,$AF$56,E394=$AB$57,$AF$57,E394=$AB$58,$AF$58,E394=$AB$59,$AF$59,E394=$AB$60,$AF$60,E394=$AB$61,$AF$61,E394=$AB$62,$AF$62,E394=$AB$63,$AF$63,E394=$AB$64,$AF$64,E394=$AB$65,$AF$65,E394=$AB$66,$AF$66,TRUE,"0")</f>
        <v>40 mins Back ANother Goal</v>
      </c>
      <c r="D394" s="270" t="str" cm="1">
        <f t="array" ref="D394">_xlfn.IFS(E394=$AB$42,$AD$42,E394=$AB$43,$AD$43,E394=$AB$44,$AD$44,E394=$AB$45,$AD$45,E394=$AB$46,$AD$46,E394=$AB$47,$AD$47,E394=$AB$48,$AD$48,E394=$AB$49,$AD$49,E394=$AB$50,$AD$50,E394=$AB$51,$AD$51,E394=$AB$52,$AD$52,E394=$AB$53,$AD$53,E394=$AB$54,$AD$54,E394=$AB$55,$AD$55,E394=$AB$56,$AD$56,E394=$AB$57,$AD$57,E394=$AB$58,$AD$58,E394=$AB$59,$AD$59,E394=$AB$60,$AD$60,E394=$AB$61,$AD$61,E394=$AB$62,$AD$62,E394=$AB$63,$AD$63,E394=$AB$64,$AD$64,E394=$AB$65,$AD$65,E394=$AB$66,$AD$66,TRUE,"0")</f>
        <v xml:space="preserve">  BANG</v>
      </c>
      <c r="E394" s="163" t="s">
        <v>10</v>
      </c>
      <c r="F394" s="2" t="s">
        <v>58</v>
      </c>
      <c r="G394" s="2" t="s">
        <v>59</v>
      </c>
      <c r="H394" s="3">
        <v>45347.854166666664</v>
      </c>
      <c r="I394" s="2" t="s">
        <v>127</v>
      </c>
      <c r="J394" s="2" t="s">
        <v>125</v>
      </c>
      <c r="K394" s="2">
        <v>2</v>
      </c>
      <c r="L394" s="2">
        <v>95</v>
      </c>
      <c r="M394" s="2">
        <v>70</v>
      </c>
      <c r="N394" s="2">
        <v>25</v>
      </c>
      <c r="O394" s="2">
        <v>63</v>
      </c>
      <c r="P394" s="2">
        <v>20</v>
      </c>
      <c r="Q394" s="2" t="s">
        <v>95</v>
      </c>
      <c r="R394" s="10" t="s">
        <v>210</v>
      </c>
      <c r="S394" s="14" t="s">
        <v>279</v>
      </c>
      <c r="T394" s="188">
        <f t="shared" si="47"/>
        <v>406.69276099302851</v>
      </c>
      <c r="U394" s="8">
        <f t="shared" si="44"/>
        <v>73.204696978745133</v>
      </c>
      <c r="V394" s="234">
        <f>SUM(V393,U394)</f>
        <v>8207.0599168393146</v>
      </c>
      <c r="W394" s="15">
        <v>25</v>
      </c>
      <c r="X394" s="8">
        <f t="shared" si="48"/>
        <v>4.5</v>
      </c>
      <c r="Y394" s="233">
        <f t="shared" si="49"/>
        <v>1914.5</v>
      </c>
    </row>
    <row r="395" spans="1:25">
      <c r="A395" s="156" t="e" cm="1">
        <f t="array" aca="1" ref="A395" ca="1">_xlfn.IFS(E395=$AB$42,$AC$42,E395=$AB$43,$AC$43,E395=$AB$44,$AC$44,E395=$AB$45,$AC$45,E395=$AB$46,$AC$46,E395=$AB$47,$AC$47,E395=$AB$48,$AC$48,E395=$AB$49,$AC$49,E395=$AB$50,$AC$50,E395=$AB$51,$AC$51,E395=$AB$52,$AC$52,E395=$AB$53,$AC$53,E395=$AB$54,$AC$54,E395=$AB$55,$AC$55,E395=$AB$56,$AC$56,E395=$AB$57,$AC$57,E395=$AB$58,$AC$58,E395=$AB$59,$AC$59,E395=$AB$60,$AC$60,E395=$AB$61,$AC$61,E395=$AB$62,$AC$62,E395=$AB$63,$AC$63,E395=$AB$64,$AC$64,E395=$AB$65,$AC$65,E395=$AB$66,$AC$66,TRUE,"0")</f>
        <v>#NAME?</v>
      </c>
      <c r="C395" s="161" t="str" cm="1">
        <f t="array" ref="C395">_xlfn.IFS(E395=$AB$42,$AF$42,E395=$AB$43,$AF$43,E395=$AB$44,$AF$44,E395=$AB$45,$AF$45,E395=$AB$46,$AF$46,E395=$AB$47,$AF$47,E395=$AB$48,$AF$48,E395=$AB$49,$AF$49,E395=$AB$50,$AF$50,E395=$AB$51,$AF$51,E395=$AB$52,$AF$52,E395=$AB$53,$AF$53,E395=$AB$54,$AF$54,E395=$AB$55,$AF$55,E395=$AB$56,$AF$56,E395=$AB$57,$AF$57,E395=$AB$58,$AF$58,E395=$AB$59,$AF$59,E395=$AB$60,$AF$60,E395=$AB$61,$AF$61,E395=$AB$62,$AF$62,E395=$AB$63,$AF$63,E395=$AB$64,$AF$64,E395=$AB$65,$AF$65,E395=$AB$66,$AF$66,TRUE,"0")</f>
        <v>if 0-0, BACK+ 0.5 GOALS  @ 1.15+odds.  or @ 40 mins</v>
      </c>
      <c r="D395" s="270" t="str" cm="1">
        <f t="array" ref="D395">_xlfn.IFS(E395=$AB$42,$AD$42,E395=$AB$43,$AD$43,E395=$AB$44,$AD$44,E395=$AB$45,$AD$45,E395=$AB$46,$AD$46,E395=$AB$47,$AD$47,E395=$AB$48,$AD$48,E395=$AB$49,$AD$49,E395=$AB$50,$AD$50,E395=$AB$51,$AD$51,E395=$AB$52,$AD$52,E395=$AB$53,$AD$53,E395=$AB$54,$AD$54,E395=$AB$55,$AD$55,E395=$AB$56,$AD$56,E395=$AB$57,$AD$57,E395=$AB$58,$AD$58,E395=$AB$59,$AD$59,E395=$AB$60,$AD$60,E395=$AB$61,$AD$61,E395=$AB$62,$AD$62,E395=$AB$63,$AD$63,E395=$AB$64,$AD$64,E395=$AB$65,$AD$65,E395=$AB$66,$AD$66,TRUE,"0")</f>
        <v>IP</v>
      </c>
      <c r="E395" s="163" t="s">
        <v>270</v>
      </c>
      <c r="F395" s="2" t="s">
        <v>58</v>
      </c>
      <c r="G395" s="2" t="s">
        <v>59</v>
      </c>
      <c r="H395" s="3">
        <v>45347.854166666664</v>
      </c>
      <c r="I395" s="2" t="s">
        <v>127</v>
      </c>
      <c r="J395" s="2" t="s">
        <v>125</v>
      </c>
      <c r="K395" s="2">
        <v>65</v>
      </c>
      <c r="L395" s="2">
        <v>0</v>
      </c>
      <c r="M395" s="2">
        <v>20</v>
      </c>
      <c r="N395" s="2">
        <v>1.99</v>
      </c>
      <c r="O395" s="2"/>
      <c r="P395" s="2"/>
      <c r="Q395" s="2" t="s">
        <v>95</v>
      </c>
      <c r="R395" s="10" t="s">
        <v>210</v>
      </c>
      <c r="S395" s="14" t="s">
        <v>279</v>
      </c>
      <c r="T395" s="188">
        <f t="shared" si="47"/>
        <v>410.35299584196576</v>
      </c>
      <c r="U395" s="8">
        <f t="shared" si="44"/>
        <v>73.863539251553831</v>
      </c>
      <c r="V395" s="234">
        <f>SUM(V394,U395)</f>
        <v>8280.9234560908681</v>
      </c>
      <c r="W395" s="15">
        <v>25</v>
      </c>
      <c r="X395" s="8">
        <f t="shared" si="48"/>
        <v>4.5</v>
      </c>
      <c r="Y395" s="233">
        <f t="shared" si="49"/>
        <v>1919</v>
      </c>
    </row>
    <row r="396" spans="1:25">
      <c r="A396" s="156" t="e" cm="1">
        <f t="array" aca="1" ref="A396" ca="1">_xlfn.IFS(E396=$AB$42,$AC$42,E396=$AB$43,$AC$43,E396=$AB$44,$AC$44,E396=$AB$45,$AC$45,E396=$AB$46,$AC$46,E396=$AB$47,$AC$47,E396=$AB$48,$AC$48,E396=$AB$49,$AC$49,E396=$AB$50,$AC$50,E396=$AB$51,$AC$51,E396=$AB$52,$AC$52,E396=$AB$53,$AC$53,E396=$AB$54,$AC$54,E396=$AB$55,$AC$55,E396=$AB$56,$AC$56,E396=$AB$57,$AC$57,E396=$AB$58,$AC$58,E396=$AB$59,$AC$59,E396=$AB$60,$AC$60,E396=$AB$61,$AC$61,E396=$AB$62,$AC$62,E396=$AB$63,$AC$63,E396=$AB$64,$AC$64,E396=$AB$65,$AC$65,E396=$AB$66,$AC$66,TRUE,"0")</f>
        <v>#NAME?</v>
      </c>
      <c r="C396" s="161" t="str" cm="1">
        <f t="array" ref="C396">_xlfn.IFS(E396=$AB$42,$AF$42,E396=$AB$43,$AF$43,E396=$AB$44,$AF$44,E396=$AB$45,$AF$45,E396=$AB$46,$AF$46,E396=$AB$47,$AF$47,E396=$AB$48,$AF$48,E396=$AB$49,$AF$49,E396=$AB$50,$AF$50,E396=$AB$51,$AF$51,E396=$AB$52,$AF$52,E396=$AB$53,$AF$53,E396=$AB$54,$AF$54,E396=$AB$55,$AF$55,E396=$AB$56,$AF$56,E396=$AB$57,$AF$57,E396=$AB$58,$AF$58,E396=$AB$59,$AF$59,E396=$AB$60,$AF$60,E396=$AB$61,$AF$61,E396=$AB$62,$AF$62,E396=$AB$63,$AF$63,E396=$AB$64,$AF$64,E396=$AB$65,$AF$65,E396=$AB$66,$AF$66,TRUE,"0")</f>
        <v>B4 match BACK FT +1.5 goals. X AFTER  GOAL</v>
      </c>
      <c r="D396" s="270" t="str" cm="1">
        <f t="array" ref="D396">_xlfn.IFS(E396=$AB$42,$AD$42,E396=$AB$43,$AD$43,E396=$AB$44,$AD$44,E396=$AB$45,$AD$45,E396=$AB$46,$AD$46,E396=$AB$47,$AD$47,E396=$AB$48,$AD$48,E396=$AB$49,$AD$49,E396=$AB$50,$AD$50,E396=$AB$51,$AD$51,E396=$AB$52,$AD$52,E396=$AB$53,$AD$53,E396=$AB$54,$AD$54,E396=$AB$55,$AD$55,E396=$AB$56,$AD$56,E396=$AB$57,$AD$57,E396=$AB$58,$AD$58,E396=$AB$59,$AD$59,E396=$AB$60,$AD$60,E396=$AB$61,$AD$61,E396=$AB$62,$AD$62,E396=$AB$63,$AD$63,E396=$AB$64,$AD$64,E396=$AB$65,$AD$65,E396=$AB$66,$AD$66,TRUE,"0")</f>
        <v xml:space="preserve">BFM </v>
      </c>
      <c r="E396" s="163" t="s">
        <v>406</v>
      </c>
      <c r="F396" s="2" t="s">
        <v>80</v>
      </c>
      <c r="G396" s="2" t="s">
        <v>81</v>
      </c>
      <c r="H396" s="3">
        <v>45348.708333333336</v>
      </c>
      <c r="I396" s="2" t="s">
        <v>144</v>
      </c>
      <c r="J396" s="2" t="s">
        <v>253</v>
      </c>
      <c r="K396" s="2">
        <v>1.34</v>
      </c>
      <c r="L396" s="2">
        <v>10.5</v>
      </c>
      <c r="M396" s="2">
        <v>2.95</v>
      </c>
      <c r="N396" s="2">
        <v>4.0999999999999996</v>
      </c>
      <c r="O396" s="2">
        <v>2.16</v>
      </c>
      <c r="P396" s="2"/>
      <c r="Q396" s="2" t="s">
        <v>95</v>
      </c>
      <c r="R396" s="10" t="s">
        <v>222</v>
      </c>
      <c r="S396" s="14" t="s">
        <v>222</v>
      </c>
      <c r="T396" s="188">
        <f t="shared" si="47"/>
        <v>414.0461728045434</v>
      </c>
      <c r="U396" s="8">
        <f t="shared" si="44"/>
        <v>74.528311104817803</v>
      </c>
      <c r="V396" s="234">
        <f t="shared" ref="V396:V403" si="50">SUM(V395,U396)</f>
        <v>8355.4517671956855</v>
      </c>
      <c r="W396" s="15">
        <v>25</v>
      </c>
      <c r="X396" s="8">
        <f t="shared" si="48"/>
        <v>4.5</v>
      </c>
      <c r="Y396" s="233">
        <f t="shared" si="49"/>
        <v>1923.5</v>
      </c>
    </row>
    <row r="397" spans="1:25">
      <c r="A397" s="156" t="e" cm="1">
        <f t="array" aca="1" ref="A397" ca="1">_xlfn.IFS(E397=$AB$42,$AC$42,E397=$AB$43,$AC$43,E397=$AB$44,$AC$44,E397=$AB$45,$AC$45,E397=$AB$46,$AC$46,E397=$AB$47,$AC$47,E397=$AB$48,$AC$48,E397=$AB$49,$AC$49,E397=$AB$50,$AC$50,E397=$AB$51,$AC$51,E397=$AB$52,$AC$52,E397=$AB$53,$AC$53,E397=$AB$54,$AC$54,E397=$AB$55,$AC$55,E397=$AB$56,$AC$56,E397=$AB$57,$AC$57,E397=$AB$58,$AC$58,E397=$AB$59,$AC$59,E397=$AB$60,$AC$60,E397=$AB$61,$AC$61,E397=$AB$62,$AC$62,E397=$AB$63,$AC$63,E397=$AB$64,$AC$64,E397=$AB$65,$AC$65,E397=$AB$66,$AC$66,TRUE,"0")</f>
        <v>#NAME?</v>
      </c>
      <c r="C397" s="161" t="str" cm="1">
        <f t="array" ref="C397">_xlfn.IFS(E397=$AB$42,$AF$42,E397=$AB$43,$AF$43,E397=$AB$44,$AF$44,E397=$AB$45,$AF$45,E397=$AB$46,$AF$46,E397=$AB$47,$AF$47,E397=$AB$48,$AF$48,E397=$AB$49,$AF$49,E397=$AB$50,$AF$50,E397=$AB$51,$AF$51,E397=$AB$52,$AF$52,E397=$AB$53,$AF$53,E397=$AB$54,$AF$54,E397=$AB$55,$AF$55,E397=$AB$56,$AF$56,E397=$AB$57,$AF$57,E397=$AB$58,$AF$58,E397=$AB$59,$AF$59,E397=$AB$60,$AF$60,E397=$AB$61,$AF$61,E397=$AB$62,$AF$62,E397=$AB$63,$AF$63,E397=$AB$64,$AF$64,E397=$AB$65,$AF$65,E397=$AB$66,$AF$66,TRUE,"0")</f>
        <v>B4 Match, lay HT 0-0 or BACK H1 +0.5 GOALS</v>
      </c>
      <c r="D397" s="270" t="str" cm="1">
        <f t="array" ref="D397">_xlfn.IFS(E397=$AB$42,$AD$42,E397=$AB$43,$AD$43,E397=$AB$44,$AD$44,E397=$AB$45,$AD$45,E397=$AB$46,$AD$46,E397=$AB$47,$AD$47,E397=$AB$48,$AD$48,E397=$AB$49,$AD$49,E397=$AB$50,$AD$50,E397=$AB$51,$AD$51,E397=$AB$52,$AD$52,E397=$AB$53,$AD$53,E397=$AB$54,$AD$54,E397=$AB$55,$AD$55,E397=$AB$56,$AD$56,E397=$AB$57,$AD$57,E397=$AB$58,$AD$58,E397=$AB$59,$AD$59,E397=$AB$60,$AD$60,E397=$AB$61,$AD$61,E397=$AB$62,$AD$62,E397=$AB$63,$AD$63,E397=$AB$64,$AD$64,E397=$AB$65,$AD$65,E397=$AB$66,$AD$66,TRUE,"0")</f>
        <v xml:space="preserve">BFM </v>
      </c>
      <c r="E397" s="163" t="s">
        <v>448</v>
      </c>
      <c r="F397" s="2" t="s">
        <v>58</v>
      </c>
      <c r="G397" s="2" t="s">
        <v>59</v>
      </c>
      <c r="H397" s="3">
        <v>45348.84375</v>
      </c>
      <c r="I397" s="2" t="s">
        <v>108</v>
      </c>
      <c r="J397" s="2" t="s">
        <v>112</v>
      </c>
      <c r="K397" s="2">
        <v>20</v>
      </c>
      <c r="L397" s="2">
        <v>10</v>
      </c>
      <c r="M397" s="2">
        <v>32</v>
      </c>
      <c r="N397" s="2">
        <v>4</v>
      </c>
      <c r="O397" s="2">
        <v>8</v>
      </c>
      <c r="P397" s="2">
        <v>10</v>
      </c>
      <c r="Q397" s="2" t="s">
        <v>95</v>
      </c>
      <c r="R397" s="10" t="s">
        <v>217</v>
      </c>
      <c r="S397" s="14" t="s">
        <v>288</v>
      </c>
      <c r="T397" s="188">
        <f t="shared" si="47"/>
        <v>417.77258835978432</v>
      </c>
      <c r="U397" s="8">
        <f t="shared" si="44"/>
        <v>75.19906590476117</v>
      </c>
      <c r="V397" s="234">
        <f t="shared" si="50"/>
        <v>8430.6508331004461</v>
      </c>
      <c r="W397" s="15">
        <v>25</v>
      </c>
      <c r="X397" s="8">
        <f t="shared" si="48"/>
        <v>4.5</v>
      </c>
      <c r="Y397" s="233">
        <f t="shared" si="49"/>
        <v>1928</v>
      </c>
    </row>
    <row r="398" spans="1:25">
      <c r="A398" s="156" t="e" cm="1">
        <f t="array" aca="1" ref="A398" ca="1">_xlfn.IFS(E398=$AB$42,$AC$42,E398=$AB$43,$AC$43,E398=$AB$44,$AC$44,E398=$AB$45,$AC$45,E398=$AB$46,$AC$46,E398=$AB$47,$AC$47,E398=$AB$48,$AC$48,E398=$AB$49,$AC$49,E398=$AB$50,$AC$50,E398=$AB$51,$AC$51,E398=$AB$52,$AC$52,E398=$AB$53,$AC$53,E398=$AB$54,$AC$54,E398=$AB$55,$AC$55,E398=$AB$56,$AC$56,E398=$AB$57,$AC$57,E398=$AB$58,$AC$58,E398=$AB$59,$AC$59,E398=$AB$60,$AC$60,E398=$AB$61,$AC$61,E398=$AB$62,$AC$62,E398=$AB$63,$AC$63,E398=$AB$64,$AC$64,E398=$AB$65,$AC$65,E398=$AB$66,$AC$66,TRUE,"0")</f>
        <v>#NAME?</v>
      </c>
      <c r="C398" s="161" t="str" cm="1">
        <f t="array" ref="C398">_xlfn.IFS(E398=$AB$42,$AF$42,E398=$AB$43,$AF$43,E398=$AB$44,$AF$44,E398=$AB$45,$AF$45,E398=$AB$46,$AF$46,E398=$AB$47,$AF$47,E398=$AB$48,$AF$48,E398=$AB$49,$AF$49,E398=$AB$50,$AF$50,E398=$AB$51,$AF$51,E398=$AB$52,$AF$52,E398=$AB$53,$AF$53,E398=$AB$54,$AF$54,E398=$AB$55,$AF$55,E398=$AB$56,$AF$56,E398=$AB$57,$AF$57,E398=$AB$58,$AF$58,E398=$AB$59,$AF$59,E398=$AB$60,$AF$60,E398=$AB$61,$AF$61,E398=$AB$62,$AF$62,E398=$AB$63,$AF$63,E398=$AB$64,$AF$64,E398=$AB$65,$AF$65,E398=$AB$66,$AF$66,TRUE,"0")</f>
        <v>if 0-0, BACK+ 0.5 GOALS  @ 1.15+odds.  or @ 40 mins</v>
      </c>
      <c r="D398" s="270" t="str" cm="1">
        <f t="array" ref="D398">_xlfn.IFS(E398=$AB$42,$AD$42,E398=$AB$43,$AD$43,E398=$AB$44,$AD$44,E398=$AB$45,$AD$45,E398=$AB$46,$AD$46,E398=$AB$47,$AD$47,E398=$AB$48,$AD$48,E398=$AB$49,$AD$49,E398=$AB$50,$AD$50,E398=$AB$51,$AD$51,E398=$AB$52,$AD$52,E398=$AB$53,$AD$53,E398=$AB$54,$AD$54,E398=$AB$55,$AD$55,E398=$AB$56,$AD$56,E398=$AB$57,$AD$57,E398=$AB$58,$AD$58,E398=$AB$59,$AD$59,E398=$AB$60,$AD$60,E398=$AB$61,$AD$61,E398=$AB$62,$AD$62,E398=$AB$63,$AD$63,E398=$AB$64,$AD$64,E398=$AB$65,$AD$65,E398=$AB$66,$AD$66,TRUE,"0")</f>
        <v>IP</v>
      </c>
      <c r="E398" s="163" t="s">
        <v>270</v>
      </c>
      <c r="F398" s="2" t="s">
        <v>20</v>
      </c>
      <c r="G398" s="2" t="s">
        <v>322</v>
      </c>
      <c r="H398" s="3">
        <v>45349.8125</v>
      </c>
      <c r="I398" s="2" t="s">
        <v>333</v>
      </c>
      <c r="J398" s="2" t="s">
        <v>468</v>
      </c>
      <c r="K398" s="2">
        <v>61</v>
      </c>
      <c r="L398" s="2">
        <v>0</v>
      </c>
      <c r="M398" s="2">
        <v>20</v>
      </c>
      <c r="N398" s="2">
        <v>30</v>
      </c>
      <c r="O398" s="2">
        <v>2.2400000000000002</v>
      </c>
      <c r="P398" s="2"/>
      <c r="Q398" s="2" t="s">
        <v>95</v>
      </c>
      <c r="R398" s="10" t="s">
        <v>214</v>
      </c>
      <c r="S398" s="14" t="s">
        <v>220</v>
      </c>
      <c r="T398" s="188">
        <f t="shared" si="47"/>
        <v>421.53254165502233</v>
      </c>
      <c r="U398" s="8">
        <f t="shared" si="44"/>
        <v>75.875857497904022</v>
      </c>
      <c r="V398" s="234">
        <f t="shared" si="50"/>
        <v>8506.5266905983499</v>
      </c>
      <c r="W398" s="15">
        <v>25</v>
      </c>
      <c r="X398" s="8">
        <f t="shared" si="48"/>
        <v>4.5</v>
      </c>
      <c r="Y398" s="233">
        <f t="shared" si="49"/>
        <v>1932.5</v>
      </c>
    </row>
    <row r="399" spans="1:25">
      <c r="A399" s="156" t="e" cm="1">
        <f t="array" aca="1" ref="A399" ca="1">_xlfn.IFS(E399=$AB$42,$AC$42,E399=$AB$43,$AC$43,E399=$AB$44,$AC$44,E399=$AB$45,$AC$45,E399=$AB$46,$AC$46,E399=$AB$47,$AC$47,E399=$AB$48,$AC$48,E399=$AB$49,$AC$49,E399=$AB$50,$AC$50,E399=$AB$51,$AC$51,E399=$AB$52,$AC$52,E399=$AB$53,$AC$53,E399=$AB$54,$AC$54,E399=$AB$55,$AC$55,E399=$AB$56,$AC$56,E399=$AB$57,$AC$57,E399=$AB$58,$AC$58,E399=$AB$59,$AC$59,E399=$AB$60,$AC$60,E399=$AB$61,$AC$61,E399=$AB$62,$AC$62,E399=$AB$63,$AC$63,E399=$AB$64,$AC$64,E399=$AB$65,$AC$65,E399=$AB$66,$AC$66,TRUE,"0")</f>
        <v>#NAME?</v>
      </c>
      <c r="C399" s="161" t="str" cm="1">
        <f t="array" ref="C399">_xlfn.IFS(E399=$AB$42,$AF$42,E399=$AB$43,$AF$43,E399=$AB$44,$AF$44,E399=$AB$45,$AF$45,E399=$AB$46,$AF$46,E399=$AB$47,$AF$47,E399=$AB$48,$AF$48,E399=$AB$49,$AF$49,E399=$AB$50,$AF$50,E399=$AB$51,$AF$51,E399=$AB$52,$AF$52,E399=$AB$53,$AF$53,E399=$AB$54,$AF$54,E399=$AB$55,$AF$55,E399=$AB$56,$AF$56,E399=$AB$57,$AF$57,E399=$AB$58,$AF$58,E399=$AB$59,$AF$59,E399=$AB$60,$AF$60,E399=$AB$61,$AF$61,E399=$AB$62,$AF$62,E399=$AB$63,$AF$63,E399=$AB$64,$AF$64,E399=$AB$65,$AF$65,E399=$AB$66,$AF$66,TRUE,"0")</f>
        <v>40 mins Back ANother Goal</v>
      </c>
      <c r="D399" s="270" t="str" cm="1">
        <f t="array" ref="D399">_xlfn.IFS(E399=$AB$42,$AD$42,E399=$AB$43,$AD$43,E399=$AB$44,$AD$44,E399=$AB$45,$AD$45,E399=$AB$46,$AD$46,E399=$AB$47,$AD$47,E399=$AB$48,$AD$48,E399=$AB$49,$AD$49,E399=$AB$50,$AD$50,E399=$AB$51,$AD$51,E399=$AB$52,$AD$52,E399=$AB$53,$AD$53,E399=$AB$54,$AD$54,E399=$AB$55,$AD$55,E399=$AB$56,$AD$56,E399=$AB$57,$AD$57,E399=$AB$58,$AD$58,E399=$AB$59,$AD$59,E399=$AB$60,$AD$60,E399=$AB$61,$AD$61,E399=$AB$62,$AD$62,E399=$AB$63,$AD$63,E399=$AB$64,$AD$64,E399=$AB$65,$AD$65,E399=$AB$66,$AD$66,TRUE,"0")</f>
        <v xml:space="preserve">  BANG</v>
      </c>
      <c r="E399" s="163" t="s">
        <v>10</v>
      </c>
      <c r="F399" s="2" t="s">
        <v>6</v>
      </c>
      <c r="G399" s="2" t="s">
        <v>11</v>
      </c>
      <c r="H399" s="3">
        <v>45349.822916666664</v>
      </c>
      <c r="I399" s="2" t="s">
        <v>231</v>
      </c>
      <c r="J399" s="2" t="s">
        <v>162</v>
      </c>
      <c r="K399" s="2">
        <v>2.25</v>
      </c>
      <c r="L399" s="2">
        <v>100</v>
      </c>
      <c r="M399" s="2">
        <v>75</v>
      </c>
      <c r="N399" s="2">
        <v>40</v>
      </c>
      <c r="O399" s="2">
        <v>62</v>
      </c>
      <c r="P399" s="2">
        <v>20</v>
      </c>
      <c r="Q399" s="2" t="s">
        <v>95</v>
      </c>
      <c r="R399" s="10" t="s">
        <v>214</v>
      </c>
      <c r="S399" s="14" t="s">
        <v>223</v>
      </c>
      <c r="T399" s="188">
        <f t="shared" si="47"/>
        <v>425.32633452991752</v>
      </c>
      <c r="U399" s="8">
        <f t="shared" si="44"/>
        <v>76.558740215385157</v>
      </c>
      <c r="V399" s="234">
        <f t="shared" si="50"/>
        <v>8583.085430813735</v>
      </c>
      <c r="W399" s="15">
        <v>25</v>
      </c>
      <c r="X399" s="8">
        <f t="shared" si="48"/>
        <v>4.5</v>
      </c>
      <c r="Y399" s="233">
        <f t="shared" si="49"/>
        <v>1937</v>
      </c>
    </row>
    <row r="400" spans="1:25">
      <c r="A400" s="156" t="e" cm="1">
        <f t="array" aca="1" ref="A400" ca="1">_xlfn.IFS(E400=$AB$42,$AC$42,E400=$AB$43,$AC$43,E400=$AB$44,$AC$44,E400=$AB$45,$AC$45,E400=$AB$46,$AC$46,E400=$AB$47,$AC$47,E400=$AB$48,$AC$48,E400=$AB$49,$AC$49,E400=$AB$50,$AC$50,E400=$AB$51,$AC$51,E400=$AB$52,$AC$52,E400=$AB$53,$AC$53,E400=$AB$54,$AC$54,E400=$AB$55,$AC$55,E400=$AB$56,$AC$56,E400=$AB$57,$AC$57,E400=$AB$58,$AC$58,E400=$AB$59,$AC$59,E400=$AB$60,$AC$60,E400=$AB$61,$AC$61,E400=$AB$62,$AC$62,E400=$AB$63,$AC$63,E400=$AB$64,$AC$64,E400=$AB$65,$AC$65,E400=$AB$66,$AC$66,TRUE,"0")</f>
        <v>#NAME?</v>
      </c>
      <c r="C400" s="161" t="str" cm="1">
        <f t="array" ref="C400">_xlfn.IFS(E400=$AB$42,$AF$42,E400=$AB$43,$AF$43,E400=$AB$44,$AF$44,E400=$AB$45,$AF$45,E400=$AB$46,$AF$46,E400=$AB$47,$AF$47,E400=$AB$48,$AF$48,E400=$AB$49,$AF$49,E400=$AB$50,$AF$50,E400=$AB$51,$AF$51,E400=$AB$52,$AF$52,E400=$AB$53,$AF$53,E400=$AB$54,$AF$54,E400=$AB$55,$AF$55,E400=$AB$56,$AF$56,E400=$AB$57,$AF$57,E400=$AB$58,$AF$58,E400=$AB$59,$AF$59,E400=$AB$60,$AF$60,E400=$AB$61,$AF$61,E400=$AB$62,$AF$62,E400=$AB$63,$AF$63,E400=$AB$64,$AF$64,E400=$AB$65,$AF$65,E400=$AB$66,$AF$66,TRUE,"0")</f>
        <v>40 mins Back ANother Goal</v>
      </c>
      <c r="D400" s="270" t="str" cm="1">
        <f t="array" ref="D400">_xlfn.IFS(E400=$AB$42,$AD$42,E400=$AB$43,$AD$43,E400=$AB$44,$AD$44,E400=$AB$45,$AD$45,E400=$AB$46,$AD$46,E400=$AB$47,$AD$47,E400=$AB$48,$AD$48,E400=$AB$49,$AD$49,E400=$AB$50,$AD$50,E400=$AB$51,$AD$51,E400=$AB$52,$AD$52,E400=$AB$53,$AD$53,E400=$AB$54,$AD$54,E400=$AB$55,$AD$55,E400=$AB$56,$AD$56,E400=$AB$57,$AD$57,E400=$AB$58,$AD$58,E400=$AB$59,$AD$59,E400=$AB$60,$AD$60,E400=$AB$61,$AD$61,E400=$AB$62,$AD$62,E400=$AB$63,$AD$63,E400=$AB$64,$AD$64,E400=$AB$65,$AD$65,E400=$AB$66,$AD$66,TRUE,"0")</f>
        <v xml:space="preserve">  BANG</v>
      </c>
      <c r="E400" s="163" t="s">
        <v>28</v>
      </c>
      <c r="F400" s="2" t="s">
        <v>6</v>
      </c>
      <c r="G400" s="2" t="s">
        <v>11</v>
      </c>
      <c r="H400" s="3">
        <v>45349.822916666664</v>
      </c>
      <c r="I400" s="2" t="s">
        <v>231</v>
      </c>
      <c r="J400" s="2" t="s">
        <v>162</v>
      </c>
      <c r="K400" s="2">
        <v>2.25</v>
      </c>
      <c r="L400" s="2">
        <v>5.4</v>
      </c>
      <c r="M400" s="2">
        <v>62</v>
      </c>
      <c r="N400" s="2">
        <v>0</v>
      </c>
      <c r="O400" s="2">
        <v>20</v>
      </c>
      <c r="P400" s="2">
        <v>1.2</v>
      </c>
      <c r="Q400" s="2" t="s">
        <v>95</v>
      </c>
      <c r="R400" s="10" t="s">
        <v>214</v>
      </c>
      <c r="S400" s="14" t="s">
        <v>223</v>
      </c>
      <c r="T400" s="188">
        <f t="shared" si="47"/>
        <v>429.15427154068675</v>
      </c>
      <c r="U400" s="8">
        <f t="shared" si="44"/>
        <v>77.247768877323608</v>
      </c>
      <c r="V400" s="234">
        <f t="shared" si="50"/>
        <v>8660.3331996910583</v>
      </c>
      <c r="W400" s="15">
        <v>25</v>
      </c>
      <c r="X400" s="8">
        <f t="shared" si="48"/>
        <v>4.5</v>
      </c>
      <c r="Y400" s="233">
        <f t="shared" si="49"/>
        <v>1941.5</v>
      </c>
    </row>
    <row r="401" spans="1:25">
      <c r="A401" s="156" t="e" cm="1">
        <f t="array" aca="1" ref="A401" ca="1">_xlfn.IFS(E401=$AB$42,$AC$42,E401=$AB$43,$AC$43,E401=$AB$44,$AC$44,E401=$AB$45,$AC$45,E401=$AB$46,$AC$46,E401=$AB$47,$AC$47,E401=$AB$48,$AC$48,E401=$AB$49,$AC$49,E401=$AB$50,$AC$50,E401=$AB$51,$AC$51,E401=$AB$52,$AC$52,E401=$AB$53,$AC$53,E401=$AB$54,$AC$54,E401=$AB$55,$AC$55,E401=$AB$56,$AC$56,E401=$AB$57,$AC$57,E401=$AB$58,$AC$58,E401=$AB$59,$AC$59,E401=$AB$60,$AC$60,E401=$AB$61,$AC$61,E401=$AB$62,$AC$62,E401=$AB$63,$AC$63,E401=$AB$64,$AC$64,E401=$AB$65,$AC$65,E401=$AB$66,$AC$66,TRUE,"0")</f>
        <v>#NAME?</v>
      </c>
      <c r="C401" s="161" t="str" cm="1">
        <f t="array" ref="C401">_xlfn.IFS(E401=$AB$42,$AF$42,E401=$AB$43,$AF$43,E401=$AB$44,$AF$44,E401=$AB$45,$AF$45,E401=$AB$46,$AF$46,E401=$AB$47,$AF$47,E401=$AB$48,$AF$48,E401=$AB$49,$AF$49,E401=$AB$50,$AF$50,E401=$AB$51,$AF$51,E401=$AB$52,$AF$52,E401=$AB$53,$AF$53,E401=$AB$54,$AF$54,E401=$AB$55,$AF$55,E401=$AB$56,$AF$56,E401=$AB$57,$AF$57,E401=$AB$58,$AF$58,E401=$AB$59,$AF$59,E401=$AB$60,$AF$60,E401=$AB$61,$AF$61,E401=$AB$62,$AF$62,E401=$AB$63,$AF$63,E401=$AB$64,$AF$64,E401=$AB$65,$AF$65,E401=$AB$66,$AF$66,TRUE,"0")</f>
        <v>40 mins Back ANother Goal</v>
      </c>
      <c r="D401" s="270" t="str" cm="1">
        <f t="array" ref="D401">_xlfn.IFS(E401=$AB$42,$AD$42,E401=$AB$43,$AD$43,E401=$AB$44,$AD$44,E401=$AB$45,$AD$45,E401=$AB$46,$AD$46,E401=$AB$47,$AD$47,E401=$AB$48,$AD$48,E401=$AB$49,$AD$49,E401=$AB$50,$AD$50,E401=$AB$51,$AD$51,E401=$AB$52,$AD$52,E401=$AB$53,$AD$53,E401=$AB$54,$AD$54,E401=$AB$55,$AD$55,E401=$AB$56,$AD$56,E401=$AB$57,$AD$57,E401=$AB$58,$AD$58,E401=$AB$59,$AD$59,E401=$AB$60,$AD$60,E401=$AB$61,$AD$61,E401=$AB$62,$AD$62,E401=$AB$63,$AD$63,E401=$AB$64,$AD$64,E401=$AB$65,$AD$65,E401=$AB$66,$AD$66,TRUE,"0")</f>
        <v xml:space="preserve">  BANG</v>
      </c>
      <c r="E401" s="163" t="s">
        <v>35</v>
      </c>
      <c r="F401" s="2" t="s">
        <v>6</v>
      </c>
      <c r="G401" s="2" t="s">
        <v>11</v>
      </c>
      <c r="H401" s="3">
        <v>45349.822916666664</v>
      </c>
      <c r="I401" s="2" t="s">
        <v>231</v>
      </c>
      <c r="J401" s="2" t="s">
        <v>162</v>
      </c>
      <c r="K401" s="2">
        <v>73</v>
      </c>
      <c r="L401" s="2">
        <v>100</v>
      </c>
      <c r="M401" s="2">
        <v>75</v>
      </c>
      <c r="N401" s="2">
        <v>40</v>
      </c>
      <c r="O401" s="2">
        <v>20</v>
      </c>
      <c r="P401" s="2">
        <v>1.2</v>
      </c>
      <c r="Q401" s="2" t="s">
        <v>95</v>
      </c>
      <c r="R401" s="10" t="s">
        <v>214</v>
      </c>
      <c r="S401" s="14" t="s">
        <v>223</v>
      </c>
      <c r="T401" s="188">
        <f t="shared" si="47"/>
        <v>433.01665998455292</v>
      </c>
      <c r="U401" s="8">
        <f t="shared" si="44"/>
        <v>77.942998797219516</v>
      </c>
      <c r="V401" s="234">
        <f t="shared" si="50"/>
        <v>8738.2761984882782</v>
      </c>
      <c r="W401" s="15">
        <v>25</v>
      </c>
      <c r="X401" s="8">
        <f t="shared" si="48"/>
        <v>4.5</v>
      </c>
      <c r="Y401" s="233">
        <f t="shared" si="49"/>
        <v>1946</v>
      </c>
    </row>
    <row r="402" spans="1:25">
      <c r="A402" s="156" t="e" cm="1">
        <f t="array" aca="1" ref="A402" ca="1">_xlfn.IFS(E402=$AB$42,$AC$42,E402=$AB$43,$AC$43,E402=$AB$44,$AC$44,E402=$AB$45,$AC$45,E402=$AB$46,$AC$46,E402=$AB$47,$AC$47,E402=$AB$48,$AC$48,E402=$AB$49,$AC$49,E402=$AB$50,$AC$50,E402=$AB$51,$AC$51,E402=$AB$52,$AC$52,E402=$AB$53,$AC$53,E402=$AB$54,$AC$54,E402=$AB$55,$AC$55,E402=$AB$56,$AC$56,E402=$AB$57,$AC$57,E402=$AB$58,$AC$58,E402=$AB$59,$AC$59,E402=$AB$60,$AC$60,E402=$AB$61,$AC$61,E402=$AB$62,$AC$62,E402=$AB$63,$AC$63,E402=$AB$64,$AC$64,E402=$AB$65,$AC$65,E402=$AB$66,$AC$66,TRUE,"0")</f>
        <v>#NAME?</v>
      </c>
      <c r="C402" s="161" t="str" cm="1">
        <f t="array" ref="C402">_xlfn.IFS(E402=$AB$42,$AF$42,E402=$AB$43,$AF$43,E402=$AB$44,$AF$44,E402=$AB$45,$AF$45,E402=$AB$46,$AF$46,E402=$AB$47,$AF$47,E402=$AB$48,$AF$48,E402=$AB$49,$AF$49,E402=$AB$50,$AF$50,E402=$AB$51,$AF$51,E402=$AB$52,$AF$52,E402=$AB$53,$AF$53,E402=$AB$54,$AF$54,E402=$AB$55,$AF$55,E402=$AB$56,$AF$56,E402=$AB$57,$AF$57,E402=$AB$58,$AF$58,E402=$AB$59,$AF$59,E402=$AB$60,$AF$60,E402=$AB$61,$AF$61,E402=$AB$62,$AF$62,E402=$AB$63,$AF$63,E402=$AB$64,$AF$64,E402=$AB$65,$AF$65,E402=$AB$66,$AF$66,TRUE,"0")</f>
        <v>40 mins Back ANother Goal</v>
      </c>
      <c r="D402" s="270" t="str" cm="1">
        <f t="array" ref="D402">_xlfn.IFS(E402=$AB$42,$AD$42,E402=$AB$43,$AD$43,E402=$AB$44,$AD$44,E402=$AB$45,$AD$45,E402=$AB$46,$AD$46,E402=$AB$47,$AD$47,E402=$AB$48,$AD$48,E402=$AB$49,$AD$49,E402=$AB$50,$AD$50,E402=$AB$51,$AD$51,E402=$AB$52,$AD$52,E402=$AB$53,$AD$53,E402=$AB$54,$AD$54,E402=$AB$55,$AD$55,E402=$AB$56,$AD$56,E402=$AB$57,$AD$57,E402=$AB$58,$AD$58,E402=$AB$59,$AD$59,E402=$AB$60,$AD$60,E402=$AB$61,$AD$61,E402=$AB$62,$AD$62,E402=$AB$63,$AD$63,E402=$AB$64,$AD$64,E402=$AB$65,$AD$65,E402=$AB$66,$AD$66,TRUE,"0")</f>
        <v xml:space="preserve">  BANG</v>
      </c>
      <c r="E402" s="163" t="s">
        <v>43</v>
      </c>
      <c r="F402" s="2" t="s">
        <v>6</v>
      </c>
      <c r="G402" s="2" t="s">
        <v>11</v>
      </c>
      <c r="H402" s="3">
        <v>45349.822916666664</v>
      </c>
      <c r="I402" s="2" t="s">
        <v>231</v>
      </c>
      <c r="J402" s="2" t="s">
        <v>162</v>
      </c>
      <c r="K402" s="2">
        <v>68</v>
      </c>
      <c r="L402" s="2">
        <v>75</v>
      </c>
      <c r="M402" s="2">
        <v>62</v>
      </c>
      <c r="N402" s="2">
        <v>2.25</v>
      </c>
      <c r="O402" s="2">
        <v>1.2</v>
      </c>
      <c r="P402" s="2"/>
      <c r="Q402" s="2" t="s">
        <v>95</v>
      </c>
      <c r="R402" s="10" t="s">
        <v>214</v>
      </c>
      <c r="S402" s="14" t="s">
        <v>223</v>
      </c>
      <c r="T402" s="188">
        <f t="shared" si="47"/>
        <v>436.91380992441395</v>
      </c>
      <c r="U402" s="8">
        <f t="shared" si="44"/>
        <v>78.644485786394512</v>
      </c>
      <c r="V402" s="234">
        <f t="shared" si="50"/>
        <v>8816.9206842746735</v>
      </c>
      <c r="W402" s="15">
        <v>25</v>
      </c>
      <c r="X402" s="8">
        <f t="shared" si="48"/>
        <v>4.5</v>
      </c>
      <c r="Y402" s="233">
        <f t="shared" si="49"/>
        <v>1950.5</v>
      </c>
    </row>
    <row r="403" spans="1:25">
      <c r="A403" s="156" t="e" cm="1">
        <f t="array" aca="1" ref="A403" ca="1">_xlfn.IFS(E403=$AB$42,$AC$42,E403=$AB$43,$AC$43,E403=$AB$44,$AC$44,E403=$AB$45,$AC$45,E403=$AB$46,$AC$46,E403=$AB$47,$AC$47,E403=$AB$48,$AC$48,E403=$AB$49,$AC$49,E403=$AB$50,$AC$50,E403=$AB$51,$AC$51,E403=$AB$52,$AC$52,E403=$AB$53,$AC$53,E403=$AB$54,$AC$54,E403=$AB$55,$AC$55,E403=$AB$56,$AC$56,E403=$AB$57,$AC$57,E403=$AB$58,$AC$58,E403=$AB$59,$AC$59,E403=$AB$60,$AC$60,E403=$AB$61,$AC$61,E403=$AB$62,$AC$62,E403=$AB$63,$AC$63,E403=$AB$64,$AC$64,E403=$AB$65,$AC$65,E403=$AB$66,$AC$66,TRUE,"0")</f>
        <v>#NAME?</v>
      </c>
      <c r="C403" s="161" t="str" cm="1">
        <f t="array" ref="C403">_xlfn.IFS(E403=$AB$42,$AF$42,E403=$AB$43,$AF$43,E403=$AB$44,$AF$44,E403=$AB$45,$AF$45,E403=$AB$46,$AF$46,E403=$AB$47,$AF$47,E403=$AB$48,$AF$48,E403=$AB$49,$AF$49,E403=$AB$50,$AF$50,E403=$AB$51,$AF$51,E403=$AB$52,$AF$52,E403=$AB$53,$AF$53,E403=$AB$54,$AF$54,E403=$AB$55,$AF$55,E403=$AB$56,$AF$56,E403=$AB$57,$AF$57,E403=$AB$58,$AF$58,E403=$AB$59,$AF$59,E403=$AB$60,$AF$60,E403=$AB$61,$AF$61,E403=$AB$62,$AF$62,E403=$AB$63,$AF$63,E403=$AB$64,$AF$64,E403=$AB$65,$AF$65,E403=$AB$66,$AF$66,TRUE,"0")</f>
        <v>if 0-0, BACK+ 0.5 GOALS  @ 1.15+odds.  or @ 40 mins</v>
      </c>
      <c r="D403" s="270" t="str" cm="1">
        <f t="array" ref="D403">_xlfn.IFS(E403=$AB$42,$AD$42,E403=$AB$43,$AD$43,E403=$AB$44,$AD$44,E403=$AB$45,$AD$45,E403=$AB$46,$AD$46,E403=$AB$47,$AD$47,E403=$AB$48,$AD$48,E403=$AB$49,$AD$49,E403=$AB$50,$AD$50,E403=$AB$51,$AD$51,E403=$AB$52,$AD$52,E403=$AB$53,$AD$53,E403=$AB$54,$AD$54,E403=$AB$55,$AD$55,E403=$AB$56,$AD$56,E403=$AB$57,$AD$57,E403=$AB$58,$AD$58,E403=$AB$59,$AD$59,E403=$AB$60,$AD$60,E403=$AB$61,$AD$61,E403=$AB$62,$AD$62,E403=$AB$63,$AD$63,E403=$AB$64,$AD$64,E403=$AB$65,$AD$65,E403=$AB$66,$AD$66,TRUE,"0")</f>
        <v>IP</v>
      </c>
      <c r="E403" s="163" t="s">
        <v>270</v>
      </c>
      <c r="F403" s="2" t="s">
        <v>6</v>
      </c>
      <c r="G403" s="12" t="s">
        <v>11</v>
      </c>
      <c r="H403" s="32">
        <v>45349.822916666664</v>
      </c>
      <c r="I403" s="12" t="s">
        <v>231</v>
      </c>
      <c r="J403" s="12" t="s">
        <v>162</v>
      </c>
      <c r="K403" s="12">
        <v>73</v>
      </c>
      <c r="L403" s="2">
        <v>0</v>
      </c>
      <c r="M403" s="2">
        <v>20</v>
      </c>
      <c r="N403" s="2">
        <v>45</v>
      </c>
      <c r="O403" s="2">
        <v>2</v>
      </c>
      <c r="P403" s="2"/>
      <c r="Q403" s="2" t="s">
        <v>95</v>
      </c>
      <c r="R403" s="10" t="s">
        <v>214</v>
      </c>
      <c r="S403" s="14" t="s">
        <v>223</v>
      </c>
      <c r="T403" s="188">
        <f t="shared" si="47"/>
        <v>440.84603421373367</v>
      </c>
      <c r="U403" s="8">
        <f t="shared" si="44"/>
        <v>79.352286158472054</v>
      </c>
      <c r="V403" s="234">
        <f t="shared" si="50"/>
        <v>8896.272970433145</v>
      </c>
      <c r="W403" s="15">
        <v>25</v>
      </c>
      <c r="X403" s="8">
        <f t="shared" si="48"/>
        <v>4.5</v>
      </c>
      <c r="Y403" s="233">
        <f t="shared" si="49"/>
        <v>1955</v>
      </c>
    </row>
    <row r="404" spans="1:25">
      <c r="A404" s="156" t="e" cm="1">
        <f t="array" aca="1" ref="A404" ca="1">_xlfn.IFS(E404=$AB$42,$AC$42,E404=$AB$43,$AC$43,E404=$AB$44,$AC$44,E404=$AB$45,$AC$45,E404=$AB$46,$AC$46,E404=$AB$47,$AC$47,E404=$AB$48,$AC$48,E404=$AB$49,$AC$49,E404=$AB$50,$AC$50,E404=$AB$51,$AC$51,E404=$AB$52,$AC$52,E404=$AB$53,$AC$53,E404=$AB$54,$AC$54,E404=$AB$55,$AC$55,E404=$AB$56,$AC$56,E404=$AB$57,$AC$57,E404=$AB$58,$AC$58,E404=$AB$59,$AC$59,E404=$AB$60,$AC$60,E404=$AB$61,$AC$61,E404=$AB$62,$AC$62,E404=$AB$63,$AC$63,E404=$AB$64,$AC$64,E404=$AB$65,$AC$65,E404=$AB$66,$AC$66,TRUE,"0")</f>
        <v>#NAME?</v>
      </c>
      <c r="C404" s="161" t="str" cm="1">
        <f t="array" ref="C404">_xlfn.IFS(E404=$AB$42,$AF$42,E404=$AB$43,$AF$43,E404=$AB$44,$AF$44,E404=$AB$45,$AF$45,E404=$AB$46,$AF$46,E404=$AB$47,$AF$47,E404=$AB$48,$AF$48,E404=$AB$49,$AF$49,E404=$AB$50,$AF$50,E404=$AB$51,$AF$51,E404=$AB$52,$AF$52,E404=$AB$53,$AF$53,E404=$AB$54,$AF$54,E404=$AB$55,$AF$55,E404=$AB$56,$AF$56,E404=$AB$57,$AF$57,E404=$AB$58,$AF$58,E404=$AB$59,$AF$59,E404=$AB$60,$AF$60,E404=$AB$61,$AF$61,E404=$AB$62,$AF$62,E404=$AB$63,$AF$63,E404=$AB$64,$AF$64,E404=$AB$65,$AF$65,E404=$AB$66,$AF$66,TRUE,"0")</f>
        <v>40 mins Back ANother Goal</v>
      </c>
      <c r="D404" s="270" t="str" cm="1">
        <f t="array" ref="D404">_xlfn.IFS(E404=$AB$42,$AD$42,E404=$AB$43,$AD$43,E404=$AB$44,$AD$44,E404=$AB$45,$AD$45,E404=$AB$46,$AD$46,E404=$AB$47,$AD$47,E404=$AB$48,$AD$48,E404=$AB$49,$AD$49,E404=$AB$50,$AD$50,E404=$AB$51,$AD$51,E404=$AB$52,$AD$52,E404=$AB$53,$AD$53,E404=$AB$54,$AD$54,E404=$AB$55,$AD$55,E404=$AB$56,$AD$56,E404=$AB$57,$AD$57,E404=$AB$58,$AD$58,E404=$AB$59,$AD$59,E404=$AB$60,$AD$60,E404=$AB$61,$AD$61,E404=$AB$62,$AD$62,E404=$AB$63,$AD$63,E404=$AB$64,$AD$64,E404=$AB$65,$AD$65,E404=$AB$66,$AD$66,TRUE,"0")</f>
        <v xml:space="preserve">  BANG</v>
      </c>
      <c r="E404" s="163" t="s">
        <v>10</v>
      </c>
      <c r="F404" s="2" t="s">
        <v>133</v>
      </c>
      <c r="G404" s="2" t="s">
        <v>78</v>
      </c>
      <c r="H404" s="3">
        <v>45350.541666666664</v>
      </c>
      <c r="I404" s="2" t="s">
        <v>374</v>
      </c>
      <c r="J404" s="2" t="s">
        <v>427</v>
      </c>
      <c r="K404" s="2">
        <v>1.8</v>
      </c>
      <c r="L404" s="2">
        <v>100</v>
      </c>
      <c r="M404" s="2">
        <v>65</v>
      </c>
      <c r="N404" s="2">
        <v>10</v>
      </c>
      <c r="O404" s="2">
        <v>70</v>
      </c>
      <c r="P404" s="2">
        <v>20</v>
      </c>
      <c r="Q404" s="2" t="s">
        <v>95</v>
      </c>
      <c r="R404" s="10" t="s">
        <v>209</v>
      </c>
      <c r="S404" s="14" t="s">
        <v>279</v>
      </c>
      <c r="T404" s="188">
        <f t="shared" si="47"/>
        <v>444.81364852165729</v>
      </c>
      <c r="U404" s="8">
        <f t="shared" si="44"/>
        <v>80.066456733898306</v>
      </c>
      <c r="V404" s="234">
        <f>SUM(V403,U404)</f>
        <v>8976.3394271670441</v>
      </c>
      <c r="W404" s="15">
        <v>25</v>
      </c>
      <c r="X404" s="8">
        <f t="shared" si="48"/>
        <v>4.5</v>
      </c>
      <c r="Y404" s="233">
        <f t="shared" si="49"/>
        <v>1959.5</v>
      </c>
    </row>
    <row r="405" spans="1:25">
      <c r="A405" s="156" t="e" cm="1">
        <f t="array" aca="1" ref="A405" ca="1">_xlfn.IFS(E405=$AB$42,$AC$42,E405=$AB$43,$AC$43,E405=$AB$44,$AC$44,E405=$AB$45,$AC$45,E405=$AB$46,$AC$46,E405=$AB$47,$AC$47,E405=$AB$48,$AC$48,E405=$AB$49,$AC$49,E405=$AB$50,$AC$50,E405=$AB$51,$AC$51,E405=$AB$52,$AC$52,E405=$AB$53,$AC$53,E405=$AB$54,$AC$54,E405=$AB$55,$AC$55,E405=$AB$56,$AC$56,E405=$AB$57,$AC$57,E405=$AB$58,$AC$58,E405=$AB$59,$AC$59,E405=$AB$60,$AC$60,E405=$AB$61,$AC$61,E405=$AB$62,$AC$62,E405=$AB$63,$AC$63,E405=$AB$64,$AC$64,E405=$AB$65,$AC$65,E405=$AB$66,$AC$66,TRUE,"0")</f>
        <v>#NAME?</v>
      </c>
      <c r="C405" s="161" t="str" cm="1">
        <f t="array" ref="C405">_xlfn.IFS(E405=$AB$42,$AF$42,E405=$AB$43,$AF$43,E405=$AB$44,$AF$44,E405=$AB$45,$AF$45,E405=$AB$46,$AF$46,E405=$AB$47,$AF$47,E405=$AB$48,$AF$48,E405=$AB$49,$AF$49,E405=$AB$50,$AF$50,E405=$AB$51,$AF$51,E405=$AB$52,$AF$52,E405=$AB$53,$AF$53,E405=$AB$54,$AF$54,E405=$AB$55,$AF$55,E405=$AB$56,$AF$56,E405=$AB$57,$AF$57,E405=$AB$58,$AF$58,E405=$AB$59,$AF$59,E405=$AB$60,$AF$60,E405=$AB$61,$AF$61,E405=$AB$62,$AF$62,E405=$AB$63,$AF$63,E405=$AB$64,$AF$64,E405=$AB$65,$AF$65,E405=$AB$66,$AF$66,TRUE,"0")</f>
        <v>if 0-0, BACK+ 0.5 GOALS  @ 1.15+odds.  or @ 40 mins</v>
      </c>
      <c r="D405" s="270" t="str" cm="1">
        <f t="array" ref="D405">_xlfn.IFS(E405=$AB$42,$AD$42,E405=$AB$43,$AD$43,E405=$AB$44,$AD$44,E405=$AB$45,$AD$45,E405=$AB$46,$AD$46,E405=$AB$47,$AD$47,E405=$AB$48,$AD$48,E405=$AB$49,$AD$49,E405=$AB$50,$AD$50,E405=$AB$51,$AD$51,E405=$AB$52,$AD$52,E405=$AB$53,$AD$53,E405=$AB$54,$AD$54,E405=$AB$55,$AD$55,E405=$AB$56,$AD$56,E405=$AB$57,$AD$57,E405=$AB$58,$AD$58,E405=$AB$59,$AD$59,E405=$AB$60,$AD$60,E405=$AB$61,$AD$61,E405=$AB$62,$AD$62,E405=$AB$63,$AD$63,E405=$AB$64,$AD$64,E405=$AB$65,$AD$65,E405=$AB$66,$AD$66,TRUE,"0")</f>
        <v>IP</v>
      </c>
      <c r="E405" s="163" t="s">
        <v>270</v>
      </c>
      <c r="F405" s="2" t="s">
        <v>133</v>
      </c>
      <c r="G405" s="2" t="s">
        <v>78</v>
      </c>
      <c r="H405" s="3">
        <v>45350.541666666664</v>
      </c>
      <c r="I405" s="2" t="s">
        <v>374</v>
      </c>
      <c r="J405" s="2" t="s">
        <v>427</v>
      </c>
      <c r="K405" s="2">
        <v>59</v>
      </c>
      <c r="L405" s="2">
        <v>0</v>
      </c>
      <c r="M405" s="2">
        <v>20</v>
      </c>
      <c r="N405" s="2">
        <v>36</v>
      </c>
      <c r="O405" s="2">
        <v>2.95</v>
      </c>
      <c r="P405" s="2"/>
      <c r="Q405" s="2" t="s">
        <v>95</v>
      </c>
      <c r="R405" s="10" t="s">
        <v>209</v>
      </c>
      <c r="S405" s="14" t="s">
        <v>279</v>
      </c>
      <c r="T405" s="188">
        <f t="shared" si="47"/>
        <v>448.81697135835225</v>
      </c>
      <c r="U405" s="8">
        <f t="shared" si="44"/>
        <v>80.787054844503402</v>
      </c>
      <c r="V405" s="234">
        <f t="shared" ref="V405:V415" si="51">SUM(V404,U405)</f>
        <v>9057.1264820115466</v>
      </c>
      <c r="W405" s="15">
        <v>25</v>
      </c>
      <c r="X405" s="8">
        <f t="shared" si="48"/>
        <v>4.5</v>
      </c>
      <c r="Y405" s="233">
        <f t="shared" si="49"/>
        <v>1964</v>
      </c>
    </row>
    <row r="406" spans="1:25">
      <c r="A406" s="156" t="e" cm="1">
        <f t="array" aca="1" ref="A406" ca="1">_xlfn.IFS(E406=$AB$42,$AC$42,E406=$AB$43,$AC$43,E406=$AB$44,$AC$44,E406=$AB$45,$AC$45,E406=$AB$46,$AC$46,E406=$AB$47,$AC$47,E406=$AB$48,$AC$48,E406=$AB$49,$AC$49,E406=$AB$50,$AC$50,E406=$AB$51,$AC$51,E406=$AB$52,$AC$52,E406=$AB$53,$AC$53,E406=$AB$54,$AC$54,E406=$AB$55,$AC$55,E406=$AB$56,$AC$56,E406=$AB$57,$AC$57,E406=$AB$58,$AC$58,E406=$AB$59,$AC$59,E406=$AB$60,$AC$60,E406=$AB$61,$AC$61,E406=$AB$62,$AC$62,E406=$AB$63,$AC$63,E406=$AB$64,$AC$64,E406=$AB$65,$AC$65,E406=$AB$66,$AC$66,TRUE,"0")</f>
        <v>#NAME?</v>
      </c>
      <c r="C406" s="161" t="str" cm="1">
        <f t="array" ref="C406">_xlfn.IFS(E406=$AB$42,$AF$42,E406=$AB$43,$AF$43,E406=$AB$44,$AF$44,E406=$AB$45,$AF$45,E406=$AB$46,$AF$46,E406=$AB$47,$AF$47,E406=$AB$48,$AF$48,E406=$AB$49,$AF$49,E406=$AB$50,$AF$50,E406=$AB$51,$AF$51,E406=$AB$52,$AF$52,E406=$AB$53,$AF$53,E406=$AB$54,$AF$54,E406=$AB$55,$AF$55,E406=$AB$56,$AF$56,E406=$AB$57,$AF$57,E406=$AB$58,$AF$58,E406=$AB$59,$AF$59,E406=$AB$60,$AF$60,E406=$AB$61,$AF$61,E406=$AB$62,$AF$62,E406=$AB$63,$AF$63,E406=$AB$64,$AF$64,E406=$AB$65,$AF$65,E406=$AB$66,$AF$66,TRUE,"0")</f>
        <v>40 mins Back ANother Goal</v>
      </c>
      <c r="D406" s="270" t="str" cm="1">
        <f t="array" ref="D406">_xlfn.IFS(E406=$AB$42,$AD$42,E406=$AB$43,$AD$43,E406=$AB$44,$AD$44,E406=$AB$45,$AD$45,E406=$AB$46,$AD$46,E406=$AB$47,$AD$47,E406=$AB$48,$AD$48,E406=$AB$49,$AD$49,E406=$AB$50,$AD$50,E406=$AB$51,$AD$51,E406=$AB$52,$AD$52,E406=$AB$53,$AD$53,E406=$AB$54,$AD$54,E406=$AB$55,$AD$55,E406=$AB$56,$AD$56,E406=$AB$57,$AD$57,E406=$AB$58,$AD$58,E406=$AB$59,$AD$59,E406=$AB$60,$AD$60,E406=$AB$61,$AD$61,E406=$AB$62,$AD$62,E406=$AB$63,$AD$63,E406=$AB$64,$AD$64,E406=$AB$65,$AD$65,E406=$AB$66,$AD$66,TRUE,"0")</f>
        <v xml:space="preserve">  BANG</v>
      </c>
      <c r="E406" s="163" t="s">
        <v>10</v>
      </c>
      <c r="F406" s="2" t="s">
        <v>133</v>
      </c>
      <c r="G406" s="2" t="s">
        <v>78</v>
      </c>
      <c r="H406" s="3">
        <v>45350.625</v>
      </c>
      <c r="I406" s="2" t="s">
        <v>135</v>
      </c>
      <c r="J406" s="2" t="s">
        <v>394</v>
      </c>
      <c r="K406" s="2">
        <v>1.8</v>
      </c>
      <c r="L406" s="2">
        <v>90</v>
      </c>
      <c r="M406" s="2">
        <v>65</v>
      </c>
      <c r="N406" s="2">
        <v>15</v>
      </c>
      <c r="O406" s="2">
        <v>69</v>
      </c>
      <c r="P406" s="2">
        <v>20</v>
      </c>
      <c r="Q406" s="2" t="s">
        <v>95</v>
      </c>
      <c r="R406" s="10" t="s">
        <v>216</v>
      </c>
      <c r="S406" s="14" t="s">
        <v>215</v>
      </c>
      <c r="T406" s="188">
        <f t="shared" si="47"/>
        <v>452.85632410057735</v>
      </c>
      <c r="U406" s="8">
        <f t="shared" si="44"/>
        <v>81.514138338103919</v>
      </c>
      <c r="V406" s="234">
        <f t="shared" si="51"/>
        <v>9138.6406203496499</v>
      </c>
      <c r="W406" s="15">
        <v>25</v>
      </c>
      <c r="X406" s="8">
        <f t="shared" si="48"/>
        <v>4.5</v>
      </c>
      <c r="Y406" s="233">
        <f t="shared" si="49"/>
        <v>1968.5</v>
      </c>
    </row>
    <row r="407" spans="1:25">
      <c r="A407" s="156" t="e" cm="1">
        <f t="array" aca="1" ref="A407" ca="1">_xlfn.IFS(E407=$AB$42,$AC$42,E407=$AB$43,$AC$43,E407=$AB$44,$AC$44,E407=$AB$45,$AC$45,E407=$AB$46,$AC$46,E407=$AB$47,$AC$47,E407=$AB$48,$AC$48,E407=$AB$49,$AC$49,E407=$AB$50,$AC$50,E407=$AB$51,$AC$51,E407=$AB$52,$AC$52,E407=$AB$53,$AC$53,E407=$AB$54,$AC$54,E407=$AB$55,$AC$55,E407=$AB$56,$AC$56,E407=$AB$57,$AC$57,E407=$AB$58,$AC$58,E407=$AB$59,$AC$59,E407=$AB$60,$AC$60,E407=$AB$61,$AC$61,E407=$AB$62,$AC$62,E407=$AB$63,$AC$63,E407=$AB$64,$AC$64,E407=$AB$65,$AC$65,E407=$AB$66,$AC$66,TRUE,"0")</f>
        <v>#NAME?</v>
      </c>
      <c r="C407" s="161" t="str" cm="1">
        <f t="array" ref="C407">_xlfn.IFS(E407=$AB$42,$AF$42,E407=$AB$43,$AF$43,E407=$AB$44,$AF$44,E407=$AB$45,$AF$45,E407=$AB$46,$AF$46,E407=$AB$47,$AF$47,E407=$AB$48,$AF$48,E407=$AB$49,$AF$49,E407=$AB$50,$AF$50,E407=$AB$51,$AF$51,E407=$AB$52,$AF$52,E407=$AB$53,$AF$53,E407=$AB$54,$AF$54,E407=$AB$55,$AF$55,E407=$AB$56,$AF$56,E407=$AB$57,$AF$57,E407=$AB$58,$AF$58,E407=$AB$59,$AF$59,E407=$AB$60,$AF$60,E407=$AB$61,$AF$61,E407=$AB$62,$AF$62,E407=$AB$63,$AF$63,E407=$AB$64,$AF$64,E407=$AB$65,$AF$65,E407=$AB$66,$AF$66,TRUE,"0")</f>
        <v>40 mins Back ANother Goal</v>
      </c>
      <c r="D407" s="270" t="str" cm="1">
        <f t="array" ref="D407">_xlfn.IFS(E407=$AB$42,$AD$42,E407=$AB$43,$AD$43,E407=$AB$44,$AD$44,E407=$AB$45,$AD$45,E407=$AB$46,$AD$46,E407=$AB$47,$AD$47,E407=$AB$48,$AD$48,E407=$AB$49,$AD$49,E407=$AB$50,$AD$50,E407=$AB$51,$AD$51,E407=$AB$52,$AD$52,E407=$AB$53,$AD$53,E407=$AB$54,$AD$54,E407=$AB$55,$AD$55,E407=$AB$56,$AD$56,E407=$AB$57,$AD$57,E407=$AB$58,$AD$58,E407=$AB$59,$AD$59,E407=$AB$60,$AD$60,E407=$AB$61,$AD$61,E407=$AB$62,$AD$62,E407=$AB$63,$AD$63,E407=$AB$64,$AD$64,E407=$AB$65,$AD$65,E407=$AB$66,$AD$66,TRUE,"0")</f>
        <v xml:space="preserve">  BANG</v>
      </c>
      <c r="E407" s="163" t="s">
        <v>10</v>
      </c>
      <c r="F407" s="2" t="s">
        <v>13</v>
      </c>
      <c r="G407" s="2" t="s">
        <v>37</v>
      </c>
      <c r="H407" s="3">
        <v>45350.822916666664</v>
      </c>
      <c r="I407" s="2" t="s">
        <v>99</v>
      </c>
      <c r="J407" s="2" t="s">
        <v>306</v>
      </c>
      <c r="K407" s="2">
        <v>1.9</v>
      </c>
      <c r="L407" s="2">
        <v>85</v>
      </c>
      <c r="M407" s="2">
        <v>65</v>
      </c>
      <c r="N407" s="2">
        <v>30</v>
      </c>
      <c r="O407" s="2">
        <v>71</v>
      </c>
      <c r="P407" s="2">
        <v>20</v>
      </c>
      <c r="Q407" s="2" t="s">
        <v>95</v>
      </c>
      <c r="R407" s="10" t="s">
        <v>471</v>
      </c>
      <c r="S407" s="14" t="s">
        <v>472</v>
      </c>
      <c r="T407" s="188">
        <f t="shared" si="47"/>
        <v>456.93203101748253</v>
      </c>
      <c r="U407" s="8">
        <f t="shared" si="44"/>
        <v>82.247765583146858</v>
      </c>
      <c r="V407" s="234">
        <f t="shared" si="51"/>
        <v>9220.8883859327962</v>
      </c>
      <c r="W407" s="15">
        <v>25</v>
      </c>
      <c r="X407" s="8">
        <f t="shared" si="48"/>
        <v>4.5</v>
      </c>
      <c r="Y407" s="233">
        <f t="shared" si="49"/>
        <v>1973</v>
      </c>
    </row>
    <row r="408" spans="1:25">
      <c r="A408" s="156" t="e" cm="1">
        <f t="array" aca="1" ref="A408" ca="1">_xlfn.IFS(E408=$AB$42,$AC$42,E408=$AB$43,$AC$43,E408=$AB$44,$AC$44,E408=$AB$45,$AC$45,E408=$AB$46,$AC$46,E408=$AB$47,$AC$47,E408=$AB$48,$AC$48,E408=$AB$49,$AC$49,E408=$AB$50,$AC$50,E408=$AB$51,$AC$51,E408=$AB$52,$AC$52,E408=$AB$53,$AC$53,E408=$AB$54,$AC$54,E408=$AB$55,$AC$55,E408=$AB$56,$AC$56,E408=$AB$57,$AC$57,E408=$AB$58,$AC$58,E408=$AB$59,$AC$59,E408=$AB$60,$AC$60,E408=$AB$61,$AC$61,E408=$AB$62,$AC$62,E408=$AB$63,$AC$63,E408=$AB$64,$AC$64,E408=$AB$65,$AC$65,E408=$AB$66,$AC$66,TRUE,"0")</f>
        <v>#NAME?</v>
      </c>
      <c r="C408" s="161" t="str" cm="1">
        <f t="array" ref="C408">_xlfn.IFS(E408=$AB$42,$AF$42,E408=$AB$43,$AF$43,E408=$AB$44,$AF$44,E408=$AB$45,$AF$45,E408=$AB$46,$AF$46,E408=$AB$47,$AF$47,E408=$AB$48,$AF$48,E408=$AB$49,$AF$49,E408=$AB$50,$AF$50,E408=$AB$51,$AF$51,E408=$AB$52,$AF$52,E408=$AB$53,$AF$53,E408=$AB$54,$AF$54,E408=$AB$55,$AF$55,E408=$AB$56,$AF$56,E408=$AB$57,$AF$57,E408=$AB$58,$AF$58,E408=$AB$59,$AF$59,E408=$AB$60,$AF$60,E408=$AB$61,$AF$61,E408=$AB$62,$AF$62,E408=$AB$63,$AF$63,E408=$AB$64,$AF$64,E408=$AB$65,$AF$65,E408=$AB$66,$AF$66,TRUE,"0")</f>
        <v>if 0-0, BACK+ 0.5 GOALS  @ 1.15+odds.  or @ 40 mins</v>
      </c>
      <c r="D408" s="270" t="str" cm="1">
        <f t="array" ref="D408">_xlfn.IFS(E408=$AB$42,$AD$42,E408=$AB$43,$AD$43,E408=$AB$44,$AD$44,E408=$AB$45,$AD$45,E408=$AB$46,$AD$46,E408=$AB$47,$AD$47,E408=$AB$48,$AD$48,E408=$AB$49,$AD$49,E408=$AB$50,$AD$50,E408=$AB$51,$AD$51,E408=$AB$52,$AD$52,E408=$AB$53,$AD$53,E408=$AB$54,$AD$54,E408=$AB$55,$AD$55,E408=$AB$56,$AD$56,E408=$AB$57,$AD$57,E408=$AB$58,$AD$58,E408=$AB$59,$AD$59,E408=$AB$60,$AD$60,E408=$AB$61,$AD$61,E408=$AB$62,$AD$62,E408=$AB$63,$AD$63,E408=$AB$64,$AD$64,E408=$AB$65,$AD$65,E408=$AB$66,$AD$66,TRUE,"0")</f>
        <v>IP</v>
      </c>
      <c r="E408" s="163" t="s">
        <v>270</v>
      </c>
      <c r="F408" s="2" t="s">
        <v>13</v>
      </c>
      <c r="G408" s="2" t="s">
        <v>37</v>
      </c>
      <c r="H408" s="3">
        <v>45350.822916666664</v>
      </c>
      <c r="I408" s="2" t="s">
        <v>99</v>
      </c>
      <c r="J408" s="2" t="s">
        <v>306</v>
      </c>
      <c r="K408" s="2">
        <v>59</v>
      </c>
      <c r="L408" s="2">
        <v>0</v>
      </c>
      <c r="M408" s="2">
        <v>20</v>
      </c>
      <c r="N408" s="2">
        <v>32</v>
      </c>
      <c r="O408" s="2">
        <v>2.76</v>
      </c>
      <c r="P408" s="2"/>
      <c r="Q408" s="2" t="s">
        <v>95</v>
      </c>
      <c r="R408" s="10" t="s">
        <v>471</v>
      </c>
      <c r="S408" s="14" t="s">
        <v>472</v>
      </c>
      <c r="T408" s="188">
        <f t="shared" si="47"/>
        <v>461.04441929663983</v>
      </c>
      <c r="U408" s="8">
        <f t="shared" si="44"/>
        <v>82.987995473395173</v>
      </c>
      <c r="V408" s="234">
        <f t="shared" si="51"/>
        <v>9303.8763814061913</v>
      </c>
      <c r="W408" s="15">
        <v>25</v>
      </c>
      <c r="X408" s="8">
        <f t="shared" si="48"/>
        <v>4.5</v>
      </c>
      <c r="Y408" s="233">
        <f t="shared" si="49"/>
        <v>1977.5</v>
      </c>
    </row>
    <row r="409" spans="1:25">
      <c r="A409" s="156" t="e" cm="1">
        <f t="array" aca="1" ref="A409" ca="1">_xlfn.IFS(E409=$AB$42,$AC$42,E409=$AB$43,$AC$43,E409=$AB$44,$AC$44,E409=$AB$45,$AC$45,E409=$AB$46,$AC$46,E409=$AB$47,$AC$47,E409=$AB$48,$AC$48,E409=$AB$49,$AC$49,E409=$AB$50,$AC$50,E409=$AB$51,$AC$51,E409=$AB$52,$AC$52,E409=$AB$53,$AC$53,E409=$AB$54,$AC$54,E409=$AB$55,$AC$55,E409=$AB$56,$AC$56,E409=$AB$57,$AC$57,E409=$AB$58,$AC$58,E409=$AB$59,$AC$59,E409=$AB$60,$AC$60,E409=$AB$61,$AC$61,E409=$AB$62,$AC$62,E409=$AB$63,$AC$63,E409=$AB$64,$AC$64,E409=$AB$65,$AC$65,E409=$AB$66,$AC$66,TRUE,"0")</f>
        <v>#NAME?</v>
      </c>
      <c r="C409" s="161" t="str" cm="1">
        <f t="array" ref="C409">_xlfn.IFS(E409=$AB$42,$AF$42,E409=$AB$43,$AF$43,E409=$AB$44,$AF$44,E409=$AB$45,$AF$45,E409=$AB$46,$AF$46,E409=$AB$47,$AF$47,E409=$AB$48,$AF$48,E409=$AB$49,$AF$49,E409=$AB$50,$AF$50,E409=$AB$51,$AF$51,E409=$AB$52,$AF$52,E409=$AB$53,$AF$53,E409=$AB$54,$AF$54,E409=$AB$55,$AF$55,E409=$AB$56,$AF$56,E409=$AB$57,$AF$57,E409=$AB$58,$AF$58,E409=$AB$59,$AF$59,E409=$AB$60,$AF$60,E409=$AB$61,$AF$61,E409=$AB$62,$AF$62,E409=$AB$63,$AF$63,E409=$AB$64,$AF$64,E409=$AB$65,$AF$65,E409=$AB$66,$AF$66,TRUE,"0")</f>
        <v>if 0-0, BACK+ 0.5 GOALS  @ 1.15+odds.  or @ 40 mins</v>
      </c>
      <c r="D409" s="270" t="str" cm="1">
        <f t="array" ref="D409">_xlfn.IFS(E409=$AB$42,$AD$42,E409=$AB$43,$AD$43,E409=$AB$44,$AD$44,E409=$AB$45,$AD$45,E409=$AB$46,$AD$46,E409=$AB$47,$AD$47,E409=$AB$48,$AD$48,E409=$AB$49,$AD$49,E409=$AB$50,$AD$50,E409=$AB$51,$AD$51,E409=$AB$52,$AD$52,E409=$AB$53,$AD$53,E409=$AB$54,$AD$54,E409=$AB$55,$AD$55,E409=$AB$56,$AD$56,E409=$AB$57,$AD$57,E409=$AB$58,$AD$58,E409=$AB$59,$AD$59,E409=$AB$60,$AD$60,E409=$AB$61,$AD$61,E409=$AB$62,$AD$62,E409=$AB$63,$AD$63,E409=$AB$64,$AD$64,E409=$AB$65,$AD$65,E409=$AB$66,$AD$66,TRUE,"0")</f>
        <v>IP</v>
      </c>
      <c r="E409" s="163" t="s">
        <v>270</v>
      </c>
      <c r="F409" s="2" t="s">
        <v>13</v>
      </c>
      <c r="G409" s="2" t="s">
        <v>37</v>
      </c>
      <c r="H409" s="3">
        <v>45350.822916666664</v>
      </c>
      <c r="I409" s="2" t="s">
        <v>305</v>
      </c>
      <c r="J409" s="2" t="s">
        <v>316</v>
      </c>
      <c r="K409" s="2">
        <v>69</v>
      </c>
      <c r="L409" s="2">
        <v>0</v>
      </c>
      <c r="M409" s="2">
        <v>20</v>
      </c>
      <c r="N409" s="2">
        <v>32</v>
      </c>
      <c r="O409" s="2">
        <v>2.56</v>
      </c>
      <c r="P409" s="2"/>
      <c r="Q409" s="2" t="s">
        <v>95</v>
      </c>
      <c r="R409" s="10" t="s">
        <v>216</v>
      </c>
      <c r="S409" s="14" t="s">
        <v>216</v>
      </c>
      <c r="T409" s="188">
        <f t="shared" si="47"/>
        <v>465.19381907030959</v>
      </c>
      <c r="U409" s="8">
        <f t="shared" si="44"/>
        <v>83.734887432655725</v>
      </c>
      <c r="V409" s="234">
        <f t="shared" si="51"/>
        <v>9387.6112688388475</v>
      </c>
      <c r="W409" s="15">
        <v>25</v>
      </c>
      <c r="X409" s="8">
        <f t="shared" si="48"/>
        <v>4.5</v>
      </c>
      <c r="Y409" s="233">
        <f t="shared" si="49"/>
        <v>1982</v>
      </c>
    </row>
    <row r="410" spans="1:25">
      <c r="A410" s="156" t="e" cm="1">
        <f t="array" aca="1" ref="A410" ca="1">_xlfn.IFS(E410=$AB$42,$AC$42,E410=$AB$43,$AC$43,E410=$AB$44,$AC$44,E410=$AB$45,$AC$45,E410=$AB$46,$AC$46,E410=$AB$47,$AC$47,E410=$AB$48,$AC$48,E410=$AB$49,$AC$49,E410=$AB$50,$AC$50,E410=$AB$51,$AC$51,E410=$AB$52,$AC$52,E410=$AB$53,$AC$53,E410=$AB$54,$AC$54,E410=$AB$55,$AC$55,E410=$AB$56,$AC$56,E410=$AB$57,$AC$57,E410=$AB$58,$AC$58,E410=$AB$59,$AC$59,E410=$AB$60,$AC$60,E410=$AB$61,$AC$61,E410=$AB$62,$AC$62,E410=$AB$63,$AC$63,E410=$AB$64,$AC$64,E410=$AB$65,$AC$65,E410=$AB$66,$AC$66,TRUE,"0")</f>
        <v>#NAME?</v>
      </c>
      <c r="C410" s="161" t="str" cm="1">
        <f t="array" ref="C410">_xlfn.IFS(E410=$AB$42,$AF$42,E410=$AB$43,$AF$43,E410=$AB$44,$AF$44,E410=$AB$45,$AF$45,E410=$AB$46,$AF$46,E410=$AB$47,$AF$47,E410=$AB$48,$AF$48,E410=$AB$49,$AF$49,E410=$AB$50,$AF$50,E410=$AB$51,$AF$51,E410=$AB$52,$AF$52,E410=$AB$53,$AF$53,E410=$AB$54,$AF$54,E410=$AB$55,$AF$55,E410=$AB$56,$AF$56,E410=$AB$57,$AF$57,E410=$AB$58,$AF$58,E410=$AB$59,$AF$59,E410=$AB$60,$AF$60,E410=$AB$61,$AF$61,E410=$AB$62,$AF$62,E410=$AB$63,$AF$63,E410=$AB$64,$AF$64,E410=$AB$65,$AF$65,E410=$AB$66,$AF$66,TRUE,"0")</f>
        <v>15mins if  0-0, BACK over 1.5 goals X after goal OR LET RUN</v>
      </c>
      <c r="D410" s="270" t="str" cm="1">
        <f t="array" ref="D410">_xlfn.IFS(E410=$AB$42,$AD$42,E410=$AB$43,$AD$43,E410=$AB$44,$AD$44,E410=$AB$45,$AD$45,E410=$AB$46,$AD$46,E410=$AB$47,$AD$47,E410=$AB$48,$AD$48,E410=$AB$49,$AD$49,E410=$AB$50,$AD$50,E410=$AB$51,$AD$51,E410=$AB$52,$AD$52,E410=$AB$53,$AD$53,E410=$AB$54,$AD$54,E410=$AB$55,$AD$55,E410=$AB$56,$AD$56,E410=$AB$57,$AD$57,E410=$AB$58,$AD$58,E410=$AB$59,$AD$59,E410=$AB$60,$AD$60,E410=$AB$61,$AD$61,E410=$AB$62,$AD$62,E410=$AB$63,$AD$63,E410=$AB$64,$AD$64,E410=$AB$65,$AD$65,E410=$AB$66,$AD$66,TRUE,"0")</f>
        <v>IP</v>
      </c>
      <c r="E410" s="163" t="s">
        <v>473</v>
      </c>
      <c r="F410" s="2" t="s">
        <v>6</v>
      </c>
      <c r="G410" s="2" t="s">
        <v>36</v>
      </c>
      <c r="H410" s="3">
        <v>45350.822916666664</v>
      </c>
      <c r="I410" s="2" t="s">
        <v>469</v>
      </c>
      <c r="J410" s="2" t="s">
        <v>470</v>
      </c>
      <c r="K410" s="2">
        <v>64</v>
      </c>
      <c r="L410" s="2">
        <v>95</v>
      </c>
      <c r="M410" s="2">
        <v>20</v>
      </c>
      <c r="N410" s="2">
        <v>3.35</v>
      </c>
      <c r="O410" s="2"/>
      <c r="P410" s="2"/>
      <c r="Q410" s="2" t="s">
        <v>95</v>
      </c>
      <c r="R410" s="10" t="s">
        <v>193</v>
      </c>
      <c r="S410" s="14" t="s">
        <v>216</v>
      </c>
      <c r="T410" s="188">
        <f t="shared" si="47"/>
        <v>469.3805634419424</v>
      </c>
      <c r="U410" s="8">
        <f t="shared" si="44"/>
        <v>84.488501419549635</v>
      </c>
      <c r="V410" s="234">
        <f t="shared" si="51"/>
        <v>9472.0997702583973</v>
      </c>
      <c r="W410" s="15">
        <v>25</v>
      </c>
      <c r="X410" s="8">
        <f t="shared" si="48"/>
        <v>4.5</v>
      </c>
      <c r="Y410" s="233">
        <f t="shared" si="49"/>
        <v>1986.5</v>
      </c>
    </row>
    <row r="411" spans="1:25">
      <c r="A411" s="156" t="e" cm="1">
        <f t="array" aca="1" ref="A411" ca="1">_xlfn.IFS(E411=$AB$42,$AC$42,E411=$AB$43,$AC$43,E411=$AB$44,$AC$44,E411=$AB$45,$AC$45,E411=$AB$46,$AC$46,E411=$AB$47,$AC$47,E411=$AB$48,$AC$48,E411=$AB$49,$AC$49,E411=$AB$50,$AC$50,E411=$AB$51,$AC$51,E411=$AB$52,$AC$52,E411=$AB$53,$AC$53,E411=$AB$54,$AC$54,E411=$AB$55,$AC$55,E411=$AB$56,$AC$56,E411=$AB$57,$AC$57,E411=$AB$58,$AC$58,E411=$AB$59,$AC$59,E411=$AB$60,$AC$60,E411=$AB$61,$AC$61,E411=$AB$62,$AC$62,E411=$AB$63,$AC$63,E411=$AB$64,$AC$64,E411=$AB$65,$AC$65,E411=$AB$66,$AC$66,TRUE,"0")</f>
        <v>#NAME?</v>
      </c>
      <c r="C411" s="161" t="str" cm="1">
        <f t="array" ref="C411">_xlfn.IFS(E411=$AB$42,$AF$42,E411=$AB$43,$AF$43,E411=$AB$44,$AF$44,E411=$AB$45,$AF$45,E411=$AB$46,$AF$46,E411=$AB$47,$AF$47,E411=$AB$48,$AF$48,E411=$AB$49,$AF$49,E411=$AB$50,$AF$50,E411=$AB$51,$AF$51,E411=$AB$52,$AF$52,E411=$AB$53,$AF$53,E411=$AB$54,$AF$54,E411=$AB$55,$AF$55,E411=$AB$56,$AF$56,E411=$AB$57,$AF$57,E411=$AB$58,$AF$58,E411=$AB$59,$AF$59,E411=$AB$60,$AF$60,E411=$AB$61,$AF$61,E411=$AB$62,$AF$62,E411=$AB$63,$AF$63,E411=$AB$64,$AF$64,E411=$AB$65,$AF$65,E411=$AB$66,$AF$66,TRUE,"0")</f>
        <v>40 mins Back ANother Goal</v>
      </c>
      <c r="D411" s="270" t="str" cm="1">
        <f t="array" ref="D411">_xlfn.IFS(E411=$AB$42,$AD$42,E411=$AB$43,$AD$43,E411=$AB$44,$AD$44,E411=$AB$45,$AD$45,E411=$AB$46,$AD$46,E411=$AB$47,$AD$47,E411=$AB$48,$AD$48,E411=$AB$49,$AD$49,E411=$AB$50,$AD$50,E411=$AB$51,$AD$51,E411=$AB$52,$AD$52,E411=$AB$53,$AD$53,E411=$AB$54,$AD$54,E411=$AB$55,$AD$55,E411=$AB$56,$AD$56,E411=$AB$57,$AD$57,E411=$AB$58,$AD$58,E411=$AB$59,$AD$59,E411=$AB$60,$AD$60,E411=$AB$61,$AD$61,E411=$AB$62,$AD$62,E411=$AB$63,$AD$63,E411=$AB$64,$AD$64,E411=$AB$65,$AD$65,E411=$AB$66,$AD$66,TRUE,"0")</f>
        <v xml:space="preserve">  BANG</v>
      </c>
      <c r="E411" s="163" t="s">
        <v>10</v>
      </c>
      <c r="F411" s="2" t="s">
        <v>434</v>
      </c>
      <c r="G411" s="2" t="s">
        <v>435</v>
      </c>
      <c r="H411" s="3">
        <v>45352.75</v>
      </c>
      <c r="I411" s="2" t="s">
        <v>437</v>
      </c>
      <c r="J411" s="2" t="s">
        <v>476</v>
      </c>
      <c r="K411" s="2">
        <v>2.06</v>
      </c>
      <c r="L411" s="2">
        <v>94</v>
      </c>
      <c r="M411" s="2">
        <v>67</v>
      </c>
      <c r="N411" s="2">
        <v>33</v>
      </c>
      <c r="O411" s="2">
        <v>60</v>
      </c>
      <c r="P411" s="2">
        <v>18</v>
      </c>
      <c r="Q411" s="2" t="s">
        <v>95</v>
      </c>
      <c r="R411" s="10" t="s">
        <v>214</v>
      </c>
      <c r="S411" s="14" t="s">
        <v>220</v>
      </c>
      <c r="T411" s="188">
        <f t="shared" si="47"/>
        <v>473.60498851291987</v>
      </c>
      <c r="U411" s="8">
        <f t="shared" si="44"/>
        <v>85.248897932325576</v>
      </c>
      <c r="V411" s="234">
        <f t="shared" si="51"/>
        <v>9557.3486681907234</v>
      </c>
      <c r="W411" s="15">
        <v>25</v>
      </c>
      <c r="X411" s="8">
        <f t="shared" si="48"/>
        <v>4.5</v>
      </c>
      <c r="Y411" s="233">
        <f t="shared" si="49"/>
        <v>1991</v>
      </c>
    </row>
    <row r="412" spans="1:25">
      <c r="A412" s="156" t="e" cm="1">
        <f t="array" aca="1" ref="A412" ca="1">_xlfn.IFS(E412=$AB$42,$AC$42,E412=$AB$43,$AC$43,E412=$AB$44,$AC$44,E412=$AB$45,$AC$45,E412=$AB$46,$AC$46,E412=$AB$47,$AC$47,E412=$AB$48,$AC$48,E412=$AB$49,$AC$49,E412=$AB$50,$AC$50,E412=$AB$51,$AC$51,E412=$AB$52,$AC$52,E412=$AB$53,$AC$53,E412=$AB$54,$AC$54,E412=$AB$55,$AC$55,E412=$AB$56,$AC$56,E412=$AB$57,$AC$57,E412=$AB$58,$AC$58,E412=$AB$59,$AC$59,E412=$AB$60,$AC$60,E412=$AB$61,$AC$61,E412=$AB$62,$AC$62,E412=$AB$63,$AC$63,E412=$AB$64,$AC$64,E412=$AB$65,$AC$65,E412=$AB$66,$AC$66,TRUE,"0")</f>
        <v>#NAME?</v>
      </c>
      <c r="C412" s="161" t="str" cm="1">
        <f t="array" ref="C412">_xlfn.IFS(E412=$AB$42,$AF$42,E412=$AB$43,$AF$43,E412=$AB$44,$AF$44,E412=$AB$45,$AF$45,E412=$AB$46,$AF$46,E412=$AB$47,$AF$47,E412=$AB$48,$AF$48,E412=$AB$49,$AF$49,E412=$AB$50,$AF$50,E412=$AB$51,$AF$51,E412=$AB$52,$AF$52,E412=$AB$53,$AF$53,E412=$AB$54,$AF$54,E412=$AB$55,$AF$55,E412=$AB$56,$AF$56,E412=$AB$57,$AF$57,E412=$AB$58,$AF$58,E412=$AB$59,$AF$59,E412=$AB$60,$AF$60,E412=$AB$61,$AF$61,E412=$AB$62,$AF$62,E412=$AB$63,$AF$63,E412=$AB$64,$AF$64,E412=$AB$65,$AF$65,E412=$AB$66,$AF$66,TRUE,"0")</f>
        <v>if 0-0, BACK+ 0.5 GOALS  @ 1.15+odds.  or @ 40 mins</v>
      </c>
      <c r="D412" s="270" t="str" cm="1">
        <f t="array" ref="D412">_xlfn.IFS(E412=$AB$42,$AD$42,E412=$AB$43,$AD$43,E412=$AB$44,$AD$44,E412=$AB$45,$AD$45,E412=$AB$46,$AD$46,E412=$AB$47,$AD$47,E412=$AB$48,$AD$48,E412=$AB$49,$AD$49,E412=$AB$50,$AD$50,E412=$AB$51,$AD$51,E412=$AB$52,$AD$52,E412=$AB$53,$AD$53,E412=$AB$54,$AD$54,E412=$AB$55,$AD$55,E412=$AB$56,$AD$56,E412=$AB$57,$AD$57,E412=$AB$58,$AD$58,E412=$AB$59,$AD$59,E412=$AB$60,$AD$60,E412=$AB$61,$AD$61,E412=$AB$62,$AD$62,E412=$AB$63,$AD$63,E412=$AB$64,$AD$64,E412=$AB$65,$AD$65,E412=$AB$66,$AD$66,TRUE,"0")</f>
        <v>IP</v>
      </c>
      <c r="E412" s="163" t="s">
        <v>270</v>
      </c>
      <c r="F412" s="2" t="s">
        <v>434</v>
      </c>
      <c r="G412" s="2" t="s">
        <v>435</v>
      </c>
      <c r="H412" s="3">
        <v>45352.75</v>
      </c>
      <c r="I412" s="2" t="s">
        <v>437</v>
      </c>
      <c r="J412" s="2" t="s">
        <v>476</v>
      </c>
      <c r="K412" s="2">
        <v>62</v>
      </c>
      <c r="L412" s="2">
        <v>0</v>
      </c>
      <c r="M412" s="2">
        <v>20</v>
      </c>
      <c r="N412" s="2">
        <v>35</v>
      </c>
      <c r="O412" s="2">
        <v>1.58</v>
      </c>
      <c r="P412" s="2"/>
      <c r="Q412" s="2" t="s">
        <v>95</v>
      </c>
      <c r="R412" s="10" t="s">
        <v>214</v>
      </c>
      <c r="S412" s="14" t="s">
        <v>220</v>
      </c>
      <c r="T412" s="188">
        <f t="shared" si="47"/>
        <v>477.8674334095362</v>
      </c>
      <c r="U412" s="8">
        <f t="shared" si="44"/>
        <v>86.016138013716514</v>
      </c>
      <c r="V412" s="234">
        <f t="shared" si="51"/>
        <v>9643.3648062044394</v>
      </c>
      <c r="W412" s="15">
        <v>25</v>
      </c>
      <c r="X412" s="8">
        <f t="shared" si="48"/>
        <v>4.5</v>
      </c>
      <c r="Y412" s="233">
        <f t="shared" si="49"/>
        <v>1995.5</v>
      </c>
    </row>
    <row r="413" spans="1:25">
      <c r="A413" s="156" t="e" cm="1">
        <f t="array" aca="1" ref="A413" ca="1">_xlfn.IFS(E413=$AB$42,$AC$42,E413=$AB$43,$AC$43,E413=$AB$44,$AC$44,E413=$AB$45,$AC$45,E413=$AB$46,$AC$46,E413=$AB$47,$AC$47,E413=$AB$48,$AC$48,E413=$AB$49,$AC$49,E413=$AB$50,$AC$50,E413=$AB$51,$AC$51,E413=$AB$52,$AC$52,E413=$AB$53,$AC$53,E413=$AB$54,$AC$54,E413=$AB$55,$AC$55,E413=$AB$56,$AC$56,E413=$AB$57,$AC$57,E413=$AB$58,$AC$58,E413=$AB$59,$AC$59,E413=$AB$60,$AC$60,E413=$AB$61,$AC$61,E413=$AB$62,$AC$62,E413=$AB$63,$AC$63,E413=$AB$64,$AC$64,E413=$AB$65,$AC$65,E413=$AB$66,$AC$66,TRUE,"0")</f>
        <v>#NAME?</v>
      </c>
      <c r="C413" s="161" t="str" cm="1">
        <f t="array" ref="C413">_xlfn.IFS(E413=$AB$42,$AF$42,E413=$AB$43,$AF$43,E413=$AB$44,$AF$44,E413=$AB$45,$AF$45,E413=$AB$46,$AF$46,E413=$AB$47,$AF$47,E413=$AB$48,$AF$48,E413=$AB$49,$AF$49,E413=$AB$50,$AF$50,E413=$AB$51,$AF$51,E413=$AB$52,$AF$52,E413=$AB$53,$AF$53,E413=$AB$54,$AF$54,E413=$AB$55,$AF$55,E413=$AB$56,$AF$56,E413=$AB$57,$AF$57,E413=$AB$58,$AF$58,E413=$AB$59,$AF$59,E413=$AB$60,$AF$60,E413=$AB$61,$AF$61,E413=$AB$62,$AF$62,E413=$AB$63,$AF$63,E413=$AB$64,$AF$64,E413=$AB$65,$AF$65,E413=$AB$66,$AF$66,TRUE,"0")</f>
        <v>if 0-0, BACK+ 0.5 GOALS  @ 1.15+odds.  or @ 40 mins</v>
      </c>
      <c r="D413" s="270" t="str" cm="1">
        <f t="array" ref="D413">_xlfn.IFS(E413=$AB$42,$AD$42,E413=$AB$43,$AD$43,E413=$AB$44,$AD$44,E413=$AB$45,$AD$45,E413=$AB$46,$AD$46,E413=$AB$47,$AD$47,E413=$AB$48,$AD$48,E413=$AB$49,$AD$49,E413=$AB$50,$AD$50,E413=$AB$51,$AD$51,E413=$AB$52,$AD$52,E413=$AB$53,$AD$53,E413=$AB$54,$AD$54,E413=$AB$55,$AD$55,E413=$AB$56,$AD$56,E413=$AB$57,$AD$57,E413=$AB$58,$AD$58,E413=$AB$59,$AD$59,E413=$AB$60,$AD$60,E413=$AB$61,$AD$61,E413=$AB$62,$AD$62,E413=$AB$63,$AD$63,E413=$AB$64,$AD$64,E413=$AB$65,$AD$65,E413=$AB$66,$AD$66,TRUE,"0")</f>
        <v>IP</v>
      </c>
      <c r="E413" s="163" t="s">
        <v>270</v>
      </c>
      <c r="F413" s="2" t="s">
        <v>67</v>
      </c>
      <c r="G413" s="2" t="s">
        <v>169</v>
      </c>
      <c r="H413" s="3">
        <v>45352.791666666664</v>
      </c>
      <c r="I413" s="2" t="s">
        <v>203</v>
      </c>
      <c r="J413" s="2" t="s">
        <v>170</v>
      </c>
      <c r="K413" s="2">
        <v>60</v>
      </c>
      <c r="L413" s="2">
        <v>0</v>
      </c>
      <c r="M413" s="2">
        <v>20</v>
      </c>
      <c r="N413" s="2">
        <v>26</v>
      </c>
      <c r="O413" s="2">
        <v>1.37</v>
      </c>
      <c r="P413" s="2"/>
      <c r="Q413" s="2" t="s">
        <v>95</v>
      </c>
      <c r="R413" s="10" t="s">
        <v>216</v>
      </c>
      <c r="S413" s="14" t="s">
        <v>222</v>
      </c>
      <c r="T413" s="188">
        <f t="shared" si="47"/>
        <v>482.16824031022202</v>
      </c>
      <c r="U413" s="8">
        <f t="shared" si="44"/>
        <v>86.790283255839967</v>
      </c>
      <c r="V413" s="234">
        <f t="shared" si="51"/>
        <v>9730.1550894602788</v>
      </c>
      <c r="W413" s="15">
        <v>25</v>
      </c>
      <c r="X413" s="8">
        <f t="shared" si="48"/>
        <v>4.5</v>
      </c>
      <c r="Y413" s="233">
        <f t="shared" si="49"/>
        <v>2000</v>
      </c>
    </row>
    <row r="414" spans="1:25">
      <c r="A414" s="156" t="e" cm="1">
        <f t="array" aca="1" ref="A414" ca="1">_xlfn.IFS(E414=$AB$42,$AC$42,E414=$AB$43,$AC$43,E414=$AB$44,$AC$44,E414=$AB$45,$AC$45,E414=$AB$46,$AC$46,E414=$AB$47,$AC$47,E414=$AB$48,$AC$48,E414=$AB$49,$AC$49,E414=$AB$50,$AC$50,E414=$AB$51,$AC$51,E414=$AB$52,$AC$52,E414=$AB$53,$AC$53,E414=$AB$54,$AC$54,E414=$AB$55,$AC$55,E414=$AB$56,$AC$56,E414=$AB$57,$AC$57,E414=$AB$58,$AC$58,E414=$AB$59,$AC$59,E414=$AB$60,$AC$60,E414=$AB$61,$AC$61,E414=$AB$62,$AC$62,E414=$AB$63,$AC$63,E414=$AB$64,$AC$64,E414=$AB$65,$AC$65,E414=$AB$66,$AC$66,TRUE,"0")</f>
        <v>#NAME?</v>
      </c>
      <c r="C414" s="161" t="str" cm="1">
        <f t="array" ref="C414">_xlfn.IFS(E414=$AB$42,$AF$42,E414=$AB$43,$AF$43,E414=$AB$44,$AF$44,E414=$AB$45,$AF$45,E414=$AB$46,$AF$46,E414=$AB$47,$AF$47,E414=$AB$48,$AF$48,E414=$AB$49,$AF$49,E414=$AB$50,$AF$50,E414=$AB$51,$AF$51,E414=$AB$52,$AF$52,E414=$AB$53,$AF$53,E414=$AB$54,$AF$54,E414=$AB$55,$AF$55,E414=$AB$56,$AF$56,E414=$AB$57,$AF$57,E414=$AB$58,$AF$58,E414=$AB$59,$AF$59,E414=$AB$60,$AF$60,E414=$AB$61,$AF$61,E414=$AB$62,$AF$62,E414=$AB$63,$AF$63,E414=$AB$64,$AF$64,E414=$AB$65,$AF$65,E414=$AB$66,$AF$66,TRUE,"0")</f>
        <v>if 0-0, BACK+ 0.5 GOALS  @ 1.15+odds.  or @ 40 mins</v>
      </c>
      <c r="D414" s="270" t="str" cm="1">
        <f t="array" ref="D414">_xlfn.IFS(E414=$AB$42,$AD$42,E414=$AB$43,$AD$43,E414=$AB$44,$AD$44,E414=$AB$45,$AD$45,E414=$AB$46,$AD$46,E414=$AB$47,$AD$47,E414=$AB$48,$AD$48,E414=$AB$49,$AD$49,E414=$AB$50,$AD$50,E414=$AB$51,$AD$51,E414=$AB$52,$AD$52,E414=$AB$53,$AD$53,E414=$AB$54,$AD$54,E414=$AB$55,$AD$55,E414=$AB$56,$AD$56,E414=$AB$57,$AD$57,E414=$AB$58,$AD$58,E414=$AB$59,$AD$59,E414=$AB$60,$AD$60,E414=$AB$61,$AD$61,E414=$AB$62,$AD$62,E414=$AB$63,$AD$63,E414=$AB$64,$AD$64,E414=$AB$65,$AD$65,E414=$AB$66,$AD$66,TRUE,"0")</f>
        <v>IP</v>
      </c>
      <c r="E414" s="163" t="s">
        <v>270</v>
      </c>
      <c r="F414" s="2" t="s">
        <v>149</v>
      </c>
      <c r="G414" s="2" t="s">
        <v>153</v>
      </c>
      <c r="H414" s="3">
        <v>45352.791666666664</v>
      </c>
      <c r="I414" s="2" t="s">
        <v>244</v>
      </c>
      <c r="J414" s="2" t="s">
        <v>241</v>
      </c>
      <c r="K414" s="2">
        <v>62</v>
      </c>
      <c r="L414" s="2">
        <v>0</v>
      </c>
      <c r="M414" s="2">
        <v>20</v>
      </c>
      <c r="N414" s="2">
        <v>27</v>
      </c>
      <c r="O414" s="2">
        <v>3.33</v>
      </c>
      <c r="P414" s="2"/>
      <c r="Q414" s="2" t="s">
        <v>95</v>
      </c>
      <c r="R414" s="10" t="s">
        <v>218</v>
      </c>
      <c r="S414" s="14" t="s">
        <v>482</v>
      </c>
      <c r="T414" s="188">
        <f t="shared" si="47"/>
        <v>486.50775447301396</v>
      </c>
      <c r="U414" s="8">
        <f t="shared" si="44"/>
        <v>87.571395805142515</v>
      </c>
      <c r="V414" s="234">
        <f t="shared" si="51"/>
        <v>9817.7264852654207</v>
      </c>
      <c r="W414" s="15">
        <v>25</v>
      </c>
      <c r="X414" s="8">
        <f t="shared" si="48"/>
        <v>4.5</v>
      </c>
      <c r="Y414" s="233">
        <f t="shared" si="49"/>
        <v>2004.5</v>
      </c>
    </row>
    <row r="415" spans="1:25">
      <c r="A415" s="156" t="e" cm="1">
        <f t="array" aca="1" ref="A415" ca="1">_xlfn.IFS(E415=$AB$42,$AC$42,E415=$AB$43,$AC$43,E415=$AB$44,$AC$44,E415=$AB$45,$AC$45,E415=$AB$46,$AC$46,E415=$AB$47,$AC$47,E415=$AB$48,$AC$48,E415=$AB$49,$AC$49,E415=$AB$50,$AC$50,E415=$AB$51,$AC$51,E415=$AB$52,$AC$52,E415=$AB$53,$AC$53,E415=$AB$54,$AC$54,E415=$AB$55,$AC$55,E415=$AB$56,$AC$56,E415=$AB$57,$AC$57,E415=$AB$58,$AC$58,E415=$AB$59,$AC$59,E415=$AB$60,$AC$60,E415=$AB$61,$AC$61,E415=$AB$62,$AC$62,E415=$AB$63,$AC$63,E415=$AB$64,$AC$64,E415=$AB$65,$AC$65,E415=$AB$66,$AC$66,TRUE,"0")</f>
        <v>#NAME?</v>
      </c>
      <c r="C415" s="161" t="str" cm="1">
        <f t="array" ref="C415">_xlfn.IFS(E415=$AB$42,$AF$42,E415=$AB$43,$AF$43,E415=$AB$44,$AF$44,E415=$AB$45,$AF$45,E415=$AB$46,$AF$46,E415=$AB$47,$AF$47,E415=$AB$48,$AF$48,E415=$AB$49,$AF$49,E415=$AB$50,$AF$50,E415=$AB$51,$AF$51,E415=$AB$52,$AF$52,E415=$AB$53,$AF$53,E415=$AB$54,$AF$54,E415=$AB$55,$AF$55,E415=$AB$56,$AF$56,E415=$AB$57,$AF$57,E415=$AB$58,$AF$58,E415=$AB$59,$AF$59,E415=$AB$60,$AF$60,E415=$AB$61,$AF$61,E415=$AB$62,$AF$62,E415=$AB$63,$AF$63,E415=$AB$64,$AF$64,E415=$AB$65,$AF$65,E415=$AB$66,$AF$66,TRUE,"0")</f>
        <v>if 0-0, BACK+ 0.5 GOALS  @ 1.15+odds.  or @ 40 mins</v>
      </c>
      <c r="D415" s="270" t="str" cm="1">
        <f t="array" ref="D415">_xlfn.IFS(E415=$AB$42,$AD$42,E415=$AB$43,$AD$43,E415=$AB$44,$AD$44,E415=$AB$45,$AD$45,E415=$AB$46,$AD$46,E415=$AB$47,$AD$47,E415=$AB$48,$AD$48,E415=$AB$49,$AD$49,E415=$AB$50,$AD$50,E415=$AB$51,$AD$51,E415=$AB$52,$AD$52,E415=$AB$53,$AD$53,E415=$AB$54,$AD$54,E415=$AB$55,$AD$55,E415=$AB$56,$AD$56,E415=$AB$57,$AD$57,E415=$AB$58,$AD$58,E415=$AB$59,$AD$59,E415=$AB$60,$AD$60,E415=$AB$61,$AD$61,E415=$AB$62,$AD$62,E415=$AB$63,$AD$63,E415=$AB$64,$AD$64,E415=$AB$65,$AD$65,E415=$AB$66,$AD$66,TRUE,"0")</f>
        <v>IP</v>
      </c>
      <c r="E415" s="163" t="s">
        <v>270</v>
      </c>
      <c r="F415" s="2" t="s">
        <v>67</v>
      </c>
      <c r="G415" s="2" t="s">
        <v>169</v>
      </c>
      <c r="H415" s="3">
        <v>45352.791666666664</v>
      </c>
      <c r="I415" s="2" t="s">
        <v>373</v>
      </c>
      <c r="J415" s="2" t="s">
        <v>283</v>
      </c>
      <c r="K415" s="2">
        <v>59</v>
      </c>
      <c r="L415" s="2">
        <v>0</v>
      </c>
      <c r="M415" s="2">
        <v>20</v>
      </c>
      <c r="N415" s="2">
        <v>30</v>
      </c>
      <c r="O415" s="2">
        <v>1.49</v>
      </c>
      <c r="P415" s="2"/>
      <c r="Q415" s="2" t="s">
        <v>95</v>
      </c>
      <c r="R415" s="10" t="s">
        <v>193</v>
      </c>
      <c r="S415" s="14" t="s">
        <v>216</v>
      </c>
      <c r="T415" s="188">
        <f t="shared" si="47"/>
        <v>490.88632426327104</v>
      </c>
      <c r="U415" s="8">
        <f t="shared" si="44"/>
        <v>88.35953836738878</v>
      </c>
      <c r="V415" s="234">
        <f t="shared" si="51"/>
        <v>9906.0860236328099</v>
      </c>
      <c r="W415" s="15">
        <v>25</v>
      </c>
      <c r="X415" s="8">
        <f t="shared" si="48"/>
        <v>4.5</v>
      </c>
      <c r="Y415" s="233">
        <f t="shared" si="49"/>
        <v>2009</v>
      </c>
    </row>
    <row r="416" spans="1:25">
      <c r="A416" s="156" t="e" cm="1">
        <f t="array" aca="1" ref="A416" ca="1">_xlfn.IFS(E416=$AB$42,$AC$42,E416=$AB$43,$AC$43,E416=$AB$44,$AC$44,E416=$AB$45,$AC$45,E416=$AB$46,$AC$46,E416=$AB$47,$AC$47,E416=$AB$48,$AC$48,E416=$AB$49,$AC$49,E416=$AB$50,$AC$50,E416=$AB$51,$AC$51,E416=$AB$52,$AC$52,E416=$AB$53,$AC$53,E416=$AB$54,$AC$54,E416=$AB$55,$AC$55,E416=$AB$56,$AC$56,E416=$AB$57,$AC$57,E416=$AB$58,$AC$58,E416=$AB$59,$AC$59,E416=$AB$60,$AC$60,E416=$AB$61,$AC$61,E416=$AB$62,$AC$62,E416=$AB$63,$AC$63,E416=$AB$64,$AC$64,E416=$AB$65,$AC$65,E416=$AB$66,$AC$66,TRUE,"0")</f>
        <v>#NAME?</v>
      </c>
      <c r="C416" s="161" t="str" cm="1">
        <f t="array" ref="C416">_xlfn.IFS(E416=$AB$42,$AF$42,E416=$AB$43,$AF$43,E416=$AB$44,$AF$44,E416=$AB$45,$AF$45,E416=$AB$46,$AF$46,E416=$AB$47,$AF$47,E416=$AB$48,$AF$48,E416=$AB$49,$AF$49,E416=$AB$50,$AF$50,E416=$AB$51,$AF$51,E416=$AB$52,$AF$52,E416=$AB$53,$AF$53,E416=$AB$54,$AF$54,E416=$AB$55,$AF$55,E416=$AB$56,$AF$56,E416=$AB$57,$AF$57,E416=$AB$58,$AF$58,E416=$AB$59,$AF$59,E416=$AB$60,$AF$60,E416=$AB$61,$AF$61,E416=$AB$62,$AF$62,E416=$AB$63,$AF$63,E416=$AB$64,$AF$64,E416=$AB$65,$AF$65,E416=$AB$66,$AF$66,TRUE,"0")</f>
        <v>40 mins Back ANother Goal</v>
      </c>
      <c r="D416" s="270" t="str" cm="1">
        <f t="array" ref="D416">_xlfn.IFS(E416=$AB$42,$AD$42,E416=$AB$43,$AD$43,E416=$AB$44,$AD$44,E416=$AB$45,$AD$45,E416=$AB$46,$AD$46,E416=$AB$47,$AD$47,E416=$AB$48,$AD$48,E416=$AB$49,$AD$49,E416=$AB$50,$AD$50,E416=$AB$51,$AD$51,E416=$AB$52,$AD$52,E416=$AB$53,$AD$53,E416=$AB$54,$AD$54,E416=$AB$55,$AD$55,E416=$AB$56,$AD$56,E416=$AB$57,$AD$57,E416=$AB$58,$AD$58,E416=$AB$59,$AD$59,E416=$AB$60,$AD$60,E416=$AB$61,$AD$61,E416=$AB$62,$AD$62,E416=$AB$63,$AD$63,E416=$AB$64,$AD$64,E416=$AB$65,$AD$65,E416=$AB$66,$AD$66,TRUE,"0")</f>
        <v xml:space="preserve">  BANG</v>
      </c>
      <c r="E416" s="163" t="s">
        <v>43</v>
      </c>
      <c r="F416" s="2" t="s">
        <v>119</v>
      </c>
      <c r="G416" s="2" t="s">
        <v>166</v>
      </c>
      <c r="H416" s="3">
        <v>45352.8125</v>
      </c>
      <c r="I416" s="2" t="s">
        <v>481</v>
      </c>
      <c r="J416" s="2" t="s">
        <v>238</v>
      </c>
      <c r="K416" s="2">
        <v>73</v>
      </c>
      <c r="L416" s="2">
        <v>70</v>
      </c>
      <c r="M416" s="2">
        <v>62</v>
      </c>
      <c r="N416" s="2">
        <v>1.5</v>
      </c>
      <c r="O416" s="2">
        <v>1.54</v>
      </c>
      <c r="P416" s="2"/>
      <c r="Q416" s="2" t="s">
        <v>95</v>
      </c>
      <c r="R416" s="10" t="s">
        <v>216</v>
      </c>
      <c r="S416" s="14" t="s">
        <v>222</v>
      </c>
      <c r="T416" s="188">
        <f t="shared" si="47"/>
        <v>495.30430118164054</v>
      </c>
      <c r="U416" s="8">
        <f t="shared" si="44"/>
        <v>89.154774212695287</v>
      </c>
      <c r="V416" s="234">
        <f t="shared" ref="V416:V430" si="52">SUM(V415,U416)</f>
        <v>9995.2407978455049</v>
      </c>
      <c r="W416" s="15">
        <v>25</v>
      </c>
      <c r="X416" s="8">
        <f t="shared" si="48"/>
        <v>4.5</v>
      </c>
      <c r="Y416" s="233">
        <f t="shared" si="49"/>
        <v>2013.5</v>
      </c>
    </row>
    <row r="417" spans="1:25">
      <c r="A417" s="156" t="e" cm="1">
        <f t="array" aca="1" ref="A417" ca="1">_xlfn.IFS(E417=$AB$42,$AC$42,E417=$AB$43,$AC$43,E417=$AB$44,$AC$44,E417=$AB$45,$AC$45,E417=$AB$46,$AC$46,E417=$AB$47,$AC$47,E417=$AB$48,$AC$48,E417=$AB$49,$AC$49,E417=$AB$50,$AC$50,E417=$AB$51,$AC$51,E417=$AB$52,$AC$52,E417=$AB$53,$AC$53,E417=$AB$54,$AC$54,E417=$AB$55,$AC$55,E417=$AB$56,$AC$56,E417=$AB$57,$AC$57,E417=$AB$58,$AC$58,E417=$AB$59,$AC$59,E417=$AB$60,$AC$60,E417=$AB$61,$AC$61,E417=$AB$62,$AC$62,E417=$AB$63,$AC$63,E417=$AB$64,$AC$64,E417=$AB$65,$AC$65,E417=$AB$66,$AC$66,TRUE,"0")</f>
        <v>#NAME?</v>
      </c>
      <c r="C417" s="161" t="str" cm="1">
        <f t="array" ref="C417">_xlfn.IFS(E417=$AB$42,$AF$42,E417=$AB$43,$AF$43,E417=$AB$44,$AF$44,E417=$AB$45,$AF$45,E417=$AB$46,$AF$46,E417=$AB$47,$AF$47,E417=$AB$48,$AF$48,E417=$AB$49,$AF$49,E417=$AB$50,$AF$50,E417=$AB$51,$AF$51,E417=$AB$52,$AF$52,E417=$AB$53,$AF$53,E417=$AB$54,$AF$54,E417=$AB$55,$AF$55,E417=$AB$56,$AF$56,E417=$AB$57,$AF$57,E417=$AB$58,$AF$58,E417=$AB$59,$AF$59,E417=$AB$60,$AF$60,E417=$AB$61,$AF$61,E417=$AB$62,$AF$62,E417=$AB$63,$AF$63,E417=$AB$64,$AF$64,E417=$AB$65,$AF$65,E417=$AB$66,$AF$66,TRUE,"0")</f>
        <v>B4 Match, lay HT 0-0 or BACK H1 +0.5 GOALS</v>
      </c>
      <c r="D417" s="270" t="str" cm="1">
        <f t="array" ref="D417">_xlfn.IFS(E417=$AB$42,$AD$42,E417=$AB$43,$AD$43,E417=$AB$44,$AD$44,E417=$AB$45,$AD$45,E417=$AB$46,$AD$46,E417=$AB$47,$AD$47,E417=$AB$48,$AD$48,E417=$AB$49,$AD$49,E417=$AB$50,$AD$50,E417=$AB$51,$AD$51,E417=$AB$52,$AD$52,E417=$AB$53,$AD$53,E417=$AB$54,$AD$54,E417=$AB$55,$AD$55,E417=$AB$56,$AD$56,E417=$AB$57,$AD$57,E417=$AB$58,$AD$58,E417=$AB$59,$AD$59,E417=$AB$60,$AD$60,E417=$AB$61,$AD$61,E417=$AB$62,$AD$62,E417=$AB$63,$AD$63,E417=$AB$64,$AD$64,E417=$AB$65,$AD$65,E417=$AB$66,$AD$66,TRUE,"0")</f>
        <v xml:space="preserve">BFM </v>
      </c>
      <c r="E417" s="163" t="s">
        <v>448</v>
      </c>
      <c r="F417" s="2" t="s">
        <v>77</v>
      </c>
      <c r="G417" s="2" t="s">
        <v>156</v>
      </c>
      <c r="H417" s="3">
        <v>45352.8125</v>
      </c>
      <c r="I417" s="2" t="s">
        <v>477</v>
      </c>
      <c r="J417" s="2" t="s">
        <v>157</v>
      </c>
      <c r="K417" s="2">
        <v>20</v>
      </c>
      <c r="L417" s="2">
        <v>10</v>
      </c>
      <c r="M417" s="2">
        <v>43</v>
      </c>
      <c r="N417" s="2">
        <v>6</v>
      </c>
      <c r="O417" s="2">
        <v>10</v>
      </c>
      <c r="P417" s="2">
        <v>8</v>
      </c>
      <c r="Q417" s="2" t="s">
        <v>95</v>
      </c>
      <c r="R417" s="10" t="s">
        <v>216</v>
      </c>
      <c r="S417" s="14" t="s">
        <v>210</v>
      </c>
      <c r="T417" s="188">
        <f t="shared" si="47"/>
        <v>499.76203989227525</v>
      </c>
      <c r="U417" s="8">
        <f t="shared" si="44"/>
        <v>89.957167180609545</v>
      </c>
      <c r="V417" s="234">
        <f t="shared" si="52"/>
        <v>10085.197965026115</v>
      </c>
      <c r="W417" s="15">
        <v>25</v>
      </c>
      <c r="X417" s="8">
        <f t="shared" si="48"/>
        <v>4.5</v>
      </c>
      <c r="Y417" s="233">
        <f t="shared" si="49"/>
        <v>2018</v>
      </c>
    </row>
    <row r="418" spans="1:25">
      <c r="A418" s="156" t="e" cm="1">
        <f t="array" aca="1" ref="A418" ca="1">_xlfn.IFS(E418=$AB$42,$AC$42,E418=$AB$43,$AC$43,E418=$AB$44,$AC$44,E418=$AB$45,$AC$45,E418=$AB$46,$AC$46,E418=$AB$47,$AC$47,E418=$AB$48,$AC$48,E418=$AB$49,$AC$49,E418=$AB$50,$AC$50,E418=$AB$51,$AC$51,E418=$AB$52,$AC$52,E418=$AB$53,$AC$53,E418=$AB$54,$AC$54,E418=$AB$55,$AC$55,E418=$AB$56,$AC$56,E418=$AB$57,$AC$57,E418=$AB$58,$AC$58,E418=$AB$59,$AC$59,E418=$AB$60,$AC$60,E418=$AB$61,$AC$61,E418=$AB$62,$AC$62,E418=$AB$63,$AC$63,E418=$AB$64,$AC$64,E418=$AB$65,$AC$65,E418=$AB$66,$AC$66,TRUE,"0")</f>
        <v>#NAME?</v>
      </c>
      <c r="C418" s="161" t="str" cm="1">
        <f t="array" ref="C418">_xlfn.IFS(E418=$AB$42,$AF$42,E418=$AB$43,$AF$43,E418=$AB$44,$AF$44,E418=$AB$45,$AF$45,E418=$AB$46,$AF$46,E418=$AB$47,$AF$47,E418=$AB$48,$AF$48,E418=$AB$49,$AF$49,E418=$AB$50,$AF$50,E418=$AB$51,$AF$51,E418=$AB$52,$AF$52,E418=$AB$53,$AF$53,E418=$AB$54,$AF$54,E418=$AB$55,$AF$55,E418=$AB$56,$AF$56,E418=$AB$57,$AF$57,E418=$AB$58,$AF$58,E418=$AB$59,$AF$59,E418=$AB$60,$AF$60,E418=$AB$61,$AF$61,E418=$AB$62,$AF$62,E418=$AB$63,$AF$63,E418=$AB$64,$AF$64,E418=$AB$65,$AF$65,E418=$AB$66,$AF$66,TRUE,"0")</f>
        <v>if 0-0, BACK+ 0.5 GOALS  @ 1.15+odds.  or @ 40 mins</v>
      </c>
      <c r="D418" s="270" t="str" cm="1">
        <f t="array" ref="D418">_xlfn.IFS(E418=$AB$42,$AD$42,E418=$AB$43,$AD$43,E418=$AB$44,$AD$44,E418=$AB$45,$AD$45,E418=$AB$46,$AD$46,E418=$AB$47,$AD$47,E418=$AB$48,$AD$48,E418=$AB$49,$AD$49,E418=$AB$50,$AD$50,E418=$AB$51,$AD$51,E418=$AB$52,$AD$52,E418=$AB$53,$AD$53,E418=$AB$54,$AD$54,E418=$AB$55,$AD$55,E418=$AB$56,$AD$56,E418=$AB$57,$AD$57,E418=$AB$58,$AD$58,E418=$AB$59,$AD$59,E418=$AB$60,$AD$60,E418=$AB$61,$AD$61,E418=$AB$62,$AD$62,E418=$AB$63,$AD$63,E418=$AB$64,$AD$64,E418=$AB$65,$AD$65,E418=$AB$66,$AD$66,TRUE,"0")</f>
        <v>IP</v>
      </c>
      <c r="E418" s="163" t="s">
        <v>270</v>
      </c>
      <c r="F418" s="2" t="s">
        <v>6</v>
      </c>
      <c r="G418" s="2" t="s">
        <v>14</v>
      </c>
      <c r="H418" s="3">
        <v>45352.833333333336</v>
      </c>
      <c r="I418" s="2" t="s">
        <v>414</v>
      </c>
      <c r="J418" s="2" t="s">
        <v>376</v>
      </c>
      <c r="K418" s="2">
        <v>61</v>
      </c>
      <c r="L418" s="2">
        <v>0</v>
      </c>
      <c r="M418" s="2">
        <v>20</v>
      </c>
      <c r="N418" s="2">
        <v>35</v>
      </c>
      <c r="O418" s="2">
        <v>2.61</v>
      </c>
      <c r="P418" s="2"/>
      <c r="Q418" s="2" t="s">
        <v>95</v>
      </c>
      <c r="R418" s="10" t="s">
        <v>220</v>
      </c>
      <c r="S418" s="14" t="s">
        <v>222</v>
      </c>
      <c r="T418" s="188">
        <f t="shared" si="47"/>
        <v>504.25989825130574</v>
      </c>
      <c r="U418" s="8">
        <f t="shared" si="44"/>
        <v>90.766781685235031</v>
      </c>
      <c r="V418" s="234">
        <f t="shared" si="52"/>
        <v>10175.96474671135</v>
      </c>
      <c r="W418" s="15">
        <v>25</v>
      </c>
      <c r="X418" s="8">
        <f t="shared" si="48"/>
        <v>4.5</v>
      </c>
      <c r="Y418" s="233">
        <f t="shared" si="49"/>
        <v>2022.5</v>
      </c>
    </row>
    <row r="419" spans="1:25">
      <c r="A419" s="156" t="e" cm="1">
        <f t="array" aca="1" ref="A419" ca="1">_xlfn.IFS(E419=$AB$42,$AC$42,E419=$AB$43,$AC$43,E419=$AB$44,$AC$44,E419=$AB$45,$AC$45,E419=$AB$46,$AC$46,E419=$AB$47,$AC$47,E419=$AB$48,$AC$48,E419=$AB$49,$AC$49,E419=$AB$50,$AC$50,E419=$AB$51,$AC$51,E419=$AB$52,$AC$52,E419=$AB$53,$AC$53,E419=$AB$54,$AC$54,E419=$AB$55,$AC$55,E419=$AB$56,$AC$56,E419=$AB$57,$AC$57,E419=$AB$58,$AC$58,E419=$AB$59,$AC$59,E419=$AB$60,$AC$60,E419=$AB$61,$AC$61,E419=$AB$62,$AC$62,E419=$AB$63,$AC$63,E419=$AB$64,$AC$64,E419=$AB$65,$AC$65,E419=$AB$66,$AC$66,TRUE,"0")</f>
        <v>#NAME?</v>
      </c>
      <c r="C419" s="161" t="str" cm="1">
        <f t="array" ref="C419">_xlfn.IFS(E419=$AB$42,$AF$42,E419=$AB$43,$AF$43,E419=$AB$44,$AF$44,E419=$AB$45,$AF$45,E419=$AB$46,$AF$46,E419=$AB$47,$AF$47,E419=$AB$48,$AF$48,E419=$AB$49,$AF$49,E419=$AB$50,$AF$50,E419=$AB$51,$AF$51,E419=$AB$52,$AF$52,E419=$AB$53,$AF$53,E419=$AB$54,$AF$54,E419=$AB$55,$AF$55,E419=$AB$56,$AF$56,E419=$AB$57,$AF$57,E419=$AB$58,$AF$58,E419=$AB$59,$AF$59,E419=$AB$60,$AF$60,E419=$AB$61,$AF$61,E419=$AB$62,$AF$62,E419=$AB$63,$AF$63,E419=$AB$64,$AF$64,E419=$AB$65,$AF$65,E419=$AB$66,$AF$66,TRUE,"0")</f>
        <v>B4 Match, lay HT 0-0 or BACK H1 +0.5 GOALS</v>
      </c>
      <c r="D419" s="270" t="str" cm="1">
        <f t="array" ref="D419">_xlfn.IFS(E419=$AB$42,$AD$42,E419=$AB$43,$AD$43,E419=$AB$44,$AD$44,E419=$AB$45,$AD$45,E419=$AB$46,$AD$46,E419=$AB$47,$AD$47,E419=$AB$48,$AD$48,E419=$AB$49,$AD$49,E419=$AB$50,$AD$50,E419=$AB$51,$AD$51,E419=$AB$52,$AD$52,E419=$AB$53,$AD$53,E419=$AB$54,$AD$54,E419=$AB$55,$AD$55,E419=$AB$56,$AD$56,E419=$AB$57,$AD$57,E419=$AB$58,$AD$58,E419=$AB$59,$AD$59,E419=$AB$60,$AD$60,E419=$AB$61,$AD$61,E419=$AB$62,$AD$62,E419=$AB$63,$AD$63,E419=$AB$64,$AD$64,E419=$AB$65,$AD$65,E419=$AB$66,$AD$66,TRUE,"0")</f>
        <v xml:space="preserve">BFM </v>
      </c>
      <c r="E419" s="163" t="s">
        <v>448</v>
      </c>
      <c r="F419" s="2" t="s">
        <v>44</v>
      </c>
      <c r="G419" s="2" t="s">
        <v>45</v>
      </c>
      <c r="H419" s="3">
        <v>45353.364583333336</v>
      </c>
      <c r="I419" s="2" t="s">
        <v>321</v>
      </c>
      <c r="J419" s="2" t="s">
        <v>46</v>
      </c>
      <c r="K419" s="2">
        <v>20</v>
      </c>
      <c r="L419" s="2">
        <v>10</v>
      </c>
      <c r="M419" s="2">
        <v>42</v>
      </c>
      <c r="N419" s="2">
        <v>11</v>
      </c>
      <c r="O419" s="2">
        <v>7</v>
      </c>
      <c r="P419" s="2">
        <v>6</v>
      </c>
      <c r="Q419" s="2" t="s">
        <v>95</v>
      </c>
      <c r="R419" s="10" t="s">
        <v>217</v>
      </c>
      <c r="S419" s="14" t="s">
        <v>225</v>
      </c>
      <c r="T419" s="188">
        <f t="shared" si="47"/>
        <v>508.79823733556753</v>
      </c>
      <c r="U419" s="8">
        <f t="shared" si="44"/>
        <v>91.583682720402152</v>
      </c>
      <c r="V419" s="234">
        <f t="shared" si="52"/>
        <v>10267.548429431752</v>
      </c>
      <c r="W419" s="15">
        <v>25</v>
      </c>
      <c r="X419" s="8">
        <f t="shared" si="48"/>
        <v>4.5</v>
      </c>
      <c r="Y419" s="233">
        <f t="shared" si="49"/>
        <v>2027</v>
      </c>
    </row>
    <row r="420" spans="1:25">
      <c r="A420" s="156" t="e" cm="1">
        <f t="array" aca="1" ref="A420" ca="1">_xlfn.IFS(E420=$AB$42,$AC$42,E420=$AB$43,$AC$43,E420=$AB$44,$AC$44,E420=$AB$45,$AC$45,E420=$AB$46,$AC$46,E420=$AB$47,$AC$47,E420=$AB$48,$AC$48,E420=$AB$49,$AC$49,E420=$AB$50,$AC$50,E420=$AB$51,$AC$51,E420=$AB$52,$AC$52,E420=$AB$53,$AC$53,E420=$AB$54,$AC$54,E420=$AB$55,$AC$55,E420=$AB$56,$AC$56,E420=$AB$57,$AC$57,E420=$AB$58,$AC$58,E420=$AB$59,$AC$59,E420=$AB$60,$AC$60,E420=$AB$61,$AC$61,E420=$AB$62,$AC$62,E420=$AB$63,$AC$63,E420=$AB$64,$AC$64,E420=$AB$65,$AC$65,E420=$AB$66,$AC$66,TRUE,"0")</f>
        <v>#NAME?</v>
      </c>
      <c r="C420" s="161" t="str" cm="1">
        <f t="array" ref="C420">_xlfn.IFS(E420=$AB$42,$AF$42,E420=$AB$43,$AF$43,E420=$AB$44,$AF$44,E420=$AB$45,$AF$45,E420=$AB$46,$AF$46,E420=$AB$47,$AF$47,E420=$AB$48,$AF$48,E420=$AB$49,$AF$49,E420=$AB$50,$AF$50,E420=$AB$51,$AF$51,E420=$AB$52,$AF$52,E420=$AB$53,$AF$53,E420=$AB$54,$AF$54,E420=$AB$55,$AF$55,E420=$AB$56,$AF$56,E420=$AB$57,$AF$57,E420=$AB$58,$AF$58,E420=$AB$59,$AF$59,E420=$AB$60,$AF$60,E420=$AB$61,$AF$61,E420=$AB$62,$AF$62,E420=$AB$63,$AF$63,E420=$AB$64,$AF$64,E420=$AB$65,$AF$65,E420=$AB$66,$AF$66,TRUE,"0")</f>
        <v>if 0-0, BACK+ 0.5 GOALS  @ 1.15+odds.  or @ 40 mins</v>
      </c>
      <c r="D420" s="270" t="str" cm="1">
        <f t="array" ref="D420">_xlfn.IFS(E420=$AB$42,$AD$42,E420=$AB$43,$AD$43,E420=$AB$44,$AD$44,E420=$AB$45,$AD$45,E420=$AB$46,$AD$46,E420=$AB$47,$AD$47,E420=$AB$48,$AD$48,E420=$AB$49,$AD$49,E420=$AB$50,$AD$50,E420=$AB$51,$AD$51,E420=$AB$52,$AD$52,E420=$AB$53,$AD$53,E420=$AB$54,$AD$54,E420=$AB$55,$AD$55,E420=$AB$56,$AD$56,E420=$AB$57,$AD$57,E420=$AB$58,$AD$58,E420=$AB$59,$AD$59,E420=$AB$60,$AD$60,E420=$AB$61,$AD$61,E420=$AB$62,$AD$62,E420=$AB$63,$AD$63,E420=$AB$64,$AD$64,E420=$AB$65,$AD$65,E420=$AB$66,$AD$66,TRUE,"0")</f>
        <v>IP</v>
      </c>
      <c r="E420" s="163" t="s">
        <v>270</v>
      </c>
      <c r="F420" s="2" t="s">
        <v>77</v>
      </c>
      <c r="G420" s="2" t="s">
        <v>156</v>
      </c>
      <c r="H420" s="3">
        <v>45353.604166666664</v>
      </c>
      <c r="I420" s="2" t="s">
        <v>239</v>
      </c>
      <c r="J420" s="2" t="s">
        <v>181</v>
      </c>
      <c r="K420" s="2">
        <v>62</v>
      </c>
      <c r="L420" s="2">
        <v>0</v>
      </c>
      <c r="M420" s="2">
        <v>20</v>
      </c>
      <c r="N420" s="2">
        <v>38</v>
      </c>
      <c r="O420" s="2">
        <v>3.27</v>
      </c>
      <c r="P420" s="2"/>
      <c r="Q420" s="2" t="s">
        <v>95</v>
      </c>
      <c r="R420" s="10" t="s">
        <v>216</v>
      </c>
      <c r="S420" s="14" t="s">
        <v>225</v>
      </c>
      <c r="T420" s="188">
        <f t="shared" si="47"/>
        <v>513.37742147158758</v>
      </c>
      <c r="U420" s="8">
        <f t="shared" si="44"/>
        <v>92.407935864885758</v>
      </c>
      <c r="V420" s="234">
        <f t="shared" si="52"/>
        <v>10359.956365296637</v>
      </c>
      <c r="W420" s="15">
        <v>25</v>
      </c>
      <c r="X420" s="8">
        <f t="shared" si="48"/>
        <v>4.5</v>
      </c>
      <c r="Y420" s="233">
        <f t="shared" si="49"/>
        <v>2031.5</v>
      </c>
    </row>
    <row r="421" spans="1:25">
      <c r="A421" s="156" t="e" cm="1">
        <f t="array" aca="1" ref="A421" ca="1">_xlfn.IFS(E421=$AB$42,$AC$42,E421=$AB$43,$AC$43,E421=$AB$44,$AC$44,E421=$AB$45,$AC$45,E421=$AB$46,$AC$46,E421=$AB$47,$AC$47,E421=$AB$48,$AC$48,E421=$AB$49,$AC$49,E421=$AB$50,$AC$50,E421=$AB$51,$AC$51,E421=$AB$52,$AC$52,E421=$AB$53,$AC$53,E421=$AB$54,$AC$54,E421=$AB$55,$AC$55,E421=$AB$56,$AC$56,E421=$AB$57,$AC$57,E421=$AB$58,$AC$58,E421=$AB$59,$AC$59,E421=$AB$60,$AC$60,E421=$AB$61,$AC$61,E421=$AB$62,$AC$62,E421=$AB$63,$AC$63,E421=$AB$64,$AC$64,E421=$AB$65,$AC$65,E421=$AB$66,$AC$66,TRUE,"0")</f>
        <v>#NAME?</v>
      </c>
      <c r="C421" s="161" t="str" cm="1">
        <f t="array" ref="C421">_xlfn.IFS(E421=$AB$42,$AF$42,E421=$AB$43,$AF$43,E421=$AB$44,$AF$44,E421=$AB$45,$AF$45,E421=$AB$46,$AF$46,E421=$AB$47,$AF$47,E421=$AB$48,$AF$48,E421=$AB$49,$AF$49,E421=$AB$50,$AF$50,E421=$AB$51,$AF$51,E421=$AB$52,$AF$52,E421=$AB$53,$AF$53,E421=$AB$54,$AF$54,E421=$AB$55,$AF$55,E421=$AB$56,$AF$56,E421=$AB$57,$AF$57,E421=$AB$58,$AF$58,E421=$AB$59,$AF$59,E421=$AB$60,$AF$60,E421=$AB$61,$AF$61,E421=$AB$62,$AF$62,E421=$AB$63,$AF$63,E421=$AB$64,$AF$64,E421=$AB$65,$AF$65,E421=$AB$66,$AF$66,TRUE,"0")</f>
        <v>B4 MATCH back over 2.5 goals.X after goal OR let run</v>
      </c>
      <c r="D421" s="270" t="str" cm="1">
        <f t="array" ref="D421">_xlfn.IFS(E421=$AB$42,$AD$42,E421=$AB$43,$AD$43,E421=$AB$44,$AD$44,E421=$AB$45,$AD$45,E421=$AB$46,$AD$46,E421=$AB$47,$AD$47,E421=$AB$48,$AD$48,E421=$AB$49,$AD$49,E421=$AB$50,$AD$50,E421=$AB$51,$AD$51,E421=$AB$52,$AD$52,E421=$AB$53,$AD$53,E421=$AB$54,$AD$54,E421=$AB$55,$AD$55,E421=$AB$56,$AD$56,E421=$AB$57,$AD$57,E421=$AB$58,$AD$58,E421=$AB$59,$AD$59,E421=$AB$60,$AD$60,E421=$AB$61,$AD$61,E421=$AB$62,$AD$62,E421=$AB$63,$AD$63,E421=$AB$64,$AD$64,E421=$AB$65,$AD$65,E421=$AB$66,$AD$66,TRUE,"0")</f>
        <v xml:space="preserve">BFM </v>
      </c>
      <c r="E421" s="163" t="s">
        <v>177</v>
      </c>
      <c r="F421" s="2" t="s">
        <v>6</v>
      </c>
      <c r="G421" s="2" t="s">
        <v>62</v>
      </c>
      <c r="H421" s="3">
        <v>45353.625</v>
      </c>
      <c r="I421" s="2" t="s">
        <v>63</v>
      </c>
      <c r="J421" s="2" t="s">
        <v>65</v>
      </c>
      <c r="K421" s="2">
        <v>3.9</v>
      </c>
      <c r="L421" s="2">
        <v>95</v>
      </c>
      <c r="M421" s="2">
        <v>85</v>
      </c>
      <c r="N421" s="2">
        <v>28</v>
      </c>
      <c r="O421" s="2">
        <v>55</v>
      </c>
      <c r="P421" s="2">
        <v>3.15</v>
      </c>
      <c r="Q421" s="2" t="s">
        <v>95</v>
      </c>
      <c r="R421" s="10" t="s">
        <v>193</v>
      </c>
      <c r="S421" s="14" t="s">
        <v>210</v>
      </c>
      <c r="T421" s="188">
        <f t="shared" si="47"/>
        <v>517.99781826483184</v>
      </c>
      <c r="U421" s="8">
        <f t="shared" si="44"/>
        <v>93.239607287669727</v>
      </c>
      <c r="V421" s="234">
        <f t="shared" si="52"/>
        <v>10453.195972584306</v>
      </c>
      <c r="W421" s="15">
        <v>25</v>
      </c>
      <c r="X421" s="8">
        <f t="shared" si="48"/>
        <v>4.5</v>
      </c>
      <c r="Y421" s="233">
        <f t="shared" si="49"/>
        <v>2036</v>
      </c>
    </row>
    <row r="422" spans="1:25">
      <c r="A422" s="156" t="e" cm="1">
        <f t="array" aca="1" ref="A422" ca="1">_xlfn.IFS(E422=$AB$42,$AC$42,E422=$AB$43,$AC$43,E422=$AB$44,$AC$44,E422=$AB$45,$AC$45,E422=$AB$46,$AC$46,E422=$AB$47,$AC$47,E422=$AB$48,$AC$48,E422=$AB$49,$AC$49,E422=$AB$50,$AC$50,E422=$AB$51,$AC$51,E422=$AB$52,$AC$52,E422=$AB$53,$AC$53,E422=$AB$54,$AC$54,E422=$AB$55,$AC$55,E422=$AB$56,$AC$56,E422=$AB$57,$AC$57,E422=$AB$58,$AC$58,E422=$AB$59,$AC$59,E422=$AB$60,$AC$60,E422=$AB$61,$AC$61,E422=$AB$62,$AC$62,E422=$AB$63,$AC$63,E422=$AB$64,$AC$64,E422=$AB$65,$AC$65,E422=$AB$66,$AC$66,TRUE,"0")</f>
        <v>#NAME?</v>
      </c>
      <c r="C422" s="161" t="str" cm="1">
        <f t="array" ref="C422">_xlfn.IFS(E422=$AB$42,$AF$42,E422=$AB$43,$AF$43,E422=$AB$44,$AF$44,E422=$AB$45,$AF$45,E422=$AB$46,$AF$46,E422=$AB$47,$AF$47,E422=$AB$48,$AF$48,E422=$AB$49,$AF$49,E422=$AB$50,$AF$50,E422=$AB$51,$AF$51,E422=$AB$52,$AF$52,E422=$AB$53,$AF$53,E422=$AB$54,$AF$54,E422=$AB$55,$AF$55,E422=$AB$56,$AF$56,E422=$AB$57,$AF$57,E422=$AB$58,$AF$58,E422=$AB$59,$AF$59,E422=$AB$60,$AF$60,E422=$AB$61,$AF$61,E422=$AB$62,$AF$62,E422=$AB$63,$AF$63,E422=$AB$64,$AF$64,E422=$AB$65,$AF$65,E422=$AB$66,$AF$66,TRUE,"0")</f>
        <v>40 mins Back ANother Goal</v>
      </c>
      <c r="D422" s="270" t="str" cm="1">
        <f t="array" ref="D422">_xlfn.IFS(E422=$AB$42,$AD$42,E422=$AB$43,$AD$43,E422=$AB$44,$AD$44,E422=$AB$45,$AD$45,E422=$AB$46,$AD$46,E422=$AB$47,$AD$47,E422=$AB$48,$AD$48,E422=$AB$49,$AD$49,E422=$AB$50,$AD$50,E422=$AB$51,$AD$51,E422=$AB$52,$AD$52,E422=$AB$53,$AD$53,E422=$AB$54,$AD$54,E422=$AB$55,$AD$55,E422=$AB$56,$AD$56,E422=$AB$57,$AD$57,E422=$AB$58,$AD$58,E422=$AB$59,$AD$59,E422=$AB$60,$AD$60,E422=$AB$61,$AD$61,E422=$AB$62,$AD$62,E422=$AB$63,$AD$63,E422=$AB$64,$AD$64,E422=$AB$65,$AD$65,E422=$AB$66,$AD$66,TRUE,"0")</f>
        <v xml:space="preserve">  BANG</v>
      </c>
      <c r="E422" s="163" t="s">
        <v>10</v>
      </c>
      <c r="F422" s="2" t="s">
        <v>6</v>
      </c>
      <c r="G422" s="2" t="s">
        <v>62</v>
      </c>
      <c r="H422" s="3">
        <v>45353.625</v>
      </c>
      <c r="I422" s="2" t="s">
        <v>63</v>
      </c>
      <c r="J422" s="2" t="s">
        <v>65</v>
      </c>
      <c r="K422" s="2">
        <v>2.4</v>
      </c>
      <c r="L422" s="2">
        <v>100</v>
      </c>
      <c r="M422" s="2">
        <v>80</v>
      </c>
      <c r="N422" s="2">
        <v>50</v>
      </c>
      <c r="O422" s="2">
        <v>63</v>
      </c>
      <c r="P422" s="2">
        <v>20</v>
      </c>
      <c r="Q422" s="2" t="s">
        <v>95</v>
      </c>
      <c r="R422" s="10" t="s">
        <v>193</v>
      </c>
      <c r="S422" s="14" t="s">
        <v>210</v>
      </c>
      <c r="T422" s="188">
        <f t="shared" si="47"/>
        <v>522.65979862921529</v>
      </c>
      <c r="U422" s="8">
        <f t="shared" si="44"/>
        <v>94.078763753258755</v>
      </c>
      <c r="V422" s="234">
        <f t="shared" si="52"/>
        <v>10547.274736337566</v>
      </c>
      <c r="W422" s="15">
        <v>25</v>
      </c>
      <c r="X422" s="8">
        <f t="shared" si="48"/>
        <v>4.5</v>
      </c>
      <c r="Y422" s="233">
        <f t="shared" si="49"/>
        <v>2040.5</v>
      </c>
    </row>
    <row r="423" spans="1:25">
      <c r="A423" s="156" t="e" cm="1">
        <f t="array" aca="1" ref="A423" ca="1">_xlfn.IFS(E423=$AB$42,$AC$42,E423=$AB$43,$AC$43,E423=$AB$44,$AC$44,E423=$AB$45,$AC$45,E423=$AB$46,$AC$46,E423=$AB$47,$AC$47,E423=$AB$48,$AC$48,E423=$AB$49,$AC$49,E423=$AB$50,$AC$50,E423=$AB$51,$AC$51,E423=$AB$52,$AC$52,E423=$AB$53,$AC$53,E423=$AB$54,$AC$54,E423=$AB$55,$AC$55,E423=$AB$56,$AC$56,E423=$AB$57,$AC$57,E423=$AB$58,$AC$58,E423=$AB$59,$AC$59,E423=$AB$60,$AC$60,E423=$AB$61,$AC$61,E423=$AB$62,$AC$62,E423=$AB$63,$AC$63,E423=$AB$64,$AC$64,E423=$AB$65,$AC$65,E423=$AB$66,$AC$66,TRUE,"0")</f>
        <v>#NAME?</v>
      </c>
      <c r="C423" s="161" t="str" cm="1">
        <f t="array" ref="C423">_xlfn.IFS(E423=$AB$42,$AF$42,E423=$AB$43,$AF$43,E423=$AB$44,$AF$44,E423=$AB$45,$AF$45,E423=$AB$46,$AF$46,E423=$AB$47,$AF$47,E423=$AB$48,$AF$48,E423=$AB$49,$AF$49,E423=$AB$50,$AF$50,E423=$AB$51,$AF$51,E423=$AB$52,$AF$52,E423=$AB$53,$AF$53,E423=$AB$54,$AF$54,E423=$AB$55,$AF$55,E423=$AB$56,$AF$56,E423=$AB$57,$AF$57,E423=$AB$58,$AF$58,E423=$AB$59,$AF$59,E423=$AB$60,$AF$60,E423=$AB$61,$AF$61,E423=$AB$62,$AF$62,E423=$AB$63,$AF$63,E423=$AB$64,$AF$64,E423=$AB$65,$AF$65,E423=$AB$66,$AF$66,TRUE,"0")</f>
        <v>if 0-0, BACK+ 0.5 GOALS  @ 1.15+odds.  or @ 40 mins</v>
      </c>
      <c r="D423" s="270" t="str" cm="1">
        <f t="array" ref="D423">_xlfn.IFS(E423=$AB$42,$AD$42,E423=$AB$43,$AD$43,E423=$AB$44,$AD$44,E423=$AB$45,$AD$45,E423=$AB$46,$AD$46,E423=$AB$47,$AD$47,E423=$AB$48,$AD$48,E423=$AB$49,$AD$49,E423=$AB$50,$AD$50,E423=$AB$51,$AD$51,E423=$AB$52,$AD$52,E423=$AB$53,$AD$53,E423=$AB$54,$AD$54,E423=$AB$55,$AD$55,E423=$AB$56,$AD$56,E423=$AB$57,$AD$57,E423=$AB$58,$AD$58,E423=$AB$59,$AD$59,E423=$AB$60,$AD$60,E423=$AB$61,$AD$61,E423=$AB$62,$AD$62,E423=$AB$63,$AD$63,E423=$AB$64,$AD$64,E423=$AB$65,$AD$65,E423=$AB$66,$AD$66,TRUE,"0")</f>
        <v>IP</v>
      </c>
      <c r="E423" s="163" t="s">
        <v>270</v>
      </c>
      <c r="F423" s="2" t="s">
        <v>6</v>
      </c>
      <c r="G423" s="2" t="s">
        <v>62</v>
      </c>
      <c r="H423" s="3">
        <v>45353.625</v>
      </c>
      <c r="I423" s="2" t="s">
        <v>63</v>
      </c>
      <c r="J423" s="2" t="s">
        <v>65</v>
      </c>
      <c r="K423" s="2">
        <v>62</v>
      </c>
      <c r="L423" s="2">
        <v>0</v>
      </c>
      <c r="M423" s="2">
        <v>20</v>
      </c>
      <c r="N423" s="2">
        <v>28</v>
      </c>
      <c r="O423" s="2">
        <v>3.15</v>
      </c>
      <c r="P423" s="2"/>
      <c r="Q423" s="2" t="s">
        <v>95</v>
      </c>
      <c r="R423" s="10" t="s">
        <v>193</v>
      </c>
      <c r="S423" s="14" t="s">
        <v>210</v>
      </c>
      <c r="T423" s="188">
        <f t="shared" si="47"/>
        <v>527.36373681687826</v>
      </c>
      <c r="U423" s="8">
        <f t="shared" si="44"/>
        <v>94.92547262703809</v>
      </c>
      <c r="V423" s="234">
        <f t="shared" si="52"/>
        <v>10642.200208964603</v>
      </c>
      <c r="W423" s="15">
        <v>25</v>
      </c>
      <c r="X423" s="8">
        <f t="shared" si="48"/>
        <v>4.5</v>
      </c>
      <c r="Y423" s="233">
        <f t="shared" si="49"/>
        <v>2045</v>
      </c>
    </row>
    <row r="424" spans="1:25">
      <c r="A424" s="156" t="e" cm="1">
        <f t="array" aca="1" ref="A424" ca="1">_xlfn.IFS(E424=$AB$42,$AC$42,E424=$AB$43,$AC$43,E424=$AB$44,$AC$44,E424=$AB$45,$AC$45,E424=$AB$46,$AC$46,E424=$AB$47,$AC$47,E424=$AB$48,$AC$48,E424=$AB$49,$AC$49,E424=$AB$50,$AC$50,E424=$AB$51,$AC$51,E424=$AB$52,$AC$52,E424=$AB$53,$AC$53,E424=$AB$54,$AC$54,E424=$AB$55,$AC$55,E424=$AB$56,$AC$56,E424=$AB$57,$AC$57,E424=$AB$58,$AC$58,E424=$AB$59,$AC$59,E424=$AB$60,$AC$60,E424=$AB$61,$AC$61,E424=$AB$62,$AC$62,E424=$AB$63,$AC$63,E424=$AB$64,$AC$64,E424=$AB$65,$AC$65,E424=$AB$66,$AC$66,TRUE,"0")</f>
        <v>#NAME?</v>
      </c>
      <c r="C424" s="161" t="str" cm="1">
        <f t="array" ref="C424">_xlfn.IFS(E424=$AB$42,$AF$42,E424=$AB$43,$AF$43,E424=$AB$44,$AF$44,E424=$AB$45,$AF$45,E424=$AB$46,$AF$46,E424=$AB$47,$AF$47,E424=$AB$48,$AF$48,E424=$AB$49,$AF$49,E424=$AB$50,$AF$50,E424=$AB$51,$AF$51,E424=$AB$52,$AF$52,E424=$AB$53,$AF$53,E424=$AB$54,$AF$54,E424=$AB$55,$AF$55,E424=$AB$56,$AF$56,E424=$AB$57,$AF$57,E424=$AB$58,$AF$58,E424=$AB$59,$AF$59,E424=$AB$60,$AF$60,E424=$AB$61,$AF$61,E424=$AB$62,$AF$62,E424=$AB$63,$AF$63,E424=$AB$64,$AF$64,E424=$AB$65,$AF$65,E424=$AB$66,$AF$66,TRUE,"0")</f>
        <v>if 0-0, BACK+ 0.5 GOALS  @ 1.15+odds.  or @ 40 mins</v>
      </c>
      <c r="D424" s="270" t="str" cm="1">
        <f t="array" ref="D424">_xlfn.IFS(E424=$AB$42,$AD$42,E424=$AB$43,$AD$43,E424=$AB$44,$AD$44,E424=$AB$45,$AD$45,E424=$AB$46,$AD$46,E424=$AB$47,$AD$47,E424=$AB$48,$AD$48,E424=$AB$49,$AD$49,E424=$AB$50,$AD$50,E424=$AB$51,$AD$51,E424=$AB$52,$AD$52,E424=$AB$53,$AD$53,E424=$AB$54,$AD$54,E424=$AB$55,$AD$55,E424=$AB$56,$AD$56,E424=$AB$57,$AD$57,E424=$AB$58,$AD$58,E424=$AB$59,$AD$59,E424=$AB$60,$AD$60,E424=$AB$61,$AD$61,E424=$AB$62,$AD$62,E424=$AB$63,$AD$63,E424=$AB$64,$AD$64,E424=$AB$65,$AD$65,E424=$AB$66,$AD$66,TRUE,"0")</f>
        <v>IP</v>
      </c>
      <c r="E424" s="163" t="s">
        <v>270</v>
      </c>
      <c r="F424" s="2" t="s">
        <v>67</v>
      </c>
      <c r="G424" s="2" t="s">
        <v>68</v>
      </c>
      <c r="H424" s="3">
        <v>45353.625</v>
      </c>
      <c r="I424" s="2" t="s">
        <v>337</v>
      </c>
      <c r="J424" s="2" t="s">
        <v>70</v>
      </c>
      <c r="K424" s="2">
        <v>62</v>
      </c>
      <c r="L424" s="2">
        <v>0</v>
      </c>
      <c r="M424" s="2">
        <v>20</v>
      </c>
      <c r="N424" s="2">
        <v>33</v>
      </c>
      <c r="O424" s="2">
        <v>2.2999999999999998</v>
      </c>
      <c r="P424" s="2"/>
      <c r="Q424" s="2" t="s">
        <v>95</v>
      </c>
      <c r="R424" s="10" t="s">
        <v>210</v>
      </c>
      <c r="S424" s="14" t="s">
        <v>213</v>
      </c>
      <c r="T424" s="188">
        <f t="shared" si="47"/>
        <v>532.11001044823013</v>
      </c>
      <c r="U424" s="8">
        <f t="shared" si="44"/>
        <v>95.779801880681418</v>
      </c>
      <c r="V424" s="234">
        <f t="shared" si="52"/>
        <v>10737.980010845284</v>
      </c>
      <c r="W424" s="15">
        <v>25</v>
      </c>
      <c r="X424" s="8">
        <f t="shared" si="48"/>
        <v>4.5</v>
      </c>
      <c r="Y424" s="233">
        <f t="shared" si="49"/>
        <v>2049.5</v>
      </c>
    </row>
    <row r="425" spans="1:25">
      <c r="A425" s="156" t="e" cm="1">
        <f t="array" aca="1" ref="A425" ca="1">_xlfn.IFS(E425=$AB$42,$AC$42,E425=$AB$43,$AC$43,E425=$AB$44,$AC$44,E425=$AB$45,$AC$45,E425=$AB$46,$AC$46,E425=$AB$47,$AC$47,E425=$AB$48,$AC$48,E425=$AB$49,$AC$49,E425=$AB$50,$AC$50,E425=$AB$51,$AC$51,E425=$AB$52,$AC$52,E425=$AB$53,$AC$53,E425=$AB$54,$AC$54,E425=$AB$55,$AC$55,E425=$AB$56,$AC$56,E425=$AB$57,$AC$57,E425=$AB$58,$AC$58,E425=$AB$59,$AC$59,E425=$AB$60,$AC$60,E425=$AB$61,$AC$61,E425=$AB$62,$AC$62,E425=$AB$63,$AC$63,E425=$AB$64,$AC$64,E425=$AB$65,$AC$65,E425=$AB$66,$AC$66,TRUE,"0")</f>
        <v>#NAME?</v>
      </c>
      <c r="C425" s="161" t="str" cm="1">
        <f t="array" ref="C425">_xlfn.IFS(E425=$AB$42,$AF$42,E425=$AB$43,$AF$43,E425=$AB$44,$AF$44,E425=$AB$45,$AF$45,E425=$AB$46,$AF$46,E425=$AB$47,$AF$47,E425=$AB$48,$AF$48,E425=$AB$49,$AF$49,E425=$AB$50,$AF$50,E425=$AB$51,$AF$51,E425=$AB$52,$AF$52,E425=$AB$53,$AF$53,E425=$AB$54,$AF$54,E425=$AB$55,$AF$55,E425=$AB$56,$AF$56,E425=$AB$57,$AF$57,E425=$AB$58,$AF$58,E425=$AB$59,$AF$59,E425=$AB$60,$AF$60,E425=$AB$61,$AF$61,E425=$AB$62,$AF$62,E425=$AB$63,$AF$63,E425=$AB$64,$AF$64,E425=$AB$65,$AF$65,E425=$AB$66,$AF$66,TRUE,"0")</f>
        <v>15mins if  0-0, BACK over 1.5 goals X after goal OR LET RUN</v>
      </c>
      <c r="D425" s="270" t="str" cm="1">
        <f t="array" ref="D425">_xlfn.IFS(E425=$AB$42,$AD$42,E425=$AB$43,$AD$43,E425=$AB$44,$AD$44,E425=$AB$45,$AD$45,E425=$AB$46,$AD$46,E425=$AB$47,$AD$47,E425=$AB$48,$AD$48,E425=$AB$49,$AD$49,E425=$AB$50,$AD$50,E425=$AB$51,$AD$51,E425=$AB$52,$AD$52,E425=$AB$53,$AD$53,E425=$AB$54,$AD$54,E425=$AB$55,$AD$55,E425=$AB$56,$AD$56,E425=$AB$57,$AD$57,E425=$AB$58,$AD$58,E425=$AB$59,$AD$59,E425=$AB$60,$AD$60,E425=$AB$61,$AD$61,E425=$AB$62,$AD$62,E425=$AB$63,$AD$63,E425=$AB$64,$AD$64,E425=$AB$65,$AD$65,E425=$AB$66,$AD$66,TRUE,"0")</f>
        <v>IP</v>
      </c>
      <c r="E425" s="163" t="s">
        <v>473</v>
      </c>
      <c r="F425" s="2" t="s">
        <v>6</v>
      </c>
      <c r="G425" s="2" t="s">
        <v>11</v>
      </c>
      <c r="H425" s="3">
        <v>45353.625</v>
      </c>
      <c r="I425" s="2" t="s">
        <v>301</v>
      </c>
      <c r="J425" s="2" t="s">
        <v>232</v>
      </c>
      <c r="K425" s="2">
        <v>65</v>
      </c>
      <c r="L425" s="2">
        <v>85</v>
      </c>
      <c r="M425" s="2">
        <v>20</v>
      </c>
      <c r="N425" s="2">
        <v>2.7</v>
      </c>
      <c r="O425" s="2"/>
      <c r="P425" s="2"/>
      <c r="Q425" s="2" t="s">
        <v>96</v>
      </c>
      <c r="R425" s="10" t="s">
        <v>221</v>
      </c>
      <c r="S425" s="14" t="s">
        <v>221</v>
      </c>
      <c r="T425" s="188">
        <f t="shared" si="47"/>
        <v>536.89900054226416</v>
      </c>
      <c r="U425" s="8">
        <f t="shared" si="44"/>
        <v>-536.89900054226416</v>
      </c>
      <c r="V425" s="234">
        <f t="shared" si="52"/>
        <v>10201.08101030302</v>
      </c>
      <c r="W425" s="15">
        <v>25</v>
      </c>
      <c r="X425" s="8">
        <f t="shared" si="48"/>
        <v>-25</v>
      </c>
      <c r="Y425" s="233">
        <f t="shared" si="49"/>
        <v>2024.5</v>
      </c>
    </row>
    <row r="426" spans="1:25">
      <c r="A426" s="156" t="e" cm="1">
        <f t="array" aca="1" ref="A426" ca="1">_xlfn.IFS(E426=$AB$42,$AC$42,E426=$AB$43,$AC$43,E426=$AB$44,$AC$44,E426=$AB$45,$AC$45,E426=$AB$46,$AC$46,E426=$AB$47,$AC$47,E426=$AB$48,$AC$48,E426=$AB$49,$AC$49,E426=$AB$50,$AC$50,E426=$AB$51,$AC$51,E426=$AB$52,$AC$52,E426=$AB$53,$AC$53,E426=$AB$54,$AC$54,E426=$AB$55,$AC$55,E426=$AB$56,$AC$56,E426=$AB$57,$AC$57,E426=$AB$58,$AC$58,E426=$AB$59,$AC$59,E426=$AB$60,$AC$60,E426=$AB$61,$AC$61,E426=$AB$62,$AC$62,E426=$AB$63,$AC$63,E426=$AB$64,$AC$64,E426=$AB$65,$AC$65,E426=$AB$66,$AC$66,TRUE,"0")</f>
        <v>#NAME?</v>
      </c>
      <c r="C426" s="161" t="str" cm="1">
        <f t="array" ref="C426">_xlfn.IFS(E426=$AB$42,$AF$42,E426=$AB$43,$AF$43,E426=$AB$44,$AF$44,E426=$AB$45,$AF$45,E426=$AB$46,$AF$46,E426=$AB$47,$AF$47,E426=$AB$48,$AF$48,E426=$AB$49,$AF$49,E426=$AB$50,$AF$50,E426=$AB$51,$AF$51,E426=$AB$52,$AF$52,E426=$AB$53,$AF$53,E426=$AB$54,$AF$54,E426=$AB$55,$AF$55,E426=$AB$56,$AF$56,E426=$AB$57,$AF$57,E426=$AB$58,$AF$58,E426=$AB$59,$AF$59,E426=$AB$60,$AF$60,E426=$AB$61,$AF$61,E426=$AB$62,$AF$62,E426=$AB$63,$AF$63,E426=$AB$64,$AF$64,E426=$AB$65,$AF$65,E426=$AB$66,$AF$66,TRUE,"0")</f>
        <v>40 mins Back ANother Goal</v>
      </c>
      <c r="D426" s="270" t="str" cm="1">
        <f t="array" ref="D426">_xlfn.IFS(E426=$AB$42,$AD$42,E426=$AB$43,$AD$43,E426=$AB$44,$AD$44,E426=$AB$45,$AD$45,E426=$AB$46,$AD$46,E426=$AB$47,$AD$47,E426=$AB$48,$AD$48,E426=$AB$49,$AD$49,E426=$AB$50,$AD$50,E426=$AB$51,$AD$51,E426=$AB$52,$AD$52,E426=$AB$53,$AD$53,E426=$AB$54,$AD$54,E426=$AB$55,$AD$55,E426=$AB$56,$AD$56,E426=$AB$57,$AD$57,E426=$AB$58,$AD$58,E426=$AB$59,$AD$59,E426=$AB$60,$AD$60,E426=$AB$61,$AD$61,E426=$AB$62,$AD$62,E426=$AB$63,$AD$63,E426=$AB$64,$AD$64,E426=$AB$65,$AD$65,E426=$AB$66,$AD$66,TRUE,"0")</f>
        <v xml:space="preserve">  BANG</v>
      </c>
      <c r="E426" s="163" t="s">
        <v>10</v>
      </c>
      <c r="F426" s="2" t="s">
        <v>6</v>
      </c>
      <c r="G426" s="2" t="s">
        <v>7</v>
      </c>
      <c r="H426" s="3">
        <v>45353.625</v>
      </c>
      <c r="I426" s="2" t="s">
        <v>27</v>
      </c>
      <c r="J426" s="2" t="s">
        <v>18</v>
      </c>
      <c r="K426" s="2">
        <v>2.1</v>
      </c>
      <c r="L426" s="2">
        <v>90</v>
      </c>
      <c r="M426" s="2">
        <v>65</v>
      </c>
      <c r="N426" s="2">
        <v>35</v>
      </c>
      <c r="O426" s="2">
        <v>62</v>
      </c>
      <c r="P426" s="2">
        <v>20</v>
      </c>
      <c r="Q426" s="2" t="s">
        <v>95</v>
      </c>
      <c r="R426" s="10" t="s">
        <v>214</v>
      </c>
      <c r="S426" s="14" t="s">
        <v>216</v>
      </c>
      <c r="T426" s="188">
        <f t="shared" si="47"/>
        <v>510.054050515151</v>
      </c>
      <c r="U426" s="8">
        <f t="shared" si="44"/>
        <v>91.809729092727181</v>
      </c>
      <c r="V426" s="234">
        <f t="shared" si="52"/>
        <v>10292.890739395747</v>
      </c>
      <c r="W426" s="15">
        <v>25</v>
      </c>
      <c r="X426" s="8">
        <f t="shared" si="48"/>
        <v>4.5</v>
      </c>
      <c r="Y426" s="233">
        <f t="shared" si="49"/>
        <v>2029</v>
      </c>
    </row>
    <row r="427" spans="1:25">
      <c r="A427" s="156" t="e" cm="1">
        <f t="array" aca="1" ref="A427" ca="1">_xlfn.IFS(E427=$AB$42,$AC$42,E427=$AB$43,$AC$43,E427=$AB$44,$AC$44,E427=$AB$45,$AC$45,E427=$AB$46,$AC$46,E427=$AB$47,$AC$47,E427=$AB$48,$AC$48,E427=$AB$49,$AC$49,E427=$AB$50,$AC$50,E427=$AB$51,$AC$51,E427=$AB$52,$AC$52,E427=$AB$53,$AC$53,E427=$AB$54,$AC$54,E427=$AB$55,$AC$55,E427=$AB$56,$AC$56,E427=$AB$57,$AC$57,E427=$AB$58,$AC$58,E427=$AB$59,$AC$59,E427=$AB$60,$AC$60,E427=$AB$61,$AC$61,E427=$AB$62,$AC$62,E427=$AB$63,$AC$63,E427=$AB$64,$AC$64,E427=$AB$65,$AC$65,E427=$AB$66,$AC$66,TRUE,"0")</f>
        <v>#NAME?</v>
      </c>
      <c r="C427" s="161" t="str" cm="1">
        <f t="array" ref="C427">_xlfn.IFS(E427=$AB$42,$AF$42,E427=$AB$43,$AF$43,E427=$AB$44,$AF$44,E427=$AB$45,$AF$45,E427=$AB$46,$AF$46,E427=$AB$47,$AF$47,E427=$AB$48,$AF$48,E427=$AB$49,$AF$49,E427=$AB$50,$AF$50,E427=$AB$51,$AF$51,E427=$AB$52,$AF$52,E427=$AB$53,$AF$53,E427=$AB$54,$AF$54,E427=$AB$55,$AF$55,E427=$AB$56,$AF$56,E427=$AB$57,$AF$57,E427=$AB$58,$AF$58,E427=$AB$59,$AF$59,E427=$AB$60,$AF$60,E427=$AB$61,$AF$61,E427=$AB$62,$AF$62,E427=$AB$63,$AF$63,E427=$AB$64,$AF$64,E427=$AB$65,$AF$65,E427=$AB$66,$AF$66,TRUE,"0")</f>
        <v>40 mins Back ANother Goal</v>
      </c>
      <c r="D427" s="270" t="str" cm="1">
        <f t="array" ref="D427">_xlfn.IFS(E427=$AB$42,$AD$42,E427=$AB$43,$AD$43,E427=$AB$44,$AD$44,E427=$AB$45,$AD$45,E427=$AB$46,$AD$46,E427=$AB$47,$AD$47,E427=$AB$48,$AD$48,E427=$AB$49,$AD$49,E427=$AB$50,$AD$50,E427=$AB$51,$AD$51,E427=$AB$52,$AD$52,E427=$AB$53,$AD$53,E427=$AB$54,$AD$54,E427=$AB$55,$AD$55,E427=$AB$56,$AD$56,E427=$AB$57,$AD$57,E427=$AB$58,$AD$58,E427=$AB$59,$AD$59,E427=$AB$60,$AD$60,E427=$AB$61,$AD$61,E427=$AB$62,$AD$62,E427=$AB$63,$AD$63,E427=$AB$64,$AD$64,E427=$AB$65,$AD$65,E427=$AB$66,$AD$66,TRUE,"0")</f>
        <v xml:space="preserve">  BANG</v>
      </c>
      <c r="E427" s="163" t="s">
        <v>10</v>
      </c>
      <c r="F427" s="2" t="s">
        <v>13</v>
      </c>
      <c r="G427" s="2" t="s">
        <v>11</v>
      </c>
      <c r="H427" s="3">
        <v>45353.625</v>
      </c>
      <c r="I427" s="2" t="s">
        <v>400</v>
      </c>
      <c r="J427" s="2" t="s">
        <v>138</v>
      </c>
      <c r="K427" s="2">
        <v>1.9</v>
      </c>
      <c r="L427" s="2">
        <v>90</v>
      </c>
      <c r="M427" s="2">
        <v>65</v>
      </c>
      <c r="N427" s="2">
        <v>30</v>
      </c>
      <c r="O427" s="2">
        <v>63</v>
      </c>
      <c r="P427" s="2">
        <v>20</v>
      </c>
      <c r="Q427" s="2" t="s">
        <v>95</v>
      </c>
      <c r="R427" s="10" t="s">
        <v>193</v>
      </c>
      <c r="S427" s="14" t="s">
        <v>217</v>
      </c>
      <c r="T427" s="188">
        <f t="shared" si="47"/>
        <v>514.6445369697874</v>
      </c>
      <c r="U427" s="8">
        <f t="shared" si="44"/>
        <v>92.636016654561729</v>
      </c>
      <c r="V427" s="234">
        <f t="shared" si="52"/>
        <v>10385.526756050309</v>
      </c>
      <c r="W427" s="15">
        <v>25</v>
      </c>
      <c r="X427" s="8">
        <f t="shared" si="48"/>
        <v>4.5</v>
      </c>
      <c r="Y427" s="233">
        <f t="shared" si="49"/>
        <v>2033.5</v>
      </c>
    </row>
    <row r="428" spans="1:25">
      <c r="A428" s="156" t="e" cm="1">
        <f t="array" aca="1" ref="A428" ca="1">_xlfn.IFS(E428=$AB$42,$AC$42,E428=$AB$43,$AC$43,E428=$AB$44,$AC$44,E428=$AB$45,$AC$45,E428=$AB$46,$AC$46,E428=$AB$47,$AC$47,E428=$AB$48,$AC$48,E428=$AB$49,$AC$49,E428=$AB$50,$AC$50,E428=$AB$51,$AC$51,E428=$AB$52,$AC$52,E428=$AB$53,$AC$53,E428=$AB$54,$AC$54,E428=$AB$55,$AC$55,E428=$AB$56,$AC$56,E428=$AB$57,$AC$57,E428=$AB$58,$AC$58,E428=$AB$59,$AC$59,E428=$AB$60,$AC$60,E428=$AB$61,$AC$61,E428=$AB$62,$AC$62,E428=$AB$63,$AC$63,E428=$AB$64,$AC$64,E428=$AB$65,$AC$65,E428=$AB$66,$AC$66,TRUE,"0")</f>
        <v>#NAME?</v>
      </c>
      <c r="C428" s="161" t="str" cm="1">
        <f t="array" ref="C428">_xlfn.IFS(E428=$AB$42,$AF$42,E428=$AB$43,$AF$43,E428=$AB$44,$AF$44,E428=$AB$45,$AF$45,E428=$AB$46,$AF$46,E428=$AB$47,$AF$47,E428=$AB$48,$AF$48,E428=$AB$49,$AF$49,E428=$AB$50,$AF$50,E428=$AB$51,$AF$51,E428=$AB$52,$AF$52,E428=$AB$53,$AF$53,E428=$AB$54,$AF$54,E428=$AB$55,$AF$55,E428=$AB$56,$AF$56,E428=$AB$57,$AF$57,E428=$AB$58,$AF$58,E428=$AB$59,$AF$59,E428=$AB$60,$AF$60,E428=$AB$61,$AF$61,E428=$AB$62,$AF$62,E428=$AB$63,$AF$63,E428=$AB$64,$AF$64,E428=$AB$65,$AF$65,E428=$AB$66,$AF$66,TRUE,"0")</f>
        <v>40 mins Back ANother Goal</v>
      </c>
      <c r="D428" s="270" t="str" cm="1">
        <f t="array" ref="D428">_xlfn.IFS(E428=$AB$42,$AD$42,E428=$AB$43,$AD$43,E428=$AB$44,$AD$44,E428=$AB$45,$AD$45,E428=$AB$46,$AD$46,E428=$AB$47,$AD$47,E428=$AB$48,$AD$48,E428=$AB$49,$AD$49,E428=$AB$50,$AD$50,E428=$AB$51,$AD$51,E428=$AB$52,$AD$52,E428=$AB$53,$AD$53,E428=$AB$54,$AD$54,E428=$AB$55,$AD$55,E428=$AB$56,$AD$56,E428=$AB$57,$AD$57,E428=$AB$58,$AD$58,E428=$AB$59,$AD$59,E428=$AB$60,$AD$60,E428=$AB$61,$AD$61,E428=$AB$62,$AD$62,E428=$AB$63,$AD$63,E428=$AB$64,$AD$64,E428=$AB$65,$AD$65,E428=$AB$66,$AD$66,TRUE,"0")</f>
        <v xml:space="preserve">  BANG</v>
      </c>
      <c r="E428" s="163" t="s">
        <v>10</v>
      </c>
      <c r="F428" s="2" t="s">
        <v>6</v>
      </c>
      <c r="G428" s="2" t="s">
        <v>62</v>
      </c>
      <c r="H428" s="3">
        <v>45353.625</v>
      </c>
      <c r="I428" s="2" t="s">
        <v>71</v>
      </c>
      <c r="J428" s="2" t="s">
        <v>74</v>
      </c>
      <c r="K428" s="2">
        <v>1.8</v>
      </c>
      <c r="L428" s="2">
        <v>90</v>
      </c>
      <c r="M428" s="2">
        <v>65</v>
      </c>
      <c r="N428" s="2">
        <v>20</v>
      </c>
      <c r="O428" s="2">
        <v>64</v>
      </c>
      <c r="P428" s="2">
        <v>20</v>
      </c>
      <c r="Q428" s="2" t="s">
        <v>95</v>
      </c>
      <c r="R428" s="10" t="s">
        <v>221</v>
      </c>
      <c r="S428" s="14" t="s">
        <v>211</v>
      </c>
      <c r="T428" s="188">
        <f t="shared" si="47"/>
        <v>519.27633780251551</v>
      </c>
      <c r="U428" s="8">
        <f t="shared" si="44"/>
        <v>93.469740804452783</v>
      </c>
      <c r="V428" s="234">
        <f t="shared" si="52"/>
        <v>10478.996496854761</v>
      </c>
      <c r="W428" s="15">
        <v>25</v>
      </c>
      <c r="X428" s="8">
        <f t="shared" si="48"/>
        <v>4.5</v>
      </c>
      <c r="Y428" s="233">
        <f t="shared" si="49"/>
        <v>2038</v>
      </c>
    </row>
    <row r="429" spans="1:25">
      <c r="A429" s="156" t="e" cm="1">
        <f t="array" aca="1" ref="A429" ca="1">_xlfn.IFS(E429=$AB$42,$AC$42,E429=$AB$43,$AC$43,E429=$AB$44,$AC$44,E429=$AB$45,$AC$45,E429=$AB$46,$AC$46,E429=$AB$47,$AC$47,E429=$AB$48,$AC$48,E429=$AB$49,$AC$49,E429=$AB$50,$AC$50,E429=$AB$51,$AC$51,E429=$AB$52,$AC$52,E429=$AB$53,$AC$53,E429=$AB$54,$AC$54,E429=$AB$55,$AC$55,E429=$AB$56,$AC$56,E429=$AB$57,$AC$57,E429=$AB$58,$AC$58,E429=$AB$59,$AC$59,E429=$AB$60,$AC$60,E429=$AB$61,$AC$61,E429=$AB$62,$AC$62,E429=$AB$63,$AC$63,E429=$AB$64,$AC$64,E429=$AB$65,$AC$65,E429=$AB$66,$AC$66,TRUE,"0")</f>
        <v>#NAME?</v>
      </c>
      <c r="C429" s="161" t="str" cm="1">
        <f t="array" ref="C429">_xlfn.IFS(E429=$AB$42,$AF$42,E429=$AB$43,$AF$43,E429=$AB$44,$AF$44,E429=$AB$45,$AF$45,E429=$AB$46,$AF$46,E429=$AB$47,$AF$47,E429=$AB$48,$AF$48,E429=$AB$49,$AF$49,E429=$AB$50,$AF$50,E429=$AB$51,$AF$51,E429=$AB$52,$AF$52,E429=$AB$53,$AF$53,E429=$AB$54,$AF$54,E429=$AB$55,$AF$55,E429=$AB$56,$AF$56,E429=$AB$57,$AF$57,E429=$AB$58,$AF$58,E429=$AB$59,$AF$59,E429=$AB$60,$AF$60,E429=$AB$61,$AF$61,E429=$AB$62,$AF$62,E429=$AB$63,$AF$63,E429=$AB$64,$AF$64,E429=$AB$65,$AF$65,E429=$AB$66,$AF$66,TRUE,"0")</f>
        <v>if 0-0, BACK+ 0.5 GOALS  @ 1.15+odds.  or @ 40 mins</v>
      </c>
      <c r="D429" s="270" t="str" cm="1">
        <f t="array" ref="D429">_xlfn.IFS(E429=$AB$42,$AD$42,E429=$AB$43,$AD$43,E429=$AB$44,$AD$44,E429=$AB$45,$AD$45,E429=$AB$46,$AD$46,E429=$AB$47,$AD$47,E429=$AB$48,$AD$48,E429=$AB$49,$AD$49,E429=$AB$50,$AD$50,E429=$AB$51,$AD$51,E429=$AB$52,$AD$52,E429=$AB$53,$AD$53,E429=$AB$54,$AD$54,E429=$AB$55,$AD$55,E429=$AB$56,$AD$56,E429=$AB$57,$AD$57,E429=$AB$58,$AD$58,E429=$AB$59,$AD$59,E429=$AB$60,$AD$60,E429=$AB$61,$AD$61,E429=$AB$62,$AD$62,E429=$AB$63,$AD$63,E429=$AB$64,$AD$64,E429=$AB$65,$AD$65,E429=$AB$66,$AD$66,TRUE,"0")</f>
        <v>IP</v>
      </c>
      <c r="E429" s="163" t="s">
        <v>270</v>
      </c>
      <c r="F429" s="2" t="s">
        <v>6</v>
      </c>
      <c r="G429" s="2" t="s">
        <v>11</v>
      </c>
      <c r="H429" s="3">
        <v>45353.625</v>
      </c>
      <c r="I429" s="2" t="s">
        <v>286</v>
      </c>
      <c r="J429" s="2" t="s">
        <v>162</v>
      </c>
      <c r="K429" s="2">
        <v>70</v>
      </c>
      <c r="L429" s="2">
        <v>0</v>
      </c>
      <c r="M429" s="2">
        <v>20</v>
      </c>
      <c r="N429" s="2">
        <v>39</v>
      </c>
      <c r="O429" s="2">
        <v>1.91</v>
      </c>
      <c r="P429" s="2"/>
      <c r="Q429" s="2" t="s">
        <v>95</v>
      </c>
      <c r="R429" s="10" t="s">
        <v>193</v>
      </c>
      <c r="S429" s="14" t="s">
        <v>216</v>
      </c>
      <c r="T429" s="188">
        <f t="shared" si="47"/>
        <v>523.94982484273805</v>
      </c>
      <c r="U429" s="8">
        <f t="shared" si="44"/>
        <v>94.310968471692846</v>
      </c>
      <c r="V429" s="234">
        <f t="shared" si="52"/>
        <v>10573.307465326454</v>
      </c>
      <c r="W429" s="15">
        <v>25</v>
      </c>
      <c r="X429" s="8">
        <f t="shared" si="48"/>
        <v>4.5</v>
      </c>
      <c r="Y429" s="233">
        <f t="shared" si="49"/>
        <v>2042.5</v>
      </c>
    </row>
    <row r="430" spans="1:25">
      <c r="A430" s="156" t="e" cm="1">
        <f t="array" aca="1" ref="A430" ca="1">_xlfn.IFS(E430=$AB$42,$AC$42,E430=$AB$43,$AC$43,E430=$AB$44,$AC$44,E430=$AB$45,$AC$45,E430=$AB$46,$AC$46,E430=$AB$47,$AC$47,E430=$AB$48,$AC$48,E430=$AB$49,$AC$49,E430=$AB$50,$AC$50,E430=$AB$51,$AC$51,E430=$AB$52,$AC$52,E430=$AB$53,$AC$53,E430=$AB$54,$AC$54,E430=$AB$55,$AC$55,E430=$AB$56,$AC$56,E430=$AB$57,$AC$57,E430=$AB$58,$AC$58,E430=$AB$59,$AC$59,E430=$AB$60,$AC$60,E430=$AB$61,$AC$61,E430=$AB$62,$AC$62,E430=$AB$63,$AC$63,E430=$AB$64,$AC$64,E430=$AB$65,$AC$65,E430=$AB$66,$AC$66,TRUE,"0")</f>
        <v>#NAME?</v>
      </c>
      <c r="C430" s="161" t="str" cm="1">
        <f t="array" ref="C430">_xlfn.IFS(E430=$AB$42,$AF$42,E430=$AB$43,$AF$43,E430=$AB$44,$AF$44,E430=$AB$45,$AF$45,E430=$AB$46,$AF$46,E430=$AB$47,$AF$47,E430=$AB$48,$AF$48,E430=$AB$49,$AF$49,E430=$AB$50,$AF$50,E430=$AB$51,$AF$51,E430=$AB$52,$AF$52,E430=$AB$53,$AF$53,E430=$AB$54,$AF$54,E430=$AB$55,$AF$55,E430=$AB$56,$AF$56,E430=$AB$57,$AF$57,E430=$AB$58,$AF$58,E430=$AB$59,$AF$59,E430=$AB$60,$AF$60,E430=$AB$61,$AF$61,E430=$AB$62,$AF$62,E430=$AB$63,$AF$63,E430=$AB$64,$AF$64,E430=$AB$65,$AF$65,E430=$AB$66,$AF$66,TRUE,"0")</f>
        <v>if 0-0, BACK+ 0.5 GOALS  @ 1.15+odds.  or @ 40 mins</v>
      </c>
      <c r="D430" s="270" t="str" cm="1">
        <f t="array" ref="D430">_xlfn.IFS(E430=$AB$42,$AD$42,E430=$AB$43,$AD$43,E430=$AB$44,$AD$44,E430=$AB$45,$AD$45,E430=$AB$46,$AD$46,E430=$AB$47,$AD$47,E430=$AB$48,$AD$48,E430=$AB$49,$AD$49,E430=$AB$50,$AD$50,E430=$AB$51,$AD$51,E430=$AB$52,$AD$52,E430=$AB$53,$AD$53,E430=$AB$54,$AD$54,E430=$AB$55,$AD$55,E430=$AB$56,$AD$56,E430=$AB$57,$AD$57,E430=$AB$58,$AD$58,E430=$AB$59,$AD$59,E430=$AB$60,$AD$60,E430=$AB$61,$AD$61,E430=$AB$62,$AD$62,E430=$AB$63,$AD$63,E430=$AB$64,$AD$64,E430=$AB$65,$AD$65,E430=$AB$66,$AD$66,TRUE,"0")</f>
        <v>IP</v>
      </c>
      <c r="E430" s="163" t="s">
        <v>270</v>
      </c>
      <c r="F430" s="2" t="s">
        <v>6</v>
      </c>
      <c r="G430" s="2" t="s">
        <v>62</v>
      </c>
      <c r="H430" s="3">
        <v>45353.625</v>
      </c>
      <c r="I430" s="2" t="s">
        <v>264</v>
      </c>
      <c r="J430" s="2" t="s">
        <v>285</v>
      </c>
      <c r="K430" s="2">
        <v>67</v>
      </c>
      <c r="L430" s="2">
        <v>0</v>
      </c>
      <c r="M430" s="2">
        <v>20</v>
      </c>
      <c r="N430" s="2">
        <v>38</v>
      </c>
      <c r="O430" s="2">
        <v>2.91</v>
      </c>
      <c r="P430" s="2"/>
      <c r="Q430" s="2" t="s">
        <v>95</v>
      </c>
      <c r="R430" s="10" t="s">
        <v>221</v>
      </c>
      <c r="S430" s="14" t="s">
        <v>193</v>
      </c>
      <c r="T430" s="188">
        <f t="shared" si="47"/>
        <v>528.66537326632272</v>
      </c>
      <c r="U430" s="8">
        <f t="shared" ref="U430:U493" si="53">IF(Q430="won",T430*0.18,-T430)</f>
        <v>95.159767187938087</v>
      </c>
      <c r="V430" s="234">
        <f t="shared" si="52"/>
        <v>10668.467232514391</v>
      </c>
      <c r="W430" s="15">
        <v>25</v>
      </c>
      <c r="X430" s="8">
        <f t="shared" si="48"/>
        <v>4.5</v>
      </c>
      <c r="Y430" s="233">
        <f t="shared" si="49"/>
        <v>2047</v>
      </c>
    </row>
    <row r="431" spans="1:25">
      <c r="A431" s="156" t="e" cm="1">
        <f t="array" aca="1" ref="A431" ca="1">_xlfn.IFS(E431=$AB$42,$AC$42,E431=$AB$43,$AC$43,E431=$AB$44,$AC$44,E431=$AB$45,$AC$45,E431=$AB$46,$AC$46,E431=$AB$47,$AC$47,E431=$AB$48,$AC$48,E431=$AB$49,$AC$49,E431=$AB$50,$AC$50,E431=$AB$51,$AC$51,E431=$AB$52,$AC$52,E431=$AB$53,$AC$53,E431=$AB$54,$AC$54,E431=$AB$55,$AC$55,E431=$AB$56,$AC$56,E431=$AB$57,$AC$57,E431=$AB$58,$AC$58,E431=$AB$59,$AC$59,E431=$AB$60,$AC$60,E431=$AB$61,$AC$61,E431=$AB$62,$AC$62,E431=$AB$63,$AC$63,E431=$AB$64,$AC$64,E431=$AB$65,$AC$65,E431=$AB$66,$AC$66,TRUE,"0")</f>
        <v>#NAME?</v>
      </c>
      <c r="C431" s="161" t="str" cm="1">
        <f t="array" ref="C431">_xlfn.IFS(E431=$AB$42,$AF$42,E431=$AB$43,$AF$43,E431=$AB$44,$AF$44,E431=$AB$45,$AF$45,E431=$AB$46,$AF$46,E431=$AB$47,$AF$47,E431=$AB$48,$AF$48,E431=$AB$49,$AF$49,E431=$AB$50,$AF$50,E431=$AB$51,$AF$51,E431=$AB$52,$AF$52,E431=$AB$53,$AF$53,E431=$AB$54,$AF$54,E431=$AB$55,$AF$55,E431=$AB$56,$AF$56,E431=$AB$57,$AF$57,E431=$AB$58,$AF$58,E431=$AB$59,$AF$59,E431=$AB$60,$AF$60,E431=$AB$61,$AF$61,E431=$AB$62,$AF$62,E431=$AB$63,$AF$63,E431=$AB$64,$AF$64,E431=$AB$65,$AF$65,E431=$AB$66,$AF$66,TRUE,"0")</f>
        <v>B4 Match, lay HT 0-0 or BACK H1 +0.5 GOALS</v>
      </c>
      <c r="D431" s="270" t="str" cm="1">
        <f t="array" ref="D431">_xlfn.IFS(E431=$AB$42,$AD$42,E431=$AB$43,$AD$43,E431=$AB$44,$AD$44,E431=$AB$45,$AD$45,E431=$AB$46,$AD$46,E431=$AB$47,$AD$47,E431=$AB$48,$AD$48,E431=$AB$49,$AD$49,E431=$AB$50,$AD$50,E431=$AB$51,$AD$51,E431=$AB$52,$AD$52,E431=$AB$53,$AD$53,E431=$AB$54,$AD$54,E431=$AB$55,$AD$55,E431=$AB$56,$AD$56,E431=$AB$57,$AD$57,E431=$AB$58,$AD$58,E431=$AB$59,$AD$59,E431=$AB$60,$AD$60,E431=$AB$61,$AD$61,E431=$AB$62,$AD$62,E431=$AB$63,$AD$63,E431=$AB$64,$AD$64,E431=$AB$65,$AD$65,E431=$AB$66,$AD$66,TRUE,"0")</f>
        <v xml:space="preserve">BFM </v>
      </c>
      <c r="E431" s="163" t="s">
        <v>448</v>
      </c>
      <c r="F431" s="2" t="s">
        <v>6</v>
      </c>
      <c r="G431" s="2" t="s">
        <v>11</v>
      </c>
      <c r="H431" s="3">
        <v>45353.625</v>
      </c>
      <c r="I431" s="2" t="s">
        <v>12</v>
      </c>
      <c r="J431" s="2" t="s">
        <v>199</v>
      </c>
      <c r="K431" s="2">
        <v>20</v>
      </c>
      <c r="L431" s="2">
        <v>10</v>
      </c>
      <c r="M431" s="2">
        <v>32</v>
      </c>
      <c r="N431" s="2">
        <v>5</v>
      </c>
      <c r="O431" s="2">
        <v>5</v>
      </c>
      <c r="P431" s="2">
        <v>1</v>
      </c>
      <c r="Q431" s="2" t="s">
        <v>95</v>
      </c>
      <c r="R431" s="10" t="s">
        <v>216</v>
      </c>
      <c r="S431" s="14" t="s">
        <v>222</v>
      </c>
      <c r="T431" s="188">
        <f t="shared" si="47"/>
        <v>533.42336162571962</v>
      </c>
      <c r="U431" s="8">
        <f t="shared" si="53"/>
        <v>96.016205092629534</v>
      </c>
      <c r="V431" s="234">
        <f t="shared" ref="V431:V456" si="54">SUM(V430,U431)</f>
        <v>10764.483437607021</v>
      </c>
      <c r="W431" s="15">
        <v>25</v>
      </c>
      <c r="X431" s="8">
        <f t="shared" si="48"/>
        <v>4.5</v>
      </c>
      <c r="Y431" s="233">
        <f t="shared" si="49"/>
        <v>2051.5</v>
      </c>
    </row>
    <row r="432" spans="1:25">
      <c r="A432" s="156" t="e" cm="1">
        <f t="array" aca="1" ref="A432" ca="1">_xlfn.IFS(E432=$AB$42,$AC$42,E432=$AB$43,$AC$43,E432=$AB$44,$AC$44,E432=$AB$45,$AC$45,E432=$AB$46,$AC$46,E432=$AB$47,$AC$47,E432=$AB$48,$AC$48,E432=$AB$49,$AC$49,E432=$AB$50,$AC$50,E432=$AB$51,$AC$51,E432=$AB$52,$AC$52,E432=$AB$53,$AC$53,E432=$AB$54,$AC$54,E432=$AB$55,$AC$55,E432=$AB$56,$AC$56,E432=$AB$57,$AC$57,E432=$AB$58,$AC$58,E432=$AB$59,$AC$59,E432=$AB$60,$AC$60,E432=$AB$61,$AC$61,E432=$AB$62,$AC$62,E432=$AB$63,$AC$63,E432=$AB$64,$AC$64,E432=$AB$65,$AC$65,E432=$AB$66,$AC$66,TRUE,"0")</f>
        <v>#NAME?</v>
      </c>
      <c r="C432" s="161" t="str" cm="1">
        <f t="array" ref="C432">_xlfn.IFS(E432=$AB$42,$AF$42,E432=$AB$43,$AF$43,E432=$AB$44,$AF$44,E432=$AB$45,$AF$45,E432=$AB$46,$AF$46,E432=$AB$47,$AF$47,E432=$AB$48,$AF$48,E432=$AB$49,$AF$49,E432=$AB$50,$AF$50,E432=$AB$51,$AF$51,E432=$AB$52,$AF$52,E432=$AB$53,$AF$53,E432=$AB$54,$AF$54,E432=$AB$55,$AF$55,E432=$AB$56,$AF$56,E432=$AB$57,$AF$57,E432=$AB$58,$AF$58,E432=$AB$59,$AF$59,E432=$AB$60,$AF$60,E432=$AB$61,$AF$61,E432=$AB$62,$AF$62,E432=$AB$63,$AF$63,E432=$AB$64,$AF$64,E432=$AB$65,$AF$65,E432=$AB$66,$AF$66,TRUE,"0")</f>
        <v>if 0-0, BACK+ 0.5 GOALS  @ 1.15+odds.  or @ 40 mins</v>
      </c>
      <c r="D432" s="270" t="str" cm="1">
        <f t="array" ref="D432">_xlfn.IFS(E432=$AB$42,$AD$42,E432=$AB$43,$AD$43,E432=$AB$44,$AD$44,E432=$AB$45,$AD$45,E432=$AB$46,$AD$46,E432=$AB$47,$AD$47,E432=$AB$48,$AD$48,E432=$AB$49,$AD$49,E432=$AB$50,$AD$50,E432=$AB$51,$AD$51,E432=$AB$52,$AD$52,E432=$AB$53,$AD$53,E432=$AB$54,$AD$54,E432=$AB$55,$AD$55,E432=$AB$56,$AD$56,E432=$AB$57,$AD$57,E432=$AB$58,$AD$58,E432=$AB$59,$AD$59,E432=$AB$60,$AD$60,E432=$AB$61,$AD$61,E432=$AB$62,$AD$62,E432=$AB$63,$AD$63,E432=$AB$64,$AD$64,E432=$AB$65,$AD$65,E432=$AB$66,$AD$66,TRUE,"0")</f>
        <v>IP</v>
      </c>
      <c r="E432" s="163" t="s">
        <v>270</v>
      </c>
      <c r="F432" s="2" t="s">
        <v>6</v>
      </c>
      <c r="G432" s="2" t="s">
        <v>14</v>
      </c>
      <c r="H432" s="3">
        <v>45353.625</v>
      </c>
      <c r="I432" s="2" t="s">
        <v>200</v>
      </c>
      <c r="J432" s="2" t="s">
        <v>387</v>
      </c>
      <c r="K432" s="2">
        <v>59</v>
      </c>
      <c r="L432" s="2">
        <v>0</v>
      </c>
      <c r="M432" s="2">
        <v>20</v>
      </c>
      <c r="N432" s="2">
 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v>
      </c>
      <c r="T432" s="188">
        <f t="shared" si="47"/>
        <v>538.22417188035104</v>
      </c>
      <c r="U432" s="8">
        <f t="shared" si="53"/>
        <v>-538.22417188035104</v>
      </c>
      <c r="V432" s="234">
        <f t="shared" si="54"/>
        <v>10226.25926572667</v>
      </c>
      <c r="W432" s="15">
        <v>25</v>
      </c>
      <c r="X432" s="8">
        <f t="shared" si="48"/>
        <v>-25</v>
      </c>
      <c r="Y432" s="233">
        <f t="shared" si="49"/>
        <v>2026.5</v>
      </c>
    </row>
    <row r="433" spans="1:25">
      <c r="A433" s="156" t="e" cm="1">
        <f t="array" aca="1" ref="A433" ca="1">_xlfn.IFS(E433=$AB$42,$AC$42,E433=$AB$43,$AC$43,E433=$AB$44,$AC$44,E433=$AB$45,$AC$45,E433=$AB$46,$AC$46,E433=$AB$47,$AC$47,E433=$AB$48,$AC$48,E433=$AB$49,$AC$49,E433=$AB$50,$AC$50,E433=$AB$51,$AC$51,E433=$AB$52,$AC$52,E433=$AB$53,$AC$53,E433=$AB$54,$AC$54,E433=$AB$55,$AC$55,E433=$AB$56,$AC$56,E433=$AB$57,$AC$57,E433=$AB$58,$AC$58,E433=$AB$59,$AC$59,E433=$AB$60,$AC$60,E433=$AB$61,$AC$61,E433=$AB$62,$AC$62,E433=$AB$63,$AC$63,E433=$AB$64,$AC$64,E433=$AB$65,$AC$65,E433=$AB$66,$AC$66,TRUE,"0")</f>
        <v>#NAME?</v>
      </c>
      <c r="C433" s="161" t="str" cm="1">
        <f t="array" ref="C433">_xlfn.IFS(E433=$AB$42,$AF$42,E433=$AB$43,$AF$43,E433=$AB$44,$AF$44,E433=$AB$45,$AF$45,E433=$AB$46,$AF$46,E433=$AB$47,$AF$47,E433=$AB$48,$AF$48,E433=$AB$49,$AF$49,E433=$AB$50,$AF$50,E433=$AB$51,$AF$51,E433=$AB$52,$AF$52,E433=$AB$53,$AF$53,E433=$AB$54,$AF$54,E433=$AB$55,$AF$55,E433=$AB$56,$AF$56,E433=$AB$57,$AF$57,E433=$AB$58,$AF$58,E433=$AB$59,$AF$59,E433=$AB$60,$AF$60,E433=$AB$61,$AF$61,E433=$AB$62,$AF$62,E433=$AB$63,$AF$63,E433=$AB$64,$AF$64,E433=$AB$65,$AF$65,E433=$AB$66,$AF$66,TRUE,"0")</f>
        <v>if 0-0, BACK+ 0.5 GOALS  @ 1.15+odds.  or @ 40 mins</v>
      </c>
      <c r="D433" s="270" t="str" cm="1">
        <f t="array" ref="D433">_xlfn.IFS(E433=$AB$42,$AD$42,E433=$AB$43,$AD$43,E433=$AB$44,$AD$44,E433=$AB$45,$AD$45,E433=$AB$46,$AD$46,E433=$AB$47,$AD$47,E433=$AB$48,$AD$48,E433=$AB$49,$AD$49,E433=$AB$50,$AD$50,E433=$AB$51,$AD$51,E433=$AB$52,$AD$52,E433=$AB$53,$AD$53,E433=$AB$54,$AD$54,E433=$AB$55,$AD$55,E433=$AB$56,$AD$56,E433=$AB$57,$AD$57,E433=$AB$58,$AD$58,E433=$AB$59,$AD$59,E433=$AB$60,$AD$60,E433=$AB$61,$AD$61,E433=$AB$62,$AD$62,E433=$AB$63,$AD$63,E433=$AB$64,$AD$64,E433=$AB$65,$AD$65,E433=$AB$66,$AD$66,TRUE,"0")</f>
        <v>IP</v>
      </c>
      <c r="E433" s="163" t="s">
        <v>270</v>
      </c>
      <c r="F433" s="2" t="s">
        <v>296</v>
      </c>
      <c r="G433" s="2" t="s">
        <v>78</v>
      </c>
      <c r="H433" s="3">
        <v>45353.708333333336</v>
      </c>
      <c r="I433" s="2" t="s">
        <v>298</v>
      </c>
      <c r="J433" s="2" t="s">
        <v>367</v>
      </c>
      <c r="K433" s="2">
        <v>61</v>
      </c>
      <c r="L433" s="2">
        <v>0</v>
      </c>
      <c r="M433" s="2">
        <v>20</v>
      </c>
      <c r="N433" s="2">
        <v>31</v>
      </c>
      <c r="O433" s="2">
        <v>1.6</v>
      </c>
      <c r="P433" s="2"/>
      <c r="Q433" s="2" t="s">
        <v>95</v>
      </c>
      <c r="R433" s="10" t="s">
        <v>214</v>
      </c>
      <c r="S433" s="14" t="s">
        <v>220</v>
      </c>
      <c r="T433" s="188">
        <f t="shared" si="47"/>
        <v>511.31296328633357</v>
      </c>
      <c r="U433" s="8">
        <f t="shared" si="53"/>
        <v>92.03633339154004</v>
      </c>
      <c r="V433" s="234">
        <f t="shared" si="54"/>
        <v>10318.29559911821</v>
      </c>
      <c r="W433" s="15">
        <v>25</v>
      </c>
      <c r="X433" s="8">
        <f t="shared" si="48"/>
        <v>4.5</v>
      </c>
      <c r="Y433" s="233">
        <f t="shared" si="49"/>
        <v>2031</v>
      </c>
    </row>
    <row r="434" spans="1:25">
      <c r="A434" s="156" t="e" cm="1">
        <f t="array" aca="1" ref="A434" ca="1">_xlfn.IFS(E434=$AB$42,$AC$42,E434=$AB$43,$AC$43,E434=$AB$44,$AC$44,E434=$AB$45,$AC$45,E434=$AB$46,$AC$46,E434=$AB$47,$AC$47,E434=$AB$48,$AC$48,E434=$AB$49,$AC$49,E434=$AB$50,$AC$50,E434=$AB$51,$AC$51,E434=$AB$52,$AC$52,E434=$AB$53,$AC$53,E434=$AB$54,$AC$54,E434=$AB$55,$AC$55,E434=$AB$56,$AC$56,E434=$AB$57,$AC$57,E434=$AB$58,$AC$58,E434=$AB$59,$AC$59,E434=$AB$60,$AC$60,E434=$AB$61,$AC$61,E434=$AB$62,$AC$62,E434=$AB$63,$AC$63,E434=$AB$64,$AC$64,E434=$AB$65,$AC$65,E434=$AB$66,$AC$66,TRUE,"0")</f>
        <v>#NAME?</v>
      </c>
      <c r="C434" s="161" t="str" cm="1">
        <f t="array" ref="C434">_xlfn.IFS(E434=$AB$42,$AF$42,E434=$AB$43,$AF$43,E434=$AB$44,$AF$44,E434=$AB$45,$AF$45,E434=$AB$46,$AF$46,E434=$AB$47,$AF$47,E434=$AB$48,$AF$48,E434=$AB$49,$AF$49,E434=$AB$50,$AF$50,E434=$AB$51,$AF$51,E434=$AB$52,$AF$52,E434=$AB$53,$AF$53,E434=$AB$54,$AF$54,E434=$AB$55,$AF$55,E434=$AB$56,$AF$56,E434=$AB$57,$AF$57,E434=$AB$58,$AF$58,E434=$AB$59,$AF$59,E434=$AB$60,$AF$60,E434=$AB$61,$AF$61,E434=$AB$62,$AF$62,E434=$AB$63,$AF$63,E434=$AB$64,$AF$64,E434=$AB$65,$AF$65,E434=$AB$66,$AF$66,TRUE,"0")</f>
        <v>B4 Match, lay HT 0-0 or BACK H1 +0.5 GOALS</v>
      </c>
      <c r="D434" s="270" t="str" cm="1">
        <f t="array" ref="D434">_xlfn.IFS(E434=$AB$42,$AD$42,E434=$AB$43,$AD$43,E434=$AB$44,$AD$44,E434=$AB$45,$AD$45,E434=$AB$46,$AD$46,E434=$AB$47,$AD$47,E434=$AB$48,$AD$48,E434=$AB$49,$AD$49,E434=$AB$50,$AD$50,E434=$AB$51,$AD$51,E434=$AB$52,$AD$52,E434=$AB$53,$AD$53,E434=$AB$54,$AD$54,E434=$AB$55,$AD$55,E434=$AB$56,$AD$56,E434=$AB$57,$AD$57,E434=$AB$58,$AD$58,E434=$AB$59,$AD$59,E434=$AB$60,$AD$60,E434=$AB$61,$AD$61,E434=$AB$62,$AD$62,E434=$AB$63,$AD$63,E434=$AB$64,$AD$64,E434=$AB$65,$AD$65,E434=$AB$66,$AD$66,TRUE,"0")</f>
        <v xml:space="preserve">BFM </v>
      </c>
      <c r="E434" s="163" t="s">
        <v>448</v>
      </c>
      <c r="F434" s="2" t="s">
        <v>145</v>
      </c>
      <c r="G434" s="2" t="s">
        <v>268</v>
      </c>
      <c r="H434" s="3">
        <v>45353.75</v>
      </c>
      <c r="I434" s="2" t="s">
        <v>484</v>
      </c>
      <c r="J434" s="2" t="s">
        <v>485</v>
      </c>
      <c r="K434" s="2">
        <v>20</v>
      </c>
      <c r="L434" s="2">
        <v>10</v>
      </c>
      <c r="M434" s="2">
        <v>31</v>
      </c>
      <c r="N434" s="2">
        <v>8</v>
      </c>
      <c r="O434" s="2">
        <v>5</v>
      </c>
      <c r="P434" s="2">
        <v>6</v>
      </c>
      <c r="Q434" s="2" t="s">
        <v>95</v>
      </c>
      <c r="R434" s="10" t="s">
        <v>193</v>
      </c>
      <c r="S434" s="14" t="s">
        <v>213</v>
      </c>
      <c r="T434" s="188">
        <f t="shared" si="47"/>
        <v>515.91477995591049</v>
      </c>
      <c r="U434" s="8">
        <f t="shared" si="53"/>
        <v>92.864660392063882</v>
      </c>
      <c r="V434" s="234">
        <f t="shared" si="54"/>
        <v>10411.160259510274</v>
      </c>
      <c r="W434" s="15">
        <v>25</v>
      </c>
      <c r="X434" s="8">
        <f t="shared" si="48"/>
        <v>4.5</v>
      </c>
      <c r="Y434" s="233">
        <f t="shared" si="49"/>
        <v>2035.5</v>
      </c>
    </row>
    <row r="435" spans="1:25">
      <c r="A435" s="156" t="e" cm="1">
        <f t="array" aca="1" ref="A435" ca="1">_xlfn.IFS(E435=$AB$42,$AC$42,E435=$AB$43,$AC$43,E435=$AB$44,$AC$44,E435=$AB$45,$AC$45,E435=$AB$46,$AC$46,E435=$AB$47,$AC$47,E435=$AB$48,$AC$48,E435=$AB$49,$AC$49,E435=$AB$50,$AC$50,E435=$AB$51,$AC$51,E435=$AB$52,$AC$52,E435=$AB$53,$AC$53,E435=$AB$54,$AC$54,E435=$AB$55,$AC$55,E435=$AB$56,$AC$56,E435=$AB$57,$AC$57,E435=$AB$58,$AC$58,E435=$AB$59,$AC$59,E435=$AB$60,$AC$60,E435=$AB$61,$AC$61,E435=$AB$62,$AC$62,E435=$AB$63,$AC$63,E435=$AB$64,$AC$64,E435=$AB$65,$AC$65,E435=$AB$66,$AC$66,TRUE,"0")</f>
        <v>#NAME?</v>
      </c>
      <c r="C435" s="161" t="str" cm="1">
        <f t="array" ref="C435">_xlfn.IFS(E435=$AB$42,$AF$42,E435=$AB$43,$AF$43,E435=$AB$44,$AF$44,E435=$AB$45,$AF$45,E435=$AB$46,$AF$46,E435=$AB$47,$AF$47,E435=$AB$48,$AF$48,E435=$AB$49,$AF$49,E435=$AB$50,$AF$50,E435=$AB$51,$AF$51,E435=$AB$52,$AF$52,E435=$AB$53,$AF$53,E435=$AB$54,$AF$54,E435=$AB$55,$AF$55,E435=$AB$56,$AF$56,E435=$AB$57,$AF$57,E435=$AB$58,$AF$58,E435=$AB$59,$AF$59,E435=$AB$60,$AF$60,E435=$AB$61,$AF$61,E435=$AB$62,$AF$62,E435=$AB$63,$AF$63,E435=$AB$64,$AF$64,E435=$AB$65,$AF$65,E435=$AB$66,$AF$66,TRUE,"0")</f>
        <v>if 0-0, BACK+ 0.5 GOALS  @ 1.15+odds.  or @ 40 mins</v>
      </c>
      <c r="D435" s="270" t="str" cm="1">
        <f t="array" ref="D435">_xlfn.IFS(E435=$AB$42,$AD$42,E435=$AB$43,$AD$43,E435=$AB$44,$AD$44,E435=$AB$45,$AD$45,E435=$AB$46,$AD$46,E435=$AB$47,$AD$47,E435=$AB$48,$AD$48,E435=$AB$49,$AD$49,E435=$AB$50,$AD$50,E435=$AB$51,$AD$51,E435=$AB$52,$AD$52,E435=$AB$53,$AD$53,E435=$AB$54,$AD$54,E435=$AB$55,$AD$55,E435=$AB$56,$AD$56,E435=$AB$57,$AD$57,E435=$AB$58,$AD$58,E435=$AB$59,$AD$59,E435=$AB$60,$AD$60,E435=$AB$61,$AD$61,E435=$AB$62,$AD$62,E435=$AB$63,$AD$63,E435=$AB$64,$AD$64,E435=$AB$65,$AD$65,E435=$AB$66,$AD$66,TRUE,"0")</f>
        <v>IP</v>
      </c>
      <c r="E435" s="163" t="s">
        <v>270</v>
      </c>
      <c r="F435" s="2" t="s">
        <v>296</v>
      </c>
      <c r="G435" s="2" t="s">
        <v>78</v>
      </c>
      <c r="H435" s="3">
        <v>45353.8125</v>
      </c>
      <c r="I435" s="2" t="s">
        <v>392</v>
      </c>
      <c r="J435" s="2" t="s">
        <v>346</v>
      </c>
      <c r="K435" s="2">
        <v>67</v>
      </c>
      <c r="L435" s="2">
        <v>0</v>
      </c>
      <c r="M435" s="2">
        <v>20</v>
      </c>
      <c r="N435" s="2">
        <v>41</v>
      </c>
      <c r="O435" s="2">
        <v>1.5</v>
      </c>
      <c r="P435" s="2"/>
      <c r="Q435" s="2" t="s">
        <v>95</v>
      </c>
      <c r="R435" s="10" t="s">
        <v>193</v>
      </c>
      <c r="S435" s="14" t="s">
        <v>223</v>
      </c>
      <c r="T435" s="188">
        <f t="shared" si="47"/>
        <v>520.55801297551375</v>
      </c>
      <c r="U435" s="8">
        <f t="shared" si="53"/>
        <v>93.70044233559247</v>
      </c>
      <c r="V435" s="234">
        <f t="shared" si="54"/>
        <v>10504.860701845866</v>
      </c>
      <c r="W435" s="15">
        <v>25</v>
      </c>
      <c r="X435" s="8">
        <f t="shared" si="48"/>
        <v>4.5</v>
      </c>
      <c r="Y435" s="233">
        <f t="shared" si="49"/>
        <v>2040</v>
      </c>
    </row>
    <row r="436" spans="1:25">
      <c r="A436" s="156" t="e" cm="1">
        <f t="array" aca="1" ref="A436" ca="1">_xlfn.IFS(E436=$AB$42,$AC$42,E436=$AB$43,$AC$43,E436=$AB$44,$AC$44,E436=$AB$45,$AC$45,E436=$AB$46,$AC$46,E436=$AB$47,$AC$47,E436=$AB$48,$AC$48,E436=$AB$49,$AC$49,E436=$AB$50,$AC$50,E436=$AB$51,$AC$51,E436=$AB$52,$AC$52,E436=$AB$53,$AC$53,E436=$AB$54,$AC$54,E436=$AB$55,$AC$55,E436=$AB$56,$AC$56,E436=$AB$57,$AC$57,E436=$AB$58,$AC$58,E436=$AB$59,$AC$59,E436=$AB$60,$AC$60,E436=$AB$61,$AC$61,E436=$AB$62,$AC$62,E436=$AB$63,$AC$63,E436=$AB$64,$AC$64,E436=$AB$65,$AC$65,E436=$AB$66,$AC$66,TRUE,"0")</f>
        <v>#NAME?</v>
      </c>
      <c r="C436" s="161" t="str" cm="1">
        <f t="array" ref="C436">_xlfn.IFS(E436=$AB$42,$AF$42,E436=$AB$43,$AF$43,E436=$AB$44,$AF$44,E436=$AB$45,$AF$45,E436=$AB$46,$AF$46,E436=$AB$47,$AF$47,E436=$AB$48,$AF$48,E436=$AB$49,$AF$49,E436=$AB$50,$AF$50,E436=$AB$51,$AF$51,E436=$AB$52,$AF$52,E436=$AB$53,$AF$53,E436=$AB$54,$AF$54,E436=$AB$55,$AF$55,E436=$AB$56,$AF$56,E436=$AB$57,$AF$57,E436=$AB$58,$AF$58,E436=$AB$59,$AF$59,E436=$AB$60,$AF$60,E436=$AB$61,$AF$61,E436=$AB$62,$AF$62,E436=$AB$63,$AF$63,E436=$AB$64,$AF$64,E436=$AB$65,$AF$65,E436=$AB$66,$AF$66,TRUE,"0")</f>
        <v>40 mins Back ANother Goal</v>
      </c>
      <c r="D436" s="270" t="str" cm="1">
        <f t="array" ref="D436">_xlfn.IFS(E436=$AB$42,$AD$42,E436=$AB$43,$AD$43,E436=$AB$44,$AD$44,E436=$AB$45,$AD$45,E436=$AB$46,$AD$46,E436=$AB$47,$AD$47,E436=$AB$48,$AD$48,E436=$AB$49,$AD$49,E436=$AB$50,$AD$50,E436=$AB$51,$AD$51,E436=$AB$52,$AD$52,E436=$AB$53,$AD$53,E436=$AB$54,$AD$54,E436=$AB$55,$AD$55,E436=$AB$56,$AD$56,E436=$AB$57,$AD$57,E436=$AB$58,$AD$58,E436=$AB$59,$AD$59,E436=$AB$60,$AD$60,E436=$AB$61,$AD$61,E436=$AB$62,$AD$62,E436=$AB$63,$AD$63,E436=$AB$64,$AD$64,E436=$AB$65,$AD$65,E436=$AB$66,$AD$66,TRUE,"0")</f>
        <v xml:space="preserve">  BANG</v>
      </c>
      <c r="E436" s="163" t="s">
        <v>10</v>
      </c>
      <c r="F436" s="2" t="s">
        <v>13</v>
      </c>
      <c r="G436" s="2" t="s">
        <v>37</v>
      </c>
      <c r="H436" s="3">
        <v>45354.5</v>
      </c>
      <c r="I436" s="2" t="s">
        <v>305</v>
      </c>
      <c r="J436" s="2" t="s">
        <v>99</v>
      </c>
      <c r="K436" s="2">
        <v>1.9</v>
      </c>
      <c r="L436" s="2">
        <v>85</v>
      </c>
      <c r="M436" s="2">
        <v>65</v>
      </c>
      <c r="N436" s="2">
        <v>35</v>
      </c>
      <c r="O436" s="2">
        <v>60</v>
      </c>
      <c r="P436" s="2">
        <v>20</v>
      </c>
      <c r="Q436" s="2" t="s">
        <v>95</v>
      </c>
      <c r="R436" s="10" t="s">
        <v>214</v>
      </c>
      <c r="S436" s="14" t="s">
        <v>220</v>
      </c>
      <c r="T436" s="188">
        <f t="shared" si="47"/>
        <v>525.24303509229333</v>
      </c>
      <c r="U436" s="8">
        <f t="shared" si="53"/>
        <v>94.543746316612797</v>
      </c>
      <c r="V436" s="234">
        <f t="shared" si="54"/>
        <v>10599.404448162479</v>
      </c>
      <c r="W436" s="15">
        <v>25</v>
      </c>
      <c r="X436" s="8">
        <f t="shared" si="48"/>
        <v>4.5</v>
      </c>
      <c r="Y436" s="233">
        <f t="shared" si="49"/>
        <v>2044.5</v>
      </c>
    </row>
    <row r="437" spans="1:25">
      <c r="A437" s="156" t="e" cm="1">
        <f t="array" aca="1" ref="A437" ca="1">_xlfn.IFS(E437=$AB$42,$AC$42,E437=$AB$43,$AC$43,E437=$AB$44,$AC$44,E437=$AB$45,$AC$45,E437=$AB$46,$AC$46,E437=$AB$47,$AC$47,E437=$AB$48,$AC$48,E437=$AB$49,$AC$49,E437=$AB$50,$AC$50,E437=$AB$51,$AC$51,E437=$AB$52,$AC$52,E437=$AB$53,$AC$53,E437=$AB$54,$AC$54,E437=$AB$55,$AC$55,E437=$AB$56,$AC$56,E437=$AB$57,$AC$57,E437=$AB$58,$AC$58,E437=$AB$59,$AC$59,E437=$AB$60,$AC$60,E437=$AB$61,$AC$61,E437=$AB$62,$AC$62,E437=$AB$63,$AC$63,E437=$AB$64,$AC$64,E437=$AB$65,$AC$65,E437=$AB$66,$AC$66,TRUE,"0")</f>
        <v>#NAME?</v>
      </c>
      <c r="C437" s="161" t="str" cm="1">
        <f t="array" ref="C437">_xlfn.IFS(E437=$AB$42,$AF$42,E437=$AB$43,$AF$43,E437=$AB$44,$AF$44,E437=$AB$45,$AF$45,E437=$AB$46,$AF$46,E437=$AB$47,$AF$47,E437=$AB$48,$AF$48,E437=$AB$49,$AF$49,E437=$AB$50,$AF$50,E437=$AB$51,$AF$51,E437=$AB$52,$AF$52,E437=$AB$53,$AF$53,E437=$AB$54,$AF$54,E437=$AB$55,$AF$55,E437=$AB$56,$AF$56,E437=$AB$57,$AF$57,E437=$AB$58,$AF$58,E437=$AB$59,$AF$59,E437=$AB$60,$AF$60,E437=$AB$61,$AF$61,E437=$AB$62,$AF$62,E437=$AB$63,$AF$63,E437=$AB$64,$AF$64,E437=$AB$65,$AF$65,E437=$AB$66,$AF$66,TRUE,"0")</f>
        <v>40 mins Back ANother Goal</v>
      </c>
      <c r="D437" s="270" t="str" cm="1">
        <f t="array" ref="D437">_xlfn.IFS(E437=$AB$42,$AD$42,E437=$AB$43,$AD$43,E437=$AB$44,$AD$44,E437=$AB$45,$AD$45,E437=$AB$46,$AD$46,E437=$AB$47,$AD$47,E437=$AB$48,$AD$48,E437=$AB$49,$AD$49,E437=$AB$50,$AD$50,E437=$AB$51,$AD$51,E437=$AB$52,$AD$52,E437=$AB$53,$AD$53,E437=$AB$54,$AD$54,E437=$AB$55,$AD$55,E437=$AB$56,$AD$56,E437=$AB$57,$AD$57,E437=$AB$58,$AD$58,E437=$AB$59,$AD$59,E437=$AB$60,$AD$60,E437=$AB$61,$AD$61,E437=$AB$62,$AD$62,E437=$AB$63,$AD$63,E437=$AB$64,$AD$64,E437=$AB$65,$AD$65,E437=$AB$66,$AD$66,TRUE,"0")</f>
        <v xml:space="preserve">  BANG</v>
      </c>
      <c r="E437" s="163" t="s">
        <v>43</v>
      </c>
      <c r="F437" s="2" t="s">
        <v>13</v>
      </c>
      <c r="G437" s="2" t="s">
        <v>37</v>
      </c>
      <c r="H437" s="3">
        <v>45354.5</v>
      </c>
      <c r="I437" s="2" t="s">
        <v>305</v>
      </c>
      <c r="J437" s="2" t="s">
        <v>99</v>
      </c>
      <c r="K437" s="2">
        <v>87</v>
      </c>
      <c r="L437" s="2">
        <v>70</v>
      </c>
      <c r="M437" s="2">
        <v>60</v>
      </c>
      <c r="N437" s="2">
        <v>1.9</v>
      </c>
      <c r="O437" s="2">
        <v>1.63</v>
      </c>
      <c r="P437" s="2"/>
      <c r="Q437" s="2" t="s">
        <v>95</v>
      </c>
      <c r="R437" s="10" t="s">
        <v>214</v>
      </c>
      <c r="S437" s="14" t="s">
        <v>220</v>
      </c>
      <c r="T437" s="188">
        <f t="shared" si="47"/>
        <v>529.97022240812396</v>
      </c>
      <c r="U437" s="8">
        <f t="shared" si="53"/>
        <v>95.394640033462309</v>
      </c>
      <c r="V437" s="234">
        <f t="shared" si="54"/>
        <v>10694.799088195941</v>
      </c>
      <c r="W437" s="15">
        <v>25</v>
      </c>
      <c r="X437" s="8">
        <f t="shared" si="48"/>
        <v>4.5</v>
      </c>
      <c r="Y437" s="233">
        <f t="shared" si="49"/>
        <v>2049</v>
      </c>
    </row>
    <row r="438" spans="1:25">
      <c r="A438" s="156" t="e" cm="1">
        <f t="array" aca="1" ref="A438" ca="1">_xlfn.IFS(E438=$AB$42,$AC$42,E438=$AB$43,$AC$43,E438=$AB$44,$AC$44,E438=$AB$45,$AC$45,E438=$AB$46,$AC$46,E438=$AB$47,$AC$47,E438=$AB$48,$AC$48,E438=$AB$49,$AC$49,E438=$AB$50,$AC$50,E438=$AB$51,$AC$51,E438=$AB$52,$AC$52,E438=$AB$53,$AC$53,E438=$AB$54,$AC$54,E438=$AB$55,$AC$55,E438=$AB$56,$AC$56,E438=$AB$57,$AC$57,E438=$AB$58,$AC$58,E438=$AB$59,$AC$59,E438=$AB$60,$AC$60,E438=$AB$61,$AC$61,E438=$AB$62,$AC$62,E438=$AB$63,$AC$63,E438=$AB$64,$AC$64,E438=$AB$65,$AC$65,E438=$AB$66,$AC$66,TRUE,"0")</f>
        <v>#NAME?</v>
      </c>
      <c r="C438" s="161" t="str" cm="1">
        <f t="array" ref="C438">_xlfn.IFS(E438=$AB$42,$AF$42,E438=$AB$43,$AF$43,E438=$AB$44,$AF$44,E438=$AB$45,$AF$45,E438=$AB$46,$AF$46,E438=$AB$47,$AF$47,E438=$AB$48,$AF$48,E438=$AB$49,$AF$49,E438=$AB$50,$AF$50,E438=$AB$51,$AF$51,E438=$AB$52,$AF$52,E438=$AB$53,$AF$53,E438=$AB$54,$AF$54,E438=$AB$55,$AF$55,E438=$AB$56,$AF$56,E438=$AB$57,$AF$57,E438=$AB$58,$AF$58,E438=$AB$59,$AF$59,E438=$AB$60,$AF$60,E438=$AB$61,$AF$61,E438=$AB$62,$AF$62,E438=$AB$63,$AF$63,E438=$AB$64,$AF$64,E438=$AB$65,$AF$65,E438=$AB$66,$AF$66,TRUE,"0")</f>
        <v>B4 match BACK FT +1.5 goals. X AFTER  GOAL</v>
      </c>
      <c r="D438" s="270" t="str" cm="1">
        <f t="array" ref="D438">_xlfn.IFS(E438=$AB$42,$AD$42,E438=$AB$43,$AD$43,E438=$AB$44,$AD$44,E438=$AB$45,$AD$45,E438=$AB$46,$AD$46,E438=$AB$47,$AD$47,E438=$AB$48,$AD$48,E438=$AB$49,$AD$49,E438=$AB$50,$AD$50,E438=$AB$51,$AD$51,E438=$AB$52,$AD$52,E438=$AB$53,$AD$53,E438=$AB$54,$AD$54,E438=$AB$55,$AD$55,E438=$AB$56,$AD$56,E438=$AB$57,$AD$57,E438=$AB$58,$AD$58,E438=$AB$59,$AD$59,E438=$AB$60,$AD$60,E438=$AB$61,$AD$61,E438=$AB$62,$AD$62,E438=$AB$63,$AD$63,E438=$AB$64,$AD$64,E438=$AB$65,$AD$65,E438=$AB$66,$AD$66,TRUE,"0")</f>
        <v xml:space="preserve">BFM </v>
      </c>
      <c r="E438" s="163" t="s">
        <v>506</v>
      </c>
      <c r="F438" s="2" t="s">
        <v>13</v>
      </c>
      <c r="G438" s="2" t="s">
        <v>37</v>
      </c>
      <c r="H438" s="3">
        <v>45354.5</v>
      </c>
      <c r="I438" s="2" t="s">
        <v>305</v>
      </c>
      <c r="J438" s="2" t="s">
        <v>99</v>
      </c>
      <c r="K438" s="2">
        <v>55</v>
      </c>
      <c r="L438" s="2">
        <v>4.9000000000000004</v>
      </c>
      <c r="M438" s="2">
        <v>310</v>
      </c>
      <c r="N438" s="2">
        <v>20</v>
      </c>
      <c r="O438" s="2">
        <v>2.75</v>
      </c>
      <c r="P438" s="2"/>
      <c r="Q438" s="2" t="s">
        <v>95</v>
      </c>
      <c r="R438" s="10" t="s">
        <v>214</v>
      </c>
      <c r="S438" s="14" t="s">
        <v>220</v>
      </c>
      <c r="T438" s="188">
        <f t="shared" si="47"/>
        <v>534.73995440979706</v>
      </c>
      <c r="U438" s="8">
        <f t="shared" si="53"/>
        <v>96.253191793763463</v>
      </c>
      <c r="V438" s="234">
        <f t="shared" si="54"/>
        <v>10791.052279989704</v>
      </c>
      <c r="W438" s="15">
        <v>25</v>
      </c>
      <c r="X438" s="8">
        <f t="shared" si="48"/>
        <v>4.5</v>
      </c>
      <c r="Y438" s="233">
        <f t="shared" si="49"/>
        <v>2053.5</v>
      </c>
    </row>
    <row r="439" spans="1:25">
      <c r="A439" s="156" t="e" cm="1">
        <f t="array" aca="1" ref="A439" ca="1">_xlfn.IFS(E439=$AB$42,$AC$42,E439=$AB$43,$AC$43,E439=$AB$44,$AC$44,E439=$AB$45,$AC$45,E439=$AB$46,$AC$46,E439=$AB$47,$AC$47,E439=$AB$48,$AC$48,E439=$AB$49,$AC$49,E439=$AB$50,$AC$50,E439=$AB$51,$AC$51,E439=$AB$52,$AC$52,E439=$AB$53,$AC$53,E439=$AB$54,$AC$54,E439=$AB$55,$AC$55,E439=$AB$56,$AC$56,E439=$AB$57,$AC$57,E439=$AB$58,$AC$58,E439=$AB$59,$AC$59,E439=$AB$60,$AC$60,E439=$AB$61,$AC$61,E439=$AB$62,$AC$62,E439=$AB$63,$AC$63,E439=$AB$64,$AC$64,E439=$AB$65,$AC$65,E439=$AB$66,$AC$66,TRUE,"0")</f>
        <v>#NAME?</v>
      </c>
      <c r="C439" s="161" t="str" cm="1">
        <f t="array" ref="C439">_xlfn.IFS(E439=$AB$42,$AF$42,E439=$AB$43,$AF$43,E439=$AB$44,$AF$44,E439=$AB$45,$AF$45,E439=$AB$46,$AF$46,E439=$AB$47,$AF$47,E439=$AB$48,$AF$48,E439=$AB$49,$AF$49,E439=$AB$50,$AF$50,E439=$AB$51,$AF$51,E439=$AB$52,$AF$52,E439=$AB$53,$AF$53,E439=$AB$54,$AF$54,E439=$AB$55,$AF$55,E439=$AB$56,$AF$56,E439=$AB$57,$AF$57,E439=$AB$58,$AF$58,E439=$AB$59,$AF$59,E439=$AB$60,$AF$60,E439=$AB$61,$AF$61,E439=$AB$62,$AF$62,E439=$AB$63,$AF$63,E439=$AB$64,$AF$64,E439=$AB$65,$AF$65,E439=$AB$66,$AF$66,TRUE,"0")</f>
        <v>B4 match BACK FT +1.5 goals. X AFTER  GOAL</v>
      </c>
      <c r="D439" s="270" t="str" cm="1">
        <f t="array" ref="D439">_xlfn.IFS(E439=$AB$42,$AD$42,E439=$AB$43,$AD$43,E439=$AB$44,$AD$44,E439=$AB$45,$AD$45,E439=$AB$46,$AD$46,E439=$AB$47,$AD$47,E439=$AB$48,$AD$48,E439=$AB$49,$AD$49,E439=$AB$50,$AD$50,E439=$AB$51,$AD$51,E439=$AB$52,$AD$52,E439=$AB$53,$AD$53,E439=$AB$54,$AD$54,E439=$AB$55,$AD$55,E439=$AB$56,$AD$56,E439=$AB$57,$AD$57,E439=$AB$58,$AD$58,E439=$AB$59,$AD$59,E439=$AB$60,$AD$60,E439=$AB$61,$AD$61,E439=$AB$62,$AD$62,E439=$AB$63,$AD$63,E439=$AB$64,$AD$64,E439=$AB$65,$AD$65,E439=$AB$66,$AD$66,TRUE,"0")</f>
        <v xml:space="preserve">BFM </v>
      </c>
      <c r="E439" s="163" t="s">
        <v>512</v>
      </c>
      <c r="F439" s="2" t="s">
        <v>494</v>
      </c>
      <c r="G439" s="2" t="s">
        <v>495</v>
      </c>
      <c r="H439" s="3">
        <v>45354.520833333336</v>
      </c>
      <c r="I439" s="2" t="s">
        <v>496</v>
      </c>
      <c r="J439" s="2" t="s">
        <v>497</v>
      </c>
      <c r="K439" s="2">
        <v>6</v>
      </c>
      <c r="L439" s="2">
        <v>0</v>
      </c>
      <c r="M439" s="2">
        <v>980</v>
      </c>
      <c r="N439" s="2">
        <v>20</v>
      </c>
      <c r="O439" s="2">
        <v>2.25</v>
      </c>
      <c r="P439" s="2"/>
      <c r="Q439" s="2" t="s">
        <v>95</v>
      </c>
      <c r="R439" s="10" t="s">
        <v>220</v>
      </c>
      <c r="S439" s="14" t="s">
        <v>207</v>
      </c>
      <c r="T439" s="188">
        <f t="shared" si="47"/>
        <v>539.55261399948529</v>
      </c>
      <c r="U439" s="8">
        <f t="shared" si="53"/>
        <v>97.119470519907352</v>
      </c>
      <c r="V439" s="234">
        <f t="shared" si="54"/>
        <v>10888.171750509611</v>
      </c>
      <c r="W439" s="15">
        <v>25</v>
      </c>
      <c r="X439" s="8">
        <f t="shared" si="48"/>
        <v>4.5</v>
      </c>
      <c r="Y439" s="233">
        <f t="shared" si="49"/>
        <v>2058</v>
      </c>
    </row>
    <row r="440" spans="1:25">
      <c r="A440" s="156" t="e" cm="1">
        <f t="array" aca="1" ref="A440" ca="1">_xlfn.IFS(E440=$AB$42,$AC$42,E440=$AB$43,$AC$43,E440=$AB$44,$AC$44,E440=$AB$45,$AC$45,E440=$AB$46,$AC$46,E440=$AB$47,$AC$47,E440=$AB$48,$AC$48,E440=$AB$49,$AC$49,E440=$AB$50,$AC$50,E440=$AB$51,$AC$51,E440=$AB$52,$AC$52,E440=$AB$53,$AC$53,E440=$AB$54,$AC$54,E440=$AB$55,$AC$55,E440=$AB$56,$AC$56,E440=$AB$57,$AC$57,E440=$AB$58,$AC$58,E440=$AB$59,$AC$59,E440=$AB$60,$AC$60,E440=$AB$61,$AC$61,E440=$AB$62,$AC$62,E440=$AB$63,$AC$63,E440=$AB$64,$AC$64,E440=$AB$65,$AC$65,E440=$AB$66,$AC$66,TRUE,"0")</f>
        <v>#NAME?</v>
      </c>
      <c r="C440" s="161" t="str" cm="1">
        <f t="array" ref="C440">_xlfn.IFS(E440=$AB$42,$AF$42,E440=$AB$43,$AF$43,E440=$AB$44,$AF$44,E440=$AB$45,$AF$45,E440=$AB$46,$AF$46,E440=$AB$47,$AF$47,E440=$AB$48,$AF$48,E440=$AB$49,$AF$49,E440=$AB$50,$AF$50,E440=$AB$51,$AF$51,E440=$AB$52,$AF$52,E440=$AB$53,$AF$53,E440=$AB$54,$AF$54,E440=$AB$55,$AF$55,E440=$AB$56,$AF$56,E440=$AB$57,$AF$57,E440=$AB$58,$AF$58,E440=$AB$59,$AF$59,E440=$AB$60,$AF$60,E440=$AB$61,$AF$61,E440=$AB$62,$AF$62,E440=$AB$63,$AF$63,E440=$AB$64,$AF$64,E440=$AB$65,$AF$65,E440=$AB$66,$AF$66,TRUE,"0")</f>
        <v>10mins if  0-0, BACK over 1.5 goals X after goal OR LET RUN</v>
      </c>
      <c r="D440" s="270" t="str" cm="1">
        <f t="array" ref="D440">_xlfn.IFS(E440=$AB$42,$AD$42,E440=$AB$43,$AD$43,E440=$AB$44,$AD$44,E440=$AB$45,$AD$45,E440=$AB$46,$AD$46,E440=$AB$47,$AD$47,E440=$AB$48,$AD$48,E440=$AB$49,$AD$49,E440=$AB$50,$AD$50,E440=$AB$51,$AD$51,E440=$AB$52,$AD$52,E440=$AB$53,$AD$53,E440=$AB$54,$AD$54,E440=$AB$55,$AD$55,E440=$AB$56,$AD$56,E440=$AB$57,$AD$57,E440=$AB$58,$AD$58,E440=$AB$59,$AD$59,E440=$AB$60,$AD$60,E440=$AB$61,$AD$61,E440=$AB$62,$AD$62,E440=$AB$63,$AD$63,E440=$AB$64,$AD$64,E440=$AB$65,$AD$65,E440=$AB$66,$AD$66,TRUE,"0")</f>
        <v>IP</v>
      </c>
      <c r="E440" s="163" t="s">
        <v>498</v>
      </c>
      <c r="F440" s="2" t="s">
        <v>77</v>
      </c>
      <c r="G440" s="2" t="s">
        <v>234</v>
      </c>
      <c r="H440" s="3">
        <v>45354.520833333336</v>
      </c>
      <c r="I440" s="2" t="s">
        <v>499</v>
      </c>
      <c r="J440" s="2" t="s">
        <v>407</v>
      </c>
      <c r="K440" s="2">
        <v>66</v>
      </c>
      <c r="L440" s="2">
        <v>85</v>
      </c>
      <c r="M440" s="2">
        <v>1.4</v>
      </c>
      <c r="N440" s="2">
        <v>20</v>
      </c>
      <c r="O440" s="2"/>
      <c r="P440" s="2"/>
      <c r="Q440" s="2" t="s">
        <v>95</v>
      </c>
      <c r="R440" s="10" t="s">
        <v>193</v>
      </c>
      <c r="S440" s="14" t="s">
        <v>218</v>
      </c>
      <c r="T440" s="188">
        <f t="shared" si="47"/>
        <v>544.40858752548058</v>
      </c>
      <c r="U440" s="8">
        <f t="shared" si="53"/>
        <v>97.993545754586506</v>
      </c>
      <c r="V440" s="234">
        <f t="shared" si="54"/>
        <v>10986.165296264198</v>
      </c>
      <c r="W440" s="15">
        <v>25</v>
      </c>
      <c r="X440" s="8">
        <f t="shared" si="48"/>
        <v>4.5</v>
      </c>
      <c r="Y440" s="233">
        <f t="shared" si="49"/>
        <v>2062.5</v>
      </c>
    </row>
    <row r="441" spans="1:25">
      <c r="A441" s="156" t="e" cm="1">
        <f t="array" aca="1" ref="A441" ca="1">_xlfn.IFS(E441=$AB$42,$AC$42,E441=$AB$43,$AC$43,E441=$AB$44,$AC$44,E441=$AB$45,$AC$45,E441=$AB$46,$AC$46,E441=$AB$47,$AC$47,E441=$AB$48,$AC$48,E441=$AB$49,$AC$49,E441=$AB$50,$AC$50,E441=$AB$51,$AC$51,E441=$AB$52,$AC$52,E441=$AB$53,$AC$53,E441=$AB$54,$AC$54,E441=$AB$55,$AC$55,E441=$AB$56,$AC$56,E441=$AB$57,$AC$57,E441=$AB$58,$AC$58,E441=$AB$59,$AC$59,E441=$AB$60,$AC$60,E441=$AB$61,$AC$61,E441=$AB$62,$AC$62,E441=$AB$63,$AC$63,E441=$AB$64,$AC$64,E441=$AB$65,$AC$65,E441=$AB$66,$AC$66,TRUE,"0")</f>
        <v>#NAME?</v>
      </c>
      <c r="C441" s="161" t="str" cm="1">
        <f t="array" ref="C441">_xlfn.IFS(E441=$AB$42,$AF$42,E441=$AB$43,$AF$43,E441=$AB$44,$AF$44,E441=$AB$45,$AF$45,E441=$AB$46,$AF$46,E441=$AB$47,$AF$47,E441=$AB$48,$AF$48,E441=$AB$49,$AF$49,E441=$AB$50,$AF$50,E441=$AB$51,$AF$51,E441=$AB$52,$AF$52,E441=$AB$53,$AF$53,E441=$AB$54,$AF$54,E441=$AB$55,$AF$55,E441=$AB$56,$AF$56,E441=$AB$57,$AF$57,E441=$AB$58,$AF$58,E441=$AB$59,$AF$59,E441=$AB$60,$AF$60,E441=$AB$61,$AF$61,E441=$AB$62,$AF$62,E441=$AB$63,$AF$63,E441=$AB$64,$AF$64,E441=$AB$65,$AF$65,E441=$AB$66,$AF$66,TRUE,"0")</f>
        <v>40 mins Back ANother Goal</v>
      </c>
      <c r="D441" s="270" t="str" cm="1">
        <f t="array" ref="D441">_xlfn.IFS(E441=$AB$42,$AD$42,E441=$AB$43,$AD$43,E441=$AB$44,$AD$44,E441=$AB$45,$AD$45,E441=$AB$46,$AD$46,E441=$AB$47,$AD$47,E441=$AB$48,$AD$48,E441=$AB$49,$AD$49,E441=$AB$50,$AD$50,E441=$AB$51,$AD$51,E441=$AB$52,$AD$52,E441=$AB$53,$AD$53,E441=$AB$54,$AD$54,E441=$AB$55,$AD$55,E441=$AB$56,$AD$56,E441=$AB$57,$AD$57,E441=$AB$58,$AD$58,E441=$AB$59,$AD$59,E441=$AB$60,$AD$60,E441=$AB$61,$AD$61,E441=$AB$62,$AD$62,E441=$AB$63,$AD$63,E441=$AB$64,$AD$64,E441=$AB$65,$AD$65,E441=$AB$66,$AD$66,TRUE,"0")</f>
        <v xml:space="preserve">  BANG</v>
      </c>
      <c r="E441" s="163" t="s">
        <v>10</v>
      </c>
      <c r="F441" s="2" t="s">
        <v>67</v>
      </c>
      <c r="G441" s="2" t="s">
        <v>68</v>
      </c>
      <c r="H441" s="3">
        <v>45354.520833333336</v>
      </c>
      <c r="I441" s="2" t="s">
        <v>343</v>
      </c>
      <c r="J441" s="2" t="s">
        <v>265</v>
      </c>
      <c r="K441" s="2">
        <v>1.85</v>
      </c>
      <c r="L441" s="2">
        <v>85</v>
      </c>
      <c r="M441" s="2">
        <v>65</v>
      </c>
      <c r="N441" s="2">
        <v>30</v>
      </c>
      <c r="O441" s="2">
        <v>64</v>
      </c>
      <c r="P441" s="2">
        <v>20</v>
      </c>
      <c r="Q441" s="2" t="s">
        <v>95</v>
      </c>
      <c r="R441" s="10" t="s">
        <v>193</v>
      </c>
      <c r="S441" s="14" t="s">
        <v>218</v>
      </c>
      <c r="T441" s="188">
        <f t="shared" si="47"/>
        <v>549.30826481320992</v>
      </c>
      <c r="U441" s="8">
        <f t="shared" si="53"/>
        <v>98.875487666377779</v>
      </c>
      <c r="V441" s="234">
        <f t="shared" si="54"/>
        <v>11085.040783930575</v>
      </c>
      <c r="W441" s="15">
        <v>25</v>
      </c>
      <c r="X441" s="8">
        <f t="shared" si="48"/>
        <v>4.5</v>
      </c>
      <c r="Y441" s="233">
        <f t="shared" si="49"/>
        <v>2067</v>
      </c>
    </row>
    <row r="442" spans="1:25">
      <c r="A442" s="156" t="e" cm="1">
        <f t="array" aca="1" ref="A442" ca="1">_xlfn.IFS(E442=$AB$42,$AC$42,E442=$AB$43,$AC$43,E442=$AB$44,$AC$44,E442=$AB$45,$AC$45,E442=$AB$46,$AC$46,E442=$AB$47,$AC$47,E442=$AB$48,$AC$48,E442=$AB$49,$AC$49,E442=$AB$50,$AC$50,E442=$AB$51,$AC$51,E442=$AB$52,$AC$52,E442=$AB$53,$AC$53,E442=$AB$54,$AC$54,E442=$AB$55,$AC$55,E442=$AB$56,$AC$56,E442=$AB$57,$AC$57,E442=$AB$58,$AC$58,E442=$AB$59,$AC$59,E442=$AB$60,$AC$60,E442=$AB$61,$AC$61,E442=$AB$62,$AC$62,E442=$AB$63,$AC$63,E442=$AB$64,$AC$64,E442=$AB$65,$AC$65,E442=$AB$66,$AC$66,TRUE,"0")</f>
        <v>#NAME?</v>
      </c>
      <c r="C442" s="161" t="str" cm="1">
        <f t="array" ref="C442">_xlfn.IFS(E442=$AB$42,$AF$42,E442=$AB$43,$AF$43,E442=$AB$44,$AF$44,E442=$AB$45,$AF$45,E442=$AB$46,$AF$46,E442=$AB$47,$AF$47,E442=$AB$48,$AF$48,E442=$AB$49,$AF$49,E442=$AB$50,$AF$50,E442=$AB$51,$AF$51,E442=$AB$52,$AF$52,E442=$AB$53,$AF$53,E442=$AB$54,$AF$54,E442=$AB$55,$AF$55,E442=$AB$56,$AF$56,E442=$AB$57,$AF$57,E442=$AB$58,$AF$58,E442=$AB$59,$AF$59,E442=$AB$60,$AF$60,E442=$AB$61,$AF$61,E442=$AB$62,$AF$62,E442=$AB$63,$AF$63,E442=$AB$64,$AF$64,E442=$AB$65,$AF$65,E442=$AB$66,$AF$66,TRUE,"0")</f>
        <v>if 0-0, BACK+ 0.5 GOALS  @ 1.15+odds.  or @ 40 mins</v>
      </c>
      <c r="D442" s="270" t="str" cm="1">
        <f t="array" ref="D442">_xlfn.IFS(E442=$AB$42,$AD$42,E442=$AB$43,$AD$43,E442=$AB$44,$AD$44,E442=$AB$45,$AD$45,E442=$AB$46,$AD$46,E442=$AB$47,$AD$47,E442=$AB$48,$AD$48,E442=$AB$49,$AD$49,E442=$AB$50,$AD$50,E442=$AB$51,$AD$51,E442=$AB$52,$AD$52,E442=$AB$53,$AD$53,E442=$AB$54,$AD$54,E442=$AB$55,$AD$55,E442=$AB$56,$AD$56,E442=$AB$57,$AD$57,E442=$AB$58,$AD$58,E442=$AB$59,$AD$59,E442=$AB$60,$AD$60,E442=$AB$61,$AD$61,E442=$AB$62,$AD$62,E442=$AB$63,$AD$63,E442=$AB$64,$AD$64,E442=$AB$65,$AD$65,E442=$AB$66,$AD$66,TRUE,"0")</f>
        <v>IP</v>
      </c>
      <c r="E442" s="163" t="s">
        <v>270</v>
      </c>
      <c r="F442" s="2" t="s">
        <v>6</v>
      </c>
      <c r="G442" s="2" t="s">
        <v>62</v>
      </c>
      <c r="H442" s="3">
        <v>45354.541666666664</v>
      </c>
      <c r="I442" s="2" t="s">
        <v>103</v>
      </c>
      <c r="J442" s="2" t="s">
        <v>117</v>
      </c>
      <c r="K442" s="2">
        <v>61</v>
      </c>
      <c r="L442" s="2">
        <v>0</v>
      </c>
      <c r="M442" s="2">
        <v>20</v>
      </c>
      <c r="N442" s="2">
        <v>20</v>
      </c>
      <c r="O442" s="2">
        <v>2.58</v>
      </c>
      <c r="P442" s="2"/>
      <c r="Q442" s="2" t="s">
        <v>95</v>
      </c>
      <c r="R442" s="10" t="s">
        <v>193</v>
      </c>
      <c r="S442" s="14" t="s">
        <v>217</v>
      </c>
      <c r="T442" s="188">
        <f t="shared" si="47"/>
        <v>554.25203919652881</v>
      </c>
      <c r="U442" s="8">
        <f t="shared" si="53"/>
        <v>99.765367055375179</v>
      </c>
      <c r="V442" s="234">
        <f t="shared" si="54"/>
        <v>11184.806150985951</v>
      </c>
      <c r="W442" s="15">
        <v>25</v>
      </c>
      <c r="X442" s="8">
        <f t="shared" si="48"/>
        <v>4.5</v>
      </c>
      <c r="Y442" s="233">
        <f t="shared" si="49"/>
        <v>2071.5</v>
      </c>
    </row>
    <row r="443" spans="1:25">
      <c r="A443" s="156" t="e" cm="1">
        <f t="array" aca="1" ref="A443" ca="1">_xlfn.IFS(E443=$AB$42,$AC$42,E443=$AB$43,$AC$43,E443=$AB$44,$AC$44,E443=$AB$45,$AC$45,E443=$AB$46,$AC$46,E443=$AB$47,$AC$47,E443=$AB$48,$AC$48,E443=$AB$49,$AC$49,E443=$AB$50,$AC$50,E443=$AB$51,$AC$51,E443=$AB$52,$AC$52,E443=$AB$53,$AC$53,E443=$AB$54,$AC$54,E443=$AB$55,$AC$55,E443=$AB$56,$AC$56,E443=$AB$57,$AC$57,E443=$AB$58,$AC$58,E443=$AB$59,$AC$59,E443=$AB$60,$AC$60,E443=$AB$61,$AC$61,E443=$AB$62,$AC$62,E443=$AB$63,$AC$63,E443=$AB$64,$AC$64,E443=$AB$65,$AC$65,E443=$AB$66,$AC$66,TRUE,"0")</f>
        <v>#NAME?</v>
      </c>
      <c r="C443" s="161" t="str" cm="1">
        <f t="array" ref="C443">_xlfn.IFS(E443=$AB$42,$AF$42,E443=$AB$43,$AF$43,E443=$AB$44,$AF$44,E443=$AB$45,$AF$45,E443=$AB$46,$AF$46,E443=$AB$47,$AF$47,E443=$AB$48,$AF$48,E443=$AB$49,$AF$49,E443=$AB$50,$AF$50,E443=$AB$51,$AF$51,E443=$AB$52,$AF$52,E443=$AB$53,$AF$53,E443=$AB$54,$AF$54,E443=$AB$55,$AF$55,E443=$AB$56,$AF$56,E443=$AB$57,$AF$57,E443=$AB$58,$AF$58,E443=$AB$59,$AF$59,E443=$AB$60,$AF$60,E443=$AB$61,$AF$61,E443=$AB$62,$AF$62,E443=$AB$63,$AF$63,E443=$AB$64,$AF$64,E443=$AB$65,$AF$65,E443=$AB$66,$AF$66,TRUE,"0")</f>
        <v>40 mins Back ANother Goal</v>
      </c>
      <c r="D443" s="270" t="str" cm="1">
        <f t="array" ref="D443">_xlfn.IFS(E443=$AB$42,$AD$42,E443=$AB$43,$AD$43,E443=$AB$44,$AD$44,E443=$AB$45,$AD$45,E443=$AB$46,$AD$46,E443=$AB$47,$AD$47,E443=$AB$48,$AD$48,E443=$AB$49,$AD$49,E443=$AB$50,$AD$50,E443=$AB$51,$AD$51,E443=$AB$52,$AD$52,E443=$AB$53,$AD$53,E443=$AB$54,$AD$54,E443=$AB$55,$AD$55,E443=$AB$56,$AD$56,E443=$AB$57,$AD$57,E443=$AB$58,$AD$58,E443=$AB$59,$AD$59,E443=$AB$60,$AD$60,E443=$AB$61,$AD$61,E443=$AB$62,$AD$62,E443=$AB$63,$AD$63,E443=$AB$64,$AD$64,E443=$AB$65,$AD$65,E443=$AB$66,$AD$66,TRUE,"0")</f>
        <v xml:space="preserve">  BANG</v>
      </c>
      <c r="E443" s="163" t="s">
        <v>43</v>
      </c>
      <c r="F443" s="2" t="s">
        <v>119</v>
      </c>
      <c r="G443" s="2" t="s">
        <v>120</v>
      </c>
      <c r="H443" s="3">
        <v>45354.541666666664</v>
      </c>
      <c r="I443" s="2" t="s">
        <v>362</v>
      </c>
      <c r="J443" s="2" t="s">
        <v>388</v>
      </c>
      <c r="K443" s="2">
        <v>77</v>
      </c>
      <c r="L443" s="2">
        <v>86</v>
      </c>
      <c r="M443" s="2">
        <v>63</v>
      </c>
      <c r="N443" s="2">
        <v>1.55</v>
      </c>
      <c r="O443" s="2">
        <v>1.55</v>
      </c>
      <c r="P443" s="2"/>
      <c r="Q443" s="2" t="s">
        <v>95</v>
      </c>
      <c r="R443" s="10" t="s">
        <v>207</v>
      </c>
      <c r="S443" s="14" t="s">
        <v>197</v>
      </c>
      <c r="T443" s="188">
        <f t="shared" si="47"/>
        <v>559.24030754929754</v>
      </c>
      <c r="U443" s="8">
        <f t="shared" si="53"/>
        <v>100.66325535887356</v>
      </c>
      <c r="V443" s="234">
        <f>SUM(V442,U443)</f>
        <v>11285.469406344824</v>
      </c>
      <c r="W443" s="15">
        <v>25</v>
      </c>
      <c r="X443" s="8">
        <f t="shared" si="48"/>
        <v>4.5</v>
      </c>
      <c r="Y443" s="233">
        <f t="shared" si="49"/>
        <v>2076</v>
      </c>
    </row>
    <row r="444" spans="1:25">
      <c r="A444" s="156" t="e" cm="1">
        <f t="array" aca="1" ref="A444" ca="1">_xlfn.IFS(E444=$AB$42,$AC$42,E444=$AB$43,$AC$43,E444=$AB$44,$AC$44,E444=$AB$45,$AC$45,E444=$AB$46,$AC$46,E444=$AB$47,$AC$47,E444=$AB$48,$AC$48,E444=$AB$49,$AC$49,E444=$AB$50,$AC$50,E444=$AB$51,$AC$51,E444=$AB$52,$AC$52,E444=$AB$53,$AC$53,E444=$AB$54,$AC$54,E444=$AB$55,$AC$55,E444=$AB$56,$AC$56,E444=$AB$57,$AC$57,E444=$AB$58,$AC$58,E444=$AB$59,$AC$59,E444=$AB$60,$AC$60,E444=$AB$61,$AC$61,E444=$AB$62,$AC$62,E444=$AB$63,$AC$63,E444=$AB$64,$AC$64,E444=$AB$65,$AC$65,E444=$AB$66,$AC$66,TRUE,"0")</f>
        <v>#NAME?</v>
      </c>
      <c r="C444" s="161" t="str" cm="1">
        <f t="array" ref="C444">_xlfn.IFS(E444=$AB$42,$AF$42,E444=$AB$43,$AF$43,E444=$AB$44,$AF$44,E444=$AB$45,$AF$45,E444=$AB$46,$AF$46,E444=$AB$47,$AF$47,E444=$AB$48,$AF$48,E444=$AB$49,$AF$49,E444=$AB$50,$AF$50,E444=$AB$51,$AF$51,E444=$AB$52,$AF$52,E444=$AB$53,$AF$53,E444=$AB$54,$AF$54,E444=$AB$55,$AF$55,E444=$AB$56,$AF$56,E444=$AB$57,$AF$57,E444=$AB$58,$AF$58,E444=$AB$59,$AF$59,E444=$AB$60,$AF$60,E444=$AB$61,$AF$61,E444=$AB$62,$AF$62,E444=$AB$63,$AF$63,E444=$AB$64,$AF$64,E444=$AB$65,$AF$65,E444=$AB$66,$AF$66,TRUE,"0")</f>
        <v>if 0-0, BACK+ 0.5 GOALS  @ 1.15+odds.  or @ 40 mins</v>
      </c>
      <c r="D444" s="270" t="str" cm="1">
        <f t="array" ref="D444">_xlfn.IFS(E444=$AB$42,$AD$42,E444=$AB$43,$AD$43,E444=$AB$44,$AD$44,E444=$AB$45,$AD$45,E444=$AB$46,$AD$46,E444=$AB$47,$AD$47,E444=$AB$48,$AD$48,E444=$AB$49,$AD$49,E444=$AB$50,$AD$50,E444=$AB$51,$AD$51,E444=$AB$52,$AD$52,E444=$AB$53,$AD$53,E444=$AB$54,$AD$54,E444=$AB$55,$AD$55,E444=$AB$56,$AD$56,E444=$AB$57,$AD$57,E444=$AB$58,$AD$58,E444=$AB$59,$AD$59,E444=$AB$60,$AD$60,E444=$AB$61,$AD$61,E444=$AB$62,$AD$62,E444=$AB$63,$AD$63,E444=$AB$64,$AD$64,E444=$AB$65,$AD$65,E444=$AB$66,$AD$66,TRUE,"0")</f>
        <v>IP</v>
      </c>
      <c r="E444" s="163" t="s">
        <v>270</v>
      </c>
      <c r="F444" s="2" t="s">
        <v>296</v>
      </c>
      <c r="G444" s="2" t="s">
        <v>78</v>
      </c>
      <c r="H444" s="3">
        <v>45354.552083333336</v>
      </c>
      <c r="I444" s="2" t="s">
        <v>299</v>
      </c>
      <c r="J444" s="2" t="s">
        <v>368</v>
      </c>
      <c r="K444" s="2">
        <v>69</v>
      </c>
      <c r="L444" s="2">
        <v>0</v>
      </c>
      <c r="M444" s="2">
        <v>20</v>
      </c>
      <c r="N444" s="2">
        <v>36</v>
      </c>
      <c r="O444" s="2">
        <v>1.49</v>
      </c>
      <c r="P444" s="2"/>
      <c r="Q444" s="2" t="s">
        <v>95</v>
      </c>
      <c r="R444" s="10" t="s">
        <v>193</v>
      </c>
      <c r="S444" s="14" t="s">
        <v>193</v>
      </c>
      <c r="T444" s="188">
        <f t="shared" si="47"/>
        <v>564.27347031724128</v>
      </c>
      <c r="U444" s="8">
        <f t="shared" si="53"/>
        <v>101.56922465710342</v>
      </c>
      <c r="V444" s="234">
        <f t="shared" si="54"/>
        <v>11387.038631001928</v>
      </c>
      <c r="W444" s="15">
        <v>25</v>
      </c>
      <c r="X444" s="8">
        <f t="shared" si="48"/>
        <v>4.5</v>
      </c>
      <c r="Y444" s="233">
        <f t="shared" si="49"/>
        <v>2080.5</v>
      </c>
    </row>
    <row r="445" spans="1:25">
      <c r="A445" s="156" t="e" cm="1">
        <f t="array" aca="1" ref="A445" ca="1">_xlfn.IFS(E445=$AB$42,$AC$42,E445=$AB$43,$AC$43,E445=$AB$44,$AC$44,E445=$AB$45,$AC$45,E445=$AB$46,$AC$46,E445=$AB$47,$AC$47,E445=$AB$48,$AC$48,E445=$AB$49,$AC$49,E445=$AB$50,$AC$50,E445=$AB$51,$AC$51,E445=$AB$52,$AC$52,E445=$AB$53,$AC$53,E445=$AB$54,$AC$54,E445=$AB$55,$AC$55,E445=$AB$56,$AC$56,E445=$AB$57,$AC$57,E445=$AB$58,$AC$58,E445=$AB$59,$AC$59,E445=$AB$60,$AC$60,E445=$AB$61,$AC$61,E445=$AB$62,$AC$62,E445=$AB$63,$AC$63,E445=$AB$64,$AC$64,E445=$AB$65,$AC$65,E445=$AB$66,$AC$66,TRUE,"0")</f>
        <v>#NAME?</v>
      </c>
      <c r="C445" s="161" t="str" cm="1">
        <f t="array" ref="C445">_xlfn.IFS(E445=$AB$42,$AF$42,E445=$AB$43,$AF$43,E445=$AB$44,$AF$44,E445=$AB$45,$AF$45,E445=$AB$46,$AF$46,E445=$AB$47,$AF$47,E445=$AB$48,$AF$48,E445=$AB$49,$AF$49,E445=$AB$50,$AF$50,E445=$AB$51,$AF$51,E445=$AB$52,$AF$52,E445=$AB$53,$AF$53,E445=$AB$54,$AF$54,E445=$AB$55,$AF$55,E445=$AB$56,$AF$56,E445=$AB$57,$AF$57,E445=$AB$58,$AF$58,E445=$AB$59,$AF$59,E445=$AB$60,$AF$60,E445=$AB$61,$AF$61,E445=$AB$62,$AF$62,E445=$AB$63,$AF$63,E445=$AB$64,$AF$64,E445=$AB$65,$AF$65,E445=$AB$66,$AF$66,TRUE,"0")</f>
        <v>if 0-0, BACK+ 0.5 GOALS  @ 1.15+odds.  or @ 40 mins</v>
      </c>
      <c r="D445" s="270" t="str" cm="1">
        <f t="array" ref="D445">_xlfn.IFS(E445=$AB$42,$AD$42,E445=$AB$43,$AD$43,E445=$AB$44,$AD$44,E445=$AB$45,$AD$45,E445=$AB$46,$AD$46,E445=$AB$47,$AD$47,E445=$AB$48,$AD$48,E445=$AB$49,$AD$49,E445=$AB$50,$AD$50,E445=$AB$51,$AD$51,E445=$AB$52,$AD$52,E445=$AB$53,$AD$53,E445=$AB$54,$AD$54,E445=$AB$55,$AD$55,E445=$AB$56,$AD$56,E445=$AB$57,$AD$57,E445=$AB$58,$AD$58,E445=$AB$59,$AD$59,E445=$AB$60,$AD$60,E445=$AB$61,$AD$61,E445=$AB$62,$AD$62,E445=$AB$63,$AD$63,E445=$AB$64,$AD$64,E445=$AB$65,$AD$65,E445=$AB$66,$AD$66,TRUE,"0")</f>
        <v>IP</v>
      </c>
      <c r="E445" s="163" t="s">
        <v>270</v>
      </c>
      <c r="F445" s="2" t="s">
        <v>149</v>
      </c>
      <c r="G445" s="2" t="s">
        <v>153</v>
      </c>
      <c r="H445" s="3">
        <v>45354.5625</v>
      </c>
      <c r="I445" s="2" t="s">
        <v>206</v>
      </c>
      <c r="J445" s="2" t="s">
        <v>205</v>
      </c>
      <c r="K445" s="2">
        <v>67</v>
      </c>
      <c r="L445" s="2">
        <v>0</v>
      </c>
      <c r="M445" s="2">
        <v>20</v>
      </c>
      <c r="N445" s="2">
        <v>31</v>
      </c>
      <c r="O445" s="2">
        <v>2.68</v>
      </c>
      <c r="P445" s="2"/>
      <c r="Q445" s="2" t="s">
        <v>95</v>
      </c>
      <c r="R445" s="10" t="s">
        <v>214</v>
      </c>
      <c r="S445" s="14" t="s">
        <v>220</v>
      </c>
      <c r="T445" s="188">
        <f t="shared" si="47"/>
        <v>569.35193155009642</v>
      </c>
      <c r="U445" s="8">
        <f t="shared" si="53"/>
        <v>102.48334767901736</v>
      </c>
      <c r="V445" s="234">
        <f t="shared" si="54"/>
        <v>11489.521978680945</v>
      </c>
      <c r="W445" s="15">
        <v>25</v>
      </c>
      <c r="X445" s="8">
        <f t="shared" si="48"/>
        <v>4.5</v>
      </c>
      <c r="Y445" s="233">
        <f t="shared" si="49"/>
        <v>2085</v>
      </c>
    </row>
    <row r="446" spans="1:25">
      <c r="A446" s="156" t="e" cm="1">
        <f t="array" aca="1" ref="A446" ca="1">_xlfn.IFS(E446=$AB$42,$AC$42,E446=$AB$43,$AC$43,E446=$AB$44,$AC$44,E446=$AB$45,$AC$45,E446=$AB$46,$AC$46,E446=$AB$47,$AC$47,E446=$AB$48,$AC$48,E446=$AB$49,$AC$49,E446=$AB$50,$AC$50,E446=$AB$51,$AC$51,E446=$AB$52,$AC$52,E446=$AB$53,$AC$53,E446=$AB$54,$AC$54,E446=$AB$55,$AC$55,E446=$AB$56,$AC$56,E446=$AB$57,$AC$57,E446=$AB$58,$AC$58,E446=$AB$59,$AC$59,E446=$AB$60,$AC$60,E446=$AB$61,$AC$61,E446=$AB$62,$AC$62,E446=$AB$63,$AC$63,E446=$AB$64,$AC$64,E446=$AB$65,$AC$65,E446=$AB$66,$AC$66,TRUE,"0")</f>
        <v>#NAME?</v>
      </c>
      <c r="C446" s="161" t="str" cm="1">
        <f t="array" ref="C446">_xlfn.IFS(E446=$AB$42,$AF$42,E446=$AB$43,$AF$43,E446=$AB$44,$AF$44,E446=$AB$45,$AF$45,E446=$AB$46,$AF$46,E446=$AB$47,$AF$47,E446=$AB$48,$AF$48,E446=$AB$49,$AF$49,E446=$AB$50,$AF$50,E446=$AB$51,$AF$51,E446=$AB$52,$AF$52,E446=$AB$53,$AF$53,E446=$AB$54,$AF$54,E446=$AB$55,$AF$55,E446=$AB$56,$AF$56,E446=$AB$57,$AF$57,E446=$AB$58,$AF$58,E446=$AB$59,$AF$59,E446=$AB$60,$AF$60,E446=$AB$61,$AF$61,E446=$AB$62,$AF$62,E446=$AB$63,$AF$63,E446=$AB$64,$AF$64,E446=$AB$65,$AF$65,E446=$AB$66,$AF$66,TRUE,"0")</f>
        <v>B4 Match, lay HT 0-0 or BACK H1 +0.5 GOALS</v>
      </c>
      <c r="D446" s="270" t="str" cm="1">
        <f t="array" ref="D446">_xlfn.IFS(E446=$AB$42,$AD$42,E446=$AB$43,$AD$43,E446=$AB$44,$AD$44,E446=$AB$45,$AD$45,E446=$AB$46,$AD$46,E446=$AB$47,$AD$47,E446=$AB$48,$AD$48,E446=$AB$49,$AD$49,E446=$AB$50,$AD$50,E446=$AB$51,$AD$51,E446=$AB$52,$AD$52,E446=$AB$53,$AD$53,E446=$AB$54,$AD$54,E446=$AB$55,$AD$55,E446=$AB$56,$AD$56,E446=$AB$57,$AD$57,E446=$AB$58,$AD$58,E446=$AB$59,$AD$59,E446=$AB$60,$AD$60,E446=$AB$61,$AD$61,E446=$AB$62,$AD$62,E446=$AB$63,$AD$63,E446=$AB$64,$AD$64,E446=$AB$65,$AD$65,E446=$AB$66,$AD$66,TRUE,"0")</f>
        <v xml:space="preserve">BFM </v>
      </c>
      <c r="E446" s="163" t="s">
        <v>432</v>
      </c>
      <c r="F446" s="2" t="s">
        <v>149</v>
      </c>
      <c r="G446" s="2" t="s">
        <v>153</v>
      </c>
      <c r="H446" s="3">
        <v>45354.5625</v>
      </c>
      <c r="I446" s="2" t="s">
        <v>188</v>
      </c>
      <c r="J446" s="2" t="s">
        <v>282</v>
      </c>
      <c r="K446" s="2">
        <v>5</v>
      </c>
      <c r="L446" s="2">
        <v>20</v>
      </c>
      <c r="M446" s="2">
        <v>14</v>
      </c>
      <c r="N446" s="2">
        <v>16</v>
      </c>
      <c r="O446" s="2">
        <v>20</v>
      </c>
      <c r="P446" s="2">
        <v>1.55</v>
      </c>
      <c r="Q446" s="2" t="s">
        <v>95</v>
      </c>
      <c r="R446" s="10" t="s">
        <v>216</v>
      </c>
      <c r="S446" s="14" t="s">
        <v>210</v>
      </c>
      <c r="T446" s="188">
        <f t="shared" si="47"/>
        <v>574.47609893404729</v>
      </c>
      <c r="U446" s="8">
        <f t="shared" si="53"/>
        <v>103.40569780812851</v>
      </c>
      <c r="V446" s="234">
        <f t="shared" si="54"/>
        <v>11592.927676489073</v>
      </c>
      <c r="W446" s="15">
        <v>25</v>
      </c>
      <c r="X446" s="8">
        <f t="shared" si="48"/>
        <v>4.5</v>
      </c>
      <c r="Y446" s="233">
        <f t="shared" si="49"/>
        <v>2089.5</v>
      </c>
    </row>
    <row r="447" spans="1:25">
      <c r="A447" s="156" t="e" cm="1">
        <f t="array" aca="1" ref="A447" ca="1">_xlfn.IFS(E447=$AB$42,$AC$42,E447=$AB$43,$AC$43,E447=$AB$44,$AC$44,E447=$AB$45,$AC$45,E447=$AB$46,$AC$46,E447=$AB$47,$AC$47,E447=$AB$48,$AC$48,E447=$AB$49,$AC$49,E447=$AB$50,$AC$50,E447=$AB$51,$AC$51,E447=$AB$52,$AC$52,E447=$AB$53,$AC$53,E447=$AB$54,$AC$54,E447=$AB$55,$AC$55,E447=$AB$56,$AC$56,E447=$AB$57,$AC$57,E447=$AB$58,$AC$58,E447=$AB$59,$AC$59,E447=$AB$60,$AC$60,E447=$AB$61,$AC$61,E447=$AB$62,$AC$62,E447=$AB$63,$AC$63,E447=$AB$64,$AC$64,E447=$AB$65,$AC$65,E447=$AB$66,$AC$66,TRUE,"0")</f>
        <v>#NAME?</v>
      </c>
      <c r="C447" s="161" t="str" cm="1">
        <f t="array" ref="C447">_xlfn.IFS(E447=$AB$42,$AF$42,E447=$AB$43,$AF$43,E447=$AB$44,$AF$44,E447=$AB$45,$AF$45,E447=$AB$46,$AF$46,E447=$AB$47,$AF$47,E447=$AB$48,$AF$48,E447=$AB$49,$AF$49,E447=$AB$50,$AF$50,E447=$AB$51,$AF$51,E447=$AB$52,$AF$52,E447=$AB$53,$AF$53,E447=$AB$54,$AF$54,E447=$AB$55,$AF$55,E447=$AB$56,$AF$56,E447=$AB$57,$AF$57,E447=$AB$58,$AF$58,E447=$AB$59,$AF$59,E447=$AB$60,$AF$60,E447=$AB$61,$AF$61,E447=$AB$62,$AF$62,E447=$AB$63,$AF$63,E447=$AB$64,$AF$64,E447=$AB$65,$AF$65,E447=$AB$66,$AF$66,TRUE,"0")</f>
        <v>40 mins Back ANother Goal</v>
      </c>
      <c r="D447" s="270" t="str" cm="1">
        <f t="array" ref="D447">_xlfn.IFS(E447=$AB$42,$AD$42,E447=$AB$43,$AD$43,E447=$AB$44,$AD$44,E447=$AB$45,$AD$45,E447=$AB$46,$AD$46,E447=$AB$47,$AD$47,E447=$AB$48,$AD$48,E447=$AB$49,$AD$49,E447=$AB$50,$AD$50,E447=$AB$51,$AD$51,E447=$AB$52,$AD$52,E447=$AB$53,$AD$53,E447=$AB$54,$AD$54,E447=$AB$55,$AD$55,E447=$AB$56,$AD$56,E447=$AB$57,$AD$57,E447=$AB$58,$AD$58,E447=$AB$59,$AD$59,E447=$AB$60,$AD$60,E447=$AB$61,$AD$61,E447=$AB$62,$AD$62,E447=$AB$63,$AD$63,E447=$AB$64,$AD$64,E447=$AB$65,$AD$65,E447=$AB$66,$AD$66,TRUE,"0")</f>
        <v xml:space="preserve">  BANG</v>
      </c>
      <c r="E447" s="163" t="s">
        <v>10</v>
      </c>
      <c r="F447" s="2" t="s">
        <v>20</v>
      </c>
      <c r="G447" s="2" t="s">
        <v>21</v>
      </c>
      <c r="H447" s="3">
        <v>45354.583333333336</v>
      </c>
      <c r="I447" s="2" t="s">
        <v>402</v>
      </c>
      <c r="J447" s="2" t="s">
        <v>98</v>
      </c>
      <c r="K447" s="2">
        <v>1.9</v>
      </c>
      <c r="L447" s="2">
        <v>95</v>
      </c>
      <c r="M447" s="2">
        <v>70</v>
      </c>
      <c r="N447" s="2">
        <v>25</v>
      </c>
      <c r="O447" s="2">
        <v>64</v>
      </c>
      <c r="P447" s="2">
        <v>20</v>
      </c>
      <c r="Q447" s="2" t="s">
        <v>95</v>
      </c>
      <c r="R447" s="10" t="s">
        <v>214</v>
      </c>
      <c r="S447" s="14" t="s">
        <v>216</v>
      </c>
      <c r="T447" s="188">
        <f t="shared" si="47"/>
        <v>579.64638382445366</v>
      </c>
      <c r="U447" s="8">
        <f t="shared" si="53"/>
        <v>104.33634908840166</v>
      </c>
      <c r="V447" s="234">
        <f t="shared" si="54"/>
        <v>11697.264025577475</v>
      </c>
      <c r="W447" s="15">
        <v>25</v>
      </c>
      <c r="X447" s="8">
        <f t="shared" si="48"/>
        <v>4.5</v>
      </c>
      <c r="Y447" s="233">
        <f t="shared" si="49"/>
        <v>2094</v>
      </c>
    </row>
    <row r="448" spans="1:25">
      <c r="A448" s="156" t="e" cm="1">
        <f t="array" aca="1" ref="A448" ca="1">_xlfn.IFS(E448=$AB$42,$AC$42,E448=$AB$43,$AC$43,E448=$AB$44,$AC$44,E448=$AB$45,$AC$45,E448=$AB$46,$AC$46,E448=$AB$47,$AC$47,E448=$AB$48,$AC$48,E448=$AB$49,$AC$49,E448=$AB$50,$AC$50,E448=$AB$51,$AC$51,E448=$AB$52,$AC$52,E448=$AB$53,$AC$53,E448=$AB$54,$AC$54,E448=$AB$55,$AC$55,E448=$AB$56,$AC$56,E448=$AB$57,$AC$57,E448=$AB$58,$AC$58,E448=$AB$59,$AC$59,E448=$AB$60,$AC$60,E448=$AB$61,$AC$61,E448=$AB$62,$AC$62,E448=$AB$63,$AC$63,E448=$AB$64,$AC$64,E448=$AB$65,$AC$65,E448=$AB$66,$AC$66,TRUE,"0")</f>
        <v>#NAME?</v>
      </c>
      <c r="C448" s="161" t="str" cm="1">
        <f t="array" ref="C448">_xlfn.IFS(E448=$AB$42,$AF$42,E448=$AB$43,$AF$43,E448=$AB$44,$AF$44,E448=$AB$45,$AF$45,E448=$AB$46,$AF$46,E448=$AB$47,$AF$47,E448=$AB$48,$AF$48,E448=$AB$49,$AF$49,E448=$AB$50,$AF$50,E448=$AB$51,$AF$51,E448=$AB$52,$AF$52,E448=$AB$53,$AF$53,E448=$AB$54,$AF$54,E448=$AB$55,$AF$55,E448=$AB$56,$AF$56,E448=$AB$57,$AF$57,E448=$AB$58,$AF$58,E448=$AB$59,$AF$59,E448=$AB$60,$AF$60,E448=$AB$61,$AF$61,E448=$AB$62,$AF$62,E448=$AB$63,$AF$63,E448=$AB$64,$AF$64,E448=$AB$65,$AF$65,E448=$AB$66,$AF$66,TRUE,"0")</f>
        <v>40 mins Back ANother Goal</v>
      </c>
      <c r="D448" s="270" t="str" cm="1">
        <f t="array" ref="D448">_xlfn.IFS(E448=$AB$42,$AD$42,E448=$AB$43,$AD$43,E448=$AB$44,$AD$44,E448=$AB$45,$AD$45,E448=$AB$46,$AD$46,E448=$AB$47,$AD$47,E448=$AB$48,$AD$48,E448=$AB$49,$AD$49,E448=$AB$50,$AD$50,E448=$AB$51,$AD$51,E448=$AB$52,$AD$52,E448=$AB$53,$AD$53,E448=$AB$54,$AD$54,E448=$AB$55,$AD$55,E448=$AB$56,$AD$56,E448=$AB$57,$AD$57,E448=$AB$58,$AD$58,E448=$AB$59,$AD$59,E448=$AB$60,$AD$60,E448=$AB$61,$AD$61,E448=$AB$62,$AD$62,E448=$AB$63,$AD$63,E448=$AB$64,$AD$64,E448=$AB$65,$AD$65,E448=$AB$66,$AD$66,TRUE,"0")</f>
        <v xml:space="preserve">  BANG</v>
      </c>
      <c r="E448" s="163" t="s">
        <v>43</v>
      </c>
      <c r="F448" s="2" t="s">
        <v>20</v>
      </c>
      <c r="G448" s="2" t="s">
        <v>21</v>
      </c>
      <c r="H448" s="3">
        <v>45354.583333333336</v>
      </c>
      <c r="I448" s="2" t="s">
        <v>402</v>
      </c>
      <c r="J448" s="2" t="s">
        <v>98</v>
      </c>
      <c r="K448" s="2">
        <v>80</v>
      </c>
      <c r="L448" s="2">
        <v>67</v>
      </c>
      <c r="M448" s="2">
        <v>64</v>
      </c>
      <c r="N448" s="2">
        <v>1.9</v>
      </c>
      <c r="O448" s="2">
        <v>1.31</v>
      </c>
      <c r="P448" s="2"/>
      <c r="Q448" s="2" t="s">
        <v>95</v>
      </c>
      <c r="R448" s="10" t="s">
        <v>214</v>
      </c>
      <c r="S448" s="14" t="s">
        <v>216</v>
      </c>
      <c r="T448" s="188">
        <f t="shared" si="47"/>
        <v>584.86320127887382</v>
      </c>
      <c r="U448" s="8">
        <f t="shared" si="53"/>
        <v>105.27537623019728</v>
      </c>
      <c r="V448" s="234">
        <f t="shared" si="54"/>
        <v>11802.539401807673</v>
      </c>
      <c r="W448" s="15">
        <v>25</v>
      </c>
      <c r="X448" s="8">
        <f t="shared" si="48"/>
        <v>4.5</v>
      </c>
      <c r="Y448" s="233">
        <f t="shared" si="49"/>
        <v>2098.5</v>
      </c>
    </row>
    <row r="449" spans="1:25">
      <c r="A449" s="156" t="e" cm="1">
        <f t="array" aca="1" ref="A449" ca="1">_xlfn.IFS(E449=$AB$42,$AC$42,E449=$AB$43,$AC$43,E449=$AB$44,$AC$44,E449=$AB$45,$AC$45,E449=$AB$46,$AC$46,E449=$AB$47,$AC$47,E449=$AB$48,$AC$48,E449=$AB$49,$AC$49,E449=$AB$50,$AC$50,E449=$AB$51,$AC$51,E449=$AB$52,$AC$52,E449=$AB$53,$AC$53,E449=$AB$54,$AC$54,E449=$AB$55,$AC$55,E449=$AB$56,$AC$56,E449=$AB$57,$AC$57,E449=$AB$58,$AC$58,E449=$AB$59,$AC$59,E449=$AB$60,$AC$60,E449=$AB$61,$AC$61,E449=$AB$62,$AC$62,E449=$AB$63,$AC$63,E449=$AB$64,$AC$64,E449=$AB$65,$AC$65,E449=$AB$66,$AC$66,TRUE,"0")</f>
        <v>#NAME?</v>
      </c>
      <c r="C449" s="161" t="str" cm="1">
        <f t="array" ref="C449">_xlfn.IFS(E449=$AB$42,$AF$42,E449=$AB$43,$AF$43,E449=$AB$44,$AF$44,E449=$AB$45,$AF$45,E449=$AB$46,$AF$46,E449=$AB$47,$AF$47,E449=$AB$48,$AF$48,E449=$AB$49,$AF$49,E449=$AB$50,$AF$50,E449=$AB$51,$AF$51,E449=$AB$52,$AF$52,E449=$AB$53,$AF$53,E449=$AB$54,$AF$54,E449=$AB$55,$AF$55,E449=$AB$56,$AF$56,E449=$AB$57,$AF$57,E449=$AB$58,$AF$58,E449=$AB$59,$AF$59,E449=$AB$60,$AF$60,E449=$AB$61,$AF$61,E449=$AB$62,$AF$62,E449=$AB$63,$AF$63,E449=$AB$64,$AF$64,E449=$AB$65,$AF$65,E449=$AB$66,$AF$66,TRUE,"0")</f>
        <v>B4 match BACK FT +1.5 goals. X AFTER  GOAL</v>
      </c>
      <c r="D449" s="270" t="str" cm="1">
        <f t="array" ref="D449">_xlfn.IFS(E449=$AB$42,$AD$42,E449=$AB$43,$AD$43,E449=$AB$44,$AD$44,E449=$AB$45,$AD$45,E449=$AB$46,$AD$46,E449=$AB$47,$AD$47,E449=$AB$48,$AD$48,E449=$AB$49,$AD$49,E449=$AB$50,$AD$50,E449=$AB$51,$AD$51,E449=$AB$52,$AD$52,E449=$AB$53,$AD$53,E449=$AB$54,$AD$54,E449=$AB$55,$AD$55,E449=$AB$56,$AD$56,E449=$AB$57,$AD$57,E449=$AB$58,$AD$58,E449=$AB$59,$AD$59,E449=$AB$60,$AD$60,E449=$AB$61,$AD$61,E449=$AB$62,$AD$62,E449=$AB$63,$AD$63,E449=$AB$64,$AD$64,E449=$AB$65,$AD$65,E449=$AB$66,$AD$66,TRUE,"0")</f>
        <v xml:space="preserve">BFM </v>
      </c>
      <c r="E449" s="163" t="s">
        <v>506</v>
      </c>
      <c r="F449" s="2" t="s">
        <v>77</v>
      </c>
      <c r="G449" s="2" t="s">
        <v>156</v>
      </c>
      <c r="H449" s="3">
        <v>45354.604166666664</v>
      </c>
      <c r="I449" s="2" t="s">
        <v>438</v>
      </c>
      <c r="J449" s="2" t="s">
        <v>325</v>
      </c>
      <c r="K449" s="2">
        <v>110</v>
      </c>
      <c r="L449" s="2">
        <v>6</v>
      </c>
      <c r="M449" s="2">
        <v>340</v>
      </c>
      <c r="N449" s="2">
        <v>20</v>
      </c>
      <c r="O449" s="2">
        <v>2.65</v>
      </c>
      <c r="P449" s="2"/>
      <c r="Q449" s="2" t="s">
        <v>95</v>
      </c>
      <c r="R449" s="10" t="s">
        <v>193</v>
      </c>
      <c r="S449" s="14" t="s">
        <v>217</v>
      </c>
      <c r="T449" s="188">
        <f t="shared" si="47"/>
        <v>590.12697009038368</v>
      </c>
      <c r="U449" s="8">
        <f t="shared" si="53"/>
        <v>106.22285461626906</v>
      </c>
      <c r="V449" s="234">
        <f t="shared" si="54"/>
        <v>11908.762256423943</v>
      </c>
      <c r="W449" s="15">
        <v>25</v>
      </c>
      <c r="X449" s="8">
        <f t="shared" si="48"/>
        <v>4.5</v>
      </c>
      <c r="Y449" s="233">
        <f t="shared" si="49"/>
        <v>2103</v>
      </c>
    </row>
    <row r="450" spans="1:25">
      <c r="A450" s="156" t="e" cm="1">
        <f t="array" aca="1" ref="A450" ca="1">_xlfn.IFS(E450=$AB$42,$AC$42,E450=$AB$43,$AC$43,E450=$AB$44,$AC$44,E450=$AB$45,$AC$45,E450=$AB$46,$AC$46,E450=$AB$47,$AC$47,E450=$AB$48,$AC$48,E450=$AB$49,$AC$49,E450=$AB$50,$AC$50,E450=$AB$51,$AC$51,E450=$AB$52,$AC$52,E450=$AB$53,$AC$53,E450=$AB$54,$AC$54,E450=$AB$55,$AC$55,E450=$AB$56,$AC$56,E450=$AB$57,$AC$57,E450=$AB$58,$AC$58,E450=$AB$59,$AC$59,E450=$AB$60,$AC$60,E450=$AB$61,$AC$61,E450=$AB$62,$AC$62,E450=$AB$63,$AC$63,E450=$AB$64,$AC$64,E450=$AB$65,$AC$65,E450=$AB$66,$AC$66,TRUE,"0")</f>
        <v>#NAME?</v>
      </c>
      <c r="C450" s="161" t="str" cm="1">
        <f t="array" ref="C450">_xlfn.IFS(E450=$AB$42,$AF$42,E450=$AB$43,$AF$43,E450=$AB$44,$AF$44,E450=$AB$45,$AF$45,E450=$AB$46,$AF$46,E450=$AB$47,$AF$47,E450=$AB$48,$AF$48,E450=$AB$49,$AF$49,E450=$AB$50,$AF$50,E450=$AB$51,$AF$51,E450=$AB$52,$AF$52,E450=$AB$53,$AF$53,E450=$AB$54,$AF$54,E450=$AB$55,$AF$55,E450=$AB$56,$AF$56,E450=$AB$57,$AF$57,E450=$AB$58,$AF$58,E450=$AB$59,$AF$59,E450=$AB$60,$AF$60,E450=$AB$61,$AF$61,E450=$AB$62,$AF$62,E450=$AB$63,$AF$63,E450=$AB$64,$AF$64,E450=$AB$65,$AF$65,E450=$AB$66,$AF$66,TRUE,"0")</f>
        <v>40 mins Back ANother Goal</v>
      </c>
      <c r="D450" s="270" t="str" cm="1">
        <f t="array" ref="D450">_xlfn.IFS(E450=$AB$42,$AD$42,E450=$AB$43,$AD$43,E450=$AB$44,$AD$44,E450=$AB$45,$AD$45,E450=$AB$46,$AD$46,E450=$AB$47,$AD$47,E450=$AB$48,$AD$48,E450=$AB$49,$AD$49,E450=$AB$50,$AD$50,E450=$AB$51,$AD$51,E450=$AB$52,$AD$52,E450=$AB$53,$AD$53,E450=$AB$54,$AD$54,E450=$AB$55,$AD$55,E450=$AB$56,$AD$56,E450=$AB$57,$AD$57,E450=$AB$58,$AD$58,E450=$AB$59,$AD$59,E450=$AB$60,$AD$60,E450=$AB$61,$AD$61,E450=$AB$62,$AD$62,E450=$AB$63,$AD$63,E450=$AB$64,$AD$64,E450=$AB$65,$AD$65,E450=$AB$66,$AD$66,TRUE,"0")</f>
        <v xml:space="preserve">  BANG</v>
      </c>
      <c r="E450" s="163" t="s">
        <v>10</v>
      </c>
      <c r="F450" s="2" t="s">
        <v>67</v>
      </c>
      <c r="G450" s="2" t="s">
        <v>68</v>
      </c>
      <c r="H450" s="3">
        <v>45354.625</v>
      </c>
      <c r="I450" s="2" t="s">
        <v>371</v>
      </c>
      <c r="J450" s="2" t="s">
        <v>342</v>
      </c>
      <c r="K450" s="2">
        <v>1.9</v>
      </c>
      <c r="L450" s="2">
        <v>85</v>
      </c>
      <c r="M450" s="2">
        <v>65</v>
      </c>
      <c r="N450" s="2">
        <v>35</v>
      </c>
      <c r="O450" s="2">
        <v>67</v>
      </c>
      <c r="P450" s="2">
        <v>20</v>
      </c>
      <c r="Q450" s="2" t="s">
        <v>95</v>
      </c>
      <c r="R450" s="10" t="s">
        <v>221</v>
      </c>
      <c r="S450" s="14" t="s">
        <v>207</v>
      </c>
      <c r="T450" s="188">
        <f t="shared" si="47"/>
        <v>595.43811282119714</v>
      </c>
      <c r="U450" s="8">
        <f t="shared" si="53"/>
        <v>107.17886030781548</v>
      </c>
      <c r="V450" s="234">
        <f t="shared" si="54"/>
        <v>12015.941116731758</v>
      </c>
      <c r="W450" s="15">
        <v>25</v>
      </c>
      <c r="X450" s="8">
        <f t="shared" si="48"/>
        <v>4.5</v>
      </c>
      <c r="Y450" s="233">
        <f t="shared" si="49"/>
        <v>2107.5</v>
      </c>
    </row>
    <row r="451" spans="1:25">
      <c r="A451" s="156" t="e" cm="1">
        <f t="array" aca="1" ref="A451" ca="1">_xlfn.IFS(E451=$AB$42,$AC$42,E451=$AB$43,$AC$43,E451=$AB$44,$AC$44,E451=$AB$45,$AC$45,E451=$AB$46,$AC$46,E451=$AB$47,$AC$47,E451=$AB$48,$AC$48,E451=$AB$49,$AC$49,E451=$AB$50,$AC$50,E451=$AB$51,$AC$51,E451=$AB$52,$AC$52,E451=$AB$53,$AC$53,E451=$AB$54,$AC$54,E451=$AB$55,$AC$55,E451=$AB$56,$AC$56,E451=$AB$57,$AC$57,E451=$AB$58,$AC$58,E451=$AB$59,$AC$59,E451=$AB$60,$AC$60,E451=$AB$61,$AC$61,E451=$AB$62,$AC$62,E451=$AB$63,$AC$63,E451=$AB$64,$AC$64,E451=$AB$65,$AC$65,E451=$AB$66,$AC$66,TRUE,"0")</f>
        <v>#NAME?</v>
      </c>
      <c r="C451" s="161" t="str" cm="1">
        <f t="array" ref="C451">_xlfn.IFS(E451=$AB$42,$AF$42,E451=$AB$43,$AF$43,E451=$AB$44,$AF$44,E451=$AB$45,$AF$45,E451=$AB$46,$AF$46,E451=$AB$47,$AF$47,E451=$AB$48,$AF$48,E451=$AB$49,$AF$49,E451=$AB$50,$AF$50,E451=$AB$51,$AF$51,E451=$AB$52,$AF$52,E451=$AB$53,$AF$53,E451=$AB$54,$AF$54,E451=$AB$55,$AF$55,E451=$AB$56,$AF$56,E451=$AB$57,$AF$57,E451=$AB$58,$AF$58,E451=$AB$59,$AF$59,E451=$AB$60,$AF$60,E451=$AB$61,$AF$61,E451=$AB$62,$AF$62,E451=$AB$63,$AF$63,E451=$AB$64,$AF$64,E451=$AB$65,$AF$65,E451=$AB$66,$AF$66,TRUE,"0")</f>
        <v>if 0-0, BACK+ 0.5 GOALS  @ 1.15+odds.  or @ 40 mins</v>
      </c>
      <c r="D451" s="270" t="str" cm="1">
        <f t="array" ref="D451">_xlfn.IFS(E451=$AB$42,$AD$42,E451=$AB$43,$AD$43,E451=$AB$44,$AD$44,E451=$AB$45,$AD$45,E451=$AB$46,$AD$46,E451=$AB$47,$AD$47,E451=$AB$48,$AD$48,E451=$AB$49,$AD$49,E451=$AB$50,$AD$50,E451=$AB$51,$AD$51,E451=$AB$52,$AD$52,E451=$AB$53,$AD$53,E451=$AB$54,$AD$54,E451=$AB$55,$AD$55,E451=$AB$56,$AD$56,E451=$AB$57,$AD$57,E451=$AB$58,$AD$58,E451=$AB$59,$AD$59,E451=$AB$60,$AD$60,E451=$AB$61,$AD$61,E451=$AB$62,$AD$62,E451=$AB$63,$AD$63,E451=$AB$64,$AD$64,E451=$AB$65,$AD$65,E451=$AB$66,$AD$66,TRUE,"0")</f>
        <v>IP</v>
      </c>
      <c r="E451" s="163" t="s">
        <v>270</v>
      </c>
      <c r="F451" s="2" t="s">
        <v>20</v>
      </c>
      <c r="G451" s="2" t="s">
        <v>322</v>
      </c>
      <c r="H451" s="3">
        <v>45354.635416666664</v>
      </c>
      <c r="I451" s="2" t="s">
        <v>356</v>
      </c>
      <c r="J451" s="2" t="s">
        <v>487</v>
      </c>
      <c r="K451" s="2">
        <v>63</v>
      </c>
      <c r="L451" s="2">
        <v>0</v>
      </c>
      <c r="M451" s="2">
        <v>20</v>
      </c>
      <c r="N451" s="2">
        <v>32</v>
      </c>
      <c r="O451" s="2">
        <v>2.36</v>
      </c>
      <c r="P451" s="2"/>
      <c r="Q451" s="2" t="s">
        <v>95</v>
      </c>
      <c r="R451" s="10" t="s">
        <v>217</v>
      </c>
      <c r="S451" s="14" t="s">
        <v>211</v>
      </c>
      <c r="T451" s="188">
        <f t="shared" ref="T451:T514" si="55">SUM(V450*0.05)</f>
        <v>600.7970558365879</v>
      </c>
      <c r="U451" s="8">
        <f t="shared" si="53"/>
        <v>108.14347005058582</v>
      </c>
      <c r="V451" s="234">
        <f t="shared" si="54"/>
        <v>12124.084586782343</v>
      </c>
      <c r="W451" s="15">
        <v>25</v>
      </c>
      <c r="X451" s="8">
        <f t="shared" ref="X451:X514" si="56">IF(Q451="won",W451*0.18,-W451)</f>
        <v>4.5</v>
      </c>
      <c r="Y451" s="233">
        <f t="shared" ref="Y451:Y514" si="57">SUM(Y450,X451)</f>
        <v>2112</v>
      </c>
    </row>
    <row r="452" spans="1:25">
      <c r="A452" s="156" t="e" cm="1">
        <f t="array" aca="1" ref="A452" ca="1">_xlfn.IFS(E452=$AB$42,$AC$42,E452=$AB$43,$AC$43,E452=$AB$44,$AC$44,E452=$AB$45,$AC$45,E452=$AB$46,$AC$46,E452=$AB$47,$AC$47,E452=$AB$48,$AC$48,E452=$AB$49,$AC$49,E452=$AB$50,$AC$50,E452=$AB$51,$AC$51,E452=$AB$52,$AC$52,E452=$AB$53,$AC$53,E452=$AB$54,$AC$54,E452=$AB$55,$AC$55,E452=$AB$56,$AC$56,E452=$AB$57,$AC$57,E452=$AB$58,$AC$58,E452=$AB$59,$AC$59,E452=$AB$60,$AC$60,E452=$AB$61,$AC$61,E452=$AB$62,$AC$62,E452=$AB$63,$AC$63,E452=$AB$64,$AC$64,E452=$AB$65,$AC$65,E452=$AB$66,$AC$66,TRUE,"0")</f>
        <v>#NAME?</v>
      </c>
      <c r="C452" s="161" t="str" cm="1">
        <f t="array" ref="C452">_xlfn.IFS(E452=$AB$42,$AF$42,E452=$AB$43,$AF$43,E452=$AB$44,$AF$44,E452=$AB$45,$AF$45,E452=$AB$46,$AF$46,E452=$AB$47,$AF$47,E452=$AB$48,$AF$48,E452=$AB$49,$AF$49,E452=$AB$50,$AF$50,E452=$AB$51,$AF$51,E452=$AB$52,$AF$52,E452=$AB$53,$AF$53,E452=$AB$54,$AF$54,E452=$AB$55,$AF$55,E452=$AB$56,$AF$56,E452=$AB$57,$AF$57,E452=$AB$58,$AF$58,E452=$AB$59,$AF$59,E452=$AB$60,$AF$60,E452=$AB$61,$AF$61,E452=$AB$62,$AF$62,E452=$AB$63,$AF$63,E452=$AB$64,$AF$64,E452=$AB$65,$AF$65,E452=$AB$66,$AF$66,TRUE,"0")</f>
        <v>B4 match BACK FT +1.5 goals. X AFTER  GOAL</v>
      </c>
      <c r="D452" s="270" t="str" cm="1">
        <f t="array" ref="D452">_xlfn.IFS(E452=$AB$42,$AD$42,E452=$AB$43,$AD$43,E452=$AB$44,$AD$44,E452=$AB$45,$AD$45,E452=$AB$46,$AD$46,E452=$AB$47,$AD$47,E452=$AB$48,$AD$48,E452=$AB$49,$AD$49,E452=$AB$50,$AD$50,E452=$AB$51,$AD$51,E452=$AB$52,$AD$52,E452=$AB$53,$AD$53,E452=$AB$54,$AD$54,E452=$AB$55,$AD$55,E452=$AB$56,$AD$56,E452=$AB$57,$AD$57,E452=$AB$58,$AD$58,E452=$AB$59,$AD$59,E452=$AB$60,$AD$60,E452=$AB$61,$AD$61,E452=$AB$62,$AD$62,E452=$AB$63,$AD$63,E452=$AB$64,$AD$64,E452=$AB$65,$AD$65,E452=$AB$66,$AD$66,TRUE,"0")</f>
        <v xml:space="preserve">BFM </v>
      </c>
      <c r="E452" s="163" t="s">
        <v>406</v>
      </c>
      <c r="F452" s="2" t="s">
        <v>6</v>
      </c>
      <c r="G452" s="2" t="s">
        <v>62</v>
      </c>
      <c r="H452" s="3">
        <v>45354.645833333336</v>
      </c>
      <c r="I452" s="2" t="s">
        <v>72</v>
      </c>
      <c r="J452" s="2" t="s">
        <v>383</v>
      </c>
      <c r="K452" s="2">
        <v>1.31</v>
      </c>
      <c r="L452" s="2">
        <v>11</v>
      </c>
      <c r="M452" s="2">
        <v>2.95</v>
      </c>
      <c r="N452" s="2">
        <v>3.45</v>
      </c>
      <c r="O452" s="2">
        <v>2.94</v>
      </c>
      <c r="P452" s="2"/>
      <c r="Q452" s="2" t="s">
        <v>95</v>
      </c>
      <c r="R452" s="10" t="s">
        <v>193</v>
      </c>
      <c r="S452" s="14" t="s">
        <v>215</v>
      </c>
      <c r="T452" s="188">
        <f t="shared" si="55"/>
        <v>606.20422933911721</v>
      </c>
      <c r="U452" s="8">
        <f t="shared" si="53"/>
        <v>109.11676128104109</v>
      </c>
      <c r="V452" s="234">
        <f t="shared" si="54"/>
        <v>12233.201348063383</v>
      </c>
      <c r="W452" s="15">
        <v>25</v>
      </c>
      <c r="X452" s="8">
        <f t="shared" si="56"/>
        <v>4.5</v>
      </c>
      <c r="Y452" s="233">
        <f t="shared" si="57"/>
        <v>2116.5</v>
      </c>
    </row>
    <row r="453" spans="1:25">
      <c r="A453" s="156" t="e" cm="1">
        <f t="array" aca="1" ref="A453" ca="1">_xlfn.IFS(E453=$AB$42,$AC$42,E453=$AB$43,$AC$43,E453=$AB$44,$AC$44,E453=$AB$45,$AC$45,E453=$AB$46,$AC$46,E453=$AB$47,$AC$47,E453=$AB$48,$AC$48,E453=$AB$49,$AC$49,E453=$AB$50,$AC$50,E453=$AB$51,$AC$51,E453=$AB$52,$AC$52,E453=$AB$53,$AC$53,E453=$AB$54,$AC$54,E453=$AB$55,$AC$55,E453=$AB$56,$AC$56,E453=$AB$57,$AC$57,E453=$AB$58,$AC$58,E453=$AB$59,$AC$59,E453=$AB$60,$AC$60,E453=$AB$61,$AC$61,E453=$AB$62,$AC$62,E453=$AB$63,$AC$63,E453=$AB$64,$AC$64,E453=$AB$65,$AC$65,E453=$AB$66,$AC$66,TRUE,"0")</f>
        <v>#NAME?</v>
      </c>
      <c r="C453" s="161" t="str" cm="1">
        <f t="array" ref="C453">_xlfn.IFS(E453=$AB$42,$AF$42,E453=$AB$43,$AF$43,E453=$AB$44,$AF$44,E453=$AB$45,$AF$45,E453=$AB$46,$AF$46,E453=$AB$47,$AF$47,E453=$AB$48,$AF$48,E453=$AB$49,$AF$49,E453=$AB$50,$AF$50,E453=$AB$51,$AF$51,E453=$AB$52,$AF$52,E453=$AB$53,$AF$53,E453=$AB$54,$AF$54,E453=$AB$55,$AF$55,E453=$AB$56,$AF$56,E453=$AB$57,$AF$57,E453=$AB$58,$AF$58,E453=$AB$59,$AF$59,E453=$AB$60,$AF$60,E453=$AB$61,$AF$61,E453=$AB$62,$AF$62,E453=$AB$63,$AF$63,E453=$AB$64,$AF$64,E453=$AB$65,$AF$65,E453=$AB$66,$AF$66,TRUE,"0")</f>
        <v>B4 match BACK FT +1.5 goals. X AFTER  GOAL</v>
      </c>
      <c r="D453" s="270" t="str" cm="1">
        <f t="array" ref="D453">_xlfn.IFS(E453=$AB$42,$AD$42,E453=$AB$43,$AD$43,E453=$AB$44,$AD$44,E453=$AB$45,$AD$45,E453=$AB$46,$AD$46,E453=$AB$47,$AD$47,E453=$AB$48,$AD$48,E453=$AB$49,$AD$49,E453=$AB$50,$AD$50,E453=$AB$51,$AD$51,E453=$AB$52,$AD$52,E453=$AB$53,$AD$53,E453=$AB$54,$AD$54,E453=$AB$55,$AD$55,E453=$AB$56,$AD$56,E453=$AB$57,$AD$57,E453=$AB$58,$AD$58,E453=$AB$59,$AD$59,E453=$AB$60,$AD$60,E453=$AB$61,$AD$61,E453=$AB$62,$AD$62,E453=$AB$63,$AD$63,E453=$AB$64,$AD$64,E453=$AB$65,$AD$65,E453=$AB$66,$AD$66,TRUE,"0")</f>
        <v xml:space="preserve">BFM </v>
      </c>
      <c r="E453" s="163" t="s">
        <v>512</v>
      </c>
      <c r="F453" s="2" t="s">
        <v>6</v>
      </c>
      <c r="G453" s="2" t="s">
        <v>62</v>
      </c>
      <c r="H453" s="3">
        <v>45354.645833333336</v>
      </c>
      <c r="I453" s="2" t="s">
        <v>72</v>
      </c>
      <c r="J453" s="2" t="s">
        <v>383</v>
      </c>
      <c r="K453" s="2">
        <v>3.5</v>
      </c>
      <c r="L453" s="2">
        <v>90</v>
      </c>
      <c r="M453" s="2">
        <v>320</v>
      </c>
      <c r="N453" s="2">
        <v>20</v>
      </c>
      <c r="O453" s="2">
        <v>2.95</v>
      </c>
      <c r="P453" s="2"/>
      <c r="Q453" s="2" t="s">
        <v>95</v>
      </c>
      <c r="R453" s="10" t="s">
        <v>193</v>
      </c>
      <c r="S453" s="14" t="s">
        <v>215</v>
      </c>
      <c r="T453" s="188">
        <f t="shared" si="55"/>
        <v>611.66006740316914</v>
      </c>
      <c r="U453" s="8">
        <f t="shared" si="53"/>
        <v>110.09881213257044</v>
      </c>
      <c r="V453" s="234">
        <f t="shared" si="54"/>
        <v>12343.300160195953</v>
      </c>
      <c r="W453" s="15">
        <v>25</v>
      </c>
      <c r="X453" s="8">
        <f t="shared" si="56"/>
        <v>4.5</v>
      </c>
      <c r="Y453" s="233">
        <f t="shared" si="57"/>
        <v>2121</v>
      </c>
    </row>
    <row r="454" spans="1:25">
      <c r="A454" s="156" t="e" cm="1">
        <f t="array" aca="1" ref="A454" ca="1">_xlfn.IFS(E454=$AB$42,$AC$42,E454=$AB$43,$AC$43,E454=$AB$44,$AC$44,E454=$AB$45,$AC$45,E454=$AB$46,$AC$46,E454=$AB$47,$AC$47,E454=$AB$48,$AC$48,E454=$AB$49,$AC$49,E454=$AB$50,$AC$50,E454=$AB$51,$AC$51,E454=$AB$52,$AC$52,E454=$AB$53,$AC$53,E454=$AB$54,$AC$54,E454=$AB$55,$AC$55,E454=$AB$56,$AC$56,E454=$AB$57,$AC$57,E454=$AB$58,$AC$58,E454=$AB$59,$AC$59,E454=$AB$60,$AC$60,E454=$AB$61,$AC$61,E454=$AB$62,$AC$62,E454=$AB$63,$AC$63,E454=$AB$64,$AC$64,E454=$AB$65,$AC$65,E454=$AB$66,$AC$66,TRUE,"0")</f>
        <v>#NAME?</v>
      </c>
      <c r="C454" s="161" t="str" cm="1">
        <f t="array" ref="C454">_xlfn.IFS(E454=$AB$42,$AF$42,E454=$AB$43,$AF$43,E454=$AB$44,$AF$44,E454=$AB$45,$AF$45,E454=$AB$46,$AF$46,E454=$AB$47,$AF$47,E454=$AB$48,$AF$48,E454=$AB$49,$AF$49,E454=$AB$50,$AF$50,E454=$AB$51,$AF$51,E454=$AB$52,$AF$52,E454=$AB$53,$AF$53,E454=$AB$54,$AF$54,E454=$AB$55,$AF$55,E454=$AB$56,$AF$56,E454=$AB$57,$AF$57,E454=$AB$58,$AF$58,E454=$AB$59,$AF$59,E454=$AB$60,$AF$60,E454=$AB$61,$AF$61,E454=$AB$62,$AF$62,E454=$AB$63,$AF$63,E454=$AB$64,$AF$64,E454=$AB$65,$AF$65,E454=$AB$66,$AF$66,TRUE,"0")</f>
        <v>B4 match BACK FT +1.5 goals. X AFTER  GOAL</v>
      </c>
      <c r="D454" s="270" t="str" cm="1">
        <f t="array" ref="D454">_xlfn.IFS(E454=$AB$42,$AD$42,E454=$AB$43,$AD$43,E454=$AB$44,$AD$44,E454=$AB$45,$AD$45,E454=$AB$46,$AD$46,E454=$AB$47,$AD$47,E454=$AB$48,$AD$48,E454=$AB$49,$AD$49,E454=$AB$50,$AD$50,E454=$AB$51,$AD$51,E454=$AB$52,$AD$52,E454=$AB$53,$AD$53,E454=$AB$54,$AD$54,E454=$AB$55,$AD$55,E454=$AB$56,$AD$56,E454=$AB$57,$AD$57,E454=$AB$58,$AD$58,E454=$AB$59,$AD$59,E454=$AB$60,$AD$60,E454=$AB$61,$AD$61,E454=$AB$62,$AD$62,E454=$AB$63,$AD$63,E454=$AB$64,$AD$64,E454=$AB$65,$AD$65,E454=$AB$66,$AD$66,TRUE,"0")</f>
        <v xml:space="preserve">BFM </v>
      </c>
      <c r="E454" s="163" t="s">
        <v>512</v>
      </c>
      <c r="F454" s="2" t="s">
        <v>412</v>
      </c>
      <c r="G454" s="2" t="s">
        <v>156</v>
      </c>
      <c r="H454" s="3">
        <v>45354.666666666664</v>
      </c>
      <c r="I454" s="2" t="s">
        <v>500</v>
      </c>
      <c r="J454" s="2" t="s">
        <v>462</v>
      </c>
      <c r="K454" s="2">
        <v>4.5</v>
      </c>
      <c r="L454" s="2">
        <v>0</v>
      </c>
      <c r="M454" s="2">
        <v>980</v>
      </c>
      <c r="N454" s="2">
        <v>20</v>
      </c>
      <c r="O454" s="2">
        <v>2.65</v>
      </c>
      <c r="P454" s="2"/>
      <c r="Q454" s="2" t="s">
        <v>95</v>
      </c>
      <c r="R454" s="10" t="s">
        <v>221</v>
      </c>
      <c r="S454" s="14" t="s">
        <v>214</v>
      </c>
      <c r="T454" s="188">
        <f t="shared" si="55"/>
        <v>617.1650080097977</v>
      </c>
      <c r="U454" s="8">
        <f t="shared" si="53"/>
        <v>111.08970144176358</v>
      </c>
      <c r="V454" s="234">
        <f t="shared" si="54"/>
        <v>12454.389861637717</v>
      </c>
      <c r="W454" s="15">
        <v>25</v>
      </c>
      <c r="X454" s="8">
        <f t="shared" si="56"/>
        <v>4.5</v>
      </c>
      <c r="Y454" s="233">
        <f t="shared" si="57"/>
        <v>2125.5</v>
      </c>
    </row>
    <row r="455" spans="1:25">
      <c r="A455" s="156" t="e" cm="1">
        <f t="array" aca="1" ref="A455" ca="1">_xlfn.IFS(E455=$AB$42,$AC$42,E455=$AB$43,$AC$43,E455=$AB$44,$AC$44,E455=$AB$45,$AC$45,E455=$AB$46,$AC$46,E455=$AB$47,$AC$47,E455=$AB$48,$AC$48,E455=$AB$49,$AC$49,E455=$AB$50,$AC$50,E455=$AB$51,$AC$51,E455=$AB$52,$AC$52,E455=$AB$53,$AC$53,E455=$AB$54,$AC$54,E455=$AB$55,$AC$55,E455=$AB$56,$AC$56,E455=$AB$57,$AC$57,E455=$AB$58,$AC$58,E455=$AB$59,$AC$59,E455=$AB$60,$AC$60,E455=$AB$61,$AC$61,E455=$AB$62,$AC$62,E455=$AB$63,$AC$63,E455=$AB$64,$AC$64,E455=$AB$65,$AC$65,E455=$AB$66,$AC$66,TRUE,"0")</f>
        <v>#NAME?</v>
      </c>
      <c r="C455" s="161" t="str" cm="1">
        <f t="array" ref="C455">_xlfn.IFS(E455=$AB$42,$AF$42,E455=$AB$43,$AF$43,E455=$AB$44,$AF$44,E455=$AB$45,$AF$45,E455=$AB$46,$AF$46,E455=$AB$47,$AF$47,E455=$AB$48,$AF$48,E455=$AB$49,$AF$49,E455=$AB$50,$AF$50,E455=$AB$51,$AF$51,E455=$AB$52,$AF$52,E455=$AB$53,$AF$53,E455=$AB$54,$AF$54,E455=$AB$55,$AF$55,E455=$AB$56,$AF$56,E455=$AB$57,$AF$57,E455=$AB$58,$AF$58,E455=$AB$59,$AF$59,E455=$AB$60,$AF$60,E455=$AB$61,$AF$61,E455=$AB$62,$AF$62,E455=$AB$63,$AF$63,E455=$AB$64,$AF$64,E455=$AB$65,$AF$65,E455=$AB$66,$AF$66,TRUE,"0")</f>
        <v>40 mins Back ANother Goal</v>
      </c>
      <c r="D455" s="270" t="str" cm="1">
        <f t="array" ref="D455">_xlfn.IFS(E455=$AB$42,$AD$42,E455=$AB$43,$AD$43,E455=$AB$44,$AD$44,E455=$AB$45,$AD$45,E455=$AB$46,$AD$46,E455=$AB$47,$AD$47,E455=$AB$48,$AD$48,E455=$AB$49,$AD$49,E455=$AB$50,$AD$50,E455=$AB$51,$AD$51,E455=$AB$52,$AD$52,E455=$AB$53,$AD$53,E455=$AB$54,$AD$54,E455=$AB$55,$AD$55,E455=$AB$56,$AD$56,E455=$AB$57,$AD$57,E455=$AB$58,$AD$58,E455=$AB$59,$AD$59,E455=$AB$60,$AD$60,E455=$AB$61,$AD$61,E455=$AB$62,$AD$62,E455=$AB$63,$AD$63,E455=$AB$64,$AD$64,E455=$AB$65,$AD$65,E455=$AB$66,$AD$66,TRUE,"0")</f>
        <v xml:space="preserve">  BANG</v>
      </c>
      <c r="E455" s="163" t="s">
        <v>10</v>
      </c>
      <c r="F455" s="2" t="s">
        <v>145</v>
      </c>
      <c r="G455" s="2" t="s">
        <v>190</v>
      </c>
      <c r="H455" s="3">
        <v>45354.670138888891</v>
      </c>
      <c r="I455" s="2" t="s">
        <v>339</v>
      </c>
      <c r="J455" s="2" t="s">
        <v>227</v>
      </c>
      <c r="K455" s="2">
        <v>2</v>
      </c>
      <c r="L455" s="2">
        <v>95</v>
      </c>
      <c r="M455" s="2">
        <v>65</v>
      </c>
      <c r="N455" s="2">
        <v>25</v>
      </c>
      <c r="O455" s="2">
        <v>62</v>
      </c>
      <c r="P455" s="2">
        <v>20</v>
      </c>
      <c r="Q455" s="2" t="s">
        <v>95</v>
      </c>
      <c r="R455" s="10" t="s">
        <v>221</v>
      </c>
      <c r="S455" s="14" t="s">
        <v>223</v>
      </c>
      <c r="T455" s="188">
        <f t="shared" si="55"/>
        <v>622.71949308188596</v>
      </c>
      <c r="U455" s="8">
        <f t="shared" si="53"/>
        <v>112.08950875473947</v>
      </c>
      <c r="V455" s="234">
        <f t="shared" si="54"/>
        <v>12566.479370392457</v>
      </c>
      <c r="W455" s="15">
        <v>25</v>
      </c>
      <c r="X455" s="8">
        <f t="shared" si="56"/>
        <v>4.5</v>
      </c>
      <c r="Y455" s="233">
        <f t="shared" si="57"/>
        <v>2130</v>
      </c>
    </row>
    <row r="456" spans="1:25">
      <c r="A456" s="156" t="e" cm="1">
        <f t="array" aca="1" ref="A456" ca="1">_xlfn.IFS(E456=$AB$42,$AC$42,E456=$AB$43,$AC$43,E456=$AB$44,$AC$44,E456=$AB$45,$AC$45,E456=$AB$46,$AC$46,E456=$AB$47,$AC$47,E456=$AB$48,$AC$48,E456=$AB$49,$AC$49,E456=$AB$50,$AC$50,E456=$AB$51,$AC$51,E456=$AB$52,$AC$52,E456=$AB$53,$AC$53,E456=$AB$54,$AC$54,E456=$AB$55,$AC$55,E456=$AB$56,$AC$56,E456=$AB$57,$AC$57,E456=$AB$58,$AC$58,E456=$AB$59,$AC$59,E456=$AB$60,$AC$60,E456=$AB$61,$AC$61,E456=$AB$62,$AC$62,E456=$AB$63,$AC$63,E456=$AB$64,$AC$64,E456=$AB$65,$AC$65,E456=$AB$66,$AC$66,TRUE,"0")</f>
        <v>#NAME?</v>
      </c>
      <c r="C456" s="161" t="str" cm="1">
        <f t="array" ref="C456">_xlfn.IFS(E456=$AB$42,$AF$42,E456=$AB$43,$AF$43,E456=$AB$44,$AF$44,E456=$AB$45,$AF$45,E456=$AB$46,$AF$46,E456=$AB$47,$AF$47,E456=$AB$48,$AF$48,E456=$AB$49,$AF$49,E456=$AB$50,$AF$50,E456=$AB$51,$AF$51,E456=$AB$52,$AF$52,E456=$AB$53,$AF$53,E456=$AB$54,$AF$54,E456=$AB$55,$AF$55,E456=$AB$56,$AF$56,E456=$AB$57,$AF$57,E456=$AB$58,$AF$58,E456=$AB$59,$AF$59,E456=$AB$60,$AF$60,E456=$AB$61,$AF$61,E456=$AB$62,$AF$62,E456=$AB$63,$AF$63,E456=$AB$64,$AF$64,E456=$AB$65,$AF$65,E456=$AB$66,$AF$66,TRUE,"0")</f>
        <v>if 0-0, BACK+ 0.5 GOALS  @ 1.15+odds.  or @ 40 mins</v>
      </c>
      <c r="D456" s="270" t="str" cm="1">
        <f t="array" ref="D456">_xlfn.IFS(E456=$AB$42,$AD$42,E456=$AB$43,$AD$43,E456=$AB$44,$AD$44,E456=$AB$45,$AD$45,E456=$AB$46,$AD$46,E456=$AB$47,$AD$47,E456=$AB$48,$AD$48,E456=$AB$49,$AD$49,E456=$AB$50,$AD$50,E456=$AB$51,$AD$51,E456=$AB$52,$AD$52,E456=$AB$53,$AD$53,E456=$AB$54,$AD$54,E456=$AB$55,$AD$55,E456=$AB$56,$AD$56,E456=$AB$57,$AD$57,E456=$AB$58,$AD$58,E456=$AB$59,$AD$59,E456=$AB$60,$AD$60,E456=$AB$61,$AD$61,E456=$AB$62,$AD$62,E456=$AB$63,$AD$63,E456=$AB$64,$AD$64,E456=$AB$65,$AD$65,E456=$AB$66,$AD$66,TRUE,"0")</f>
        <v>IP</v>
      </c>
      <c r="E456" s="163" t="s">
        <v>270</v>
      </c>
      <c r="F456" s="2" t="s">
        <v>145</v>
      </c>
      <c r="G456" s="2" t="s">
        <v>190</v>
      </c>
      <c r="H456" s="3">
        <v>45354.670138888891</v>
      </c>
      <c r="I456" s="2" t="s">
        <v>339</v>
      </c>
      <c r="J456" s="2" t="s">
        <v>227</v>
      </c>
      <c r="K456" s="2">
        <v>61</v>
      </c>
      <c r="L456" s="2">
        <v>0</v>
      </c>
      <c r="M456" s="2">
        <v>20</v>
      </c>
      <c r="N456" s="2">
        <v>33</v>
      </c>
      <c r="O456" s="2">
        <v>2.35</v>
      </c>
      <c r="P456" s="2"/>
      <c r="Q456" s="2" t="s">
        <v>95</v>
      </c>
      <c r="R456" s="10" t="s">
        <v>221</v>
      </c>
      <c r="S456" s="14" t="s">
        <v>223</v>
      </c>
      <c r="T456" s="188">
        <f t="shared" si="55"/>
        <v>628.32396851962289</v>
      </c>
      <c r="U456" s="8">
        <f t="shared" si="53"/>
        <v>113.09831433353212</v>
      </c>
      <c r="V456" s="234">
        <f t="shared" si="54"/>
        <v>12679.577684725989</v>
      </c>
      <c r="W456" s="15">
        <v>25</v>
      </c>
      <c r="X456" s="8">
        <f t="shared" si="56"/>
        <v>4.5</v>
      </c>
      <c r="Y456" s="233">
        <f t="shared" si="57"/>
        <v>2134.5</v>
      </c>
    </row>
    <row r="457" spans="1:25">
      <c r="A457" s="156" t="e" cm="1">
        <f t="array" aca="1" ref="A457" ca="1">_xlfn.IFS(E457=$AB$42,$AC$42,E457=$AB$43,$AC$43,E457=$AB$44,$AC$44,E457=$AB$45,$AC$45,E457=$AB$46,$AC$46,E457=$AB$47,$AC$47,E457=$AB$48,$AC$48,E457=$AB$49,$AC$49,E457=$AB$50,$AC$50,E457=$AB$51,$AC$51,E457=$AB$52,$AC$52,E457=$AB$53,$AC$53,E457=$AB$54,$AC$54,E457=$AB$55,$AC$55,E457=$AB$56,$AC$56,E457=$AB$57,$AC$57,E457=$AB$58,$AC$58,E457=$AB$59,$AC$59,E457=$AB$60,$AC$60,E457=$AB$61,$AC$61,E457=$AB$62,$AC$62,E457=$AB$63,$AC$63,E457=$AB$64,$AC$64,E457=$AB$65,$AC$65,E457=$AB$66,$AC$66,TRUE,"0")</f>
        <v>#NAME?</v>
      </c>
      <c r="C457" s="161" t="str" cm="1">
        <f t="array" ref="C457">_xlfn.IFS(E457=$AB$42,$AF$42,E457=$AB$43,$AF$43,E457=$AB$44,$AF$44,E457=$AB$45,$AF$45,E457=$AB$46,$AF$46,E457=$AB$47,$AF$47,E457=$AB$48,$AF$48,E457=$AB$49,$AF$49,E457=$AB$50,$AF$50,E457=$AB$51,$AF$51,E457=$AB$52,$AF$52,E457=$AB$53,$AF$53,E457=$AB$54,$AF$54,E457=$AB$55,$AF$55,E457=$AB$56,$AF$56,E457=$AB$57,$AF$57,E457=$AB$58,$AF$58,E457=$AB$59,$AF$59,E457=$AB$60,$AF$60,E457=$AB$61,$AF$61,E457=$AB$62,$AF$62,E457=$AB$63,$AF$63,E457=$AB$64,$AF$64,E457=$AB$65,$AF$65,E457=$AB$66,$AF$66,TRUE,"0")</f>
        <v>B4 match BACK FT +1.5 goals. X AFTER  GOAL</v>
      </c>
      <c r="D457" s="270" t="str" cm="1">
        <f t="array" ref="D457">_xlfn.IFS(E457=$AB$42,$AD$42,E457=$AB$43,$AD$43,E457=$AB$44,$AD$44,E457=$AB$45,$AD$45,E457=$AB$46,$AD$46,E457=$AB$47,$AD$47,E457=$AB$48,$AD$48,E457=$AB$49,$AD$49,E457=$AB$50,$AD$50,E457=$AB$51,$AD$51,E457=$AB$52,$AD$52,E457=$AB$53,$AD$53,E457=$AB$54,$AD$54,E457=$AB$55,$AD$55,E457=$AB$56,$AD$56,E457=$AB$57,$AD$57,E457=$AB$58,$AD$58,E457=$AB$59,$AD$59,E457=$AB$60,$AD$60,E457=$AB$61,$AD$61,E457=$AB$62,$AD$62,E457=$AB$63,$AD$63,E457=$AB$64,$AD$64,E457=$AB$65,$AD$65,E457=$AB$66,$AD$66,TRUE,"0")</f>
        <v xml:space="preserve">BFM </v>
      </c>
      <c r="E457" s="163" t="s">
        <v>406</v>
      </c>
      <c r="F457" s="2" t="s">
        <v>67</v>
      </c>
      <c r="G457" s="2" t="s">
        <v>68</v>
      </c>
      <c r="H457" s="3">
        <v>45354.729166666664</v>
      </c>
      <c r="I457" s="2" t="s">
        <v>375</v>
      </c>
      <c r="J457" s="2" t="s">
        <v>88</v>
      </c>
      <c r="K457" s="2">
        <v>1.31</v>
      </c>
      <c r="L457" s="2">
        <v>12</v>
      </c>
      <c r="M457" s="2">
        <v>3</v>
      </c>
      <c r="N457" s="2">
        <v>4.3</v>
      </c>
      <c r="O457" s="2">
        <v>2.83</v>
      </c>
      <c r="P457" s="2"/>
      <c r="Q457" s="2" t="s">
        <v>95</v>
      </c>
      <c r="R457" s="10" t="s">
        <v>214</v>
      </c>
      <c r="S457" s="14" t="s">
        <v>214</v>
      </c>
      <c r="T457" s="188">
        <f t="shared" si="55"/>
        <v>633.97888423629956</v>
      </c>
      <c r="U457" s="8">
        <f t="shared" si="53"/>
        <v>114.11619916253392</v>
      </c>
      <c r="V457" s="234">
        <f>SUM(V456,U457)</f>
        <v>12793.693883888523</v>
      </c>
      <c r="W457" s="15">
        <v>25</v>
      </c>
      <c r="X457" s="8">
        <f t="shared" si="56"/>
        <v>4.5</v>
      </c>
      <c r="Y457" s="233">
        <f t="shared" si="57"/>
        <v>2139</v>
      </c>
    </row>
    <row r="458" spans="1:25">
      <c r="A458" s="156" t="e" cm="1">
        <f t="array" aca="1" ref="A458" ca="1">_xlfn.IFS(E458=$AB$42,$AC$42,E458=$AB$43,$AC$43,E458=$AB$44,$AC$44,E458=$AB$45,$AC$45,E458=$AB$46,$AC$46,E458=$AB$47,$AC$47,E458=$AB$48,$AC$48,E458=$AB$49,$AC$49,E458=$AB$50,$AC$50,E458=$AB$51,$AC$51,E458=$AB$52,$AC$52,E458=$AB$53,$AC$53,E458=$AB$54,$AC$54,E458=$AB$55,$AC$55,E458=$AB$56,$AC$56,E458=$AB$57,$AC$57,E458=$AB$58,$AC$58,E458=$AB$59,$AC$59,E458=$AB$60,$AC$60,E458=$AB$61,$AC$61,E458=$AB$62,$AC$62,E458=$AB$63,$AC$63,E458=$AB$64,$AC$64,E458=$AB$65,$AC$65,E458=$AB$66,$AC$66,TRUE,"0")</f>
        <v>#NAME?</v>
      </c>
      <c r="C458" s="161" t="str" cm="1">
        <f t="array" ref="C458">_xlfn.IFS(E458=$AB$42,$AF$42,E458=$AB$43,$AF$43,E458=$AB$44,$AF$44,E458=$AB$45,$AF$45,E458=$AB$46,$AF$46,E458=$AB$47,$AF$47,E458=$AB$48,$AF$48,E458=$AB$49,$AF$49,E458=$AB$50,$AF$50,E458=$AB$51,$AF$51,E458=$AB$52,$AF$52,E458=$AB$53,$AF$53,E458=$AB$54,$AF$54,E458=$AB$55,$AF$55,E458=$AB$56,$AF$56,E458=$AB$57,$AF$57,E458=$AB$58,$AF$58,E458=$AB$59,$AF$59,E458=$AB$60,$AF$60,E458=$AB$61,$AF$61,E458=$AB$62,$AF$62,E458=$AB$63,$AF$63,E458=$AB$64,$AF$64,E458=$AB$65,$AF$65,E458=$AB$66,$AF$66,TRUE,"0")</f>
        <v>B4 match BACK FT +1.5 goals. X AFTER  GOAL</v>
      </c>
      <c r="D458" s="270" t="str" cm="1">
        <f t="array" ref="D458">_xlfn.IFS(E458=$AB$42,$AD$42,E458=$AB$43,$AD$43,E458=$AB$44,$AD$44,E458=$AB$45,$AD$45,E458=$AB$46,$AD$46,E458=$AB$47,$AD$47,E458=$AB$48,$AD$48,E458=$AB$49,$AD$49,E458=$AB$50,$AD$50,E458=$AB$51,$AD$51,E458=$AB$52,$AD$52,E458=$AB$53,$AD$53,E458=$AB$54,$AD$54,E458=$AB$55,$AD$55,E458=$AB$56,$AD$56,E458=$AB$57,$AD$57,E458=$AB$58,$AD$58,E458=$AB$59,$AD$59,E458=$AB$60,$AD$60,E458=$AB$61,$AD$61,E458=$AB$62,$AD$62,E458=$AB$63,$AD$63,E458=$AB$64,$AD$64,E458=$AB$65,$AD$65,E458=$AB$66,$AD$66,TRUE,"0")</f>
        <v xml:space="preserve">BFM </v>
      </c>
      <c r="E458" s="163" t="s">
        <v>506</v>
      </c>
      <c r="F458" s="2" t="s">
        <v>67</v>
      </c>
      <c r="G458" s="2" t="s">
        <v>68</v>
      </c>
      <c r="H458" s="3">
        <v>45354.729166666664</v>
      </c>
      <c r="I458" s="2" t="s">
        <v>375</v>
      </c>
      <c r="J458" s="2" t="s">
        <v>88</v>
      </c>
      <c r="K458" s="2">
        <v>4.3</v>
      </c>
      <c r="L458" s="2">
        <v>0</v>
      </c>
      <c r="M458" s="2">
        <v>0</v>
      </c>
      <c r="N458" s="2">
        <v>20</v>
      </c>
      <c r="O458" s="2">
        <v>3</v>
      </c>
      <c r="P458" s="2"/>
      <c r="Q458" s="2" t="s">
        <v>95</v>
      </c>
      <c r="R458" s="10" t="s">
        <v>214</v>
      </c>
      <c r="S458" s="14" t="s">
        <v>214</v>
      </c>
      <c r="T458" s="188">
        <f t="shared" si="55"/>
        <v>639.68469419442624</v>
      </c>
      <c r="U458" s="8">
        <f t="shared" si="53"/>
        <v>115.14324495499672</v>
      </c>
      <c r="V458" s="234">
        <f>SUM(V457,U458)</f>
        <v>12908.837128843521</v>
      </c>
      <c r="W458" s="15">
        <v>25</v>
      </c>
      <c r="X458" s="8">
        <f t="shared" si="56"/>
        <v>4.5</v>
      </c>
      <c r="Y458" s="233">
        <f t="shared" si="57"/>
        <v>2143.5</v>
      </c>
    </row>
    <row r="459" spans="1:25">
      <c r="A459" s="156" t="e" cm="1">
        <f t="array" aca="1" ref="A459" ca="1">_xlfn.IFS(E459=$AB$42,$AC$42,E459=$AB$43,$AC$43,E459=$AB$44,$AC$44,E459=$AB$45,$AC$45,E459=$AB$46,$AC$46,E459=$AB$47,$AC$47,E459=$AB$48,$AC$48,E459=$AB$49,$AC$49,E459=$AB$50,$AC$50,E459=$AB$51,$AC$51,E459=$AB$52,$AC$52,E459=$AB$53,$AC$53,E459=$AB$54,$AC$54,E459=$AB$55,$AC$55,E459=$AB$56,$AC$56,E459=$AB$57,$AC$57,E459=$AB$58,$AC$58,E459=$AB$59,$AC$59,E459=$AB$60,$AC$60,E459=$AB$61,$AC$61,E459=$AB$62,$AC$62,E459=$AB$63,$AC$63,E459=$AB$64,$AC$64,E459=$AB$65,$AC$65,E459=$AB$66,$AC$66,TRUE,"0")</f>
        <v>#NAME?</v>
      </c>
      <c r="C459" s="161" t="str" cm="1">
        <f t="array" ref="C459">_xlfn.IFS(E459=$AB$42,$AF$42,E459=$AB$43,$AF$43,E459=$AB$44,$AF$44,E459=$AB$45,$AF$45,E459=$AB$46,$AF$46,E459=$AB$47,$AF$47,E459=$AB$48,$AF$48,E459=$AB$49,$AF$49,E459=$AB$50,$AF$50,E459=$AB$51,$AF$51,E459=$AB$52,$AF$52,E459=$AB$53,$AF$53,E459=$AB$54,$AF$54,E459=$AB$55,$AF$55,E459=$AB$56,$AF$56,E459=$AB$57,$AF$57,E459=$AB$58,$AF$58,E459=$AB$59,$AF$59,E459=$AB$60,$AF$60,E459=$AB$61,$AF$61,E459=$AB$62,$AF$62,E459=$AB$63,$AF$63,E459=$AB$64,$AF$64,E459=$AB$65,$AF$65,E459=$AB$66,$AF$66,TRUE,"0")</f>
        <v>if 0-0, BACK+ 0.5 GOALS  @ 1.15+odds.  or @ 40 mins</v>
      </c>
      <c r="D459" s="270" t="str" cm="1">
        <f t="array" ref="D459">_xlfn.IFS(E459=$AB$42,$AD$42,E459=$AB$43,$AD$43,E459=$AB$44,$AD$44,E459=$AB$45,$AD$45,E459=$AB$46,$AD$46,E459=$AB$47,$AD$47,E459=$AB$48,$AD$48,E459=$AB$49,$AD$49,E459=$AB$50,$AD$50,E459=$AB$51,$AD$51,E459=$AB$52,$AD$52,E459=$AB$53,$AD$53,E459=$AB$54,$AD$54,E459=$AB$55,$AD$55,E459=$AB$56,$AD$56,E459=$AB$57,$AD$57,E459=$AB$58,$AD$58,E459=$AB$59,$AD$59,E459=$AB$60,$AD$60,E459=$AB$61,$AD$61,E459=$AB$62,$AD$62,E459=$AB$63,$AD$63,E459=$AB$64,$AD$64,E459=$AB$65,$AD$65,E459=$AB$66,$AD$66,TRUE,"0")</f>
        <v>IP</v>
      </c>
      <c r="E459" s="163" t="s">
        <v>270</v>
      </c>
      <c r="F459" s="2" t="s">
        <v>67</v>
      </c>
      <c r="G459" s="2" t="s">
        <v>68</v>
      </c>
      <c r="H459" s="3">
        <v>45354.729166666664</v>
      </c>
      <c r="I459" s="2" t="s">
        <v>375</v>
      </c>
      <c r="J459" s="2" t="s">
        <v>88</v>
      </c>
      <c r="K459" s="2">
        <v>60</v>
      </c>
      <c r="L459" s="2">
        <v>0</v>
      </c>
      <c r="M459" s="2">
        <v>20</v>
      </c>
      <c r="N459" s="2">
        <v>30</v>
      </c>
      <c r="O459" s="2">
        <v>2.83</v>
      </c>
      <c r="P459" s="2"/>
      <c r="Q459" s="2" t="s">
        <v>95</v>
      </c>
      <c r="R459" s="10" t="s">
        <v>214</v>
      </c>
      <c r="S459" s="14" t="s">
        <v>214</v>
      </c>
      <c r="T459" s="188">
        <f t="shared" si="55"/>
        <v>645.44185644217612</v>
      </c>
      <c r="U459" s="8">
        <f t="shared" si="53"/>
        <v>116.1795341595917</v>
      </c>
      <c r="V459" s="234">
        <f t="shared" ref="V459:V466" si="58">SUM(V458,U459)</f>
        <v>13025.016663003113</v>
      </c>
      <c r="W459" s="15">
        <v>25</v>
      </c>
      <c r="X459" s="8">
        <f t="shared" si="56"/>
        <v>4.5</v>
      </c>
      <c r="Y459" s="233">
        <f t="shared" si="57"/>
        <v>2148</v>
      </c>
    </row>
    <row r="460" spans="1:25">
      <c r="A460" s="156" t="e" cm="1">
        <f t="array" aca="1" ref="A460" ca="1">_xlfn.IFS(E460=$AB$42,$AC$42,E460=$AB$43,$AC$43,E460=$AB$44,$AC$44,E460=$AB$45,$AC$45,E460=$AB$46,$AC$46,E460=$AB$47,$AC$47,E460=$AB$48,$AC$48,E460=$AB$49,$AC$49,E460=$AB$50,$AC$50,E460=$AB$51,$AC$51,E460=$AB$52,$AC$52,E460=$AB$53,$AC$53,E460=$AB$54,$AC$54,E460=$AB$55,$AC$55,E460=$AB$56,$AC$56,E460=$AB$57,$AC$57,E460=$AB$58,$AC$58,E460=$AB$59,$AC$59,E460=$AB$60,$AC$60,E460=$AB$61,$AC$61,E460=$AB$62,$AC$62,E460=$AB$63,$AC$63,E460=$AB$64,$AC$64,E460=$AB$65,$AC$65,E460=$AB$66,$AC$66,TRUE,"0")</f>
        <v>#NAME?</v>
      </c>
      <c r="C460" s="161" t="str" cm="1">
        <f t="array" ref="C460">_xlfn.IFS(E460=$AB$42,$AF$42,E460=$AB$43,$AF$43,E460=$AB$44,$AF$44,E460=$AB$45,$AF$45,E460=$AB$46,$AF$46,E460=$AB$47,$AF$47,E460=$AB$48,$AF$48,E460=$AB$49,$AF$49,E460=$AB$50,$AF$50,E460=$AB$51,$AF$51,E460=$AB$52,$AF$52,E460=$AB$53,$AF$53,E460=$AB$54,$AF$54,E460=$AB$55,$AF$55,E460=$AB$56,$AF$56,E460=$AB$57,$AF$57,E460=$AB$58,$AF$58,E460=$AB$59,$AF$59,E460=$AB$60,$AF$60,E460=$AB$61,$AF$61,E460=$AB$62,$AF$62,E460=$AB$63,$AF$63,E460=$AB$64,$AF$64,E460=$AB$65,$AF$65,E460=$AB$66,$AF$66,TRUE,"0")</f>
        <v>40 mins Back ANother Goal</v>
      </c>
      <c r="D460" s="270" t="str" cm="1">
        <f t="array" ref="D460">_xlfn.IFS(E460=$AB$42,$AD$42,E460=$AB$43,$AD$43,E460=$AB$44,$AD$44,E460=$AB$45,$AD$45,E460=$AB$46,$AD$46,E460=$AB$47,$AD$47,E460=$AB$48,$AD$48,E460=$AB$49,$AD$49,E460=$AB$50,$AD$50,E460=$AB$51,$AD$51,E460=$AB$52,$AD$52,E460=$AB$53,$AD$53,E460=$AB$54,$AD$54,E460=$AB$55,$AD$55,E460=$AB$56,$AD$56,E460=$AB$57,$AD$57,E460=$AB$58,$AD$58,E460=$AB$59,$AD$59,E460=$AB$60,$AD$60,E460=$AB$61,$AD$61,E460=$AB$62,$AD$62,E460=$AB$63,$AD$63,E460=$AB$64,$AD$64,E460=$AB$65,$AD$65,E460=$AB$66,$AD$66,TRUE,"0")</f>
        <v xml:space="preserve">  BANG</v>
      </c>
      <c r="E460" s="163" t="s">
        <v>10</v>
      </c>
      <c r="F460" s="2" t="s">
        <v>133</v>
      </c>
      <c r="G460" s="2" t="s">
        <v>78</v>
      </c>
      <c r="H460" s="3">
        <v>45354.729166666664</v>
      </c>
      <c r="I460" s="2" t="s">
        <v>394</v>
      </c>
      <c r="J460" s="2" t="s">
        <v>137</v>
      </c>
      <c r="K460" s="2">
        <v>2.1</v>
      </c>
      <c r="L460" s="2">
        <v>85</v>
      </c>
      <c r="M460" s="2">
        <v>70</v>
      </c>
      <c r="N460" s="2">
        <v>35</v>
      </c>
      <c r="O460" s="2">
        <v>63</v>
      </c>
      <c r="P460" s="2">
        <v>20</v>
      </c>
      <c r="Q460" s="2" t="s">
        <v>95</v>
      </c>
      <c r="R460" s="10" t="s">
        <v>221</v>
      </c>
      <c r="S460" s="14" t="s">
        <v>217</v>
      </c>
      <c r="T460" s="188">
        <f t="shared" si="55"/>
        <v>651.2508331501557</v>
      </c>
      <c r="U460" s="8">
        <f t="shared" si="53"/>
        <v>117.22514996702802</v>
      </c>
      <c r="V460" s="234">
        <f t="shared" si="58"/>
        <v>13142.24181297014</v>
      </c>
      <c r="W460" s="15">
        <v>25</v>
      </c>
      <c r="X460" s="8">
        <f t="shared" si="56"/>
        <v>4.5</v>
      </c>
      <c r="Y460" s="233">
        <f t="shared" si="57"/>
        <v>2152.5</v>
      </c>
    </row>
    <row r="461" spans="1:25">
      <c r="A461" s="156" t="e" cm="1">
        <f t="array" aca="1" ref="A461" ca="1">_xlfn.IFS(E461=$AB$42,$AC$42,E461=$AB$43,$AC$43,E461=$AB$44,$AC$44,E461=$AB$45,$AC$45,E461=$AB$46,$AC$46,E461=$AB$47,$AC$47,E461=$AB$48,$AC$48,E461=$AB$49,$AC$49,E461=$AB$50,$AC$50,E461=$AB$51,$AC$51,E461=$AB$52,$AC$52,E461=$AB$53,$AC$53,E461=$AB$54,$AC$54,E461=$AB$55,$AC$55,E461=$AB$56,$AC$56,E461=$AB$57,$AC$57,E461=$AB$58,$AC$58,E461=$AB$59,$AC$59,E461=$AB$60,$AC$60,E461=$AB$61,$AC$61,E461=$AB$62,$AC$62,E461=$AB$63,$AC$63,E461=$AB$64,$AC$64,E461=$AB$65,$AC$65,E461=$AB$66,$AC$66,TRUE,"0")</f>
        <v>#NAME?</v>
      </c>
      <c r="C461" s="161" t="str" cm="1">
        <f t="array" ref="C461">_xlfn.IFS(E461=$AB$42,$AF$42,E461=$AB$43,$AF$43,E461=$AB$44,$AF$44,E461=$AB$45,$AF$45,E461=$AB$46,$AF$46,E461=$AB$47,$AF$47,E461=$AB$48,$AF$48,E461=$AB$49,$AF$49,E461=$AB$50,$AF$50,E461=$AB$51,$AF$51,E461=$AB$52,$AF$52,E461=$AB$53,$AF$53,E461=$AB$54,$AF$54,E461=$AB$55,$AF$55,E461=$AB$56,$AF$56,E461=$AB$57,$AF$57,E461=$AB$58,$AF$58,E461=$AB$59,$AF$59,E461=$AB$60,$AF$60,E461=$AB$61,$AF$61,E461=$AB$62,$AF$62,E461=$AB$63,$AF$63,E461=$AB$64,$AF$64,E461=$AB$65,$AF$65,E461=$AB$66,$AF$66,TRUE,"0")</f>
        <v>if 0-0, BACK+ 0.5 GOALS  @ 1.15+odds.  or @ 40 mins</v>
      </c>
      <c r="D461" s="270" t="str" cm="1">
        <f t="array" ref="D461">_xlfn.IFS(E461=$AB$42,$AD$42,E461=$AB$43,$AD$43,E461=$AB$44,$AD$44,E461=$AB$45,$AD$45,E461=$AB$46,$AD$46,E461=$AB$47,$AD$47,E461=$AB$48,$AD$48,E461=$AB$49,$AD$49,E461=$AB$50,$AD$50,E461=$AB$51,$AD$51,E461=$AB$52,$AD$52,E461=$AB$53,$AD$53,E461=$AB$54,$AD$54,E461=$AB$55,$AD$55,E461=$AB$56,$AD$56,E461=$AB$57,$AD$57,E461=$AB$58,$AD$58,E461=$AB$59,$AD$59,E461=$AB$60,$AD$60,E461=$AB$61,$AD$61,E461=$AB$62,$AD$62,E461=$AB$63,$AD$63,E461=$AB$64,$AD$64,E461=$AB$65,$AD$65,E461=$AB$66,$AD$66,TRUE,"0")</f>
        <v>IP</v>
      </c>
      <c r="E461" s="163" t="s">
        <v>270</v>
      </c>
      <c r="F461" s="2" t="s">
        <v>133</v>
      </c>
      <c r="G461" s="2" t="s">
        <v>78</v>
      </c>
      <c r="H461" s="3">
        <v>45354.729166666664</v>
      </c>
      <c r="I461" s="2" t="s">
        <v>394</v>
      </c>
      <c r="J461" s="2" t="s">
        <v>137</v>
      </c>
      <c r="K461" s="2">
        <v>59</v>
      </c>
      <c r="L461" s="2">
        <v>0</v>
      </c>
      <c r="M461" s="2">
        <v>20</v>
      </c>
      <c r="N461" s="2">
        <v>25</v>
      </c>
      <c r="O461" s="2">
        <v>2.2000000000000002</v>
      </c>
      <c r="P461" s="2"/>
      <c r="Q461" s="2" t="s">
        <v>95</v>
      </c>
      <c r="R461" s="10" t="s">
        <v>221</v>
      </c>
      <c r="S461" s="14" t="s">
        <v>217</v>
      </c>
      <c r="T461" s="188">
        <f t="shared" si="55"/>
        <v>657.11209064850709</v>
      </c>
      <c r="U461" s="8">
        <f t="shared" si="53"/>
        <v>118.28017631673127</v>
      </c>
      <c r="V461" s="234">
        <f t="shared" si="58"/>
        <v>13260.521989286872</v>
      </c>
      <c r="W461" s="15">
        <v>25</v>
      </c>
      <c r="X461" s="8">
        <f t="shared" si="56"/>
        <v>4.5</v>
      </c>
      <c r="Y461" s="233">
        <f t="shared" si="57"/>
        <v>2157</v>
      </c>
    </row>
    <row r="462" spans="1:25">
      <c r="A462" s="156" t="e" cm="1">
        <f t="array" aca="1" ref="A462" ca="1">_xlfn.IFS(E462=$AB$42,$AC$42,E462=$AB$43,$AC$43,E462=$AB$44,$AC$44,E462=$AB$45,$AC$45,E462=$AB$46,$AC$46,E462=$AB$47,$AC$47,E462=$AB$48,$AC$48,E462=$AB$49,$AC$49,E462=$AB$50,$AC$50,E462=$AB$51,$AC$51,E462=$AB$52,$AC$52,E462=$AB$53,$AC$53,E462=$AB$54,$AC$54,E462=$AB$55,$AC$55,E462=$AB$56,$AC$56,E462=$AB$57,$AC$57,E462=$AB$58,$AC$58,E462=$AB$59,$AC$59,E462=$AB$60,$AC$60,E462=$AB$61,$AC$61,E462=$AB$62,$AC$62,E462=$AB$63,$AC$63,E462=$AB$64,$AC$64,E462=$AB$65,$AC$65,E462=$AB$66,$AC$66,TRUE,"0")</f>
        <v>#NAME?</v>
      </c>
      <c r="C462" s="161" t="str" cm="1">
        <f t="array" ref="C462">_xlfn.IFS(E462=$AB$42,$AF$42,E462=$AB$43,$AF$43,E462=$AB$44,$AF$44,E462=$AB$45,$AF$45,E462=$AB$46,$AF$46,E462=$AB$47,$AF$47,E462=$AB$48,$AF$48,E462=$AB$49,$AF$49,E462=$AB$50,$AF$50,E462=$AB$51,$AF$51,E462=$AB$52,$AF$52,E462=$AB$53,$AF$53,E462=$AB$54,$AF$54,E462=$AB$55,$AF$55,E462=$AB$56,$AF$56,E462=$AB$57,$AF$57,E462=$AB$58,$AF$58,E462=$AB$59,$AF$59,E462=$AB$60,$AF$60,E462=$AB$61,$AF$61,E462=$AB$62,$AF$62,E462=$AB$63,$AF$63,E462=$AB$64,$AF$64,E462=$AB$65,$AF$65,E462=$AB$66,$AF$66,TRUE,"0")</f>
        <v>40 mins Back ANother Goal</v>
      </c>
      <c r="D462" s="270" t="str" cm="1">
        <f t="array" ref="D462">_xlfn.IFS(E462=$AB$42,$AD$42,E462=$AB$43,$AD$43,E462=$AB$44,$AD$44,E462=$AB$45,$AD$45,E462=$AB$46,$AD$46,E462=$AB$47,$AD$47,E462=$AB$48,$AD$48,E462=$AB$49,$AD$49,E462=$AB$50,$AD$50,E462=$AB$51,$AD$51,E462=$AB$52,$AD$52,E462=$AB$53,$AD$53,E462=$AB$54,$AD$54,E462=$AB$55,$AD$55,E462=$AB$56,$AD$56,E462=$AB$57,$AD$57,E462=$AB$58,$AD$58,E462=$AB$59,$AD$59,E462=$AB$60,$AD$60,E462=$AB$61,$AD$61,E462=$AB$62,$AD$62,E462=$AB$63,$AD$63,E462=$AB$64,$AD$64,E462=$AB$65,$AD$65,E462=$AB$66,$AD$66,TRUE,"0")</f>
        <v xml:space="preserve">  BANG</v>
      </c>
      <c r="E462" s="163" t="s">
        <v>10</v>
      </c>
      <c r="F462" s="2" t="s">
        <v>58</v>
      </c>
      <c r="G462" s="2" t="s">
        <v>59</v>
      </c>
      <c r="H462" s="3">
        <v>45354.75</v>
      </c>
      <c r="I462" s="2" t="s">
        <v>125</v>
      </c>
      <c r="J462" s="2" t="s">
        <v>106</v>
      </c>
      <c r="K462" s="2">
        <v>2.0499999999999998</v>
      </c>
      <c r="L462" s="2">
        <v>90</v>
      </c>
      <c r="M462" s="2">
        <v>65</v>
      </c>
      <c r="N462" s="2">
        <v>40</v>
      </c>
      <c r="O462" s="2">
        <v>60</v>
      </c>
      <c r="P462" s="2">
        <v>20</v>
      </c>
      <c r="Q462" s="2" t="s">
        <v>95</v>
      </c>
      <c r="R462" s="10" t="s">
        <v>222</v>
      </c>
      <c r="S462" s="14" t="s">
        <v>209</v>
      </c>
      <c r="T462" s="188">
        <f t="shared" si="55"/>
        <v>663.02609946434359</v>
      </c>
      <c r="U462" s="8">
        <f t="shared" si="53"/>
        <v>119.34469790358185</v>
      </c>
      <c r="V462" s="234">
        <f t="shared" si="58"/>
        <v>13379.866687190453</v>
      </c>
      <c r="W462" s="15">
        <v>25</v>
      </c>
      <c r="X462" s="8">
        <f t="shared" si="56"/>
        <v>4.5</v>
      </c>
      <c r="Y462" s="233">
        <f t="shared" si="57"/>
        <v>2161.5</v>
      </c>
    </row>
    <row r="463" spans="1:25">
      <c r="A463" s="156" t="e" cm="1">
        <f t="array" aca="1" ref="A463" ca="1">_xlfn.IFS(E463=$AB$42,$AC$42,E463=$AB$43,$AC$43,E463=$AB$44,$AC$44,E463=$AB$45,$AC$45,E463=$AB$46,$AC$46,E463=$AB$47,$AC$47,E463=$AB$48,$AC$48,E463=$AB$49,$AC$49,E463=$AB$50,$AC$50,E463=$AB$51,$AC$51,E463=$AB$52,$AC$52,E463=$AB$53,$AC$53,E463=$AB$54,$AC$54,E463=$AB$55,$AC$55,E463=$AB$56,$AC$56,E463=$AB$57,$AC$57,E463=$AB$58,$AC$58,E463=$AB$59,$AC$59,E463=$AB$60,$AC$60,E463=$AB$61,$AC$61,E463=$AB$62,$AC$62,E463=$AB$63,$AC$63,E463=$AB$64,$AC$64,E463=$AB$65,$AC$65,E463=$AB$66,$AC$66,TRUE,"0")</f>
        <v>#NAME?</v>
      </c>
      <c r="C463" s="161" t="str" cm="1">
        <f t="array" ref="C463">_xlfn.IFS(E463=$AB$42,$AF$42,E463=$AB$43,$AF$43,E463=$AB$44,$AF$44,E463=$AB$45,$AF$45,E463=$AB$46,$AF$46,E463=$AB$47,$AF$47,E463=$AB$48,$AF$48,E463=$AB$49,$AF$49,E463=$AB$50,$AF$50,E463=$AB$51,$AF$51,E463=$AB$52,$AF$52,E463=$AB$53,$AF$53,E463=$AB$54,$AF$54,E463=$AB$55,$AF$55,E463=$AB$56,$AF$56,E463=$AB$57,$AF$57,E463=$AB$58,$AF$58,E463=$AB$59,$AF$59,E463=$AB$60,$AF$60,E463=$AB$61,$AF$61,E463=$AB$62,$AF$62,E463=$AB$63,$AF$63,E463=$AB$64,$AF$64,E463=$AB$65,$AF$65,E463=$AB$66,$AF$66,TRUE,"0")</f>
        <v>if 0-0, BACK+ 0.5 GOALS  @ 1.15+odds.  or @ 40 mins</v>
      </c>
      <c r="D463" s="270" t="str" cm="1">
        <f t="array" ref="D463">_xlfn.IFS(E463=$AB$42,$AD$42,E463=$AB$43,$AD$43,E463=$AB$44,$AD$44,E463=$AB$45,$AD$45,E463=$AB$46,$AD$46,E463=$AB$47,$AD$47,E463=$AB$48,$AD$48,E463=$AB$49,$AD$49,E463=$AB$50,$AD$50,E463=$AB$51,$AD$51,E463=$AB$52,$AD$52,E463=$AB$53,$AD$53,E463=$AB$54,$AD$54,E463=$AB$55,$AD$55,E463=$AB$56,$AD$56,E463=$AB$57,$AD$57,E463=$AB$58,$AD$58,E463=$AB$59,$AD$59,E463=$AB$60,$AD$60,E463=$AB$61,$AD$61,E463=$AB$62,$AD$62,E463=$AB$63,$AD$63,E463=$AB$64,$AD$64,E463=$AB$65,$AD$65,E463=$AB$66,$AD$66,TRUE,"0")</f>
        <v>IP</v>
      </c>
      <c r="E463" s="163" t="s">
        <v>270</v>
      </c>
      <c r="F463" s="2" t="s">
        <v>58</v>
      </c>
      <c r="G463" s="2" t="s">
        <v>59</v>
      </c>
      <c r="H463" s="3">
        <v>45354.75</v>
      </c>
      <c r="I463" s="2" t="s">
        <v>125</v>
      </c>
      <c r="J463" s="2" t="s">
        <v>106</v>
      </c>
      <c r="K463" s="2">
        <v>60</v>
      </c>
      <c r="L463" s="2">
        <v>0</v>
      </c>
      <c r="M463" s="2">
        <v>20</v>
      </c>
      <c r="N463" s="2">
        <v>32</v>
      </c>
      <c r="O463" s="2">
        <v>2.56</v>
      </c>
      <c r="P463" s="2"/>
      <c r="Q463" s="2" t="s">
        <v>95</v>
      </c>
      <c r="R463" s="10" t="s">
        <v>222</v>
      </c>
      <c r="S463" s="14" t="s">
        <v>209</v>
      </c>
      <c r="T463" s="188">
        <f t="shared" si="55"/>
        <v>668.99333435952269</v>
      </c>
      <c r="U463" s="8">
        <f t="shared" si="53"/>
        <v>120.41880018471409</v>
      </c>
      <c r="V463" s="234">
        <f t="shared" si="58"/>
        <v>13500.285487375168</v>
      </c>
      <c r="W463" s="15">
        <v>25</v>
      </c>
      <c r="X463" s="8">
        <f t="shared" si="56"/>
        <v>4.5</v>
      </c>
      <c r="Y463" s="233">
        <f t="shared" si="57"/>
        <v>2166</v>
      </c>
    </row>
    <row r="464" spans="1:25">
      <c r="A464" s="156" t="e" cm="1">
        <f t="array" aca="1" ref="A464" ca="1">_xlfn.IFS(E464=$AB$42,$AC$42,E464=$AB$43,$AC$43,E464=$AB$44,$AC$44,E464=$AB$45,$AC$45,E464=$AB$46,$AC$46,E464=$AB$47,$AC$47,E464=$AB$48,$AC$48,E464=$AB$49,$AC$49,E464=$AB$50,$AC$50,E464=$AB$51,$AC$51,E464=$AB$52,$AC$52,E464=$AB$53,$AC$53,E464=$AB$54,$AC$54,E464=$AB$55,$AC$55,E464=$AB$56,$AC$56,E464=$AB$57,$AC$57,E464=$AB$58,$AC$58,E464=$AB$59,$AC$59,E464=$AB$60,$AC$60,E464=$AB$61,$AC$61,E464=$AB$62,$AC$62,E464=$AB$63,$AC$63,E464=$AB$64,$AC$64,E464=$AB$65,$AC$65,E464=$AB$66,$AC$66,TRUE,"0")</f>
        <v>#NAME?</v>
      </c>
      <c r="C464" s="161" t="str" cm="1">
        <f t="array" ref="C464">_xlfn.IFS(E464=$AB$42,$AF$42,E464=$AB$43,$AF$43,E464=$AB$44,$AF$44,E464=$AB$45,$AF$45,E464=$AB$46,$AF$46,E464=$AB$47,$AF$47,E464=$AB$48,$AF$48,E464=$AB$49,$AF$49,E464=$AB$50,$AF$50,E464=$AB$51,$AF$51,E464=$AB$52,$AF$52,E464=$AB$53,$AF$53,E464=$AB$54,$AF$54,E464=$AB$55,$AF$55,E464=$AB$56,$AF$56,E464=$AB$57,$AF$57,E464=$AB$58,$AF$58,E464=$AB$59,$AF$59,E464=$AB$60,$AF$60,E464=$AB$61,$AF$61,E464=$AB$62,$AF$62,E464=$AB$63,$AF$63,E464=$AB$64,$AF$64,E464=$AB$65,$AF$65,E464=$AB$66,$AF$66,TRUE,"0")</f>
        <v>40 mins Back ANother Goal</v>
      </c>
      <c r="D464" s="270" t="str" cm="1">
        <f t="array" ref="D464">_xlfn.IFS(E464=$AB$42,$AD$42,E464=$AB$43,$AD$43,E464=$AB$44,$AD$44,E464=$AB$45,$AD$45,E464=$AB$46,$AD$46,E464=$AB$47,$AD$47,E464=$AB$48,$AD$48,E464=$AB$49,$AD$49,E464=$AB$50,$AD$50,E464=$AB$51,$AD$51,E464=$AB$52,$AD$52,E464=$AB$53,$AD$53,E464=$AB$54,$AD$54,E464=$AB$55,$AD$55,E464=$AB$56,$AD$56,E464=$AB$57,$AD$57,E464=$AB$58,$AD$58,E464=$AB$59,$AD$59,E464=$AB$60,$AD$60,E464=$AB$61,$AD$61,E464=$AB$62,$AD$62,E464=$AB$63,$AD$63,E464=$AB$64,$AD$64,E464=$AB$65,$AD$65,E464=$AB$66,$AD$66,TRUE,"0")</f>
        <v xml:space="preserve">  BANG</v>
      </c>
      <c r="E464" s="163" t="s">
        <v>10</v>
      </c>
      <c r="F464" s="2" t="s">
        <v>119</v>
      </c>
      <c r="G464" s="2" t="s">
        <v>120</v>
      </c>
      <c r="H464" s="3">
        <v>45354.833333333336</v>
      </c>
      <c r="I464" s="2" t="s">
        <v>384</v>
      </c>
      <c r="J464" s="2" t="s">
        <v>361</v>
      </c>
      <c r="K464" s="2">
        <v>2.2000000000000002</v>
      </c>
      <c r="L464" s="2">
        <v>100</v>
      </c>
      <c r="M464" s="2">
        <v>70</v>
      </c>
      <c r="N464" s="2">
        <v>35</v>
      </c>
      <c r="O464" s="2">
        <v>64</v>
      </c>
      <c r="P464" s="2">
        <v>20</v>
      </c>
      <c r="Q464" s="2" t="s">
        <v>96</v>
      </c>
      <c r="R464" s="10" t="s">
        <v>221</v>
      </c>
      <c r="S464" s="14" t="s">
        <v>221</v>
      </c>
      <c r="T464" s="188">
        <f t="shared" si="55"/>
        <v>675.01427436875838</v>
      </c>
      <c r="U464" s="8">
        <f t="shared" si="53"/>
        <v>-675.01427436875838</v>
      </c>
      <c r="V464" s="234">
        <f t="shared" si="58"/>
        <v>12825.27121300641</v>
      </c>
      <c r="W464" s="15">
        <v>25</v>
      </c>
      <c r="X464" s="8">
        <f t="shared" si="56"/>
        <v>-25</v>
      </c>
      <c r="Y464" s="233">
        <f t="shared" si="57"/>
        <v>2141</v>
      </c>
    </row>
    <row r="465" spans="1:25">
      <c r="A465" s="156" t="e" cm="1">
        <f t="array" aca="1" ref="A465" ca="1">_xlfn.IFS(E465=$AB$42,$AC$42,E465=$AB$43,$AC$43,E465=$AB$44,$AC$44,E465=$AB$45,$AC$45,E465=$AB$46,$AC$46,E465=$AB$47,$AC$47,E465=$AB$48,$AC$48,E465=$AB$49,$AC$49,E465=$AB$50,$AC$50,E465=$AB$51,$AC$51,E465=$AB$52,$AC$52,E465=$AB$53,$AC$53,E465=$AB$54,$AC$54,E465=$AB$55,$AC$55,E465=$AB$56,$AC$56,E465=$AB$57,$AC$57,E465=$AB$58,$AC$58,E465=$AB$59,$AC$59,E465=$AB$60,$AC$60,E465=$AB$61,$AC$61,E465=$AB$62,$AC$62,E465=$AB$63,$AC$63,E465=$AB$64,$AC$64,E465=$AB$65,$AC$65,E465=$AB$66,$AC$66,TRUE,"0")</f>
        <v>#NAME?</v>
      </c>
      <c r="C465" s="161" t="str" cm="1">
        <f t="array" ref="C465">_xlfn.IFS(E465=$AB$42,$AF$42,E465=$AB$43,$AF$43,E465=$AB$44,$AF$44,E465=$AB$45,$AF$45,E465=$AB$46,$AF$46,E465=$AB$47,$AF$47,E465=$AB$48,$AF$48,E465=$AB$49,$AF$49,E465=$AB$50,$AF$50,E465=$AB$51,$AF$51,E465=$AB$52,$AF$52,E465=$AB$53,$AF$53,E465=$AB$54,$AF$54,E465=$AB$55,$AF$55,E465=$AB$56,$AF$56,E465=$AB$57,$AF$57,E465=$AB$58,$AF$58,E465=$AB$59,$AF$59,E465=$AB$60,$AF$60,E465=$AB$61,$AF$61,E465=$AB$62,$AF$62,E465=$AB$63,$AF$63,E465=$AB$64,$AF$64,E465=$AB$65,$AF$65,E465=$AB$66,$AF$66,TRUE,"0")</f>
        <v>if 0-0, BACK+ 0.5 GOALS  @ 1.15+odds.  or @ 40 mins</v>
      </c>
      <c r="D465" s="270" t="str" cm="1">
        <f t="array" ref="D465">_xlfn.IFS(E465=$AB$42,$AD$42,E465=$AB$43,$AD$43,E465=$AB$44,$AD$44,E465=$AB$45,$AD$45,E465=$AB$46,$AD$46,E465=$AB$47,$AD$47,E465=$AB$48,$AD$48,E465=$AB$49,$AD$49,E465=$AB$50,$AD$50,E465=$AB$51,$AD$51,E465=$AB$52,$AD$52,E465=$AB$53,$AD$53,E465=$AB$54,$AD$54,E465=$AB$55,$AD$55,E465=$AB$56,$AD$56,E465=$AB$57,$AD$57,E465=$AB$58,$AD$58,E465=$AB$59,$AD$59,E465=$AB$60,$AD$60,E465=$AB$61,$AD$61,E465=$AB$62,$AD$62,E465=$AB$63,$AD$63,E465=$AB$64,$AD$64,E465=$AB$65,$AD$65,E465=$AB$66,$AD$66,TRUE,"0")</f>
        <v>IP</v>
      </c>
      <c r="E465" s="163" t="s">
        <v>270</v>
      </c>
      <c r="F465" s="2" t="s">
        <v>119</v>
      </c>
      <c r="G465" s="2" t="s">
        <v>120</v>
      </c>
      <c r="H465" s="3">
        <v>45354.833333333336</v>
      </c>
      <c r="I465" s="2" t="s">
        <v>384</v>
      </c>
      <c r="J465" s="2" t="s">
        <v>361</v>
      </c>
      <c r="K465" s="2">
        <v>64</v>
      </c>
      <c r="L465" s="2">
        <v>0</v>
      </c>
      <c r="M465" s="2">
        <v>20</v>
      </c>
      <c r="N465" s="2">
        <v>31</v>
      </c>
      <c r="O465" s="2">
        <v>2.94</v>
      </c>
      <c r="P465" s="2"/>
      <c r="Q465" s="2" t="s">
        <v>96</v>
      </c>
      <c r="R465" s="10" t="s">
        <v>221</v>
      </c>
      <c r="S465" s="14" t="s">
        <v>221</v>
      </c>
      <c r="T465" s="188">
        <f t="shared" si="55"/>
        <v>641.26356065032053</v>
      </c>
      <c r="U465" s="8">
        <f t="shared" si="53"/>
        <v>-641.26356065032053</v>
      </c>
      <c r="V465" s="234">
        <f t="shared" si="58"/>
        <v>12184.007652356089</v>
      </c>
      <c r="W465" s="15">
        <v>25</v>
      </c>
      <c r="X465" s="8">
        <f t="shared" si="56"/>
        <v>-25</v>
      </c>
      <c r="Y465" s="233">
        <f t="shared" si="57"/>
        <v>2116</v>
      </c>
    </row>
    <row r="466" spans="1:25">
      <c r="A466" s="156" t="e" cm="1">
        <f t="array" aca="1" ref="A466" ca="1">_xlfn.IFS(E466=$AB$42,$AC$42,E466=$AB$43,$AC$43,E466=$AB$44,$AC$44,E466=$AB$45,$AC$45,E466=$AB$46,$AC$46,E466=$AB$47,$AC$47,E466=$AB$48,$AC$48,E466=$AB$49,$AC$49,E466=$AB$50,$AC$50,E466=$AB$51,$AC$51,E466=$AB$52,$AC$52,E466=$AB$53,$AC$53,E466=$AB$54,$AC$54,E466=$AB$55,$AC$55,E466=$AB$56,$AC$56,E466=$AB$57,$AC$57,E466=$AB$58,$AC$58,E466=$AB$59,$AC$59,E466=$AB$60,$AC$60,E466=$AB$61,$AC$61,E466=$AB$62,$AC$62,E466=$AB$63,$AC$63,E466=$AB$64,$AC$64,E466=$AB$65,$AC$65,E466=$AB$66,$AC$66,TRUE,"0")</f>
        <v>#NAME?</v>
      </c>
      <c r="C466" s="161" t="str" cm="1">
        <f t="array" ref="C466">_xlfn.IFS(E466=$AB$42,$AF$42,E466=$AB$43,$AF$43,E466=$AB$44,$AF$44,E466=$AB$45,$AF$45,E466=$AB$46,$AF$46,E466=$AB$47,$AF$47,E466=$AB$48,$AF$48,E466=$AB$49,$AF$49,E466=$AB$50,$AF$50,E466=$AB$51,$AF$51,E466=$AB$52,$AF$52,E466=$AB$53,$AF$53,E466=$AB$54,$AF$54,E466=$AB$55,$AF$55,E466=$AB$56,$AF$56,E466=$AB$57,$AF$57,E466=$AB$58,$AF$58,E466=$AB$59,$AF$59,E466=$AB$60,$AF$60,E466=$AB$61,$AF$61,E466=$AB$62,$AF$62,E466=$AB$63,$AF$63,E466=$AB$64,$AF$64,E466=$AB$65,$AF$65,E466=$AB$66,$AF$66,TRUE,"0")</f>
        <v>20mins if  0-0, BACK over 1.5 goals X after goal OR LET RUN</v>
      </c>
      <c r="D466" s="270" t="str" cm="1">
        <f t="array" ref="D466">_xlfn.IFS(E466=$AB$42,$AD$42,E466=$AB$43,$AD$43,E466=$AB$44,$AD$44,E466=$AB$45,$AD$45,E466=$AB$46,$AD$46,E466=$AB$47,$AD$47,E466=$AB$48,$AD$48,E466=$AB$49,$AD$49,E466=$AB$50,$AD$50,E466=$AB$51,$AD$51,E466=$AB$52,$AD$52,E466=$AB$53,$AD$53,E466=$AB$54,$AD$54,E466=$AB$55,$AD$55,E466=$AB$56,$AD$56,E466=$AB$57,$AD$57,E466=$AB$58,$AD$58,E466=$AB$59,$AD$59,E466=$AB$60,$AD$60,E466=$AB$61,$AD$61,E466=$AB$62,$AD$62,E466=$AB$63,$AD$63,E466=$AB$64,$AD$64,E466=$AB$65,$AD$65,E466=$AB$66,$AD$66,TRUE,"0")</f>
        <v>IP</v>
      </c>
      <c r="E466" s="163" t="s">
        <v>474</v>
      </c>
      <c r="F466" s="2" t="s">
        <v>489</v>
      </c>
      <c r="G466" s="2" t="s">
        <v>490</v>
      </c>
      <c r="H466" s="3">
        <v>45355.708333333336</v>
      </c>
      <c r="I466" s="2" t="s">
        <v>491</v>
      </c>
      <c r="J466" s="2" t="s">
        <v>492</v>
      </c>
      <c r="K466" s="2">
        <v>54</v>
      </c>
      <c r="L466" s="2">
        <v>3.1</v>
      </c>
      <c r="M466" s="2">
        <v>20</v>
      </c>
      <c r="N466" s="2">
        <v>60</v>
      </c>
      <c r="O466" s="2">
        <v>90</v>
      </c>
      <c r="P466" s="2"/>
      <c r="Q466" s="2" t="s">
        <v>95</v>
      </c>
      <c r="R466" s="10" t="s">
        <v>193</v>
      </c>
      <c r="S466" s="14" t="s">
        <v>223</v>
      </c>
      <c r="T466" s="188">
        <f t="shared" si="55"/>
        <v>609.20038261780451</v>
      </c>
      <c r="U466" s="8">
        <f t="shared" si="53"/>
        <v>109.65606887120481</v>
      </c>
      <c r="V466" s="234">
        <f t="shared" si="58"/>
        <v>12293.663721227294</v>
      </c>
      <c r="W466" s="15">
        <v>25</v>
      </c>
      <c r="X466" s="8">
        <f t="shared" si="56"/>
        <v>4.5</v>
      </c>
      <c r="Y466" s="233">
        <f t="shared" si="57"/>
        <v>2120.5</v>
      </c>
    </row>
    <row r="467" spans="1:25">
      <c r="A467" s="156" t="e" cm="1">
        <f t="array" aca="1" ref="A467" ca="1">_xlfn.IFS(E467=$AB$42,$AC$42,E467=$AB$43,$AC$43,E467=$AB$44,$AC$44,E467=$AB$45,$AC$45,E467=$AB$46,$AC$46,E467=$AB$47,$AC$47,E467=$AB$48,$AC$48,E467=$AB$49,$AC$49,E467=$AB$50,$AC$50,E467=$AB$51,$AC$51,E467=$AB$52,$AC$52,E467=$AB$53,$AC$53,E467=$AB$54,$AC$54,E467=$AB$55,$AC$55,E467=$AB$56,$AC$56,E467=$AB$57,$AC$57,E467=$AB$58,$AC$58,E467=$AB$59,$AC$59,E467=$AB$60,$AC$60,E467=$AB$61,$AC$61,E467=$AB$62,$AC$62,E467=$AB$63,$AC$63,E467=$AB$64,$AC$64,E467=$AB$65,$AC$65,E467=$AB$66,$AC$66,TRUE,"0")</f>
        <v>#NAME?</v>
      </c>
      <c r="C467" s="161" t="str" cm="1">
        <f t="array" ref="C467">_xlfn.IFS(E467=$AB$42,$AF$42,E467=$AB$43,$AF$43,E467=$AB$44,$AF$44,E467=$AB$45,$AF$45,E467=$AB$46,$AF$46,E467=$AB$47,$AF$47,E467=$AB$48,$AF$48,E467=$AB$49,$AF$49,E467=$AB$50,$AF$50,E467=$AB$51,$AF$51,E467=$AB$52,$AF$52,E467=$AB$53,$AF$53,E467=$AB$54,$AF$54,E467=$AB$55,$AF$55,E467=$AB$56,$AF$56,E467=$AB$57,$AF$57,E467=$AB$58,$AF$58,E467=$AB$59,$AF$59,E467=$AB$60,$AF$60,E467=$AB$61,$AF$61,E467=$AB$62,$AF$62,E467=$AB$63,$AF$63,E467=$AB$64,$AF$64,E467=$AB$65,$AF$65,E467=$AB$66,$AF$66,TRUE,"0")</f>
        <v>B4 Match, lay HT 0-0 or BACK H1 +0.5 GOALS</v>
      </c>
      <c r="D467" s="270" t="str" cm="1">
        <f t="array" ref="D467">_xlfn.IFS(E467=$AB$42,$AD$42,E467=$AB$43,$AD$43,E467=$AB$44,$AD$44,E467=$AB$45,$AD$45,E467=$AB$46,$AD$46,E467=$AB$47,$AD$47,E467=$AB$48,$AD$48,E467=$AB$49,$AD$49,E467=$AB$50,$AD$50,E467=$AB$51,$AD$51,E467=$AB$52,$AD$52,E467=$AB$53,$AD$53,E467=$AB$54,$AD$54,E467=$AB$55,$AD$55,E467=$AB$56,$AD$56,E467=$AB$57,$AD$57,E467=$AB$58,$AD$58,E467=$AB$59,$AD$59,E467=$AB$60,$AD$60,E467=$AB$61,$AD$61,E467=$AB$62,$AD$62,E467=$AB$63,$AD$63,E467=$AB$64,$AD$64,E467=$AB$65,$AD$65,E467=$AB$66,$AD$66,TRUE,"0")</f>
        <v xml:space="preserve">BFM </v>
      </c>
      <c r="E467" s="163" t="s">
        <v>448</v>
      </c>
      <c r="F467" s="2" t="s">
        <v>489</v>
      </c>
      <c r="G467" s="2" t="s">
        <v>490</v>
      </c>
      <c r="H467" s="3">
        <v>45355.708333333336</v>
      </c>
      <c r="I467" s="2" t="s">
        <v>501</v>
      </c>
      <c r="J467" s="2" t="s">
        <v>502</v>
      </c>
      <c r="K467" s="2">
        <v>20</v>
      </c>
      <c r="L467" s="2">
        <v>10</v>
      </c>
      <c r="M467" s="2">
        <v>33</v>
      </c>
      <c r="N467" s="2">
        <v>6</v>
      </c>
      <c r="O467" s="2">
        <v>7</v>
      </c>
      <c r="P467" s="2">
        <v>10</v>
      </c>
      <c r="Q467" s="2" t="s">
        <v>95</v>
      </c>
      <c r="R467" s="10" t="s">
        <v>220</v>
      </c>
      <c r="S467" s="14" t="s">
        <v>215</v>
      </c>
      <c r="T467" s="188">
        <f t="shared" si="55"/>
        <v>614.68318606136472</v>
      </c>
      <c r="U467" s="8">
        <f t="shared" si="53"/>
        <v>110.64297349104565</v>
      </c>
      <c r="V467" s="234">
        <f t="shared" ref="V467:V474" si="59">SUM(V466,U467)</f>
        <v>12404.30669471834</v>
      </c>
      <c r="W467" s="15">
        <v>25</v>
      </c>
      <c r="X467" s="8">
        <f t="shared" si="56"/>
        <v>4.5</v>
      </c>
      <c r="Y467" s="233">
        <f t="shared" si="57"/>
        <v>2125</v>
      </c>
    </row>
    <row r="468" spans="1:25">
      <c r="A468" s="156" t="e" cm="1">
        <f t="array" aca="1" ref="A468" ca="1">_xlfn.IFS(E468=$AB$42,$AC$42,E468=$AB$43,$AC$43,E468=$AB$44,$AC$44,E468=$AB$45,$AC$45,E468=$AB$46,$AC$46,E468=$AB$47,$AC$47,E468=$AB$48,$AC$48,E468=$AB$49,$AC$49,E468=$AB$50,$AC$50,E468=$AB$51,$AC$51,E468=$AB$52,$AC$52,E468=$AB$53,$AC$53,E468=$AB$54,$AC$54,E468=$AB$55,$AC$55,E468=$AB$56,$AC$56,E468=$AB$57,$AC$57,E468=$AB$58,$AC$58,E468=$AB$59,$AC$59,E468=$AB$60,$AC$60,E468=$AB$61,$AC$61,E468=$AB$62,$AC$62,E468=$AB$63,$AC$63,E468=$AB$64,$AC$64,E468=$AB$65,$AC$65,E468=$AB$66,$AC$66,TRUE,"0")</f>
        <v>#NAME?</v>
      </c>
      <c r="C468" s="161" t="str" cm="1">
        <f t="array" ref="C468">_xlfn.IFS(E468=$AB$42,$AF$42,E468=$AB$43,$AF$43,E468=$AB$44,$AF$44,E468=$AB$45,$AF$45,E468=$AB$46,$AF$46,E468=$AB$47,$AF$47,E468=$AB$48,$AF$48,E468=$AB$49,$AF$49,E468=$AB$50,$AF$50,E468=$AB$51,$AF$51,E468=$AB$52,$AF$52,E468=$AB$53,$AF$53,E468=$AB$54,$AF$54,E468=$AB$55,$AF$55,E468=$AB$56,$AF$56,E468=$AB$57,$AF$57,E468=$AB$58,$AF$58,E468=$AB$59,$AF$59,E468=$AB$60,$AF$60,E468=$AB$61,$AF$61,E468=$AB$62,$AF$62,E468=$AB$63,$AF$63,E468=$AB$64,$AF$64,E468=$AB$65,$AF$65,E468=$AB$66,$AF$66,TRUE,"0")</f>
        <v>if 0-0, BACK+ 0.5 GOALS  @ 1.15+odds.  or @ 40 mins</v>
      </c>
      <c r="D468" s="270" t="str" cm="1">
        <f t="array" ref="D468">_xlfn.IFS(E468=$AB$42,$AD$42,E468=$AB$43,$AD$43,E468=$AB$44,$AD$44,E468=$AB$45,$AD$45,E468=$AB$46,$AD$46,E468=$AB$47,$AD$47,E468=$AB$48,$AD$48,E468=$AB$49,$AD$49,E468=$AB$50,$AD$50,E468=$AB$51,$AD$51,E468=$AB$52,$AD$52,E468=$AB$53,$AD$53,E468=$AB$54,$AD$54,E468=$AB$55,$AD$55,E468=$AB$56,$AD$56,E468=$AB$57,$AD$57,E468=$AB$58,$AD$58,E468=$AB$59,$AD$59,E468=$AB$60,$AD$60,E468=$AB$61,$AD$61,E468=$AB$62,$AD$62,E468=$AB$63,$AD$63,E468=$AB$64,$AD$64,E468=$AB$65,$AD$65,E468=$AB$66,$AD$66,TRUE,"0")</f>
        <v>IP</v>
      </c>
      <c r="E468" s="163" t="s">
        <v>270</v>
      </c>
      <c r="F468" s="2" t="s">
        <v>149</v>
      </c>
      <c r="G468" s="2" t="s">
        <v>150</v>
      </c>
      <c r="H468" s="3">
        <v>45355.791666666664</v>
      </c>
      <c r="I468" s="2" t="s">
        <v>493</v>
      </c>
      <c r="J468" s="2" t="s">
        <v>151</v>
      </c>
      <c r="K468" s="2">
        <v>61</v>
      </c>
      <c r="L468" s="2">
        <v>0</v>
      </c>
      <c r="M468" s="2">
        <v>20</v>
      </c>
      <c r="N468" s="2">
        <v>25</v>
      </c>
      <c r="O468" s="2">
        <v>2.35</v>
      </c>
      <c r="P468" s="2"/>
      <c r="Q468" s="2" t="s">
        <v>95</v>
      </c>
      <c r="R468" s="10" t="s">
        <v>221</v>
      </c>
      <c r="S468" s="14" t="s">
        <v>215</v>
      </c>
      <c r="T468" s="188">
        <f t="shared" si="55"/>
        <v>620.21533473591705</v>
      </c>
      <c r="U468" s="8">
        <f t="shared" si="53"/>
        <v>111.63876025246506</v>
      </c>
      <c r="V468" s="234">
        <f t="shared" si="59"/>
        <v>12515.945454970804</v>
      </c>
      <c r="W468" s="15">
        <v>25</v>
      </c>
      <c r="X468" s="8">
        <f t="shared" si="56"/>
        <v>4.5</v>
      </c>
      <c r="Y468" s="233">
        <f t="shared" si="57"/>
        <v>2129.5</v>
      </c>
    </row>
    <row r="469" spans="1:25">
      <c r="A469" s="156" t="e" cm="1">
        <f t="array" aca="1" ref="A469" ca="1">_xlfn.IFS(E469=$AB$42,$AC$42,E469=$AB$43,$AC$43,E469=$AB$44,$AC$44,E469=$AB$45,$AC$45,E469=$AB$46,$AC$46,E469=$AB$47,$AC$47,E469=$AB$48,$AC$48,E469=$AB$49,$AC$49,E469=$AB$50,$AC$50,E469=$AB$51,$AC$51,E469=$AB$52,$AC$52,E469=$AB$53,$AC$53,E469=$AB$54,$AC$54,E469=$AB$55,$AC$55,E469=$AB$56,$AC$56,E469=$AB$57,$AC$57,E469=$AB$58,$AC$58,E469=$AB$59,$AC$59,E469=$AB$60,$AC$60,E469=$AB$61,$AC$61,E469=$AB$62,$AC$62,E469=$AB$63,$AC$63,E469=$AB$64,$AC$64,E469=$AB$65,$AC$65,E469=$AB$66,$AC$66,TRUE,"0")</f>
        <v>#NAME?</v>
      </c>
      <c r="C469" s="161" t="str" cm="1">
        <f t="array" ref="C469">_xlfn.IFS(E469=$AB$42,$AF$42,E469=$AB$43,$AF$43,E469=$AB$44,$AF$44,E469=$AB$45,$AF$45,E469=$AB$46,$AF$46,E469=$AB$47,$AF$47,E469=$AB$48,$AF$48,E469=$AB$49,$AF$49,E469=$AB$50,$AF$50,E469=$AB$51,$AF$51,E469=$AB$52,$AF$52,E469=$AB$53,$AF$53,E469=$AB$54,$AF$54,E469=$AB$55,$AF$55,E469=$AB$56,$AF$56,E469=$AB$57,$AF$57,E469=$AB$58,$AF$58,E469=$AB$59,$AF$59,E469=$AB$60,$AF$60,E469=$AB$61,$AF$61,E469=$AB$62,$AF$62,E469=$AB$63,$AF$63,E469=$AB$64,$AF$64,E469=$AB$65,$AF$65,E469=$AB$66,$AF$66,TRUE,"0")</f>
        <v>B4 match BACK FT +1.5 goals. X AFTER  GOAL</v>
      </c>
      <c r="D469" s="270" t="str" cm="1">
        <f t="array" ref="D469">_xlfn.IFS(E469=$AB$42,$AD$42,E469=$AB$43,$AD$43,E469=$AB$44,$AD$44,E469=$AB$45,$AD$45,E469=$AB$46,$AD$46,E469=$AB$47,$AD$47,E469=$AB$48,$AD$48,E469=$AB$49,$AD$49,E469=$AB$50,$AD$50,E469=$AB$51,$AD$51,E469=$AB$52,$AD$52,E469=$AB$53,$AD$53,E469=$AB$54,$AD$54,E469=$AB$55,$AD$55,E469=$AB$56,$AD$56,E469=$AB$57,$AD$57,E469=$AB$58,$AD$58,E469=$AB$59,$AD$59,E469=$AB$60,$AD$60,E469=$AB$61,$AD$61,E469=$AB$62,$AD$62,E469=$AB$63,$AD$63,E469=$AB$64,$AD$64,E469=$AB$65,$AD$65,E469=$AB$66,$AD$66,TRUE,"0")</f>
        <v xml:space="preserve">BFM </v>
      </c>
      <c r="E469" s="163" t="s">
        <v>406</v>
      </c>
      <c r="F469" s="2" t="s">
        <v>20</v>
      </c>
      <c r="G469" s="2" t="s">
        <v>21</v>
      </c>
      <c r="H469" s="3">
        <v>45355.822916666664</v>
      </c>
      <c r="I469" s="2" t="s">
        <v>25</v>
      </c>
      <c r="J469" s="2" t="s">
        <v>24</v>
      </c>
      <c r="K469" s="2">
        <v>1.27</v>
      </c>
      <c r="L469" s="2">
        <v>16</v>
      </c>
      <c r="M469" s="2">
        <v>2.5499999999999998</v>
      </c>
      <c r="N469" s="2">
        <v>5.2</v>
      </c>
      <c r="O469" s="2">
        <v>2.36</v>
      </c>
      <c r="P469" s="2"/>
      <c r="Q469" s="2" t="s">
        <v>95</v>
      </c>
      <c r="R469" s="10" t="s">
        <v>220</v>
      </c>
      <c r="S469" s="14" t="s">
        <v>222</v>
      </c>
      <c r="T469" s="188">
        <f t="shared" si="55"/>
        <v>625.79727274854031</v>
      </c>
      <c r="U469" s="8">
        <f t="shared" si="53"/>
        <v>112.64350909473725</v>
      </c>
      <c r="V469" s="234">
        <f t="shared" si="59"/>
        <v>12628.588964065542</v>
      </c>
      <c r="W469" s="15">
        <v>25</v>
      </c>
      <c r="X469" s="8">
        <f t="shared" si="56"/>
        <v>4.5</v>
      </c>
      <c r="Y469" s="233">
        <f t="shared" si="57"/>
        <v>2134</v>
      </c>
    </row>
    <row r="470" spans="1:25">
      <c r="A470" s="156" t="e" cm="1">
        <f t="array" aca="1" ref="A470" ca="1">_xlfn.IFS(E470=$AB$42,$AC$42,E470=$AB$43,$AC$43,E470=$AB$44,$AC$44,E470=$AB$45,$AC$45,E470=$AB$46,$AC$46,E470=$AB$47,$AC$47,E470=$AB$48,$AC$48,E470=$AB$49,$AC$49,E470=$AB$50,$AC$50,E470=$AB$51,$AC$51,E470=$AB$52,$AC$52,E470=$AB$53,$AC$53,E470=$AB$54,$AC$54,E470=$AB$55,$AC$55,E470=$AB$56,$AC$56,E470=$AB$57,$AC$57,E470=$AB$58,$AC$58,E470=$AB$59,$AC$59,E470=$AB$60,$AC$60,E470=$AB$61,$AC$61,E470=$AB$62,$AC$62,E470=$AB$63,$AC$63,E470=$AB$64,$AC$64,E470=$AB$65,$AC$65,E470=$AB$66,$AC$66,TRUE,"0")</f>
        <v>#NAME?</v>
      </c>
      <c r="C470" s="161" t="str" cm="1">
        <f t="array" ref="C470">_xlfn.IFS(E470=$AB$42,$AF$42,E470=$AB$43,$AF$43,E470=$AB$44,$AF$44,E470=$AB$45,$AF$45,E470=$AB$46,$AF$46,E470=$AB$47,$AF$47,E470=$AB$48,$AF$48,E470=$AB$49,$AF$49,E470=$AB$50,$AF$50,E470=$AB$51,$AF$51,E470=$AB$52,$AF$52,E470=$AB$53,$AF$53,E470=$AB$54,$AF$54,E470=$AB$55,$AF$55,E470=$AB$56,$AF$56,E470=$AB$57,$AF$57,E470=$AB$58,$AF$58,E470=$AB$59,$AF$59,E470=$AB$60,$AF$60,E470=$AB$61,$AF$61,E470=$AB$62,$AF$62,E470=$AB$63,$AF$63,E470=$AB$64,$AF$64,E470=$AB$65,$AF$65,E470=$AB$66,$AF$66,TRUE,"0")</f>
        <v>B4 match BACK FT +1.5 goals. X AFTER  GOAL</v>
      </c>
      <c r="D470" s="270" t="str" cm="1">
        <f t="array" ref="D470">_xlfn.IFS(E470=$AB$42,$AD$42,E470=$AB$43,$AD$43,E470=$AB$44,$AD$44,E470=$AB$45,$AD$45,E470=$AB$46,$AD$46,E470=$AB$47,$AD$47,E470=$AB$48,$AD$48,E470=$AB$49,$AD$49,E470=$AB$50,$AD$50,E470=$AB$51,$AD$51,E470=$AB$52,$AD$52,E470=$AB$53,$AD$53,E470=$AB$54,$AD$54,E470=$AB$55,$AD$55,E470=$AB$56,$AD$56,E470=$AB$57,$AD$57,E470=$AB$58,$AD$58,E470=$AB$59,$AD$59,E470=$AB$60,$AD$60,E470=$AB$61,$AD$61,E470=$AB$62,$AD$62,E470=$AB$63,$AD$63,E470=$AB$64,$AD$64,E470=$AB$65,$AD$65,E470=$AB$66,$AD$66,TRUE,"0")</f>
        <v xml:space="preserve">BFM </v>
      </c>
      <c r="E470" s="163" t="s">
        <v>512</v>
      </c>
      <c r="F470" s="2" t="s">
        <v>20</v>
      </c>
      <c r="G470" s="2" t="s">
        <v>21</v>
      </c>
      <c r="H470" s="3">
        <v>45355.822916666664</v>
      </c>
      <c r="I470" s="2" t="s">
        <v>25</v>
      </c>
      <c r="J470" s="2" t="s">
        <v>24</v>
      </c>
      <c r="K470" s="2">
        <v>5.2</v>
      </c>
      <c r="L470" s="2">
        <v>20</v>
      </c>
      <c r="M470" s="2">
        <v>2.5499999999999998</v>
      </c>
      <c r="N470" s="2">
        <v>3</v>
      </c>
      <c r="O470" s="2">
        <v>37</v>
      </c>
      <c r="P470" s="2"/>
      <c r="Q470" s="2" t="s">
        <v>95</v>
      </c>
      <c r="R470" s="10" t="s">
        <v>220</v>
      </c>
      <c r="S470" s="14" t="s">
        <v>222</v>
      </c>
      <c r="T470" s="188">
        <f t="shared" si="55"/>
        <v>631.42944820327716</v>
      </c>
      <c r="U470" s="8">
        <f t="shared" si="53"/>
        <v>113.65730067658988</v>
      </c>
      <c r="V470" s="234">
        <f t="shared" si="59"/>
        <v>12742.246264742133</v>
      </c>
      <c r="W470" s="15">
        <v>25</v>
      </c>
      <c r="X470" s="8">
        <f t="shared" si="56"/>
        <v>4.5</v>
      </c>
      <c r="Y470" s="233">
        <f t="shared" si="57"/>
        <v>2138.5</v>
      </c>
    </row>
    <row r="471" spans="1:25">
      <c r="A471" s="156" t="e" cm="1">
        <f t="array" aca="1" ref="A471" ca="1">_xlfn.IFS(E471=$AB$42,$AC$42,E471=$AB$43,$AC$43,E471=$AB$44,$AC$44,E471=$AB$45,$AC$45,E471=$AB$46,$AC$46,E471=$AB$47,$AC$47,E471=$AB$48,$AC$48,E471=$AB$49,$AC$49,E471=$AB$50,$AC$50,E471=$AB$51,$AC$51,E471=$AB$52,$AC$52,E471=$AB$53,$AC$53,E471=$AB$54,$AC$54,E471=$AB$55,$AC$55,E471=$AB$56,$AC$56,E471=$AB$57,$AC$57,E471=$AB$58,$AC$58,E471=$AB$59,$AC$59,E471=$AB$60,$AC$60,E471=$AB$61,$AC$61,E471=$AB$62,$AC$62,E471=$AB$63,$AC$63,E471=$AB$64,$AC$64,E471=$AB$65,$AC$65,E471=$AB$66,$AC$66,TRUE,"0")</f>
        <v>#NAME?</v>
      </c>
      <c r="C471" s="161" t="str" cm="1">
        <f t="array" ref="C471">_xlfn.IFS(E471=$AB$42,$AF$42,E471=$AB$43,$AF$43,E471=$AB$44,$AF$44,E471=$AB$45,$AF$45,E471=$AB$46,$AF$46,E471=$AB$47,$AF$47,E471=$AB$48,$AF$48,E471=$AB$49,$AF$49,E471=$AB$50,$AF$50,E471=$AB$51,$AF$51,E471=$AB$52,$AF$52,E471=$AB$53,$AF$53,E471=$AB$54,$AF$54,E471=$AB$55,$AF$55,E471=$AB$56,$AF$56,E471=$AB$57,$AF$57,E471=$AB$58,$AF$58,E471=$AB$59,$AF$59,E471=$AB$60,$AF$60,E471=$AB$61,$AF$61,E471=$AB$62,$AF$62,E471=$AB$63,$AF$63,E471=$AB$64,$AF$64,E471=$AB$65,$AF$65,E471=$AB$66,$AF$66,TRUE,"0")</f>
        <v>10mins if  0-0, BACK over 1.5 goals X after goal OR LET RUN</v>
      </c>
      <c r="D471" s="270" t="str" cm="1">
        <f t="array" ref="D471">_xlfn.IFS(E471=$AB$42,$AD$42,E471=$AB$43,$AD$43,E471=$AB$44,$AD$44,E471=$AB$45,$AD$45,E471=$AB$46,$AD$46,E471=$AB$47,$AD$47,E471=$AB$48,$AD$48,E471=$AB$49,$AD$49,E471=$AB$50,$AD$50,E471=$AB$51,$AD$51,E471=$AB$52,$AD$52,E471=$AB$53,$AD$53,E471=$AB$54,$AD$54,E471=$AB$55,$AD$55,E471=$AB$56,$AD$56,E471=$AB$57,$AD$57,E471=$AB$58,$AD$58,E471=$AB$59,$AD$59,E471=$AB$60,$AD$60,E471=$AB$61,$AD$61,E471=$AB$62,$AD$62,E471=$AB$63,$AD$63,E471=$AB$64,$AD$64,E471=$AB$65,$AD$65,E471=$AB$66,$AD$66,TRUE,"0")</f>
        <v>IP</v>
      </c>
      <c r="E471" s="163" t="s">
        <v>498</v>
      </c>
      <c r="F471" s="2" t="s">
        <v>20</v>
      </c>
      <c r="G471" s="2" t="s">
        <v>21</v>
      </c>
      <c r="H471" s="3">
        <v>45355.822916666664</v>
      </c>
      <c r="I471" s="2" t="s">
        <v>25</v>
      </c>
      <c r="J471" s="2" t="s">
        <v>24</v>
      </c>
      <c r="K471" s="2">
        <v>64</v>
      </c>
      <c r="L471" s="2">
        <v>80</v>
      </c>
      <c r="M471" s="2">
        <v>1.25</v>
      </c>
      <c r="N471" s="2">
        <v>20</v>
      </c>
      <c r="O471" s="2"/>
      <c r="P471" s="2"/>
      <c r="Q471" s="2" t="s">
        <v>95</v>
      </c>
      <c r="R471" s="10" t="s">
        <v>220</v>
      </c>
      <c r="S471" s="14" t="s">
        <v>222</v>
      </c>
      <c r="T471" s="188">
        <f t="shared" si="55"/>
        <v>637.11231323710672</v>
      </c>
      <c r="U471" s="8">
        <f t="shared" si="53"/>
        <v>114.68021638267921</v>
      </c>
      <c r="V471" s="234">
        <f t="shared" si="59"/>
        <v>12856.926481124812</v>
      </c>
      <c r="W471" s="15">
        <v>25</v>
      </c>
      <c r="X471" s="8">
        <f t="shared" si="56"/>
        <v>4.5</v>
      </c>
      <c r="Y471" s="233">
        <f t="shared" si="57"/>
        <v>2143</v>
      </c>
    </row>
    <row r="472" spans="1:25">
      <c r="A472" s="156" t="e" cm="1">
        <f t="array" aca="1" ref="A472" ca="1">_xlfn.IFS(E472=$AB$42,$AC$42,E472=$AB$43,$AC$43,E472=$AB$44,$AC$44,E472=$AB$45,$AC$45,E472=$AB$46,$AC$46,E472=$AB$47,$AC$47,E472=$AB$48,$AC$48,E472=$AB$49,$AC$49,E472=$AB$50,$AC$50,E472=$AB$51,$AC$51,E472=$AB$52,$AC$52,E472=$AB$53,$AC$53,E472=$AB$54,$AC$54,E472=$AB$55,$AC$55,E472=$AB$56,$AC$56,E472=$AB$57,$AC$57,E472=$AB$58,$AC$58,E472=$AB$59,$AC$59,E472=$AB$60,$AC$60,E472=$AB$61,$AC$61,E472=$AB$62,$AC$62,E472=$AB$63,$AC$63,E472=$AB$64,$AC$64,E472=$AB$65,$AC$65,E472=$AB$66,$AC$66,TRUE,"0")</f>
        <v>#NAME?</v>
      </c>
      <c r="C472" s="161" t="str" cm="1">
        <f t="array" ref="C472">_xlfn.IFS(E472=$AB$42,$AF$42,E472=$AB$43,$AF$43,E472=$AB$44,$AF$44,E472=$AB$45,$AF$45,E472=$AB$46,$AF$46,E472=$AB$47,$AF$47,E472=$AB$48,$AF$48,E472=$AB$49,$AF$49,E472=$AB$50,$AF$50,E472=$AB$51,$AF$51,E472=$AB$52,$AF$52,E472=$AB$53,$AF$53,E472=$AB$54,$AF$54,E472=$AB$55,$AF$55,E472=$AB$56,$AF$56,E472=$AB$57,$AF$57,E472=$AB$58,$AF$58,E472=$AB$59,$AF$59,E472=$AB$60,$AF$60,E472=$AB$61,$AF$61,E472=$AB$62,$AF$62,E472=$AB$63,$AF$63,E472=$AB$64,$AF$64,E472=$AB$65,$AF$65,E472=$AB$66,$AF$66,TRUE,"0")</f>
        <v>B4 match BACK FT +1.5 goals. X AFTER  GOAL</v>
      </c>
      <c r="D472" s="270" t="str" cm="1">
        <f t="array" ref="D472">_xlfn.IFS(E472=$AB$42,$AD$42,E472=$AB$43,$AD$43,E472=$AB$44,$AD$44,E472=$AB$45,$AD$45,E472=$AB$46,$AD$46,E472=$AB$47,$AD$47,E472=$AB$48,$AD$48,E472=$AB$49,$AD$49,E472=$AB$50,$AD$50,E472=$AB$51,$AD$51,E472=$AB$52,$AD$52,E472=$AB$53,$AD$53,E472=$AB$54,$AD$54,E472=$AB$55,$AD$55,E472=$AB$56,$AD$56,E472=$AB$57,$AD$57,E472=$AB$58,$AD$58,E472=$AB$59,$AD$59,E472=$AB$60,$AD$60,E472=$AB$61,$AD$61,E472=$AB$62,$AD$62,E472=$AB$63,$AD$63,E472=$AB$64,$AD$64,E472=$AB$65,$AD$65,E472=$AB$66,$AD$66,TRUE,"0")</f>
        <v xml:space="preserve">BFM </v>
      </c>
      <c r="E472" s="163" t="s">
        <v>406</v>
      </c>
      <c r="F472" s="2" t="s">
        <v>6</v>
      </c>
      <c r="G472" s="2" t="s">
        <v>14</v>
      </c>
      <c r="H472" s="3">
        <v>45356.822916666664</v>
      </c>
      <c r="I472" s="2" t="s">
        <v>376</v>
      </c>
      <c r="J472" s="2" t="s">
        <v>262</v>
      </c>
      <c r="K472" s="2">
        <v>1.34</v>
      </c>
      <c r="L472" s="2">
        <v>13.5</v>
      </c>
      <c r="M472" s="2">
        <v>3.1</v>
      </c>
      <c r="N472" s="2">
        <v>5.2</v>
      </c>
      <c r="O472" s="2">
        <v>2.5</v>
      </c>
      <c r="P472" s="2"/>
      <c r="Q472" s="2" t="s">
        <v>95</v>
      </c>
      <c r="R472" s="10" t="s">
        <v>194</v>
      </c>
      <c r="S472" s="14" t="s">
        <v>195</v>
      </c>
      <c r="T472" s="188">
        <f t="shared" si="55"/>
        <v>642.84632405624063</v>
      </c>
      <c r="U472" s="8">
        <f t="shared" si="53"/>
        <v>115.71233833012332</v>
      </c>
      <c r="V472" s="234">
        <f t="shared" si="59"/>
        <v>12972.638819454936</v>
      </c>
      <c r="W472" s="15">
        <v>25</v>
      </c>
      <c r="X472" s="8">
        <f t="shared" si="56"/>
        <v>4.5</v>
      </c>
      <c r="Y472" s="233">
        <f t="shared" si="57"/>
        <v>2147.5</v>
      </c>
    </row>
    <row r="473" spans="1:25">
      <c r="A473" s="156" t="e" cm="1">
        <f t="array" aca="1" ref="A473" ca="1">_xlfn.IFS(E473=$AB$42,$AC$42,E473=$AB$43,$AC$43,E473=$AB$44,$AC$44,E473=$AB$45,$AC$45,E473=$AB$46,$AC$46,E473=$AB$47,$AC$47,E473=$AB$48,$AC$48,E473=$AB$49,$AC$49,E473=$AB$50,$AC$50,E473=$AB$51,$AC$51,E473=$AB$52,$AC$52,E473=$AB$53,$AC$53,E473=$AB$54,$AC$54,E473=$AB$55,$AC$55,E473=$AB$56,$AC$56,E473=$AB$57,$AC$57,E473=$AB$58,$AC$58,E473=$AB$59,$AC$59,E473=$AB$60,$AC$60,E473=$AB$61,$AC$61,E473=$AB$62,$AC$62,E473=$AB$63,$AC$63,E473=$AB$64,$AC$64,E473=$AB$65,$AC$65,E473=$AB$66,$AC$66,TRUE,"0")</f>
        <v>#NAME?</v>
      </c>
      <c r="C473" s="161" t="str" cm="1">
        <f t="array" ref="C473">_xlfn.IFS(E473=$AB$42,$AF$42,E473=$AB$43,$AF$43,E473=$AB$44,$AF$44,E473=$AB$45,$AF$45,E473=$AB$46,$AF$46,E473=$AB$47,$AF$47,E473=$AB$48,$AF$48,E473=$AB$49,$AF$49,E473=$AB$50,$AF$50,E473=$AB$51,$AF$51,E473=$AB$52,$AF$52,E473=$AB$53,$AF$53,E473=$AB$54,$AF$54,E473=$AB$55,$AF$55,E473=$AB$56,$AF$56,E473=$AB$57,$AF$57,E473=$AB$58,$AF$58,E473=$AB$59,$AF$59,E473=$AB$60,$AF$60,E473=$AB$61,$AF$61,E473=$AB$62,$AF$62,E473=$AB$63,$AF$63,E473=$AB$64,$AF$64,E473=$AB$65,$AF$65,E473=$AB$66,$AF$66,TRUE,"0")</f>
        <v>B4 match BACK FT +1.5 goals. X AFTER  GOAL</v>
      </c>
      <c r="D473" s="270" t="str" cm="1">
        <f t="array" ref="D473">_xlfn.IFS(E473=$AB$42,$AD$42,E473=$AB$43,$AD$43,E473=$AB$44,$AD$44,E473=$AB$45,$AD$45,E473=$AB$46,$AD$46,E473=$AB$47,$AD$47,E473=$AB$48,$AD$48,E473=$AB$49,$AD$49,E473=$AB$50,$AD$50,E473=$AB$51,$AD$51,E473=$AB$52,$AD$52,E473=$AB$53,$AD$53,E473=$AB$54,$AD$54,E473=$AB$55,$AD$55,E473=$AB$56,$AD$56,E473=$AB$57,$AD$57,E473=$AB$58,$AD$58,E473=$AB$59,$AD$59,E473=$AB$60,$AD$60,E473=$AB$61,$AD$61,E473=$AB$62,$AD$62,E473=$AB$63,$AD$63,E473=$AB$64,$AD$64,E473=$AB$65,$AD$65,E473=$AB$66,$AD$66,TRUE,"0")</f>
        <v xml:space="preserve">BFM </v>
      </c>
      <c r="E473" s="163" t="s">
        <v>512</v>
      </c>
      <c r="F473" s="2" t="s">
        <v>6</v>
      </c>
      <c r="G473" s="2" t="s">
        <v>14</v>
      </c>
      <c r="H473" s="3">
        <v>45356.822916666664</v>
      </c>
      <c r="I473" s="2" t="s">
        <v>376</v>
      </c>
      <c r="J473" s="2" t="s">
        <v>262</v>
      </c>
      <c r="K473" s="2">
        <v>5.0999999999999996</v>
      </c>
      <c r="L473" s="2">
        <v>20</v>
      </c>
      <c r="M473" s="2">
        <v>3.1</v>
      </c>
      <c r="N473" s="2">
        <v>3</v>
      </c>
      <c r="O473" s="2">
        <v>25</v>
      </c>
      <c r="P473" s="2"/>
      <c r="Q473" s="2" t="s">
        <v>95</v>
      </c>
      <c r="R473" s="10" t="s">
        <v>194</v>
      </c>
      <c r="S473" s="14" t="s">
        <v>195</v>
      </c>
      <c r="T473" s="188">
        <f t="shared" si="55"/>
        <v>648.63194097274686</v>
      </c>
      <c r="U473" s="8">
        <f t="shared" si="53"/>
        <v>116.75374937509443</v>
      </c>
      <c r="V473" s="234">
        <f t="shared" si="59"/>
        <v>13089.392568830031</v>
      </c>
      <c r="W473" s="15">
        <v>25</v>
      </c>
      <c r="X473" s="8">
        <f t="shared" si="56"/>
        <v>4.5</v>
      </c>
      <c r="Y473" s="233">
        <f t="shared" si="57"/>
        <v>2152</v>
      </c>
    </row>
    <row r="474" spans="1:25">
      <c r="A474" s="156" t="e" cm="1">
        <f t="array" aca="1" ref="A474" ca="1">_xlfn.IFS(E474=$AB$42,$AC$42,E474=$AB$43,$AC$43,E474=$AB$44,$AC$44,E474=$AB$45,$AC$45,E474=$AB$46,$AC$46,E474=$AB$47,$AC$47,E474=$AB$48,$AC$48,E474=$AB$49,$AC$49,E474=$AB$50,$AC$50,E474=$AB$51,$AC$51,E474=$AB$52,$AC$52,E474=$AB$53,$AC$53,E474=$AB$54,$AC$54,E474=$AB$55,$AC$55,E474=$AB$56,$AC$56,E474=$AB$57,$AC$57,E474=$AB$58,$AC$58,E474=$AB$59,$AC$59,E474=$AB$60,$AC$60,E474=$AB$61,$AC$61,E474=$AB$62,$AC$62,E474=$AB$63,$AC$63,E474=$AB$64,$AC$64,E474=$AB$65,$AC$65,E474=$AB$66,$AC$66,TRUE,"0")</f>
        <v>#NAME?</v>
      </c>
      <c r="C474" s="161" t="str" cm="1">
        <f t="array" ref="C474">_xlfn.IFS(E474=$AB$42,$AF$42,E474=$AB$43,$AF$43,E474=$AB$44,$AF$44,E474=$AB$45,$AF$45,E474=$AB$46,$AF$46,E474=$AB$47,$AF$47,E474=$AB$48,$AF$48,E474=$AB$49,$AF$49,E474=$AB$50,$AF$50,E474=$AB$51,$AF$51,E474=$AB$52,$AF$52,E474=$AB$53,$AF$53,E474=$AB$54,$AF$54,E474=$AB$55,$AF$55,E474=$AB$56,$AF$56,E474=$AB$57,$AF$57,E474=$AB$58,$AF$58,E474=$AB$59,$AF$59,E474=$AB$60,$AF$60,E474=$AB$61,$AF$61,E474=$AB$62,$AF$62,E474=$AB$63,$AF$63,E474=$AB$64,$AF$64,E474=$AB$65,$AF$65,E474=$AB$66,$AF$66,TRUE,"0")</f>
        <v>20mins if  0-0, BACK over 1.5 goals X after goal OR LET RUN</v>
      </c>
      <c r="D474" s="270" t="str" cm="1">
        <f t="array" ref="D474">_xlfn.IFS(E474=$AB$42,$AD$42,E474=$AB$43,$AD$43,E474=$AB$44,$AD$44,E474=$AB$45,$AD$45,E474=$AB$46,$AD$46,E474=$AB$47,$AD$47,E474=$AB$48,$AD$48,E474=$AB$49,$AD$49,E474=$AB$50,$AD$50,E474=$AB$51,$AD$51,E474=$AB$52,$AD$52,E474=$AB$53,$AD$53,E474=$AB$54,$AD$54,E474=$AB$55,$AD$55,E474=$AB$56,$AD$56,E474=$AB$57,$AD$57,E474=$AB$58,$AD$58,E474=$AB$59,$AD$59,E474=$AB$60,$AD$60,E474=$AB$61,$AD$61,E474=$AB$62,$AD$62,E474=$AB$63,$AD$63,E474=$AB$64,$AD$64,E474=$AB$65,$AD$65,E474=$AB$66,$AD$66,TRUE,"0")</f>
        <v>IP</v>
      </c>
      <c r="E474" s="163" t="s">
        <v>474</v>
      </c>
      <c r="F474" s="2" t="s">
        <v>6</v>
      </c>
      <c r="G474" s="2" t="s">
        <v>455</v>
      </c>
      <c r="H474" s="3">
        <v>45356.822916666664</v>
      </c>
      <c r="I474" s="2" t="s">
        <v>504</v>
      </c>
      <c r="J474" s="2" t="s">
        <v>505</v>
      </c>
      <c r="K474" s="2">
        <v>51</v>
      </c>
      <c r="L474" s="2">
        <v>3.15</v>
      </c>
      <c r="M474" s="2">
        <v>20</v>
      </c>
      <c r="N474" s="2">
        <v>60</v>
      </c>
      <c r="O474" s="2">
        <v>85</v>
      </c>
      <c r="P474" s="2"/>
      <c r="Q474" s="2" t="s">
        <v>95</v>
      </c>
      <c r="R474" s="10" t="s">
        <v>214</v>
      </c>
      <c r="S474" s="14" t="s">
        <v>214</v>
      </c>
      <c r="T474" s="188">
        <f t="shared" si="55"/>
        <v>654.46962844150164</v>
      </c>
      <c r="U474" s="8">
        <f t="shared" si="53"/>
        <v>117.80453311947029</v>
      </c>
      <c r="V474" s="234">
        <f t="shared" si="59"/>
        <v>13207.197101949501</v>
      </c>
      <c r="W474" s="15">
        <v>25</v>
      </c>
      <c r="X474" s="8">
        <f t="shared" si="56"/>
        <v>4.5</v>
      </c>
      <c r="Y474" s="233">
        <f t="shared" si="57"/>
        <v>2156.5</v>
      </c>
    </row>
    <row r="475" spans="1:25">
      <c r="A475" s="156" t="e" cm="1">
        <f t="array" aca="1" ref="A475" ca="1">_xlfn.IFS(E475=$AB$42,$AC$42,E475=$AB$43,$AC$43,E475=$AB$44,$AC$44,E475=$AB$45,$AC$45,E475=$AB$46,$AC$46,E475=$AB$47,$AC$47,E475=$AB$48,$AC$48,E475=$AB$49,$AC$49,E475=$AB$50,$AC$50,E475=$AB$51,$AC$51,E475=$AB$52,$AC$52,E475=$AB$53,$AC$53,E475=$AB$54,$AC$54,E475=$AB$55,$AC$55,E475=$AB$56,$AC$56,E475=$AB$57,$AC$57,E475=$AB$58,$AC$58,E475=$AB$59,$AC$59,E475=$AB$60,$AC$60,E475=$AB$61,$AC$61,E475=$AB$62,$AC$62,E475=$AB$63,$AC$63,E475=$AB$64,$AC$64,E475=$AB$65,$AC$65,E475=$AB$66,$AC$66,TRUE,"0")</f>
        <v>#NAME?</v>
      </c>
      <c r="C475" s="161" t="str" cm="1">
        <f t="array" ref="C475">_xlfn.IFS(E475=$AB$42,$AF$42,E475=$AB$43,$AF$43,E475=$AB$44,$AF$44,E475=$AB$45,$AF$45,E475=$AB$46,$AF$46,E475=$AB$47,$AF$47,E475=$AB$48,$AF$48,E475=$AB$49,$AF$49,E475=$AB$50,$AF$50,E475=$AB$51,$AF$51,E475=$AB$52,$AF$52,E475=$AB$53,$AF$53,E475=$AB$54,$AF$54,E475=$AB$55,$AF$55,E475=$AB$56,$AF$56,E475=$AB$57,$AF$57,E475=$AB$58,$AF$58,E475=$AB$59,$AF$59,E475=$AB$60,$AF$60,E475=$AB$61,$AF$61,E475=$AB$62,$AF$62,E475=$AB$63,$AF$63,E475=$AB$64,$AF$64,E475=$AB$65,$AF$65,E475=$AB$66,$AF$66,TRUE,"0")</f>
        <v>B4 match BACK FT +1.5 goals. X AFTER  GOAL</v>
      </c>
      <c r="D475" s="270" t="str" cm="1">
        <f t="array" ref="D475">_xlfn.IFS(E475=$AB$42,$AD$42,E475=$AB$43,$AD$43,E475=$AB$44,$AD$44,E475=$AB$45,$AD$45,E475=$AB$46,$AD$46,E475=$AB$47,$AD$47,E475=$AB$48,$AD$48,E475=$AB$49,$AD$49,E475=$AB$50,$AD$50,E475=$AB$51,$AD$51,E475=$AB$52,$AD$52,E475=$AB$53,$AD$53,E475=$AB$54,$AD$54,E475=$AB$55,$AD$55,E475=$AB$56,$AD$56,E475=$AB$57,$AD$57,E475=$AB$58,$AD$58,E475=$AB$59,$AD$59,E475=$AB$60,$AD$60,E475=$AB$61,$AD$61,E475=$AB$62,$AD$62,E475=$AB$63,$AD$63,E475=$AB$64,$AD$64,E475=$AB$65,$AD$65,E475=$AB$66,$AD$66,TRUE,"0")</f>
        <v xml:space="preserve">BFM </v>
      </c>
      <c r="E475" s="163" t="s">
        <v>406</v>
      </c>
      <c r="F475" s="2" t="s">
        <v>6</v>
      </c>
      <c r="G475" s="2" t="s">
        <v>14</v>
      </c>
      <c r="H475" s="3">
        <v>45356.822916666664</v>
      </c>
      <c r="I475" s="2" t="s">
        <v>280</v>
      </c>
      <c r="J475" s="2" t="s">
        <v>513</v>
      </c>
      <c r="K475" s="2">
        <v>1.37</v>
      </c>
      <c r="L475" s="2">
        <v>10.5</v>
      </c>
      <c r="M475" s="2">
        <v>3.05</v>
      </c>
      <c r="N475" s="2">
        <v>4.8</v>
      </c>
      <c r="O475" s="2">
        <v>2.5</v>
      </c>
      <c r="P475" s="2"/>
      <c r="Q475" s="2" t="s">
        <v>95</v>
      </c>
      <c r="R475" s="10" t="s">
        <v>214</v>
      </c>
      <c r="S475" s="14" t="s">
        <v>214</v>
      </c>
      <c r="T475" s="188">
        <f t="shared" si="55"/>
        <v>660.35985509747513</v>
      </c>
      <c r="U475" s="8">
        <f t="shared" si="53"/>
        <v>118.86477391754552</v>
      </c>
      <c r="V475" s="234">
        <f t="shared" ref="V475:V486" si="60">SUM(V474,U475)</f>
        <v>13326.061875867046</v>
      </c>
      <c r="W475" s="15">
        <v>25</v>
      </c>
      <c r="X475" s="8">
        <f t="shared" si="56"/>
        <v>4.5</v>
      </c>
      <c r="Y475" s="233">
        <f t="shared" si="57"/>
        <v>2161</v>
      </c>
    </row>
    <row r="476" spans="1:25">
      <c r="A476" s="156" t="e" cm="1">
        <f t="array" aca="1" ref="A476" ca="1">_xlfn.IFS(E476=$AB$42,$AC$42,E476=$AB$43,$AC$43,E476=$AB$44,$AC$44,E476=$AB$45,$AC$45,E476=$AB$46,$AC$46,E476=$AB$47,$AC$47,E476=$AB$48,$AC$48,E476=$AB$49,$AC$49,E476=$AB$50,$AC$50,E476=$AB$51,$AC$51,E476=$AB$52,$AC$52,E476=$AB$53,$AC$53,E476=$AB$54,$AC$54,E476=$AB$55,$AC$55,E476=$AB$56,$AC$56,E476=$AB$57,$AC$57,E476=$AB$58,$AC$58,E476=$AB$59,$AC$59,E476=$AB$60,$AC$60,E476=$AB$61,$AC$61,E476=$AB$62,$AC$62,E476=$AB$63,$AC$63,E476=$AB$64,$AC$64,E476=$AB$65,$AC$65,E476=$AB$66,$AC$66,TRUE,"0")</f>
        <v>#NAME?</v>
      </c>
      <c r="C476" s="161" t="str" cm="1">
        <f t="array" ref="C476">_xlfn.IFS(E476=$AB$42,$AF$42,E476=$AB$43,$AF$43,E476=$AB$44,$AF$44,E476=$AB$45,$AF$45,E476=$AB$46,$AF$46,E476=$AB$47,$AF$47,E476=$AB$48,$AF$48,E476=$AB$49,$AF$49,E476=$AB$50,$AF$50,E476=$AB$51,$AF$51,E476=$AB$52,$AF$52,E476=$AB$53,$AF$53,E476=$AB$54,$AF$54,E476=$AB$55,$AF$55,E476=$AB$56,$AF$56,E476=$AB$57,$AF$57,E476=$AB$58,$AF$58,E476=$AB$59,$AF$59,E476=$AB$60,$AF$60,E476=$AB$61,$AF$61,E476=$AB$62,$AF$62,E476=$AB$63,$AF$63,E476=$AB$64,$AF$64,E476=$AB$65,$AF$65,E476=$AB$66,$AF$66,TRUE,"0")</f>
        <v>B4 match BACK FT +1.5 goals. X AFTER  GOAL</v>
      </c>
      <c r="D476" s="270" t="str" cm="1">
        <f t="array" ref="D476">_xlfn.IFS(E476=$AB$42,$AD$42,E476=$AB$43,$AD$43,E476=$AB$44,$AD$44,E476=$AB$45,$AD$45,E476=$AB$46,$AD$46,E476=$AB$47,$AD$47,E476=$AB$48,$AD$48,E476=$AB$49,$AD$49,E476=$AB$50,$AD$50,E476=$AB$51,$AD$51,E476=$AB$52,$AD$52,E476=$AB$53,$AD$53,E476=$AB$54,$AD$54,E476=$AB$55,$AD$55,E476=$AB$56,$AD$56,E476=$AB$57,$AD$57,E476=$AB$58,$AD$58,E476=$AB$59,$AD$59,E476=$AB$60,$AD$60,E476=$AB$61,$AD$61,E476=$AB$62,$AD$62,E476=$AB$63,$AD$63,E476=$AB$64,$AD$64,E476=$AB$65,$AD$65,E476=$AB$66,$AD$66,TRUE,"0")</f>
        <v xml:space="preserve">BFM </v>
      </c>
      <c r="E476" s="163" t="s">
        <v>512</v>
      </c>
      <c r="F476" s="2" t="s">
        <v>6</v>
      </c>
      <c r="G476" s="2" t="s">
        <v>14</v>
      </c>
      <c r="H476" s="3">
        <v>45356.822916666664</v>
      </c>
      <c r="I476" s="2" t="s">
        <v>280</v>
      </c>
      <c r="J476" s="2" t="s">
        <v>513</v>
      </c>
      <c r="K476" s="2">
        <v>4.8</v>
      </c>
      <c r="L476" s="2">
        <v>20</v>
      </c>
      <c r="M476" s="2">
        <v>3.05</v>
      </c>
      <c r="N476" s="2">
        <v>18</v>
      </c>
      <c r="O476" s="2">
        <v>1</v>
      </c>
      <c r="P476" s="29"/>
      <c r="Q476" s="2" t="s">
        <v>95</v>
      </c>
      <c r="R476" s="10" t="s">
        <v>214</v>
      </c>
      <c r="S476" s="14" t="s">
        <v>214</v>
      </c>
      <c r="T476" s="188">
        <f t="shared" si="55"/>
        <v>666.30309379335233</v>
      </c>
      <c r="U476" s="8">
        <f t="shared" si="53"/>
        <v>119.93455688280342</v>
      </c>
      <c r="V476" s="234">
        <f t="shared" si="60"/>
        <v>13445.996432749849</v>
      </c>
      <c r="W476" s="15">
        <v>25</v>
      </c>
      <c r="X476" s="8">
        <f t="shared" si="56"/>
        <v>4.5</v>
      </c>
      <c r="Y476" s="233">
        <f t="shared" si="57"/>
        <v>2165.5</v>
      </c>
    </row>
    <row r="477" spans="1:25">
      <c r="A477" s="156" t="e" cm="1">
        <f t="array" aca="1" ref="A477" ca="1">_xlfn.IFS(E477=$AB$42,$AC$42,E477=$AB$43,$AC$43,E477=$AB$44,$AC$44,E477=$AB$45,$AC$45,E477=$AB$46,$AC$46,E477=$AB$47,$AC$47,E477=$AB$48,$AC$48,E477=$AB$49,$AC$49,E477=$AB$50,$AC$50,E477=$AB$51,$AC$51,E477=$AB$52,$AC$52,E477=$AB$53,$AC$53,E477=$AB$54,$AC$54,E477=$AB$55,$AC$55,E477=$AB$56,$AC$56,E477=$AB$57,$AC$57,E477=$AB$58,$AC$58,E477=$AB$59,$AC$59,E477=$AB$60,$AC$60,E477=$AB$61,$AC$61,E477=$AB$62,$AC$62,E477=$AB$63,$AC$63,E477=$AB$64,$AC$64,E477=$AB$65,$AC$65,E477=$AB$66,$AC$66,TRUE,"0")</f>
        <v>#NAME?</v>
      </c>
      <c r="C477" s="161" t="str" cm="1">
        <f t="array" ref="C477">_xlfn.IFS(E477=$AB$42,$AF$42,E477=$AB$43,$AF$43,E477=$AB$44,$AF$44,E477=$AB$45,$AF$45,E477=$AB$46,$AF$46,E477=$AB$47,$AF$47,E477=$AB$48,$AF$48,E477=$AB$49,$AF$49,E477=$AB$50,$AF$50,E477=$AB$51,$AF$51,E477=$AB$52,$AF$52,E477=$AB$53,$AF$53,E477=$AB$54,$AF$54,E477=$AB$55,$AF$55,E477=$AB$56,$AF$56,E477=$AB$57,$AF$57,E477=$AB$58,$AF$58,E477=$AB$59,$AF$59,E477=$AB$60,$AF$60,E477=$AB$61,$AF$61,E477=$AB$62,$AF$62,E477=$AB$63,$AF$63,E477=$AB$64,$AF$64,E477=$AB$65,$AF$65,E477=$AB$66,$AF$66,TRUE,"0")</f>
        <v>if 0-0, BACK+ 0.5 GOALS  @ 1.15+odds.  or @ 40 mins</v>
      </c>
      <c r="D477" s="270" t="str" cm="1">
        <f t="array" ref="D477">_xlfn.IFS(E477=$AB$42,$AD$42,E477=$AB$43,$AD$43,E477=$AB$44,$AD$44,E477=$AB$45,$AD$45,E477=$AB$46,$AD$46,E477=$AB$47,$AD$47,E477=$AB$48,$AD$48,E477=$AB$49,$AD$49,E477=$AB$50,$AD$50,E477=$AB$51,$AD$51,E477=$AB$52,$AD$52,E477=$AB$53,$AD$53,E477=$AB$54,$AD$54,E477=$AB$55,$AD$55,E477=$AB$56,$AD$56,E477=$AB$57,$AD$57,E477=$AB$58,$AD$58,E477=$AB$59,$AD$59,E477=$AB$60,$AD$60,E477=$AB$61,$AD$61,E477=$AB$62,$AD$62,E477=$AB$63,$AD$63,E477=$AB$64,$AD$64,E477=$AB$65,$AD$65,E477=$AB$66,$AD$66,TRUE,"0")</f>
        <v>IP</v>
      </c>
      <c r="E477" s="163" t="s">
        <v>270</v>
      </c>
      <c r="F477" s="2" t="s">
        <v>6</v>
      </c>
      <c r="G477" s="2" t="s">
        <v>7</v>
      </c>
      <c r="H477" s="3">
        <v>45356.822916666664</v>
      </c>
      <c r="I477" s="2" t="s">
        <v>9</v>
      </c>
      <c r="J477" s="2" t="s">
        <v>55</v>
      </c>
      <c r="K477" s="2">
        <v>67</v>
      </c>
      <c r="L477" s="2">
        <v>0</v>
      </c>
      <c r="M477" s="2">
        <v>20</v>
      </c>
      <c r="N477" s="2">
        <v>36</v>
      </c>
      <c r="O477" s="2">
        <v>2.74</v>
      </c>
      <c r="P477" s="2"/>
      <c r="Q477" s="2" t="s">
        <v>95</v>
      </c>
      <c r="R477" s="10" t="s">
        <v>221</v>
      </c>
      <c r="S477" s="14" t="s">
        <v>214</v>
      </c>
      <c r="T477" s="188">
        <f t="shared" si="55"/>
        <v>672.29982163749253</v>
      </c>
      <c r="U477" s="8">
        <f t="shared" si="53"/>
        <v>121.01396789474865</v>
      </c>
      <c r="V477" s="234">
        <f t="shared" si="60"/>
        <v>13567.010400644598</v>
      </c>
      <c r="W477" s="15">
        <v>25</v>
      </c>
      <c r="X477" s="8">
        <f t="shared" si="56"/>
        <v>4.5</v>
      </c>
      <c r="Y477" s="233">
        <f t="shared" si="57"/>
        <v>2170</v>
      </c>
    </row>
    <row r="478" spans="1:25">
      <c r="A478" s="156" t="e" cm="1">
        <f t="array" aca="1" ref="A478" ca="1">_xlfn.IFS(E478=$AB$42,$AC$42,E478=$AB$43,$AC$43,E478=$AB$44,$AC$44,E478=$AB$45,$AC$45,E478=$AB$46,$AC$46,E478=$AB$47,$AC$47,E478=$AB$48,$AC$48,E478=$AB$49,$AC$49,E478=$AB$50,$AC$50,E478=$AB$51,$AC$51,E478=$AB$52,$AC$52,E478=$AB$53,$AC$53,E478=$AB$54,$AC$54,E478=$AB$55,$AC$55,E478=$AB$56,$AC$56,E478=$AB$57,$AC$57,E478=$AB$58,$AC$58,E478=$AB$59,$AC$59,E478=$AB$60,$AC$60,E478=$AB$61,$AC$61,E478=$AB$62,$AC$62,E478=$AB$63,$AC$63,E478=$AB$64,$AC$64,E478=$AB$65,$AC$65,E478=$AB$66,$AC$66,TRUE,"0")</f>
        <v>#NAME?</v>
      </c>
      <c r="C478" s="161" t="str" cm="1">
        <f t="array" ref="C478">_xlfn.IFS(E478=$AB$42,$AF$42,E478=$AB$43,$AF$43,E478=$AB$44,$AF$44,E478=$AB$45,$AF$45,E478=$AB$46,$AF$46,E478=$AB$47,$AF$47,E478=$AB$48,$AF$48,E478=$AB$49,$AF$49,E478=$AB$50,$AF$50,E478=$AB$51,$AF$51,E478=$AB$52,$AF$52,E478=$AB$53,$AF$53,E478=$AB$54,$AF$54,E478=$AB$55,$AF$55,E478=$AB$56,$AF$56,E478=$AB$57,$AF$57,E478=$AB$58,$AF$58,E478=$AB$59,$AF$59,E478=$AB$60,$AF$60,E478=$AB$61,$AF$61,E478=$AB$62,$AF$62,E478=$AB$63,$AF$63,E478=$AB$64,$AF$64,E478=$AB$65,$AF$65,E478=$AB$66,$AF$66,TRUE,"0")</f>
        <v>B4 Match, lay HT 0-0 or BACK H1 +0.5 GOALS</v>
      </c>
      <c r="D478" s="270" t="str" cm="1">
        <f t="array" ref="D478">_xlfn.IFS(E478=$AB$42,$AD$42,E478=$AB$43,$AD$43,E478=$AB$44,$AD$44,E478=$AB$45,$AD$45,E478=$AB$46,$AD$46,E478=$AB$47,$AD$47,E478=$AB$48,$AD$48,E478=$AB$49,$AD$49,E478=$AB$50,$AD$50,E478=$AB$51,$AD$51,E478=$AB$52,$AD$52,E478=$AB$53,$AD$53,E478=$AB$54,$AD$54,E478=$AB$55,$AD$55,E478=$AB$56,$AD$56,E478=$AB$57,$AD$57,E478=$AB$58,$AD$58,E478=$AB$59,$AD$59,E478=$AB$60,$AD$60,E478=$AB$61,$AD$61,E478=$AB$62,$AD$62,E478=$AB$63,$AD$63,E478=$AB$64,$AD$64,E478=$AB$65,$AD$65,E478=$AB$66,$AD$66,TRUE,"0")</f>
        <v xml:space="preserve">BFM </v>
      </c>
      <c r="E478" s="163" t="s">
        <v>432</v>
      </c>
      <c r="F478" s="2" t="s">
        <v>6</v>
      </c>
      <c r="G478" s="2" t="s">
        <v>11</v>
      </c>
      <c r="H478" s="3">
        <v>45356.822916666664</v>
      </c>
      <c r="I478" s="2" t="s">
        <v>12</v>
      </c>
      <c r="J478" s="2" t="s">
        <v>286</v>
      </c>
      <c r="K478" s="2">
        <v>0</v>
      </c>
      <c r="L478" s="2">
        <v>20</v>
      </c>
      <c r="M478" s="2">
        <v>18</v>
      </c>
      <c r="N478" s="2">
        <v>20</v>
      </c>
      <c r="O478" s="2">
        <v>22</v>
      </c>
      <c r="P478" s="2">
        <v>1.95</v>
      </c>
      <c r="Q478" s="2" t="s">
        <v>95</v>
      </c>
      <c r="R478" s="10" t="s">
        <v>215</v>
      </c>
      <c r="S478" s="14" t="s">
        <v>197</v>
      </c>
      <c r="T478" s="188">
        <f t="shared" si="55"/>
        <v>678.35052003222995</v>
      </c>
      <c r="U478" s="8">
        <f t="shared" si="53"/>
        <v>122.10309360580139</v>
      </c>
      <c r="V478" s="234">
        <f t="shared" si="60"/>
        <v>13689.1134942504</v>
      </c>
      <c r="W478" s="15">
        <v>25</v>
      </c>
      <c r="X478" s="8">
        <f t="shared" si="56"/>
        <v>4.5</v>
      </c>
      <c r="Y478" s="233">
        <f t="shared" si="57"/>
        <v>2174.5</v>
      </c>
    </row>
    <row r="479" spans="1:25">
      <c r="A479" s="156" t="e" cm="1">
        <f t="array" aca="1" ref="A479" ca="1">_xlfn.IFS(E479=$AB$42,$AC$42,E479=$AB$43,$AC$43,E479=$AB$44,$AC$44,E479=$AB$45,$AC$45,E479=$AB$46,$AC$46,E479=$AB$47,$AC$47,E479=$AB$48,$AC$48,E479=$AB$49,$AC$49,E479=$AB$50,$AC$50,E479=$AB$51,$AC$51,E479=$AB$52,$AC$52,E479=$AB$53,$AC$53,E479=$AB$54,$AC$54,E479=$AB$55,$AC$55,E479=$AB$56,$AC$56,E479=$AB$57,$AC$57,E479=$AB$58,$AC$58,E479=$AB$59,$AC$59,E479=$AB$60,$AC$60,E479=$AB$61,$AC$61,E479=$AB$62,$AC$62,E479=$AB$63,$AC$63,E479=$AB$64,$AC$64,E479=$AB$65,$AC$65,E479=$AB$66,$AC$66,TRUE,"0")</f>
        <v>#NAME?</v>
      </c>
      <c r="C479" s="161" t="str" cm="1">
        <f t="array" ref="C479">_xlfn.IFS(E479=$AB$42,$AF$42,E479=$AB$43,$AF$43,E479=$AB$44,$AF$44,E479=$AB$45,$AF$45,E479=$AB$46,$AF$46,E479=$AB$47,$AF$47,E479=$AB$48,$AF$48,E479=$AB$49,$AF$49,E479=$AB$50,$AF$50,E479=$AB$51,$AF$51,E479=$AB$52,$AF$52,E479=$AB$53,$AF$53,E479=$AB$54,$AF$54,E479=$AB$55,$AF$55,E479=$AB$56,$AF$56,E479=$AB$57,$AF$57,E479=$AB$58,$AF$58,E479=$AB$59,$AF$59,E479=$AB$60,$AF$60,E479=$AB$61,$AF$61,E479=$AB$62,$AF$62,E479=$AB$63,$AF$63,E479=$AB$64,$AF$64,E479=$AB$65,$AF$65,E479=$AB$66,$AF$66,TRUE,"0")</f>
        <v>B4 Match, lay HT 0-0 or BACK H1 +0.5 GOALS</v>
      </c>
      <c r="D479" s="270" t="str" cm="1">
        <f t="array" ref="D479">_xlfn.IFS(E479=$AB$42,$AD$42,E479=$AB$43,$AD$43,E479=$AB$44,$AD$44,E479=$AB$45,$AD$45,E479=$AB$46,$AD$46,E479=$AB$47,$AD$47,E479=$AB$48,$AD$48,E479=$AB$49,$AD$49,E479=$AB$50,$AD$50,E479=$AB$51,$AD$51,E479=$AB$52,$AD$52,E479=$AB$53,$AD$53,E479=$AB$54,$AD$54,E479=$AB$55,$AD$55,E479=$AB$56,$AD$56,E479=$AB$57,$AD$57,E479=$AB$58,$AD$58,E479=$AB$59,$AD$59,E479=$AB$60,$AD$60,E479=$AB$61,$AD$61,E479=$AB$62,$AD$62,E479=$AB$63,$AD$63,E479=$AB$64,$AD$64,E479=$AB$65,$AD$65,E479=$AB$66,$AD$66,TRUE,"0")</f>
        <v xml:space="preserve">BFM </v>
      </c>
      <c r="E479" s="163" t="s">
        <v>448</v>
      </c>
      <c r="F479" s="2" t="s">
        <v>6</v>
      </c>
      <c r="G479" s="2" t="s">
        <v>11</v>
      </c>
      <c r="H479" s="3">
        <v>45356.822916666664</v>
      </c>
      <c r="I479" s="2" t="s">
        <v>12</v>
      </c>
      <c r="J479" s="2" t="s">
        <v>286</v>
      </c>
      <c r="K479" s="2">
        <v>20</v>
      </c>
      <c r="L479" s="2">
        <v>0</v>
      </c>
      <c r="M479" s="2">
        <v>39</v>
      </c>
      <c r="N479" s="2">
        <v>7</v>
      </c>
      <c r="O479" s="2">
        <v>4</v>
      </c>
      <c r="P479" s="2">
        <v>6</v>
      </c>
      <c r="Q479" s="2" t="s">
        <v>95</v>
      </c>
      <c r="R479" s="10" t="s">
        <v>215</v>
      </c>
      <c r="S479" s="14" t="s">
        <v>197</v>
      </c>
      <c r="T479" s="188">
        <f t="shared" si="55"/>
        <v>684.45567471252002</v>
      </c>
      <c r="U479" s="8">
        <f t="shared" si="53"/>
        <v>123.2020214482536</v>
      </c>
      <c r="V479" s="234">
        <f t="shared" si="60"/>
        <v>13812.315515698652</v>
      </c>
      <c r="W479" s="15">
        <v>25</v>
      </c>
      <c r="X479" s="8">
        <f t="shared" si="56"/>
        <v>4.5</v>
      </c>
      <c r="Y479" s="233">
        <f t="shared" si="57"/>
        <v>2179</v>
      </c>
    </row>
    <row r="480" spans="1:25">
      <c r="A480" s="156" t="e" cm="1">
        <f t="array" aca="1" ref="A480" ca="1">_xlfn.IFS(E480=$AB$42,$AC$42,E480=$AB$43,$AC$43,E480=$AB$44,$AC$44,E480=$AB$45,$AC$45,E480=$AB$46,$AC$46,E480=$AB$47,$AC$47,E480=$AB$48,$AC$48,E480=$AB$49,$AC$49,E480=$AB$50,$AC$50,E480=$AB$51,$AC$51,E480=$AB$52,$AC$52,E480=$AB$53,$AC$53,E480=$AB$54,$AC$54,E480=$AB$55,$AC$55,E480=$AB$56,$AC$56,E480=$AB$57,$AC$57,E480=$AB$58,$AC$58,E480=$AB$59,$AC$59,E480=$AB$60,$AC$60,E480=$AB$61,$AC$61,E480=$AB$62,$AC$62,E480=$AB$63,$AC$63,E480=$AB$64,$AC$64,E480=$AB$65,$AC$65,E480=$AB$66,$AC$66,TRUE,"0")</f>
        <v>#NAME?</v>
      </c>
      <c r="C480" s="161" t="str" cm="1">
        <f t="array" ref="C480">_xlfn.IFS(E480=$AB$42,$AF$42,E480=$AB$43,$AF$43,E480=$AB$44,$AF$44,E480=$AB$45,$AF$45,E480=$AB$46,$AF$46,E480=$AB$47,$AF$47,E480=$AB$48,$AF$48,E480=$AB$49,$AF$49,E480=$AB$50,$AF$50,E480=$AB$51,$AF$51,E480=$AB$52,$AF$52,E480=$AB$53,$AF$53,E480=$AB$54,$AF$54,E480=$AB$55,$AF$55,E480=$AB$56,$AF$56,E480=$AB$57,$AF$57,E480=$AB$58,$AF$58,E480=$AB$59,$AF$59,E480=$AB$60,$AF$60,E480=$AB$61,$AF$61,E480=$AB$62,$AF$62,E480=$AB$63,$AF$63,E480=$AB$64,$AF$64,E480=$AB$65,$AF$65,E480=$AB$66,$AF$66,TRUE,"0")</f>
        <v>if 0-0, BACK+ 0.5 GOALS  @ 1.15+odds.  or @ 40 mins</v>
      </c>
      <c r="D480" s="270" t="str" cm="1">
        <f t="array" ref="D480">_xlfn.IFS(E480=$AB$42,$AD$42,E480=$AB$43,$AD$43,E480=$AB$44,$AD$44,E480=$AB$45,$AD$45,E480=$AB$46,$AD$46,E480=$AB$47,$AD$47,E480=$AB$48,$AD$48,E480=$AB$49,$AD$49,E480=$AB$50,$AD$50,E480=$AB$51,$AD$51,E480=$AB$52,$AD$52,E480=$AB$53,$AD$53,E480=$AB$54,$AD$54,E480=$AB$55,$AD$55,E480=$AB$56,$AD$56,E480=$AB$57,$AD$57,E480=$AB$58,$AD$58,E480=$AB$59,$AD$59,E480=$AB$60,$AD$60,E480=$AB$61,$AD$61,E480=$AB$62,$AD$62,E480=$AB$63,$AD$63,E480=$AB$64,$AD$64,E480=$AB$65,$AD$65,E480=$AB$66,$AD$66,TRUE,"0")</f>
        <v>IP</v>
      </c>
      <c r="E480" s="163" t="s">
        <v>270</v>
      </c>
      <c r="F480" s="2" t="s">
        <v>6</v>
      </c>
      <c r="G480" s="2" t="s">
        <v>14</v>
      </c>
      <c r="H480" s="3">
        <v>45356.822916666664</v>
      </c>
      <c r="I480" s="2" t="s">
        <v>503</v>
      </c>
      <c r="J480" s="2" t="s">
        <v>290</v>
      </c>
      <c r="K480" s="2">
        <v>63</v>
      </c>
      <c r="L480" s="2">
        <v>0</v>
      </c>
      <c r="M480" s="2">
        <v>20</v>
      </c>
      <c r="N480" s="2">
        <v>37</v>
      </c>
      <c r="O480" s="2">
        <v>2.35</v>
      </c>
      <c r="P480" s="2"/>
      <c r="Q480" s="2" t="s">
        <v>95</v>
      </c>
      <c r="R480" s="10" t="s">
        <v>193</v>
      </c>
      <c r="S480" s="14" t="s">
        <v>193</v>
      </c>
      <c r="T480" s="188">
        <f t="shared" si="55"/>
        <v>690.61577578493268</v>
      </c>
      <c r="U480" s="8">
        <f t="shared" si="53"/>
        <v>124.31083964128788</v>
      </c>
      <c r="V480" s="234">
        <f t="shared" si="60"/>
        <v>13936.62635533994</v>
      </c>
      <c r="W480" s="15">
        <v>25</v>
      </c>
      <c r="X480" s="8">
        <f t="shared" si="56"/>
        <v>4.5</v>
      </c>
      <c r="Y480" s="233">
        <f t="shared" si="57"/>
        <v>2183.5</v>
      </c>
    </row>
    <row r="481" spans="1:30">
      <c r="A481" s="156" t="e" cm="1">
        <f t="array" aca="1" ref="A481" ca="1">_xlfn.IFS(E481=$AB$42,$AC$42,E481=$AB$43,$AC$43,E481=$AB$44,$AC$44,E481=$AB$45,$AC$45,E481=$AB$46,$AC$46,E481=$AB$47,$AC$47,E481=$AB$48,$AC$48,E481=$AB$49,$AC$49,E481=$AB$50,$AC$50,E481=$AB$51,$AC$51,E481=$AB$52,$AC$52,E481=$AB$53,$AC$53,E481=$AB$54,$AC$54,E481=$AB$55,$AC$55,E481=$AB$56,$AC$56,E481=$AB$57,$AC$57,E481=$AB$58,$AC$58,E481=$AB$59,$AC$59,E481=$AB$60,$AC$60,E481=$AB$61,$AC$61,E481=$AB$62,$AC$62,E481=$AB$63,$AC$63,E481=$AB$64,$AC$64,E481=$AB$65,$AC$65,E481=$AB$66,$AC$66,TRUE,"0")</f>
        <v>#NAME?</v>
      </c>
      <c r="C481" s="161" t="str" cm="1">
        <f t="array" ref="C481">_xlfn.IFS(E481=$AB$42,$AF$42,E481=$AB$43,$AF$43,E481=$AB$44,$AF$44,E481=$AB$45,$AF$45,E481=$AB$46,$AF$46,E481=$AB$47,$AF$47,E481=$AB$48,$AF$48,E481=$AB$49,$AF$49,E481=$AB$50,$AF$50,E481=$AB$51,$AF$51,E481=$AB$52,$AF$52,E481=$AB$53,$AF$53,E481=$AB$54,$AF$54,E481=$AB$55,$AF$55,E481=$AB$56,$AF$56,E481=$AB$57,$AF$57,E481=$AB$58,$AF$58,E481=$AB$59,$AF$59,E481=$AB$60,$AF$60,E481=$AB$61,$AF$61,E481=$AB$62,$AF$62,E481=$AB$63,$AF$63,E481=$AB$64,$AF$64,E481=$AB$65,$AF$65,E481=$AB$66,$AF$66,TRUE,"0")</f>
        <v>10mins if  0-0, BACK over 1.5 goals X after goal OR LET RUN</v>
      </c>
      <c r="D481" s="270" t="str" cm="1">
        <f t="array" ref="D481">_xlfn.IFS(E481=$AB$42,$AD$42,E481=$AB$43,$AD$43,E481=$AB$44,$AD$44,E481=$AB$45,$AD$45,E481=$AB$46,$AD$46,E481=$AB$47,$AD$47,E481=$AB$48,$AD$48,E481=$AB$49,$AD$49,E481=$AB$50,$AD$50,E481=$AB$51,$AD$51,E481=$AB$52,$AD$52,E481=$AB$53,$AD$53,E481=$AB$54,$AD$54,E481=$AB$55,$AD$55,E481=$AB$56,$AD$56,E481=$AB$57,$AD$57,E481=$AB$58,$AD$58,E481=$AB$59,$AD$59,E481=$AB$60,$AD$60,E481=$AB$61,$AD$61,E481=$AB$62,$AD$62,E481=$AB$63,$AD$63,E481=$AB$64,$AD$64,E481=$AB$65,$AD$65,E481=$AB$66,$AD$66,TRUE,"0")</f>
        <v>IP</v>
      </c>
      <c r="E481" s="163" t="s">
        <v>498</v>
      </c>
      <c r="F481" s="2" t="s">
        <v>6</v>
      </c>
      <c r="G481" s="2" t="s">
        <v>14</v>
      </c>
      <c r="H481" s="3">
        <v>45356.833333333336</v>
      </c>
      <c r="I481" s="2" t="s">
        <v>291</v>
      </c>
      <c r="J481" s="2" t="s">
        <v>201</v>
      </c>
      <c r="K481" s="2">
        <v>63</v>
      </c>
      <c r="L481" s="2">
        <v>80</v>
      </c>
      <c r="M481" s="2">
        <v>1.55</v>
      </c>
      <c r="N481" s="2">
        <v>20</v>
      </c>
      <c r="O481" s="2"/>
      <c r="P481" s="2"/>
      <c r="Q481" s="2" t="s">
        <v>95</v>
      </c>
      <c r="R481" s="10" t="s">
        <v>221</v>
      </c>
      <c r="S481" s="14" t="s">
        <v>209</v>
      </c>
      <c r="T481" s="188">
        <f t="shared" si="55"/>
        <v>696.83131776699702</v>
      </c>
      <c r="U481" s="8">
        <f t="shared" si="53"/>
        <v>125.42963719805945</v>
      </c>
      <c r="V481" s="234">
        <f t="shared" si="60"/>
        <v>14062.055992538</v>
      </c>
      <c r="W481" s="15">
        <v>25</v>
      </c>
      <c r="X481" s="8">
        <f t="shared" si="56"/>
        <v>4.5</v>
      </c>
      <c r="Y481" s="233">
        <f t="shared" si="57"/>
        <v>2188</v>
      </c>
    </row>
    <row r="482" spans="1:30">
      <c r="A482" s="156" t="e" cm="1">
        <f t="array" aca="1" ref="A482" ca="1">_xlfn.IFS(E482=$AB$42,$AC$42,E482=$AB$43,$AC$43,E482=$AB$44,$AC$44,E482=$AB$45,$AC$45,E482=$AB$46,$AC$46,E482=$AB$47,$AC$47,E482=$AB$48,$AC$48,E482=$AB$49,$AC$49,E482=$AB$50,$AC$50,E482=$AB$51,$AC$51,E482=$AB$52,$AC$52,E482=$AB$53,$AC$53,E482=$AB$54,$AC$54,E482=$AB$55,$AC$55,E482=$AB$56,$AC$56,E482=$AB$57,$AC$57,E482=$AB$58,$AC$58,E482=$AB$59,$AC$59,E482=$AB$60,$AC$60,E482=$AB$61,$AC$61,E482=$AB$62,$AC$62,E482=$AB$63,$AC$63,E482=$AB$64,$AC$64,E482=$AB$65,$AC$65,E482=$AB$66,$AC$66,TRUE,"0")</f>
        <v>#NAME?</v>
      </c>
      <c r="C482" s="161" t="str" cm="1">
        <f t="array" ref="C482">_xlfn.IFS(E482=$AB$42,$AF$42,E482=$AB$43,$AF$43,E482=$AB$44,$AF$44,E482=$AB$45,$AF$45,E482=$AB$46,$AF$46,E482=$AB$47,$AF$47,E482=$AB$48,$AF$48,E482=$AB$49,$AF$49,E482=$AB$50,$AF$50,E482=$AB$51,$AF$51,E482=$AB$52,$AF$52,E482=$AB$53,$AF$53,E482=$AB$54,$AF$54,E482=$AB$55,$AF$55,E482=$AB$56,$AF$56,E482=$AB$57,$AF$57,E482=$AB$58,$AF$58,E482=$AB$59,$AF$59,E482=$AB$60,$AF$60,E482=$AB$61,$AF$61,E482=$AB$62,$AF$62,E482=$AB$63,$AF$63,E482=$AB$64,$AF$64,E482=$AB$65,$AF$65,E482=$AB$66,$AF$66,TRUE,"0")</f>
        <v>40 mins Back ANother Goal</v>
      </c>
      <c r="D482" s="270" t="str" cm="1">
        <f t="array" ref="D482">_xlfn.IFS(E482=$AB$42,$AD$42,E482=$AB$43,$AD$43,E482=$AB$44,$AD$44,E482=$AB$45,$AD$45,E482=$AB$46,$AD$46,E482=$AB$47,$AD$47,E482=$AB$48,$AD$48,E482=$AB$49,$AD$49,E482=$AB$50,$AD$50,E482=$AB$51,$AD$51,E482=$AB$52,$AD$52,E482=$AB$53,$AD$53,E482=$AB$54,$AD$54,E482=$AB$55,$AD$55,E482=$AB$56,$AD$56,E482=$AB$57,$AD$57,E482=$AB$58,$AD$58,E482=$AB$59,$AD$59,E482=$AB$60,$AD$60,E482=$AB$61,$AD$61,E482=$AB$62,$AD$62,E482=$AB$63,$AD$63,E482=$AB$64,$AD$64,E482=$AB$65,$AD$65,E482=$AB$66,$AD$66,TRUE,"0")</f>
        <v xml:space="preserve">  BANG</v>
      </c>
      <c r="E482" s="163" t="s">
        <v>515</v>
      </c>
      <c r="F482" s="2" t="s">
        <v>516</v>
      </c>
      <c r="G482" s="2" t="s">
        <v>78</v>
      </c>
      <c r="H482" s="3">
        <v>45359.482638888891</v>
      </c>
      <c r="I482" s="2" t="s">
        <v>517</v>
      </c>
      <c r="J482" s="2" t="s">
        <v>518</v>
      </c>
      <c r="K482" s="2">
        <v>20</v>
      </c>
      <c r="L482" s="2">
        <v>70</v>
      </c>
      <c r="M482" s="2">
        <v>2.1</v>
      </c>
      <c r="N482" s="2"/>
      <c r="O482" s="2"/>
      <c r="P482" s="2"/>
      <c r="Q482" s="2" t="s">
        <v>95</v>
      </c>
      <c r="R482" s="10" t="s">
        <v>221</v>
      </c>
      <c r="S482" s="14" t="s">
        <v>193</v>
      </c>
      <c r="T482" s="188">
        <f t="shared" si="55"/>
        <v>703.10279962690004</v>
      </c>
      <c r="U482" s="8">
        <f t="shared" si="53"/>
        <v>126.558503932842</v>
      </c>
      <c r="V482" s="234">
        <f t="shared" si="60"/>
        <v>14188.614496470842</v>
      </c>
      <c r="W482" s="15">
        <v>25</v>
      </c>
      <c r="X482" s="8">
        <f t="shared" si="56"/>
        <v>4.5</v>
      </c>
      <c r="Y482" s="233">
        <f t="shared" si="57"/>
        <v>2192.5</v>
      </c>
    </row>
    <row r="483" spans="1:30">
      <c r="A483" s="156" t="e" cm="1">
        <f t="array" aca="1" ref="A483" ca="1">_xlfn.IFS(E483=$AB$42,$AC$42,E483=$AB$43,$AC$43,E483=$AB$44,$AC$44,E483=$AB$45,$AC$45,E483=$AB$46,$AC$46,E483=$AB$47,$AC$47,E483=$AB$48,$AC$48,E483=$AB$49,$AC$49,E483=$AB$50,$AC$50,E483=$AB$51,$AC$51,E483=$AB$52,$AC$52,E483=$AB$53,$AC$53,E483=$AB$54,$AC$54,E483=$AB$55,$AC$55,E483=$AB$56,$AC$56,E483=$AB$57,$AC$57,E483=$AB$58,$AC$58,E483=$AB$59,$AC$59,E483=$AB$60,$AC$60,E483=$AB$61,$AC$61,E483=$AB$62,$AC$62,E483=$AB$63,$AC$63,E483=$AB$64,$AC$64,E483=$AB$65,$AC$65,E483=$AB$66,$AC$66,TRUE,"0")</f>
        <v>#NAME?</v>
      </c>
      <c r="C483" s="161" t="str" cm="1">
        <f t="array" ref="C483">_xlfn.IFS(E483=$AB$42,$AF$42,E483=$AB$43,$AF$43,E483=$AB$44,$AF$44,E483=$AB$45,$AF$45,E483=$AB$46,$AF$46,E483=$AB$47,$AF$47,E483=$AB$48,$AF$48,E483=$AB$49,$AF$49,E483=$AB$50,$AF$50,E483=$AB$51,$AF$51,E483=$AB$52,$AF$52,E483=$AB$53,$AF$53,E483=$AB$54,$AF$54,E483=$AB$55,$AF$55,E483=$AB$56,$AF$56,E483=$AB$57,$AF$57,E483=$AB$58,$AF$58,E483=$AB$59,$AF$59,E483=$AB$60,$AF$60,E483=$AB$61,$AF$61,E483=$AB$62,$AF$62,E483=$AB$63,$AF$63,E483=$AB$64,$AF$64,E483=$AB$65,$AF$65,E483=$AB$66,$AF$66,TRUE,"0")</f>
        <v>40 mins Back ANother Goal</v>
      </c>
      <c r="D483" s="270" t="str" cm="1">
        <f t="array" ref="D483">_xlfn.IFS(E483=$AB$42,$AD$42,E483=$AB$43,$AD$43,E483=$AB$44,$AD$44,E483=$AB$45,$AD$45,E483=$AB$46,$AD$46,E483=$AB$47,$AD$47,E483=$AB$48,$AD$48,E483=$AB$49,$AD$49,E483=$AB$50,$AD$50,E483=$AB$51,$AD$51,E483=$AB$52,$AD$52,E483=$AB$53,$AD$53,E483=$AB$54,$AD$54,E483=$AB$55,$AD$55,E483=$AB$56,$AD$56,E483=$AB$57,$AD$57,E483=$AB$58,$AD$58,E483=$AB$59,$AD$59,E483=$AB$60,$AD$60,E483=$AB$61,$AD$61,E483=$AB$62,$AD$62,E483=$AB$63,$AD$63,E483=$AB$64,$AD$64,E483=$AB$65,$AD$65,E483=$AB$66,$AD$66,TRUE,"0")</f>
        <v xml:space="preserve">  BANG</v>
      </c>
      <c r="E483" s="163" t="s">
        <v>519</v>
      </c>
      <c r="F483" s="2" t="s">
        <v>489</v>
      </c>
      <c r="G483" s="2" t="s">
        <v>490</v>
      </c>
      <c r="H483" s="3">
        <v>45359.541666666664</v>
      </c>
      <c r="I483" s="2" t="s">
        <v>520</v>
      </c>
      <c r="J483" s="2" t="s">
        <v>491</v>
      </c>
      <c r="K483" s="2">
        <v>20</v>
      </c>
      <c r="L483" s="2">
        <v>95</v>
      </c>
      <c r="M483" s="2">
        <v>90</v>
      </c>
      <c r="N483" s="2"/>
      <c r="O483" s="2"/>
      <c r="P483" s="2"/>
      <c r="Q483" s="2" t="s">
        <v>95</v>
      </c>
      <c r="R483" s="10" t="s">
        <v>220</v>
      </c>
      <c r="S483" s="14" t="s">
        <v>215</v>
      </c>
      <c r="T483" s="188">
        <f t="shared" si="55"/>
        <v>709.43072482354216</v>
      </c>
      <c r="U483" s="8">
        <f t="shared" si="53"/>
        <v>127.69753046823759</v>
      </c>
      <c r="V483" s="234">
        <f t="shared" si="60"/>
        <v>14316.31202693908</v>
      </c>
      <c r="W483" s="15">
        <v>25</v>
      </c>
      <c r="X483" s="8">
        <f t="shared" si="56"/>
        <v>4.5</v>
      </c>
      <c r="Y483" s="233">
        <f t="shared" si="57"/>
        <v>2197</v>
      </c>
    </row>
    <row r="484" spans="1:30">
      <c r="A484" s="156" t="e" cm="1">
        <f t="array" aca="1" ref="A484" ca="1">_xlfn.IFS(E484=$AB$42,$AC$42,E484=$AB$43,$AC$43,E484=$AB$44,$AC$44,E484=$AB$45,$AC$45,E484=$AB$46,$AC$46,E484=$AB$47,$AC$47,E484=$AB$48,$AC$48,E484=$AB$49,$AC$49,E484=$AB$50,$AC$50,E484=$AB$51,$AC$51,E484=$AB$52,$AC$52,E484=$AB$53,$AC$53,E484=$AB$54,$AC$54,E484=$AB$55,$AC$55,E484=$AB$56,$AC$56,E484=$AB$57,$AC$57,E484=$AB$58,$AC$58,E484=$AB$59,$AC$59,E484=$AB$60,$AC$60,E484=$AB$61,$AC$61,E484=$AB$62,$AC$62,E484=$AB$63,$AC$63,E484=$AB$64,$AC$64,E484=$AB$65,$AC$65,E484=$AB$66,$AC$66,TRUE,"0")</f>
        <v>#NAME?</v>
      </c>
      <c r="C484" s="161" t="str" cm="1">
        <f t="array" ref="C484">_xlfn.IFS(E484=$AB$42,$AF$42,E484=$AB$43,$AF$43,E484=$AB$44,$AF$44,E484=$AB$45,$AF$45,E484=$AB$46,$AF$46,E484=$AB$47,$AF$47,E484=$AB$48,$AF$48,E484=$AB$49,$AF$49,E484=$AB$50,$AF$50,E484=$AB$51,$AF$51,E484=$AB$52,$AF$52,E484=$AB$53,$AF$53,E484=$AB$54,$AF$54,E484=$AB$55,$AF$55,E484=$AB$56,$AF$56,E484=$AB$57,$AF$57,E484=$AB$58,$AF$58,E484=$AB$59,$AF$59,E484=$AB$60,$AF$60,E484=$AB$61,$AF$61,E484=$AB$62,$AF$62,E484=$AB$63,$AF$63,E484=$AB$64,$AF$64,E484=$AB$65,$AF$65,E484=$AB$66,$AF$66,TRUE,"0")</f>
        <v>40 mins Back ANother Goal</v>
      </c>
      <c r="D484" s="270" t="str" cm="1">
        <f t="array" ref="D484">_xlfn.IFS(E484=$AB$42,$AD$42,E484=$AB$43,$AD$43,E484=$AB$44,$AD$44,E484=$AB$45,$AD$45,E484=$AB$46,$AD$46,E484=$AB$47,$AD$47,E484=$AB$48,$AD$48,E484=$AB$49,$AD$49,E484=$AB$50,$AD$50,E484=$AB$51,$AD$51,E484=$AB$52,$AD$52,E484=$AB$53,$AD$53,E484=$AB$54,$AD$54,E484=$AB$55,$AD$55,E484=$AB$56,$AD$56,E484=$AB$57,$AD$57,E484=$AB$58,$AD$58,E484=$AB$59,$AD$59,E484=$AB$60,$AD$60,E484=$AB$61,$AD$61,E484=$AB$62,$AD$62,E484=$AB$63,$AD$63,E484=$AB$64,$AD$64,E484=$AB$65,$AD$65,E484=$AB$66,$AD$66,TRUE,"0")</f>
        <v xml:space="preserve">  BANG</v>
      </c>
      <c r="E484" s="163" t="s">
        <v>522</v>
      </c>
      <c r="F484" s="2" t="s">
        <v>489</v>
      </c>
      <c r="G484" s="2" t="s">
        <v>490</v>
      </c>
      <c r="H484" s="3">
        <v>45359.541666666664</v>
      </c>
      <c r="I484" s="2" t="s">
        <v>520</v>
      </c>
      <c r="J484" s="2" t="s">
        <v>491</v>
      </c>
      <c r="K484" s="2">
        <v>71</v>
      </c>
      <c r="L484" s="2">
        <v>20</v>
      </c>
      <c r="M484" s="2">
        <v>90</v>
      </c>
      <c r="N484" s="2">
        <v>55</v>
      </c>
      <c r="O484" s="2">
        <v>1.85</v>
      </c>
      <c r="P484" s="2"/>
      <c r="Q484" s="2" t="s">
        <v>95</v>
      </c>
      <c r="R484" s="10" t="s">
        <v>220</v>
      </c>
      <c r="S484" s="14" t="s">
        <v>215</v>
      </c>
      <c r="T484" s="188">
        <f t="shared" si="55"/>
        <v>715.81560134695405</v>
      </c>
      <c r="U484" s="8">
        <f t="shared" si="53"/>
        <v>128.84680824245171</v>
      </c>
      <c r="V484" s="234">
        <f t="shared" si="60"/>
        <v>14445.158835181532</v>
      </c>
      <c r="W484" s="15">
        <v>25</v>
      </c>
      <c r="X484" s="8">
        <f t="shared" si="56"/>
        <v>4.5</v>
      </c>
      <c r="Y484" s="233">
        <f t="shared" si="57"/>
        <v>2201.5</v>
      </c>
    </row>
    <row r="485" spans="1:30">
      <c r="A485" s="156" t="e" cm="1">
        <f t="array" aca="1" ref="A485" ca="1">_xlfn.IFS(E485=$AB$42,$AC$42,E485=$AB$43,$AC$43,E485=$AB$44,$AC$44,E485=$AB$45,$AC$45,E485=$AB$46,$AC$46,E485=$AB$47,$AC$47,E485=$AB$48,$AC$48,E485=$AB$49,$AC$49,E485=$AB$50,$AC$50,E485=$AB$51,$AC$51,E485=$AB$52,$AC$52,E485=$AB$53,$AC$53,E485=$AB$54,$AC$54,E485=$AB$55,$AC$55,E485=$AB$56,$AC$56,E485=$AB$57,$AC$57,E485=$AB$58,$AC$58,E485=$AB$59,$AC$59,E485=$AB$60,$AC$60,E485=$AB$61,$AC$61,E485=$AB$62,$AC$62,E485=$AB$63,$AC$63,E485=$AB$64,$AC$64,E485=$AB$65,$AC$65,E485=$AB$66,$AC$66,TRUE,"0")</f>
        <v>#NAME?</v>
      </c>
      <c r="C485" s="161" t="str" cm="1">
        <f t="array" ref="C485">_xlfn.IFS(E485=$AB$42,$AF$42,E485=$AB$43,$AF$43,E485=$AB$44,$AF$44,E485=$AB$45,$AF$45,E485=$AB$46,$AF$46,E485=$AB$47,$AF$47,E485=$AB$48,$AF$48,E485=$AB$49,$AF$49,E485=$AB$50,$AF$50,E485=$AB$51,$AF$51,E485=$AB$52,$AF$52,E485=$AB$53,$AF$53,E485=$AB$54,$AF$54,E485=$AB$55,$AF$55,E485=$AB$56,$AF$56,E485=$AB$57,$AF$57,E485=$AB$58,$AF$58,E485=$AB$59,$AF$59,E485=$AB$60,$AF$60,E485=$AB$61,$AF$61,E485=$AB$62,$AF$62,E485=$AB$63,$AF$63,E485=$AB$64,$AF$64,E485=$AB$65,$AF$65,E485=$AB$66,$AF$66,TRUE,"0")</f>
        <v>B4 match BACK FT +1.5 goals. X AFTER  GOAL</v>
      </c>
      <c r="D485" s="270" t="str" cm="1">
        <f t="array" ref="D485">_xlfn.IFS(E485=$AB$42,$AD$42,E485=$AB$43,$AD$43,E485=$AB$44,$AD$44,E485=$AB$45,$AD$45,E485=$AB$46,$AD$46,E485=$AB$47,$AD$47,E485=$AB$48,$AD$48,E485=$AB$49,$AD$49,E485=$AB$50,$AD$50,E485=$AB$51,$AD$51,E485=$AB$52,$AD$52,E485=$AB$53,$AD$53,E485=$AB$54,$AD$54,E485=$AB$55,$AD$55,E485=$AB$56,$AD$56,E485=$AB$57,$AD$57,E485=$AB$58,$AD$58,E485=$AB$59,$AD$59,E485=$AB$60,$AD$60,E485=$AB$61,$AD$61,E485=$AB$62,$AD$62,E485=$AB$63,$AD$63,E485=$AB$64,$AD$64,E485=$AB$65,$AD$65,E485=$AB$66,$AD$66,TRUE,"0")</f>
        <v xml:space="preserve">BFM </v>
      </c>
      <c r="E485" s="163" t="s">
        <v>406</v>
      </c>
      <c r="F485" s="2" t="s">
        <v>80</v>
      </c>
      <c r="G485" s="2" t="s">
        <v>81</v>
      </c>
      <c r="H485" s="3">
        <v>45359.708333333336</v>
      </c>
      <c r="I485" s="2" t="s">
        <v>144</v>
      </c>
      <c r="J485" s="2" t="s">
        <v>530</v>
      </c>
      <c r="K485" s="2">
        <v>1.27</v>
      </c>
      <c r="L485" s="2">
        <v>13</v>
      </c>
      <c r="M485" s="2">
        <v>2.9</v>
      </c>
      <c r="N485" s="2">
        <v>3.2</v>
      </c>
      <c r="O485" s="2">
        <v>2.4900000000000002</v>
      </c>
      <c r="P485" s="2"/>
      <c r="Q485" s="2" t="s">
        <v>95</v>
      </c>
      <c r="R485" s="10" t="s">
        <v>196</v>
      </c>
      <c r="S485" s="14" t="s">
        <v>507</v>
      </c>
      <c r="T485" s="188">
        <f t="shared" si="55"/>
        <v>722.25794175907663</v>
      </c>
      <c r="U485" s="8">
        <f t="shared" si="53"/>
        <v>130.0064295166338</v>
      </c>
      <c r="V485" s="234">
        <f t="shared" si="60"/>
        <v>14575.165264698166</v>
      </c>
      <c r="W485" s="15">
        <v>25</v>
      </c>
      <c r="X485" s="8">
        <f t="shared" si="56"/>
        <v>4.5</v>
      </c>
      <c r="Y485" s="233">
        <f t="shared" si="57"/>
        <v>2206</v>
      </c>
    </row>
    <row r="486" spans="1:30">
      <c r="A486" s="156" t="e" cm="1">
        <f t="array" aca="1" ref="A486" ca="1">_xlfn.IFS(E486=$AB$42,$AC$42,E486=$AB$43,$AC$43,E486=$AB$44,$AC$44,E486=$AB$45,$AC$45,E486=$AB$46,$AC$46,E486=$AB$47,$AC$47,E486=$AB$48,$AC$48,E486=$AB$49,$AC$49,E486=$AB$50,$AC$50,E486=$AB$51,$AC$51,E486=$AB$52,$AC$52,E486=$AB$53,$AC$53,E486=$AB$54,$AC$54,E486=$AB$55,$AC$55,E486=$AB$56,$AC$56,E486=$AB$57,$AC$57,E486=$AB$58,$AC$58,E486=$AB$59,$AC$59,E486=$AB$60,$AC$60,E486=$AB$61,$AC$61,E486=$AB$62,$AC$62,E486=$AB$63,$AC$63,E486=$AB$64,$AC$64,E486=$AB$65,$AC$65,E486=$AB$66,$AC$66,TRUE,"0")</f>
        <v>#NAME?</v>
      </c>
      <c r="C486" s="161" t="str" cm="1">
        <f t="array" ref="C486">_xlfn.IFS(E486=$AB$42,$AF$42,E486=$AB$43,$AF$43,E486=$AB$44,$AF$44,E486=$AB$45,$AF$45,E486=$AB$46,$AF$46,E486=$AB$47,$AF$47,E486=$AB$48,$AF$48,E486=$AB$49,$AF$49,E486=$AB$50,$AF$50,E486=$AB$51,$AF$51,E486=$AB$52,$AF$52,E486=$AB$53,$AF$53,E486=$AB$54,$AF$54,E486=$AB$55,$AF$55,E486=$AB$56,$AF$56,E486=$AB$57,$AF$57,E486=$AB$58,$AF$58,E486=$AB$59,$AF$59,E486=$AB$60,$AF$60,E486=$AB$61,$AF$61,E486=$AB$62,$AF$62,E486=$AB$63,$AF$63,E486=$AB$64,$AF$64,E486=$AB$65,$AF$65,E486=$AB$66,$AF$66,TRUE,"0")</f>
        <v>B4 match BACK FT +1.5 goals. X AFTER  GOAL</v>
      </c>
      <c r="D486" s="270" t="str" cm="1">
        <f t="array" ref="D486">_xlfn.IFS(E486=$AB$42,$AD$42,E486=$AB$43,$AD$43,E486=$AB$44,$AD$44,E486=$AB$45,$AD$45,E486=$AB$46,$AD$46,E486=$AB$47,$AD$47,E486=$AB$48,$AD$48,E486=$AB$49,$AD$49,E486=$AB$50,$AD$50,E486=$AB$51,$AD$51,E486=$AB$52,$AD$52,E486=$AB$53,$AD$53,E486=$AB$54,$AD$54,E486=$AB$55,$AD$55,E486=$AB$56,$AD$56,E486=$AB$57,$AD$57,E486=$AB$58,$AD$58,E486=$AB$59,$AD$59,E486=$AB$60,$AD$60,E486=$AB$61,$AD$61,E486=$AB$62,$AD$62,E486=$AB$63,$AD$63,E486=$AB$64,$AD$64,E486=$AB$65,$AD$65,E486=$AB$66,$AD$66,TRUE,"0")</f>
        <v xml:space="preserve">BFM </v>
      </c>
      <c r="E486" s="163" t="s">
        <v>531</v>
      </c>
      <c r="F486" s="2" t="s">
        <v>434</v>
      </c>
      <c r="G486" s="2" t="s">
        <v>435</v>
      </c>
      <c r="H486" s="3">
        <v>45359.75</v>
      </c>
      <c r="I486" s="2" t="s">
        <v>532</v>
      </c>
      <c r="J486" s="2" t="s">
        <v>533</v>
      </c>
      <c r="K486" s="2">
        <v>3.95</v>
      </c>
      <c r="L486" s="2">
        <v>20</v>
      </c>
      <c r="M486" s="2">
        <v>2.8</v>
      </c>
      <c r="N486" s="2">
        <v>31</v>
      </c>
      <c r="O486" s="2">
        <v>1</v>
      </c>
      <c r="P486" s="2">
        <v>10</v>
      </c>
      <c r="Q486" s="2" t="s">
        <v>95</v>
      </c>
      <c r="R486" s="10" t="s">
        <v>193</v>
      </c>
      <c r="S486" s="14" t="s">
        <v>223</v>
      </c>
      <c r="T486" s="188">
        <f t="shared" si="55"/>
        <v>728.75826323490833</v>
      </c>
      <c r="U486" s="8">
        <f t="shared" si="53"/>
        <v>131.17648738228348</v>
      </c>
      <c r="V486" s="234">
        <f t="shared" si="60"/>
        <v>14706.341752080449</v>
      </c>
      <c r="W486" s="15">
        <v>25</v>
      </c>
      <c r="X486" s="8">
        <f t="shared" si="56"/>
        <v>4.5</v>
      </c>
      <c r="Y486" s="233">
        <f t="shared" si="57"/>
        <v>2210.5</v>
      </c>
      <c r="AD486"/>
    </row>
    <row r="487" spans="1:30">
      <c r="A487" s="156" t="e" cm="1">
        <f t="array" aca="1" ref="A487" ca="1">_xlfn.IFS(E487=$AB$42,$AC$42,E487=$AB$43,$AC$43,E487=$AB$44,$AC$44,E487=$AB$45,$AC$45,E487=$AB$46,$AC$46,E487=$AB$47,$AC$47,E487=$AB$48,$AC$48,E487=$AB$49,$AC$49,E487=$AB$50,$AC$50,E487=$AB$51,$AC$51,E487=$AB$52,$AC$52,E487=$AB$53,$AC$53,E487=$AB$54,$AC$54,E487=$AB$55,$AC$55,E487=$AB$56,$AC$56,E487=$AB$57,$AC$57,E487=$AB$58,$AC$58,E487=$AB$59,$AC$59,E487=$AB$60,$AC$60,E487=$AB$61,$AC$61,E487=$AB$62,$AC$62,E487=$AB$63,$AC$63,E487=$AB$64,$AC$64,E487=$AB$65,$AC$65,E487=$AB$66,$AC$66,TRUE,"0")</f>
        <v>#NAME?</v>
      </c>
      <c r="C487" s="161" t="str" cm="1">
        <f t="array" ref="C487">_xlfn.IFS(E487=$AB$42,$AF$42,E487=$AB$43,$AF$43,E487=$AB$44,$AF$44,E487=$AB$45,$AF$45,E487=$AB$46,$AF$46,E487=$AB$47,$AF$47,E487=$AB$48,$AF$48,E487=$AB$49,$AF$49,E487=$AB$50,$AF$50,E487=$AB$51,$AF$51,E487=$AB$52,$AF$52,E487=$AB$53,$AF$53,E487=$AB$54,$AF$54,E487=$AB$55,$AF$55,E487=$AB$56,$AF$56,E487=$AB$57,$AF$57,E487=$AB$58,$AF$58,E487=$AB$59,$AF$59,E487=$AB$60,$AF$60,E487=$AB$61,$AF$61,E487=$AB$62,$AF$62,E487=$AB$63,$AF$63,E487=$AB$64,$AF$64,E487=$AB$65,$AF$65,E487=$AB$66,$AF$66,TRUE,"0")</f>
        <v>40 mins Back ANother Goal</v>
      </c>
      <c r="D487" s="270" t="str" cm="1">
        <f t="array" ref="D487">_xlfn.IFS(E487=$AB$42,$AD$42,E487=$AB$43,$AD$43,E487=$AB$44,$AD$44,E487=$AB$45,$AD$45,E487=$AB$46,$AD$46,E487=$AB$47,$AD$47,E487=$AB$48,$AD$48,E487=$AB$49,$AD$49,E487=$AB$50,$AD$50,E487=$AB$51,$AD$51,E487=$AB$52,$AD$52,E487=$AB$53,$AD$53,E487=$AB$54,$AD$54,E487=$AB$55,$AD$55,E487=$AB$56,$AD$56,E487=$AB$57,$AD$57,E487=$AB$58,$AD$58,E487=$AB$59,$AD$59,E487=$AB$60,$AD$60,E487=$AB$61,$AD$61,E487=$AB$62,$AD$62,E487=$AB$63,$AD$63,E487=$AB$64,$AD$64,E487=$AB$65,$AD$65,E487=$AB$66,$AD$66,TRUE,"0")</f>
        <v xml:space="preserve">  BANG</v>
      </c>
      <c r="E487" s="163" t="s">
        <v>515</v>
      </c>
      <c r="F487" s="2" t="s">
        <v>145</v>
      </c>
      <c r="G487" s="2" t="s">
        <v>146</v>
      </c>
      <c r="H487" s="3">
        <v>45359.770833333336</v>
      </c>
      <c r="I487" s="2" t="s">
        <v>523</v>
      </c>
      <c r="J487" s="2" t="s">
        <v>524</v>
      </c>
      <c r="K487" s="2">
        <v>20</v>
      </c>
      <c r="L487" s="2">
        <v>79</v>
      </c>
      <c r="M487" s="2">
        <v>1.7</v>
      </c>
      <c r="N487" s="2"/>
      <c r="O487" s="2"/>
      <c r="P487" s="2"/>
      <c r="Q487" s="2" t="s">
        <v>95</v>
      </c>
      <c r="R487" s="14" t="s">
        <v>216</v>
      </c>
      <c r="S487" s="10" t="s">
        <v>215</v>
      </c>
      <c r="T487" s="188">
        <f t="shared" si="55"/>
        <v>735.3170876040225</v>
      </c>
      <c r="U487" s="8">
        <f t="shared" si="53"/>
        <v>132.35707576872406</v>
      </c>
      <c r="V487" s="234">
        <f>SUM(V486,U487)</f>
        <v>14838.698827849174</v>
      </c>
      <c r="W487" s="15">
        <v>25</v>
      </c>
      <c r="X487" s="8">
        <f t="shared" si="56"/>
        <v>4.5</v>
      </c>
      <c r="Y487" s="233">
        <f t="shared" si="57"/>
        <v>2215</v>
      </c>
    </row>
    <row r="488" spans="1:30">
      <c r="A488" s="156" t="e" cm="1">
        <f t="array" aca="1" ref="A488" ca="1">_xlfn.IFS(E488=$AB$42,$AC$42,E488=$AB$43,$AC$43,E488=$AB$44,$AC$44,E488=$AB$45,$AC$45,E488=$AB$46,$AC$46,E488=$AB$47,$AC$47,E488=$AB$48,$AC$48,E488=$AB$49,$AC$49,E488=$AB$50,$AC$50,E488=$AB$51,$AC$51,E488=$AB$52,$AC$52,E488=$AB$53,$AC$53,E488=$AB$54,$AC$54,E488=$AB$55,$AC$55,E488=$AB$56,$AC$56,E488=$AB$57,$AC$57,E488=$AB$58,$AC$58,E488=$AB$59,$AC$59,E488=$AB$60,$AC$60,E488=$AB$61,$AC$61,E488=$AB$62,$AC$62,E488=$AB$63,$AC$63,E488=$AB$64,$AC$64,E488=$AB$65,$AC$65,E488=$AB$66,$AC$66,TRUE,"0")</f>
        <v>#NAME?</v>
      </c>
      <c r="C488" s="161" t="str" cm="1">
        <f t="array" ref="C488">_xlfn.IFS(E488=$AB$42,$AF$42,E488=$AB$43,$AF$43,E488=$AB$44,$AF$44,E488=$AB$45,$AF$45,E488=$AB$46,$AF$46,E488=$AB$47,$AF$47,E488=$AB$48,$AF$48,E488=$AB$49,$AF$49,E488=$AB$50,$AF$50,E488=$AB$51,$AF$51,E488=$AB$52,$AF$52,E488=$AB$53,$AF$53,E488=$AB$54,$AF$54,E488=$AB$55,$AF$55,E488=$AB$56,$AF$56,E488=$AB$57,$AF$57,E488=$AB$58,$AF$58,E488=$AB$59,$AF$59,E488=$AB$60,$AF$60,E488=$AB$61,$AF$61,E488=$AB$62,$AF$62,E488=$AB$63,$AF$63,E488=$AB$64,$AF$64,E488=$AB$65,$AF$65,E488=$AB$66,$AF$66,TRUE,"0")</f>
        <v>10mins if  0-0, BACK over 1.5 goals X after goal OR LET RUN</v>
      </c>
      <c r="D488" s="270" t="str" cm="1">
        <f t="array" ref="D488">_xlfn.IFS(E488=$AB$42,$AD$42,E488=$AB$43,$AD$43,E488=$AB$44,$AD$44,E488=$AB$45,$AD$45,E488=$AB$46,$AD$46,E488=$AB$47,$AD$47,E488=$AB$48,$AD$48,E488=$AB$49,$AD$49,E488=$AB$50,$AD$50,E488=$AB$51,$AD$51,E488=$AB$52,$AD$52,E488=$AB$53,$AD$53,E488=$AB$54,$AD$54,E488=$AB$55,$AD$55,E488=$AB$56,$AD$56,E488=$AB$57,$AD$57,E488=$AB$58,$AD$58,E488=$AB$59,$AD$59,E488=$AB$60,$AD$60,E488=$AB$61,$AD$61,E488=$AB$62,$AD$62,E488=$AB$63,$AD$63,E488=$AB$64,$AD$64,E488=$AB$65,$AD$65,E488=$AB$66,$AD$66,TRUE,"0")</f>
        <v>IP</v>
      </c>
      <c r="E488" s="163" t="s">
        <v>498</v>
      </c>
      <c r="F488" s="2" t="s">
        <v>296</v>
      </c>
      <c r="G488" s="2" t="s">
        <v>525</v>
      </c>
      <c r="H488" s="3">
        <v>45359.770833333336</v>
      </c>
      <c r="I488" s="2" t="s">
        <v>526</v>
      </c>
      <c r="J488" s="2" t="s">
        <v>527</v>
      </c>
      <c r="K488" s="2">
        <v>69</v>
      </c>
      <c r="L488" s="2">
        <v>85</v>
      </c>
      <c r="M488" s="2">
        <v>1.6</v>
      </c>
      <c r="N488" s="2">
        <v>20</v>
      </c>
      <c r="O488" s="2"/>
      <c r="P488" s="2"/>
      <c r="Q488" s="2" t="s">
        <v>95</v>
      </c>
      <c r="R488" s="14" t="s">
        <v>216</v>
      </c>
      <c r="S488" s="10" t="s">
        <v>216</v>
      </c>
      <c r="T488" s="188">
        <f t="shared" si="55"/>
        <v>741.93494139245877</v>
      </c>
      <c r="U488" s="8">
        <f t="shared" si="53"/>
        <v>133.54828945064259</v>
      </c>
      <c r="V488" s="234">
        <f t="shared" ref="V488:V502" si="61">SUM(V487,U488)</f>
        <v>14972.247117299816</v>
      </c>
      <c r="W488" s="15">
        <v>25</v>
      </c>
      <c r="X488" s="8">
        <f t="shared" si="56"/>
        <v>4.5</v>
      </c>
      <c r="Y488" s="233">
        <f t="shared" si="57"/>
        <v>2219.5</v>
      </c>
    </row>
    <row r="489" spans="1:30">
      <c r="A489" s="156" t="e" cm="1">
        <f t="array" aca="1" ref="A489" ca="1">_xlfn.IFS(E489=$AB$42,$AC$42,E489=$AB$43,$AC$43,E489=$AB$44,$AC$44,E489=$AB$45,$AC$45,E489=$AB$46,$AC$46,E489=$AB$47,$AC$47,E489=$AB$48,$AC$48,E489=$AB$49,$AC$49,E489=$AB$50,$AC$50,E489=$AB$51,$AC$51,E489=$AB$52,$AC$52,E489=$AB$53,$AC$53,E489=$AB$54,$AC$54,E489=$AB$55,$AC$55,E489=$AB$56,$AC$56,E489=$AB$57,$AC$57,E489=$AB$58,$AC$58,E489=$AB$59,$AC$59,E489=$AB$60,$AC$60,E489=$AB$61,$AC$61,E489=$AB$62,$AC$62,E489=$AB$63,$AC$63,E489=$AB$64,$AC$64,E489=$AB$65,$AC$65,E489=$AB$66,$AC$66,TRUE,"0")</f>
        <v>#NAME?</v>
      </c>
      <c r="C489" s="161" t="str" cm="1">
        <f t="array" ref="C489">_xlfn.IFS(E489=$AB$42,$AF$42,E489=$AB$43,$AF$43,E489=$AB$44,$AF$44,E489=$AB$45,$AF$45,E489=$AB$46,$AF$46,E489=$AB$47,$AF$47,E489=$AB$48,$AF$48,E489=$AB$49,$AF$49,E489=$AB$50,$AF$50,E489=$AB$51,$AF$51,E489=$AB$52,$AF$52,E489=$AB$53,$AF$53,E489=$AB$54,$AF$54,E489=$AB$55,$AF$55,E489=$AB$56,$AF$56,E489=$AB$57,$AF$57,E489=$AB$58,$AF$58,E489=$AB$59,$AF$59,E489=$AB$60,$AF$60,E489=$AB$61,$AF$61,E489=$AB$62,$AF$62,E489=$AB$63,$AF$63,E489=$AB$64,$AF$64,E489=$AB$65,$AF$65,E489=$AB$66,$AF$66,TRUE,"0")</f>
        <v>B4 match BACK FT +1.5 goals. X AFTER  GOAL</v>
      </c>
      <c r="D489" s="270" t="str" cm="1">
        <f t="array" ref="D489">_xlfn.IFS(E489=$AB$42,$AD$42,E489=$AB$43,$AD$43,E489=$AB$44,$AD$44,E489=$AB$45,$AD$45,E489=$AB$46,$AD$46,E489=$AB$47,$AD$47,E489=$AB$48,$AD$48,E489=$AB$49,$AD$49,E489=$AB$50,$AD$50,E489=$AB$51,$AD$51,E489=$AB$52,$AD$52,E489=$AB$53,$AD$53,E489=$AB$54,$AD$54,E489=$AB$55,$AD$55,E489=$AB$56,$AD$56,E489=$AB$57,$AD$57,E489=$AB$58,$AD$58,E489=$AB$59,$AD$59,E489=$AB$60,$AD$60,E489=$AB$61,$AD$61,E489=$AB$62,$AD$62,E489=$AB$63,$AD$63,E489=$AB$64,$AD$64,E489=$AB$65,$AD$65,E489=$AB$66,$AD$66,TRUE,"0")</f>
        <v xml:space="preserve">BFM </v>
      </c>
      <c r="E489" s="163" t="s">
        <v>531</v>
      </c>
      <c r="F489" s="2" t="s">
        <v>149</v>
      </c>
      <c r="G489" s="2" t="s">
        <v>153</v>
      </c>
      <c r="H489" s="3">
        <v>45359.791666666664</v>
      </c>
      <c r="I489" s="2" t="s">
        <v>369</v>
      </c>
      <c r="J489" s="2" t="s">
        <v>188</v>
      </c>
      <c r="K489" s="2">
        <v>3.75</v>
      </c>
      <c r="L489" s="2">
        <v>24</v>
      </c>
      <c r="M489" s="2">
        <v>3.79</v>
      </c>
      <c r="N489" s="2">
        <v>30</v>
      </c>
      <c r="O489" s="2">
        <v>7</v>
      </c>
      <c r="P489" s="2">
        <v>12</v>
      </c>
      <c r="Q489" s="2" t="s">
        <v>95</v>
      </c>
      <c r="R489" s="14" t="s">
        <v>193</v>
      </c>
      <c r="S489" s="10" t="s">
        <v>193</v>
      </c>
      <c r="T489" s="188">
        <f t="shared" si="55"/>
        <v>748.61235586499083</v>
      </c>
      <c r="U489" s="8">
        <f t="shared" si="53"/>
        <v>134.75022405569834</v>
      </c>
      <c r="V489" s="234">
        <f t="shared" si="61"/>
        <v>15106.997341355514</v>
      </c>
      <c r="W489" s="15">
        <v>25</v>
      </c>
      <c r="X489" s="8">
        <f t="shared" si="56"/>
        <v>4.5</v>
      </c>
      <c r="Y489" s="233">
        <f t="shared" si="57"/>
        <v>2224</v>
      </c>
    </row>
    <row r="490" spans="1:30">
      <c r="A490" s="156" t="e" cm="1">
        <f t="array" aca="1" ref="A490" ca="1">_xlfn.IFS(E490=$AB$42,$AC$42,E490=$AB$43,$AC$43,E490=$AB$44,$AC$44,E490=$AB$45,$AC$45,E490=$AB$46,$AC$46,E490=$AB$47,$AC$47,E490=$AB$48,$AC$48,E490=$AB$49,$AC$49,E490=$AB$50,$AC$50,E490=$AB$51,$AC$51,E490=$AB$52,$AC$52,E490=$AB$53,$AC$53,E490=$AB$54,$AC$54,E490=$AB$55,$AC$55,E490=$AB$56,$AC$56,E490=$AB$57,$AC$57,E490=$AB$58,$AC$58,E490=$AB$59,$AC$59,E490=$AB$60,$AC$60,E490=$AB$61,$AC$61,E490=$AB$62,$AC$62,E490=$AB$63,$AC$63,E490=$AB$64,$AC$64,E490=$AB$65,$AC$65,E490=$AB$66,$AC$66,TRUE,"0")</f>
        <v>#NAME?</v>
      </c>
      <c r="C490" s="161" t="str" cm="1">
        <f t="array" ref="C490">_xlfn.IFS(E490=$AB$42,$AF$42,E490=$AB$43,$AF$43,E490=$AB$44,$AF$44,E490=$AB$45,$AF$45,E490=$AB$46,$AF$46,E490=$AB$47,$AF$47,E490=$AB$48,$AF$48,E490=$AB$49,$AF$49,E490=$AB$50,$AF$50,E490=$AB$51,$AF$51,E490=$AB$52,$AF$52,E490=$AB$53,$AF$53,E490=$AB$54,$AF$54,E490=$AB$55,$AF$55,E490=$AB$56,$AF$56,E490=$AB$57,$AF$57,E490=$AB$58,$AF$58,E490=$AB$59,$AF$59,E490=$AB$60,$AF$60,E490=$AB$61,$AF$61,E490=$AB$62,$AF$62,E490=$AB$63,$AF$63,E490=$AB$64,$AF$64,E490=$AB$65,$AF$65,E490=$AB$66,$AF$66,TRUE,"0")</f>
        <v>20mins if  0-0, BACK over 1.5 goals X after goal OR LET RUN</v>
      </c>
      <c r="D490" s="270" t="str" cm="1">
        <f t="array" ref="D490">_xlfn.IFS(E490=$AB$42,$AD$42,E490=$AB$43,$AD$43,E490=$AB$44,$AD$44,E490=$AB$45,$AD$45,E490=$AB$46,$AD$46,E490=$AB$47,$AD$47,E490=$AB$48,$AD$48,E490=$AB$49,$AD$49,E490=$AB$50,$AD$50,E490=$AB$51,$AD$51,E490=$AB$52,$AD$52,E490=$AB$53,$AD$53,E490=$AB$54,$AD$54,E490=$AB$55,$AD$55,E490=$AB$56,$AD$56,E490=$AB$57,$AD$57,E490=$AB$58,$AD$58,E490=$AB$59,$AD$59,E490=$AB$60,$AD$60,E490=$AB$61,$AD$61,E490=$AB$62,$AD$62,E490=$AB$63,$AD$63,E490=$AB$64,$AD$64,E490=$AB$65,$AD$65,E490=$AB$66,$AD$66,TRUE,"0")</f>
        <v>IP</v>
      </c>
      <c r="E490" s="163" t="s">
        <v>474</v>
      </c>
      <c r="F490" s="2" t="s">
        <v>149</v>
      </c>
      <c r="G490" s="2" t="s">
        <v>150</v>
      </c>
      <c r="H490" s="3">
        <v>45359.791666666664</v>
      </c>
      <c r="I490" s="2" t="s">
        <v>331</v>
      </c>
      <c r="J490" s="2" t="s">
        <v>329</v>
      </c>
      <c r="K490" s="2">
        <v>50</v>
      </c>
      <c r="L490" s="2">
        <v>3.2</v>
      </c>
      <c r="M490" s="2">
        <v>20</v>
      </c>
      <c r="N490" s="2">
        <v>80</v>
      </c>
      <c r="O490" s="2">
        <v>90</v>
      </c>
      <c r="P490" s="2"/>
      <c r="Q490" s="2" t="s">
        <v>95</v>
      </c>
      <c r="R490" s="14" t="s">
        <v>221</v>
      </c>
      <c r="S490" s="10" t="s">
        <v>220</v>
      </c>
      <c r="T490" s="188">
        <f t="shared" si="55"/>
        <v>755.34986706777579</v>
      </c>
      <c r="U490" s="8">
        <f t="shared" si="53"/>
        <v>135.96297607219964</v>
      </c>
      <c r="V490" s="234">
        <f>SUM(V489,U490)</f>
        <v>15242.960317427714</v>
      </c>
      <c r="W490" s="15">
        <v>25</v>
      </c>
      <c r="X490" s="8">
        <f t="shared" si="56"/>
        <v>4.5</v>
      </c>
      <c r="Y490" s="233">
        <f t="shared" si="57"/>
        <v>2228.5</v>
      </c>
    </row>
    <row r="491" spans="1:30">
      <c r="A491" s="156" t="e" cm="1">
        <f t="array" aca="1" ref="A491" ca="1">_xlfn.IFS(E491=$AB$42,$AC$42,E491=$AB$43,$AC$43,E491=$AB$44,$AC$44,E491=$AB$45,$AC$45,E491=$AB$46,$AC$46,E491=$AB$47,$AC$47,E491=$AB$48,$AC$48,E491=$AB$49,$AC$49,E491=$AB$50,$AC$50,E491=$AB$51,$AC$51,E491=$AB$52,$AC$52,E491=$AB$53,$AC$53,E491=$AB$54,$AC$54,E491=$AB$55,$AC$55,E491=$AB$56,$AC$56,E491=$AB$57,$AC$57,E491=$AB$58,$AC$58,E491=$AB$59,$AC$59,E491=$AB$60,$AC$60,E491=$AB$61,$AC$61,E491=$AB$62,$AC$62,E491=$AB$63,$AC$63,E491=$AB$64,$AC$64,E491=$AB$65,$AC$65,E491=$AB$66,$AC$66,TRUE,"0")</f>
        <v>#NAME?</v>
      </c>
      <c r="C491" s="161" t="str" cm="1">
        <f t="array" ref="C491">_xlfn.IFS(E491=$AB$42,$AF$42,E491=$AB$43,$AF$43,E491=$AB$44,$AF$44,E491=$AB$45,$AF$45,E491=$AB$46,$AF$46,E491=$AB$47,$AF$47,E491=$AB$48,$AF$48,E491=$AB$49,$AF$49,E491=$AB$50,$AF$50,E491=$AB$51,$AF$51,E491=$AB$52,$AF$52,E491=$AB$53,$AF$53,E491=$AB$54,$AF$54,E491=$AB$55,$AF$55,E491=$AB$56,$AF$56,E491=$AB$57,$AF$57,E491=$AB$58,$AF$58,E491=$AB$59,$AF$59,E491=$AB$60,$AF$60,E491=$AB$61,$AF$61,E491=$AB$62,$AF$62,E491=$AB$63,$AF$63,E491=$AB$64,$AF$64,E491=$AB$65,$AF$65,E491=$AB$66,$AF$66,TRUE,"0")</f>
        <v>10mins if  0-0, BACK over 1.5 goals X after goal OR LET RUN</v>
      </c>
      <c r="D491" s="270" t="str" cm="1">
        <f t="array" ref="D491">_xlfn.IFS(E491=$AB$42,$AD$42,E491=$AB$43,$AD$43,E491=$AB$44,$AD$44,E491=$AB$45,$AD$45,E491=$AB$46,$AD$46,E491=$AB$47,$AD$47,E491=$AB$48,$AD$48,E491=$AB$49,$AD$49,E491=$AB$50,$AD$50,E491=$AB$51,$AD$51,E491=$AB$52,$AD$52,E491=$AB$53,$AD$53,E491=$AB$54,$AD$54,E491=$AB$55,$AD$55,E491=$AB$56,$AD$56,E491=$AB$57,$AD$57,E491=$AB$58,$AD$58,E491=$AB$59,$AD$59,E491=$AB$60,$AD$60,E491=$AB$61,$AD$61,E491=$AB$62,$AD$62,E491=$AB$63,$AD$63,E491=$AB$64,$AD$64,E491=$AB$65,$AD$65,E491=$AB$66,$AD$66,TRUE,"0")</f>
        <v>IP</v>
      </c>
      <c r="E491" s="163" t="s">
        <v>498</v>
      </c>
      <c r="F491" s="2" t="s">
        <v>296</v>
      </c>
      <c r="G491" s="2" t="s">
        <v>525</v>
      </c>
      <c r="H491" s="3">
        <v>45359.802083333336</v>
      </c>
      <c r="I491" s="2" t="s">
        <v>528</v>
      </c>
      <c r="J491" s="2" t="s">
        <v>529</v>
      </c>
      <c r="K491" s="2">
        <v>64</v>
      </c>
      <c r="L491" s="2">
        <v>90</v>
      </c>
      <c r="M491" s="2">
        <v>1.25</v>
      </c>
      <c r="N491" s="2">
        <v>20</v>
      </c>
      <c r="O491" s="2"/>
      <c r="P491" s="2"/>
      <c r="Q491" s="2" t="s">
        <v>96</v>
      </c>
      <c r="R491" s="14" t="s">
        <v>221</v>
      </c>
      <c r="S491" s="10" t="s">
        <v>221</v>
      </c>
      <c r="T491" s="188">
        <f t="shared" si="55"/>
        <v>762.14801587138572</v>
      </c>
      <c r="U491" s="8">
        <f t="shared" si="53"/>
        <v>-762.14801587138572</v>
      </c>
      <c r="V491" s="234">
        <f t="shared" si="61"/>
        <v>14480.812301556329</v>
      </c>
      <c r="W491" s="15">
        <v>25</v>
      </c>
      <c r="X491" s="8">
        <f t="shared" si="56"/>
        <v>-25</v>
      </c>
      <c r="Y491" s="233">
        <f t="shared" si="57"/>
        <v>2203.5</v>
      </c>
    </row>
    <row r="492" spans="1:30">
      <c r="A492" s="156" t="e" cm="1">
        <f t="array" aca="1" ref="A492" ca="1">_xlfn.IFS(E492=$AB$42,$AC$42,E492=$AB$43,$AC$43,E492=$AB$44,$AC$44,E492=$AB$45,$AC$45,E492=$AB$46,$AC$46,E492=$AB$47,$AC$47,E492=$AB$48,$AC$48,E492=$AB$49,$AC$49,E492=$AB$50,$AC$50,E492=$AB$51,$AC$51,E492=$AB$52,$AC$52,E492=$AB$53,$AC$53,E492=$AB$54,$AC$54,E492=$AB$55,$AC$55,E492=$AB$56,$AC$56,E492=$AB$57,$AC$57,E492=$AB$58,$AC$58,E492=$AB$59,$AC$59,E492=$AB$60,$AC$60,E492=$AB$61,$AC$61,E492=$AB$62,$AC$62,E492=$AB$63,$AC$63,E492=$AB$64,$AC$64,E492=$AB$65,$AC$65,E492=$AB$66,$AC$66,TRUE,"0")</f>
        <v>#NAME?</v>
      </c>
      <c r="C492" s="161" t="str" cm="1">
        <f t="array" ref="C492">_xlfn.IFS(E492=$AB$42,$AF$42,E492=$AB$43,$AF$43,E492=$AB$44,$AF$44,E492=$AB$45,$AF$45,E492=$AB$46,$AF$46,E492=$AB$47,$AF$47,E492=$AB$48,$AF$48,E492=$AB$49,$AF$49,E492=$AB$50,$AF$50,E492=$AB$51,$AF$51,E492=$AB$52,$AF$52,E492=$AB$53,$AF$53,E492=$AB$54,$AF$54,E492=$AB$55,$AF$55,E492=$AB$56,$AF$56,E492=$AB$57,$AF$57,E492=$AB$58,$AF$58,E492=$AB$59,$AF$59,E492=$AB$60,$AF$60,E492=$AB$61,$AF$61,E492=$AB$62,$AF$62,E492=$AB$63,$AF$63,E492=$AB$64,$AF$64,E492=$AB$65,$AF$65,E492=$AB$66,$AF$66,TRUE,"0")</f>
        <v>B4 Match, lay HT 0-0 or BACK H1 +0.5 GOALS</v>
      </c>
      <c r="D492" s="270" t="str" cm="1">
        <f t="array" ref="D492">_xlfn.IFS(E492=$AB$42,$AD$42,E492=$AB$43,$AD$43,E492=$AB$44,$AD$44,E492=$AB$45,$AD$45,E492=$AB$46,$AD$46,E492=$AB$47,$AD$47,E492=$AB$48,$AD$48,E492=$AB$49,$AD$49,E492=$AB$50,$AD$50,E492=$AB$51,$AD$51,E492=$AB$52,$AD$52,E492=$AB$53,$AD$53,E492=$AB$54,$AD$54,E492=$AB$55,$AD$55,E492=$AB$56,$AD$56,E492=$AB$57,$AD$57,E492=$AB$58,$AD$58,E492=$AB$59,$AD$59,E492=$AB$60,$AD$60,E492=$AB$61,$AD$61,E492=$AB$62,$AD$62,E492=$AB$63,$AD$63,E492=$AB$64,$AD$64,E492=$AB$65,$AD$65,E492=$AB$66,$AD$66,TRUE,"0")</f>
        <v xml:space="preserve">BFM </v>
      </c>
      <c r="E492" s="163" t="s">
        <v>448</v>
      </c>
      <c r="F492" s="2" t="s">
        <v>44</v>
      </c>
      <c r="G492" s="2" t="s">
        <v>45</v>
      </c>
      <c r="H492" s="3">
        <v>45360.447916666664</v>
      </c>
      <c r="I492" s="2" t="s">
        <v>131</v>
      </c>
      <c r="J492" s="2" t="s">
        <v>52</v>
      </c>
      <c r="K492" s="2">
        <v>20</v>
      </c>
      <c r="L492" s="2">
        <v>10</v>
      </c>
      <c r="M492" s="2">
        <v>35</v>
      </c>
      <c r="N492" s="2">
        <v>7</v>
      </c>
      <c r="O492" s="2">
        <v>5</v>
      </c>
      <c r="P492" s="2">
        <v>7</v>
      </c>
      <c r="Q492" s="2" t="s">
        <v>95</v>
      </c>
      <c r="R492" s="14" t="s">
        <v>193</v>
      </c>
      <c r="S492" s="10" t="s">
        <v>210</v>
      </c>
      <c r="T492" s="188">
        <f t="shared" si="55"/>
        <v>724.04061507781648</v>
      </c>
      <c r="U492" s="8">
        <f t="shared" si="53"/>
        <v>130.32731071400696</v>
      </c>
      <c r="V492" s="234">
        <f t="shared" si="61"/>
        <v>14611.139612270335</v>
      </c>
      <c r="W492" s="15">
        <v>25</v>
      </c>
      <c r="X492" s="8">
        <f t="shared" si="56"/>
        <v>4.5</v>
      </c>
      <c r="Y492" s="233">
        <f t="shared" si="57"/>
        <v>2208</v>
      </c>
    </row>
    <row r="493" spans="1:30">
      <c r="A493" s="156" t="e" cm="1">
        <f t="array" aca="1" ref="A493" ca="1">_xlfn.IFS(E493=$AB$42,$AC$42,E493=$AB$43,$AC$43,E493=$AB$44,$AC$44,E493=$AB$45,$AC$45,E493=$AB$46,$AC$46,E493=$AB$47,$AC$47,E493=$AB$48,$AC$48,E493=$AB$49,$AC$49,E493=$AB$50,$AC$50,E493=$AB$51,$AC$51,E493=$AB$52,$AC$52,E493=$AB$53,$AC$53,E493=$AB$54,$AC$54,E493=$AB$55,$AC$55,E493=$AB$56,$AC$56,E493=$AB$57,$AC$57,E493=$AB$58,$AC$58,E493=$AB$59,$AC$59,E493=$AB$60,$AC$60,E493=$AB$61,$AC$61,E493=$AB$62,$AC$62,E493=$AB$63,$AC$63,E493=$AB$64,$AC$64,E493=$AB$65,$AC$65,E493=$AB$66,$AC$66,TRUE,"0")</f>
        <v>#NAME?</v>
      </c>
      <c r="C493" s="161" t="str" cm="1">
        <f t="array" ref="C493">_xlfn.IFS(E493=$AB$42,$AF$42,E493=$AB$43,$AF$43,E493=$AB$44,$AF$44,E493=$AB$45,$AF$45,E493=$AB$46,$AF$46,E493=$AB$47,$AF$47,E493=$AB$48,$AF$48,E493=$AB$49,$AF$49,E493=$AB$50,$AF$50,E493=$AB$51,$AF$51,E493=$AB$52,$AF$52,E493=$AB$53,$AF$53,E493=$AB$54,$AF$54,E493=$AB$55,$AF$55,E493=$AB$56,$AF$56,E493=$AB$57,$AF$57,E493=$AB$58,$AF$58,E493=$AB$59,$AF$59,E493=$AB$60,$AF$60,E493=$AB$61,$AF$61,E493=$AB$62,$AF$62,E493=$AB$63,$AF$63,E493=$AB$64,$AF$64,E493=$AB$65,$AF$65,E493=$AB$66,$AF$66,TRUE,"0")</f>
        <v>40 mins Back ANother Goal</v>
      </c>
      <c r="D493" s="270" t="str" cm="1">
        <f t="array" ref="D493">_xlfn.IFS(E493=$AB$42,$AD$42,E493=$AB$43,$AD$43,E493=$AB$44,$AD$44,E493=$AB$45,$AD$45,E493=$AB$46,$AD$46,E493=$AB$47,$AD$47,E493=$AB$48,$AD$48,E493=$AB$49,$AD$49,E493=$AB$50,$AD$50,E493=$AB$51,$AD$51,E493=$AB$52,$AD$52,E493=$AB$53,$AD$53,E493=$AB$54,$AD$54,E493=$AB$55,$AD$55,E493=$AB$56,$AD$56,E493=$AB$57,$AD$57,E493=$AB$58,$AD$58,E493=$AB$59,$AD$59,E493=$AB$60,$AD$60,E493=$AB$61,$AD$61,E493=$AB$62,$AD$62,E493=$AB$63,$AD$63,E493=$AB$64,$AD$64,E493=$AB$65,$AD$65,E493=$AB$66,$AD$66,TRUE,"0")</f>
        <v xml:space="preserve">  BANG</v>
      </c>
      <c r="E493" s="163" t="s">
        <v>10</v>
      </c>
      <c r="F493" s="2" t="s">
        <v>77</v>
      </c>
      <c r="G493" s="2" t="s">
        <v>251</v>
      </c>
      <c r="H493" s="3">
        <v>45360.541666666664</v>
      </c>
      <c r="I493" s="2" t="s">
        <v>295</v>
      </c>
      <c r="J493" s="2" t="s">
        <v>259</v>
      </c>
      <c r="K493" s="2">
        <v>2.15</v>
      </c>
      <c r="L493" s="2">
        <v>90</v>
      </c>
      <c r="M493" s="2">
        <v>65</v>
      </c>
      <c r="N493" s="2">
        <v>35</v>
      </c>
      <c r="O493" s="2">
        <v>61</v>
      </c>
      <c r="P493" s="2"/>
      <c r="Q493" s="2" t="s">
        <v>95</v>
      </c>
      <c r="R493" s="14" t="s">
        <v>214</v>
      </c>
      <c r="S493" s="10" t="s">
        <v>210</v>
      </c>
      <c r="T493" s="188">
        <f t="shared" si="55"/>
        <v>730.55698061351677</v>
      </c>
      <c r="U493" s="8">
        <f t="shared" si="53"/>
        <v>131.50025651043302</v>
      </c>
      <c r="V493" s="234">
        <f t="shared" si="61"/>
        <v>14742.639868780769</v>
      </c>
      <c r="W493" s="15">
        <v>25</v>
      </c>
      <c r="X493" s="8">
        <f t="shared" si="56"/>
        <v>4.5</v>
      </c>
      <c r="Y493" s="233">
        <f t="shared" si="57"/>
        <v>2212.5</v>
      </c>
    </row>
    <row r="494" spans="1:30">
      <c r="A494" s="156" t="e" cm="1">
        <f t="array" aca="1" ref="A494" ca="1">_xlfn.IFS(E494=$AB$42,$AC$42,E494=$AB$43,$AC$43,E494=$AB$44,$AC$44,E494=$AB$45,$AC$45,E494=$AB$46,$AC$46,E494=$AB$47,$AC$47,E494=$AB$48,$AC$48,E494=$AB$49,$AC$49,E494=$AB$50,$AC$50,E494=$AB$51,$AC$51,E494=$AB$52,$AC$52,E494=$AB$53,$AC$53,E494=$AB$54,$AC$54,E494=$AB$55,$AC$55,E494=$AB$56,$AC$56,E494=$AB$57,$AC$57,E494=$AB$58,$AC$58,E494=$AB$59,$AC$59,E494=$AB$60,$AC$60,E494=$AB$61,$AC$61,E494=$AB$62,$AC$62,E494=$AB$63,$AC$63,E494=$AB$64,$AC$64,E494=$AB$65,$AC$65,E494=$AB$66,$AC$66,TRUE,"0")</f>
        <v>#NAME?</v>
      </c>
      <c r="C494" s="161" t="str" cm="1">
        <f t="array" ref="C494">_xlfn.IFS(E494=$AB$42,$AF$42,E494=$AB$43,$AF$43,E494=$AB$44,$AF$44,E494=$AB$45,$AF$45,E494=$AB$46,$AF$46,E494=$AB$47,$AF$47,E494=$AB$48,$AF$48,E494=$AB$49,$AF$49,E494=$AB$50,$AF$50,E494=$AB$51,$AF$51,E494=$AB$52,$AF$52,E494=$AB$53,$AF$53,E494=$AB$54,$AF$54,E494=$AB$55,$AF$55,E494=$AB$56,$AF$56,E494=$AB$57,$AF$57,E494=$AB$58,$AF$58,E494=$AB$59,$AF$59,E494=$AB$60,$AF$60,E494=$AB$61,$AF$61,E494=$AB$62,$AF$62,E494=$AB$63,$AF$63,E494=$AB$64,$AF$64,E494=$AB$65,$AF$65,E494=$AB$66,$AF$66,TRUE,"0")</f>
        <v>if 0-0, BACK+ 0.5 GOALS  @ 1.15+odds.  or @ 40 mins</v>
      </c>
      <c r="D494" s="270" t="str" cm="1">
        <f t="array" ref="D494">_xlfn.IFS(E494=$AB$42,$AD$42,E494=$AB$43,$AD$43,E494=$AB$44,$AD$44,E494=$AB$45,$AD$45,E494=$AB$46,$AD$46,E494=$AB$47,$AD$47,E494=$AB$48,$AD$48,E494=$AB$49,$AD$49,E494=$AB$50,$AD$50,E494=$AB$51,$AD$51,E494=$AB$52,$AD$52,E494=$AB$53,$AD$53,E494=$AB$54,$AD$54,E494=$AB$55,$AD$55,E494=$AB$56,$AD$56,E494=$AB$57,$AD$57,E494=$AB$58,$AD$58,E494=$AB$59,$AD$59,E494=$AB$60,$AD$60,E494=$AB$61,$AD$61,E494=$AB$62,$AD$62,E494=$AB$63,$AD$63,E494=$AB$64,$AD$64,E494=$AB$65,$AD$65,E494=$AB$66,$AD$66,TRUE,"0")</f>
        <v>IP</v>
      </c>
      <c r="E494" s="163" t="s">
        <v>270</v>
      </c>
      <c r="F494" s="2" t="s">
        <v>48</v>
      </c>
      <c r="G494" s="2" t="s">
        <v>49</v>
      </c>
      <c r="H494" s="3">
        <v>45360.583333333336</v>
      </c>
      <c r="I494" s="2" t="s">
        <v>486</v>
      </c>
      <c r="J494" s="2" t="s">
        <v>385</v>
      </c>
      <c r="K494" s="2">
        <v>60</v>
      </c>
      <c r="L494" s="2">
        <v>0</v>
      </c>
      <c r="M494" s="2">
        <v>20</v>
      </c>
      <c r="N494" s="2">
        <v>36</v>
      </c>
      <c r="O494" s="2">
        <v>1.43</v>
      </c>
      <c r="P494" s="2"/>
      <c r="Q494" s="2" t="s">
        <v>95</v>
      </c>
      <c r="R494" s="14" t="s">
        <v>221</v>
      </c>
      <c r="S494" s="10" t="s">
        <v>193</v>
      </c>
      <c r="T494" s="188">
        <f t="shared" si="55"/>
        <v>737.13199343903852</v>
      </c>
      <c r="U494" s="8">
        <f t="shared" ref="U494:U557" si="62">IF(Q494="won",T494*0.18,-T494)</f>
        <v>132.68375881902693</v>
      </c>
      <c r="V494" s="234">
        <f t="shared" si="61"/>
        <v>14875.323627599795</v>
      </c>
      <c r="W494" s="15">
        <v>25</v>
      </c>
      <c r="X494" s="8">
        <f t="shared" si="56"/>
        <v>4.5</v>
      </c>
      <c r="Y494" s="233">
        <f t="shared" si="57"/>
        <v>2217</v>
      </c>
    </row>
    <row r="495" spans="1:30">
      <c r="A495" s="156" t="e" cm="1">
        <f t="array" aca="1" ref="A495" ca="1">_xlfn.IFS(E495=$AB$42,$AC$42,E495=$AB$43,$AC$43,E495=$AB$44,$AC$44,E495=$AB$45,$AC$45,E495=$AB$46,$AC$46,E495=$AB$47,$AC$47,E495=$AB$48,$AC$48,E495=$AB$49,$AC$49,E495=$AB$50,$AC$50,E495=$AB$51,$AC$51,E495=$AB$52,$AC$52,E495=$AB$53,$AC$53,E495=$AB$54,$AC$54,E495=$AB$55,$AC$55,E495=$AB$56,$AC$56,E495=$AB$57,$AC$57,E495=$AB$58,$AC$58,E495=$AB$59,$AC$59,E495=$AB$60,$AC$60,E495=$AB$61,$AC$61,E495=$AB$62,$AC$62,E495=$AB$63,$AC$63,E495=$AB$64,$AC$64,E495=$AB$65,$AC$65,E495=$AB$66,$AC$66,TRUE,"0")</f>
        <v>#NAME?</v>
      </c>
      <c r="C495" s="161" t="str" cm="1">
        <f t="array" ref="C495">_xlfn.IFS(E495=$AB$42,$AF$42,E495=$AB$43,$AF$43,E495=$AB$44,$AF$44,E495=$AB$45,$AF$45,E495=$AB$46,$AF$46,E495=$AB$47,$AF$47,E495=$AB$48,$AF$48,E495=$AB$49,$AF$49,E495=$AB$50,$AF$50,E495=$AB$51,$AF$51,E495=$AB$52,$AF$52,E495=$AB$53,$AF$53,E495=$AB$54,$AF$54,E495=$AB$55,$AF$55,E495=$AB$56,$AF$56,E495=$AB$57,$AF$57,E495=$AB$58,$AF$58,E495=$AB$59,$AF$59,E495=$AB$60,$AF$60,E495=$AB$61,$AF$61,E495=$AB$62,$AF$62,E495=$AB$63,$AF$63,E495=$AB$64,$AF$64,E495=$AB$65,$AF$65,E495=$AB$66,$AF$66,TRUE,"0")</f>
        <v>B4 match BACK FT +1.5 goals. X AFTER  GOAL</v>
      </c>
      <c r="D495" s="270" t="str" cm="1">
        <f t="array" ref="D495">_xlfn.IFS(E495=$AB$42,$AD$42,E495=$AB$43,$AD$43,E495=$AB$44,$AD$44,E495=$AB$45,$AD$45,E495=$AB$46,$AD$46,E495=$AB$47,$AD$47,E495=$AB$48,$AD$48,E495=$AB$49,$AD$49,E495=$AB$50,$AD$50,E495=$AB$51,$AD$51,E495=$AB$52,$AD$52,E495=$AB$53,$AD$53,E495=$AB$54,$AD$54,E495=$AB$55,$AD$55,E495=$AB$56,$AD$56,E495=$AB$57,$AD$57,E495=$AB$58,$AD$58,E495=$AB$59,$AD$59,E495=$AB$60,$AD$60,E495=$AB$61,$AD$61,E495=$AB$62,$AD$62,E495=$AB$63,$AD$63,E495=$AB$64,$AD$64,E495=$AB$65,$AD$65,E495=$AB$66,$AD$66,TRUE,"0")</f>
        <v xml:space="preserve">BFM </v>
      </c>
      <c r="E495" s="163" t="s">
        <v>406</v>
      </c>
      <c r="F495" s="2" t="s">
        <v>77</v>
      </c>
      <c r="G495" s="2" t="s">
        <v>156</v>
      </c>
      <c r="H495" s="3">
        <v>45360.604166666664</v>
      </c>
      <c r="I495" s="2" t="s">
        <v>157</v>
      </c>
      <c r="J495" s="2" t="s">
        <v>160</v>
      </c>
      <c r="K495" s="2">
        <v>1.26</v>
      </c>
      <c r="L495" s="2">
        <v>15</v>
      </c>
      <c r="M495" s="2">
        <v>3.1</v>
      </c>
      <c r="N495" s="2">
        <v>3.55</v>
      </c>
      <c r="O495" s="2">
        <v>3.05</v>
      </c>
      <c r="P495" s="2"/>
      <c r="Q495" s="2" t="s">
        <v>95</v>
      </c>
      <c r="R495" s="14" t="s">
        <v>215</v>
      </c>
      <c r="S495" s="10" t="s">
        <v>508</v>
      </c>
      <c r="T495" s="188">
        <f t="shared" si="55"/>
        <v>743.7661813799898</v>
      </c>
      <c r="U495" s="8">
        <f t="shared" si="62"/>
        <v>133.87791264839817</v>
      </c>
      <c r="V495" s="234">
        <f t="shared" si="61"/>
        <v>15009.201540248194</v>
      </c>
      <c r="W495" s="15">
        <v>25</v>
      </c>
      <c r="X495" s="8">
        <f t="shared" si="56"/>
        <v>4.5</v>
      </c>
      <c r="Y495" s="233">
        <f t="shared" si="57"/>
        <v>2221.5</v>
      </c>
    </row>
    <row r="496" spans="1:30">
      <c r="A496" s="156" t="e" cm="1">
        <f t="array" aca="1" ref="A496" ca="1">_xlfn.IFS(E496=$AB$42,$AC$42,E496=$AB$43,$AC$43,E496=$AB$44,$AC$44,E496=$AB$45,$AC$45,E496=$AB$46,$AC$46,E496=$AB$47,$AC$47,E496=$AB$48,$AC$48,E496=$AB$49,$AC$49,E496=$AB$50,$AC$50,E496=$AB$51,$AC$51,E496=$AB$52,$AC$52,E496=$AB$53,$AC$53,E496=$AB$54,$AC$54,E496=$AB$55,$AC$55,E496=$AB$56,$AC$56,E496=$AB$57,$AC$57,E496=$AB$58,$AC$58,E496=$AB$59,$AC$59,E496=$AB$60,$AC$60,E496=$AB$61,$AC$61,E496=$AB$62,$AC$62,E496=$AB$63,$AC$63,E496=$AB$64,$AC$64,E496=$AB$65,$AC$65,E496=$AB$66,$AC$66,TRUE,"0")</f>
        <v>#NAME?</v>
      </c>
      <c r="C496" s="161" t="str" cm="1">
        <f t="array" ref="C496">_xlfn.IFS(E496=$AB$42,$AF$42,E496=$AB$43,$AF$43,E496=$AB$44,$AF$44,E496=$AB$45,$AF$45,E496=$AB$46,$AF$46,E496=$AB$47,$AF$47,E496=$AB$48,$AF$48,E496=$AB$49,$AF$49,E496=$AB$50,$AF$50,E496=$AB$51,$AF$51,E496=$AB$52,$AF$52,E496=$AB$53,$AF$53,E496=$AB$54,$AF$54,E496=$AB$55,$AF$55,E496=$AB$56,$AF$56,E496=$AB$57,$AF$57,E496=$AB$58,$AF$58,E496=$AB$59,$AF$59,E496=$AB$60,$AF$60,E496=$AB$61,$AF$61,E496=$AB$62,$AF$62,E496=$AB$63,$AF$63,E496=$AB$64,$AF$64,E496=$AB$65,$AF$65,E496=$AB$66,$AF$66,TRUE,"0")</f>
        <v>B4 Match, lay HT 0-0 or BACK H1 +0.5 GOALS</v>
      </c>
      <c r="D496" s="270" t="str" cm="1">
        <f t="array" ref="D496">_xlfn.IFS(E496=$AB$42,$AD$42,E496=$AB$43,$AD$43,E496=$AB$44,$AD$44,E496=$AB$45,$AD$45,E496=$AB$46,$AD$46,E496=$AB$47,$AD$47,E496=$AB$48,$AD$48,E496=$AB$49,$AD$49,E496=$AB$50,$AD$50,E496=$AB$51,$AD$51,E496=$AB$52,$AD$52,E496=$AB$53,$AD$53,E496=$AB$54,$AD$54,E496=$AB$55,$AD$55,E496=$AB$56,$AD$56,E496=$AB$57,$AD$57,E496=$AB$58,$AD$58,E496=$AB$59,$AD$59,E496=$AB$60,$AD$60,E496=$AB$61,$AD$61,E496=$AB$62,$AD$62,E496=$AB$63,$AD$63,E496=$AB$64,$AD$64,E496=$AB$65,$AD$65,E496=$AB$66,$AD$66,TRUE,"0")</f>
        <v xml:space="preserve">BFM </v>
      </c>
      <c r="E496" s="163" t="s">
        <v>448</v>
      </c>
      <c r="F496" s="2" t="s">
        <v>77</v>
      </c>
      <c r="G496" s="2" t="s">
        <v>156</v>
      </c>
      <c r="H496" s="3">
        <v>45360.604166666664</v>
      </c>
      <c r="I496" s="2" t="s">
        <v>284</v>
      </c>
      <c r="J496" s="2" t="s">
        <v>260</v>
      </c>
      <c r="K496" s="2">
        <v>20</v>
      </c>
      <c r="L496" s="2">
        <v>10</v>
      </c>
      <c r="M496" s="2">
        <v>34</v>
      </c>
      <c r="N496" s="2">
        <v>4</v>
      </c>
      <c r="O496" s="2">
        <v>8</v>
      </c>
      <c r="P496" s="2"/>
      <c r="Q496" s="2" t="s">
        <v>95</v>
      </c>
      <c r="R496" s="14" t="s">
        <v>214</v>
      </c>
      <c r="S496" s="10" t="s">
        <v>214</v>
      </c>
      <c r="T496" s="188">
        <f t="shared" si="55"/>
        <v>750.46007701240978</v>
      </c>
      <c r="U496" s="8">
        <f t="shared" si="62"/>
        <v>135.08281386223376</v>
      </c>
      <c r="V496" s="234">
        <f t="shared" si="61"/>
        <v>15144.284354110428</v>
      </c>
      <c r="W496" s="15">
        <v>25</v>
      </c>
      <c r="X496" s="8">
        <f t="shared" si="56"/>
        <v>4.5</v>
      </c>
      <c r="Y496" s="233">
        <f t="shared" si="57"/>
        <v>2226</v>
      </c>
    </row>
    <row r="497" spans="1:25">
      <c r="A497" s="156" t="e" cm="1">
        <f t="array" aca="1" ref="A497" ca="1">_xlfn.IFS(E497=$AB$42,$AC$42,E497=$AB$43,$AC$43,E497=$AB$44,$AC$44,E497=$AB$45,$AC$45,E497=$AB$46,$AC$46,E497=$AB$47,$AC$47,E497=$AB$48,$AC$48,E497=$AB$49,$AC$49,E497=$AB$50,$AC$50,E497=$AB$51,$AC$51,E497=$AB$52,$AC$52,E497=$AB$53,$AC$53,E497=$AB$54,$AC$54,E497=$AB$55,$AC$55,E497=$AB$56,$AC$56,E497=$AB$57,$AC$57,E497=$AB$58,$AC$58,E497=$AB$59,$AC$59,E497=$AB$60,$AC$60,E497=$AB$61,$AC$61,E497=$AB$62,$AC$62,E497=$AB$63,$AC$63,E497=$AB$64,$AC$64,E497=$AB$65,$AC$65,E497=$AB$66,$AC$66,TRUE,"0")</f>
        <v>#NAME?</v>
      </c>
      <c r="C497" s="161" t="str" cm="1">
        <f t="array" ref="C497">_xlfn.IFS(E497=$AB$42,$AF$42,E497=$AB$43,$AF$43,E497=$AB$44,$AF$44,E497=$AB$45,$AF$45,E497=$AB$46,$AF$46,E497=$AB$47,$AF$47,E497=$AB$48,$AF$48,E497=$AB$49,$AF$49,E497=$AB$50,$AF$50,E497=$AB$51,$AF$51,E497=$AB$52,$AF$52,E497=$AB$53,$AF$53,E497=$AB$54,$AF$54,E497=$AB$55,$AF$55,E497=$AB$56,$AF$56,E497=$AB$57,$AF$57,E497=$AB$58,$AF$58,E497=$AB$59,$AF$59,E497=$AB$60,$AF$60,E497=$AB$61,$AF$61,E497=$AB$62,$AF$62,E497=$AB$63,$AF$63,E497=$AB$64,$AF$64,E497=$AB$65,$AF$65,E497=$AB$66,$AF$66,TRUE,"0")</f>
        <v>10mins if  0-0, BACK over 1.5 goals X after goal OR LET RUN</v>
      </c>
      <c r="D497" s="270" t="str" cm="1">
        <f t="array" ref="D497">_xlfn.IFS(E497=$AB$42,$AD$42,E497=$AB$43,$AD$43,E497=$AB$44,$AD$44,E497=$AB$45,$AD$45,E497=$AB$46,$AD$46,E497=$AB$47,$AD$47,E497=$AB$48,$AD$48,E497=$AB$49,$AD$49,E497=$AB$50,$AD$50,E497=$AB$51,$AD$51,E497=$AB$52,$AD$52,E497=$AB$53,$AD$53,E497=$AB$54,$AD$54,E497=$AB$55,$AD$55,E497=$AB$56,$AD$56,E497=$AB$57,$AD$57,E497=$AB$58,$AD$58,E497=$AB$59,$AD$59,E497=$AB$60,$AD$60,E497=$AB$61,$AD$61,E497=$AB$62,$AD$62,E497=$AB$63,$AD$63,E497=$AB$64,$AD$64,E497=$AB$65,$AD$65,E497=$AB$66,$AD$66,TRUE,"0")</f>
        <v>IP</v>
      </c>
      <c r="E497" s="163" t="s">
        <v>498</v>
      </c>
      <c r="F497" s="2" t="s">
        <v>77</v>
      </c>
      <c r="G497" s="2" t="s">
        <v>156</v>
      </c>
      <c r="H497" s="3">
        <v>45360.604166666664</v>
      </c>
      <c r="I497" s="2" t="s">
        <v>284</v>
      </c>
      <c r="J497" s="2" t="s">
        <v>260</v>
      </c>
      <c r="K497" s="2">
        <v>65</v>
      </c>
      <c r="L497" s="2">
        <v>90</v>
      </c>
      <c r="M497" s="2">
        <v>1.7</v>
      </c>
      <c r="N497" s="2">
        <v>20</v>
      </c>
      <c r="O497" s="2"/>
      <c r="P497" s="2"/>
      <c r="Q497" s="2" t="s">
        <v>95</v>
      </c>
      <c r="R497" s="14" t="s">
        <v>214</v>
      </c>
      <c r="S497" s="10" t="s">
        <v>214</v>
      </c>
      <c r="T497" s="188">
        <f t="shared" si="55"/>
        <v>757.21421770552149</v>
      </c>
      <c r="U497" s="8">
        <f t="shared" si="62"/>
        <v>136.29855918699386</v>
      </c>
      <c r="V497" s="234">
        <f t="shared" si="61"/>
        <v>15280.582913297423</v>
      </c>
      <c r="W497" s="15">
        <v>25</v>
      </c>
      <c r="X497" s="8">
        <f t="shared" si="56"/>
        <v>4.5</v>
      </c>
      <c r="Y497" s="233">
        <f t="shared" si="57"/>
        <v>2230.5</v>
      </c>
    </row>
    <row r="498" spans="1:25">
      <c r="A498" s="156" t="e" cm="1">
        <f t="array" aca="1" ref="A498" ca="1">_xlfn.IFS(E498=$AB$42,$AC$42,E498=$AB$43,$AC$43,E498=$AB$44,$AC$44,E498=$AB$45,$AC$45,E498=$AB$46,$AC$46,E498=$AB$47,$AC$47,E498=$AB$48,$AC$48,E498=$AB$49,$AC$49,E498=$AB$50,$AC$50,E498=$AB$51,$AC$51,E498=$AB$52,$AC$52,E498=$AB$53,$AC$53,E498=$AB$54,$AC$54,E498=$AB$55,$AC$55,E498=$AB$56,$AC$56,E498=$AB$57,$AC$57,E498=$AB$58,$AC$58,E498=$AB$59,$AC$59,E498=$AB$60,$AC$60,E498=$AB$61,$AC$61,E498=$AB$62,$AC$62,E498=$AB$63,$AC$63,E498=$AB$64,$AC$64,E498=$AB$65,$AC$65,E498=$AB$66,$AC$66,TRUE,"0")</f>
        <v>#NAME?</v>
      </c>
      <c r="C498" s="161" t="str" cm="1">
        <f t="array" ref="C498">_xlfn.IFS(E498=$AB$42,$AF$42,E498=$AB$43,$AF$43,E498=$AB$44,$AF$44,E498=$AB$45,$AF$45,E498=$AB$46,$AF$46,E498=$AB$47,$AF$47,E498=$AB$48,$AF$48,E498=$AB$49,$AF$49,E498=$AB$50,$AF$50,E498=$AB$51,$AF$51,E498=$AB$52,$AF$52,E498=$AB$53,$AF$53,E498=$AB$54,$AF$54,E498=$AB$55,$AF$55,E498=$AB$56,$AF$56,E498=$AB$57,$AF$57,E498=$AB$58,$AF$58,E498=$AB$59,$AF$59,E498=$AB$60,$AF$60,E498=$AB$61,$AF$61,E498=$AB$62,$AF$62,E498=$AB$63,$AF$63,E498=$AB$64,$AF$64,E498=$AB$65,$AF$65,E498=$AB$66,$AF$66,TRUE,"0")</f>
        <v>15mins if  0-0, BACK over 1.5 goals X after goal OR LET RUN</v>
      </c>
      <c r="D498" s="270" t="str" cm="1">
        <f t="array" ref="D498">_xlfn.IFS(E498=$AB$42,$AD$42,E498=$AB$43,$AD$43,E498=$AB$44,$AD$44,E498=$AB$45,$AD$45,E498=$AB$46,$AD$46,E498=$AB$47,$AD$47,E498=$AB$48,$AD$48,E498=$AB$49,$AD$49,E498=$AB$50,$AD$50,E498=$AB$51,$AD$51,E498=$AB$52,$AD$52,E498=$AB$53,$AD$53,E498=$AB$54,$AD$54,E498=$AB$55,$AD$55,E498=$AB$56,$AD$56,E498=$AB$57,$AD$57,E498=$AB$58,$AD$58,E498=$AB$59,$AD$59,E498=$AB$60,$AD$60,E498=$AB$61,$AD$61,E498=$AB$62,$AD$62,E498=$AB$63,$AD$63,E498=$AB$64,$AD$64,E498=$AB$65,$AD$65,E498=$AB$66,$AD$66,TRUE,"0")</f>
        <v>IP</v>
      </c>
      <c r="E498" s="163" t="s">
        <v>473</v>
      </c>
      <c r="F498" s="2" t="s">
        <v>89</v>
      </c>
      <c r="G498" s="2" t="s">
        <v>90</v>
      </c>
      <c r="H498" s="3">
        <v>45360.604166666664</v>
      </c>
      <c r="I498" s="2" t="s">
        <v>478</v>
      </c>
      <c r="J498" s="2" t="s">
        <v>483</v>
      </c>
      <c r="K498" s="2">
        <v>65</v>
      </c>
      <c r="L498" s="2">
        <v>85</v>
      </c>
      <c r="M498" s="2">
        <v>20</v>
      </c>
      <c r="N498" s="2">
        <v>3.45</v>
      </c>
      <c r="O498" s="2"/>
      <c r="P498" s="2"/>
      <c r="Q498" s="2" t="s">
        <v>95</v>
      </c>
      <c r="R498" s="14" t="s">
        <v>221</v>
      </c>
      <c r="S498" s="10" t="s">
        <v>220</v>
      </c>
      <c r="T498" s="188">
        <f t="shared" si="55"/>
        <v>764.02914566487118</v>
      </c>
      <c r="U498" s="8">
        <f t="shared" si="62"/>
        <v>137.5252462196768</v>
      </c>
      <c r="V498" s="234">
        <f t="shared" si="61"/>
        <v>15418.1081595171</v>
      </c>
      <c r="W498" s="15">
        <v>25</v>
      </c>
      <c r="X498" s="8">
        <f t="shared" si="56"/>
        <v>4.5</v>
      </c>
      <c r="Y498" s="233">
        <f t="shared" si="57"/>
        <v>2235</v>
      </c>
    </row>
    <row r="499" spans="1:25">
      <c r="A499" s="156" t="e" cm="1">
        <f t="array" aca="1" ref="A499" ca="1">_xlfn.IFS(E499=$AB$42,$AC$42,E499=$AB$43,$AC$43,E499=$AB$44,$AC$44,E499=$AB$45,$AC$45,E499=$AB$46,$AC$46,E499=$AB$47,$AC$47,E499=$AB$48,$AC$48,E499=$AB$49,$AC$49,E499=$AB$50,$AC$50,E499=$AB$51,$AC$51,E499=$AB$52,$AC$52,E499=$AB$53,$AC$53,E499=$AB$54,$AC$54,E499=$AB$55,$AC$55,E499=$AB$56,$AC$56,E499=$AB$57,$AC$57,E499=$AB$58,$AC$58,E499=$AB$59,$AC$59,E499=$AB$60,$AC$60,E499=$AB$61,$AC$61,E499=$AB$62,$AC$62,E499=$AB$63,$AC$63,E499=$AB$64,$AC$64,E499=$AB$65,$AC$65,E499=$AB$66,$AC$66,TRUE,"0")</f>
        <v>#NAME?</v>
      </c>
      <c r="C499" s="161" t="str" cm="1">
        <f t="array" ref="C499">_xlfn.IFS(E499=$AB$42,$AF$42,E499=$AB$43,$AF$43,E499=$AB$44,$AF$44,E499=$AB$45,$AF$45,E499=$AB$46,$AF$46,E499=$AB$47,$AF$47,E499=$AB$48,$AF$48,E499=$AB$49,$AF$49,E499=$AB$50,$AF$50,E499=$AB$51,$AF$51,E499=$AB$52,$AF$52,E499=$AB$53,$AF$53,E499=$AB$54,$AF$54,E499=$AB$55,$AF$55,E499=$AB$56,$AF$56,E499=$AB$57,$AF$57,E499=$AB$58,$AF$58,E499=$AB$59,$AF$59,E499=$AB$60,$AF$60,E499=$AB$61,$AF$61,E499=$AB$62,$AF$62,E499=$AB$63,$AF$63,E499=$AB$64,$AF$64,E499=$AB$65,$AF$65,E499=$AB$66,$AF$66,TRUE,"0")</f>
        <v>20mins if  0-0, BACK over 1.5 goals X after goal OR LET RUN</v>
      </c>
      <c r="D499" s="270" t="str" cm="1">
        <f t="array" ref="D499">_xlfn.IFS(E499=$AB$42,$AD$42,E499=$AB$43,$AD$43,E499=$AB$44,$AD$44,E499=$AB$45,$AD$45,E499=$AB$46,$AD$46,E499=$AB$47,$AD$47,E499=$AB$48,$AD$48,E499=$AB$49,$AD$49,E499=$AB$50,$AD$50,E499=$AB$51,$AD$51,E499=$AB$52,$AD$52,E499=$AB$53,$AD$53,E499=$AB$54,$AD$54,E499=$AB$55,$AD$55,E499=$AB$56,$AD$56,E499=$AB$57,$AD$57,E499=$AB$58,$AD$58,E499=$AB$59,$AD$59,E499=$AB$60,$AD$60,E499=$AB$61,$AD$61,E499=$AB$62,$AD$62,E499=$AB$63,$AD$63,E499=$AB$64,$AD$64,E499=$AB$65,$AD$65,E499=$AB$66,$AD$66,TRUE,"0")</f>
        <v>IP</v>
      </c>
      <c r="E499" s="163" t="s">
        <v>474</v>
      </c>
      <c r="F499" s="2" t="s">
        <v>89</v>
      </c>
      <c r="G499" s="2" t="s">
        <v>90</v>
      </c>
      <c r="H499" s="3">
        <v>45360.604166666664</v>
      </c>
      <c r="I499" s="2" t="s">
        <v>478</v>
      </c>
      <c r="J499" s="2" t="s">
        <v>483</v>
      </c>
      <c r="K499" s="2">
        <v>52</v>
      </c>
      <c r="L499" s="2">
        <v>3.45</v>
      </c>
      <c r="M499" s="2">
        <v>20</v>
      </c>
      <c r="N499" s="2">
        <v>60</v>
      </c>
      <c r="O499" s="2">
        <v>85</v>
      </c>
      <c r="P499" s="2"/>
      <c r="Q499" s="2" t="s">
        <v>95</v>
      </c>
      <c r="R499" s="14" t="s">
        <v>221</v>
      </c>
      <c r="S499" s="10" t="s">
        <v>220</v>
      </c>
      <c r="T499" s="188">
        <f t="shared" si="55"/>
        <v>770.90540797585504</v>
      </c>
      <c r="U499" s="8">
        <f t="shared" si="62"/>
        <v>138.76297343565389</v>
      </c>
      <c r="V499" s="234">
        <f t="shared" si="61"/>
        <v>15556.871132952754</v>
      </c>
      <c r="W499" s="15">
        <v>25</v>
      </c>
      <c r="X499" s="8">
        <f t="shared" si="56"/>
        <v>4.5</v>
      </c>
      <c r="Y499" s="233">
        <f t="shared" si="57"/>
        <v>2239.5</v>
      </c>
    </row>
    <row r="500" spans="1:25">
      <c r="A500" s="156" t="e" cm="1">
        <f t="array" aca="1" ref="A500" ca="1">_xlfn.IFS(E500=$AB$42,$AC$42,E500=$AB$43,$AC$43,E500=$AB$44,$AC$44,E500=$AB$45,$AC$45,E500=$AB$46,$AC$46,E500=$AB$47,$AC$47,E500=$AB$48,$AC$48,E500=$AB$49,$AC$49,E500=$AB$50,$AC$50,E500=$AB$51,$AC$51,E500=$AB$52,$AC$52,E500=$AB$53,$AC$53,E500=$AB$54,$AC$54,E500=$AB$55,$AC$55,E500=$AB$56,$AC$56,E500=$AB$57,$AC$57,E500=$AB$58,$AC$58,E500=$AB$59,$AC$59,E500=$AB$60,$AC$60,E500=$AB$61,$AC$61,E500=$AB$62,$AC$62,E500=$AB$63,$AC$63,E500=$AB$64,$AC$64,E500=$AB$65,$AC$65,E500=$AB$66,$AC$66,TRUE,"0")</f>
        <v>#NAME?</v>
      </c>
      <c r="C500" s="161" t="str" cm="1">
        <f t="array" ref="C500">_xlfn.IFS(E500=$AB$42,$AF$42,E500=$AB$43,$AF$43,E500=$AB$44,$AF$44,E500=$AB$45,$AF$45,E500=$AB$46,$AF$46,E500=$AB$47,$AF$47,E500=$AB$48,$AF$48,E500=$AB$49,$AF$49,E500=$AB$50,$AF$50,E500=$AB$51,$AF$51,E500=$AB$52,$AF$52,E500=$AB$53,$AF$53,E500=$AB$54,$AF$54,E500=$AB$55,$AF$55,E500=$AB$56,$AF$56,E500=$AB$57,$AF$57,E500=$AB$58,$AF$58,E500=$AB$59,$AF$59,E500=$AB$60,$AF$60,E500=$AB$61,$AF$61,E500=$AB$62,$AF$62,E500=$AB$63,$AF$63,E500=$AB$64,$AF$64,E500=$AB$65,$AF$65,E500=$AB$66,$AF$66,TRUE,"0")</f>
        <v>40 mins Back ANother Goal</v>
      </c>
      <c r="D500" s="270" t="str" cm="1">
        <f t="array" ref="D500">_xlfn.IFS(E500=$AB$42,$AD$42,E500=$AB$43,$AD$43,E500=$AB$44,$AD$44,E500=$AB$45,$AD$45,E500=$AB$46,$AD$46,E500=$AB$47,$AD$47,E500=$AB$48,$AD$48,E500=$AB$49,$AD$49,E500=$AB$50,$AD$50,E500=$AB$51,$AD$51,E500=$AB$52,$AD$52,E500=$AB$53,$AD$53,E500=$AB$54,$AD$54,E500=$AB$55,$AD$55,E500=$AB$56,$AD$56,E500=$AB$57,$AD$57,E500=$AB$58,$AD$58,E500=$AB$59,$AD$59,E500=$AB$60,$AD$60,E500=$AB$61,$AD$61,E500=$AB$62,$AD$62,E500=$AB$63,$AD$63,E500=$AB$64,$AD$64,E500=$AB$65,$AD$65,E500=$AB$66,$AD$66,TRUE,"0")</f>
        <v xml:space="preserve">  BANG</v>
      </c>
      <c r="E500" s="163" t="s">
        <v>10</v>
      </c>
      <c r="F500" s="2" t="s">
        <v>13</v>
      </c>
      <c r="G500" s="2" t="s">
        <v>11</v>
      </c>
      <c r="H500" s="3">
        <v>45360.625</v>
      </c>
      <c r="I500" s="2" t="s">
        <v>542</v>
      </c>
      <c r="J500" s="2" t="s">
        <v>139</v>
      </c>
      <c r="K500" s="2">
        <v>2.4</v>
      </c>
      <c r="L500" s="2">
        <v>95</v>
      </c>
      <c r="M500" s="2">
        <v>85</v>
      </c>
      <c r="N500" s="2">
        <v>35</v>
      </c>
      <c r="O500" s="2">
        <v>60</v>
      </c>
      <c r="P500" s="2"/>
      <c r="Q500" s="2" t="s">
        <v>95</v>
      </c>
      <c r="R500" s="14" t="s">
        <v>214</v>
      </c>
      <c r="S500" s="10" t="s">
        <v>207</v>
      </c>
      <c r="T500" s="188">
        <f t="shared" si="55"/>
        <v>777.8435566476378</v>
      </c>
      <c r="U500" s="8">
        <f t="shared" si="62"/>
        <v>140.01184019657481</v>
      </c>
      <c r="V500" s="234">
        <f t="shared" si="61"/>
        <v>15696.88297314933</v>
      </c>
      <c r="W500" s="15">
        <v>25</v>
      </c>
      <c r="X500" s="8">
        <f t="shared" si="56"/>
        <v>4.5</v>
      </c>
      <c r="Y500" s="233">
        <f t="shared" si="57"/>
        <v>2244</v>
      </c>
    </row>
    <row r="501" spans="1:25">
      <c r="A501" s="156" t="e" cm="1">
        <f t="array" aca="1" ref="A501" ca="1">_xlfn.IFS(E501=$AB$42,$AC$42,E501=$AB$43,$AC$43,E501=$AB$44,$AC$44,E501=$AB$45,$AC$45,E501=$AB$46,$AC$46,E501=$AB$47,$AC$47,E501=$AB$48,$AC$48,E501=$AB$49,$AC$49,E501=$AB$50,$AC$50,E501=$AB$51,$AC$51,E501=$AB$52,$AC$52,E501=$AB$53,$AC$53,E501=$AB$54,$AC$54,E501=$AB$55,$AC$55,E501=$AB$56,$AC$56,E501=$AB$57,$AC$57,E501=$AB$58,$AC$58,E501=$AB$59,$AC$59,E501=$AB$60,$AC$60,E501=$AB$61,$AC$61,E501=$AB$62,$AC$62,E501=$AB$63,$AC$63,E501=$AB$64,$AC$64,E501=$AB$65,$AC$65,E501=$AB$66,$AC$66,TRUE,"0")</f>
        <v>#NAME?</v>
      </c>
      <c r="C501" s="161" t="str" cm="1">
        <f t="array" ref="C501">_xlfn.IFS(E501=$AB$42,$AF$42,E501=$AB$43,$AF$43,E501=$AB$44,$AF$44,E501=$AB$45,$AF$45,E501=$AB$46,$AF$46,E501=$AB$47,$AF$47,E501=$AB$48,$AF$48,E501=$AB$49,$AF$49,E501=$AB$50,$AF$50,E501=$AB$51,$AF$51,E501=$AB$52,$AF$52,E501=$AB$53,$AF$53,E501=$AB$54,$AF$54,E501=$AB$55,$AF$55,E501=$AB$56,$AF$56,E501=$AB$57,$AF$57,E501=$AB$58,$AF$58,E501=$AB$59,$AF$59,E501=$AB$60,$AF$60,E501=$AB$61,$AF$61,E501=$AB$62,$AF$62,E501=$AB$63,$AF$63,E501=$AB$64,$AF$64,E501=$AB$65,$AF$65,E501=$AB$66,$AF$66,TRUE,"0")</f>
        <v>40 mins Back ANother Goal</v>
      </c>
      <c r="D501" s="270" t="str" cm="1">
        <f t="array" ref="D501">_xlfn.IFS(E501=$AB$42,$AD$42,E501=$AB$43,$AD$43,E501=$AB$44,$AD$44,E501=$AB$45,$AD$45,E501=$AB$46,$AD$46,E501=$AB$47,$AD$47,E501=$AB$48,$AD$48,E501=$AB$49,$AD$49,E501=$AB$50,$AD$50,E501=$AB$51,$AD$51,E501=$AB$52,$AD$52,E501=$AB$53,$AD$53,E501=$AB$54,$AD$54,E501=$AB$55,$AD$55,E501=$AB$56,$AD$56,E501=$AB$57,$AD$57,E501=$AB$58,$AD$58,E501=$AB$59,$AD$59,E501=$AB$60,$AD$60,E501=$AB$61,$AD$61,E501=$AB$62,$AD$62,E501=$AB$63,$AD$63,E501=$AB$64,$AD$64,E501=$AB$65,$AD$65,E501=$AB$66,$AD$66,TRUE,"0")</f>
        <v xml:space="preserve">  BANG</v>
      </c>
      <c r="E501" s="163" t="s">
        <v>522</v>
      </c>
      <c r="F501" s="2" t="s">
        <v>13</v>
      </c>
      <c r="G501" s="2" t="s">
        <v>11</v>
      </c>
      <c r="H501" s="3">
        <v>45360.625</v>
      </c>
      <c r="I501" s="2" t="s">
        <v>542</v>
      </c>
      <c r="J501" s="2" t="s">
        <v>139</v>
      </c>
      <c r="K501" s="2">
        <v>70</v>
      </c>
      <c r="L501" s="2">
        <v>20</v>
      </c>
      <c r="M501" s="2">
        <v>95</v>
      </c>
      <c r="N501" s="2">
        <v>85</v>
      </c>
      <c r="O501" s="2">
        <v>2.4</v>
      </c>
      <c r="P501" s="2"/>
      <c r="Q501" s="2" t="s">
        <v>95</v>
      </c>
      <c r="R501" s="14" t="s">
        <v>214</v>
      </c>
      <c r="S501" s="10" t="s">
        <v>207</v>
      </c>
      <c r="T501" s="188">
        <f t="shared" si="55"/>
        <v>784.84414865746658</v>
      </c>
      <c r="U501" s="8">
        <f t="shared" si="62"/>
        <v>141.27194675834397</v>
      </c>
      <c r="V501" s="234">
        <f t="shared" si="61"/>
        <v>15838.154919907674</v>
      </c>
      <c r="W501" s="15">
        <v>25</v>
      </c>
      <c r="X501" s="8">
        <f t="shared" si="56"/>
        <v>4.5</v>
      </c>
      <c r="Y501" s="233">
        <f t="shared" si="57"/>
        <v>2248.5</v>
      </c>
    </row>
    <row r="502" spans="1:25">
      <c r="A502" s="156" t="e" cm="1">
        <f t="array" aca="1" ref="A502" ca="1">_xlfn.IFS(E502=$AB$42,$AC$42,E502=$AB$43,$AC$43,E502=$AB$44,$AC$44,E502=$AB$45,$AC$45,E502=$AB$46,$AC$46,E502=$AB$47,$AC$47,E502=$AB$48,$AC$48,E502=$AB$49,$AC$49,E502=$AB$50,$AC$50,E502=$AB$51,$AC$51,E502=$AB$52,$AC$52,E502=$AB$53,$AC$53,E502=$AB$54,$AC$54,E502=$AB$55,$AC$55,E502=$AB$56,$AC$56,E502=$AB$57,$AC$57,E502=$AB$58,$AC$58,E502=$AB$59,$AC$59,E502=$AB$60,$AC$60,E502=$AB$61,$AC$61,E502=$AB$62,$AC$62,E502=$AB$63,$AC$63,E502=$AB$64,$AC$64,E502=$AB$65,$AC$65,E502=$AB$66,$AC$66,TRUE,"0")</f>
        <v>#NAME?</v>
      </c>
      <c r="C502" s="161" t="str" cm="1">
        <f t="array" ref="C502">_xlfn.IFS(E502=$AB$42,$AF$42,E502=$AB$43,$AF$43,E502=$AB$44,$AF$44,E502=$AB$45,$AF$45,E502=$AB$46,$AF$46,E502=$AB$47,$AF$47,E502=$AB$48,$AF$48,E502=$AB$49,$AF$49,E502=$AB$50,$AF$50,E502=$AB$51,$AF$51,E502=$AB$52,$AF$52,E502=$AB$53,$AF$53,E502=$AB$54,$AF$54,E502=$AB$55,$AF$55,E502=$AB$56,$AF$56,E502=$AB$57,$AF$57,E502=$AB$58,$AF$58,E502=$AB$59,$AF$59,E502=$AB$60,$AF$60,E502=$AB$61,$AF$61,E502=$AB$62,$AF$62,E502=$AB$63,$AF$63,E502=$AB$64,$AF$64,E502=$AB$65,$AF$65,E502=$AB$66,$AF$66,TRUE,"0")</f>
        <v>40 mins Back ANother Goal</v>
      </c>
      <c r="D502" s="270" t="str" cm="1">
        <f t="array" ref="D502">_xlfn.IFS(E502=$AB$42,$AD$42,E502=$AB$43,$AD$43,E502=$AB$44,$AD$44,E502=$AB$45,$AD$45,E502=$AB$46,$AD$46,E502=$AB$47,$AD$47,E502=$AB$48,$AD$48,E502=$AB$49,$AD$49,E502=$AB$50,$AD$50,E502=$AB$51,$AD$51,E502=$AB$52,$AD$52,E502=$AB$53,$AD$53,E502=$AB$54,$AD$54,E502=$AB$55,$AD$55,E502=$AB$56,$AD$56,E502=$AB$57,$AD$57,E502=$AB$58,$AD$58,E502=$AB$59,$AD$59,E502=$AB$60,$AD$60,E502=$AB$61,$AD$61,E502=$AB$62,$AD$62,E502=$AB$63,$AD$63,E502=$AB$64,$AD$64,E502=$AB$65,$AD$65,E502=$AB$66,$AD$66,TRUE,"0")</f>
        <v xml:space="preserve">  BANG</v>
      </c>
      <c r="E502" s="163" t="s">
        <v>515</v>
      </c>
      <c r="F502" s="2" t="s">
        <v>13</v>
      </c>
      <c r="G502" s="2" t="s">
        <v>11</v>
      </c>
      <c r="H502" s="3">
        <v>45360.625</v>
      </c>
      <c r="I502" s="2" t="s">
        <v>542</v>
      </c>
      <c r="J502" s="2" t="s">
        <v>139</v>
      </c>
      <c r="K502" s="2">
        <v>20</v>
      </c>
      <c r="L502" s="2">
        <v>70</v>
      </c>
      <c r="M502" s="2">
        <v>2.4</v>
      </c>
      <c r="N502" s="2"/>
      <c r="O502" s="2"/>
      <c r="P502" s="2"/>
      <c r="Q502" s="2" t="s">
        <v>95</v>
      </c>
      <c r="R502" s="14" t="s">
        <v>214</v>
      </c>
      <c r="S502" s="10" t="s">
        <v>207</v>
      </c>
      <c r="T502" s="188">
        <f t="shared" si="55"/>
        <v>791.90774599538372</v>
      </c>
      <c r="U502" s="8">
        <f t="shared" si="62"/>
        <v>142.54339427916906</v>
      </c>
      <c r="V502" s="234">
        <f t="shared" si="61"/>
        <v>15980.698314186844</v>
      </c>
      <c r="W502" s="15">
        <v>25</v>
      </c>
      <c r="X502" s="8">
        <f t="shared" si="56"/>
        <v>4.5</v>
      </c>
      <c r="Y502" s="233">
        <f t="shared" si="57"/>
        <v>2253</v>
      </c>
    </row>
    <row r="503" spans="1:25">
      <c r="A503" s="156" t="e" cm="1">
        <f t="array" aca="1" ref="A503" ca="1">_xlfn.IFS(E503=$AB$42,$AC$42,E503=$AB$43,$AC$43,E503=$AB$44,$AC$44,E503=$AB$45,$AC$45,E503=$AB$46,$AC$46,E503=$AB$47,$AC$47,E503=$AB$48,$AC$48,E503=$AB$49,$AC$49,E503=$AB$50,$AC$50,E503=$AB$51,$AC$51,E503=$AB$52,$AC$52,E503=$AB$53,$AC$53,E503=$AB$54,$AC$54,E503=$AB$55,$AC$55,E503=$AB$56,$AC$56,E503=$AB$57,$AC$57,E503=$AB$58,$AC$58,E503=$AB$59,$AC$59,E503=$AB$60,$AC$60,E503=$AB$61,$AC$61,E503=$AB$62,$AC$62,E503=$AB$63,$AC$63,E503=$AB$64,$AC$64,E503=$AB$65,$AC$65,E503=$AB$66,$AC$66,TRUE,"0")</f>
        <v>#NAME?</v>
      </c>
      <c r="C503" s="161" t="str" cm="1">
        <f t="array" ref="C503">_xlfn.IFS(E503=$AB$42,$AF$42,E503=$AB$43,$AF$43,E503=$AB$44,$AF$44,E503=$AB$45,$AF$45,E503=$AB$46,$AF$46,E503=$AB$47,$AF$47,E503=$AB$48,$AF$48,E503=$AB$49,$AF$49,E503=$AB$50,$AF$50,E503=$AB$51,$AF$51,E503=$AB$52,$AF$52,E503=$AB$53,$AF$53,E503=$AB$54,$AF$54,E503=$AB$55,$AF$55,E503=$AB$56,$AF$56,E503=$AB$57,$AF$57,E503=$AB$58,$AF$58,E503=$AB$59,$AF$59,E503=$AB$60,$AF$60,E503=$AB$61,$AF$61,E503=$AB$62,$AF$62,E503=$AB$63,$AF$63,E503=$AB$64,$AF$64,E503=$AB$65,$AF$65,E503=$AB$66,$AF$66,TRUE,"0")</f>
        <v>B4 match BACK FT +1.5 goals. X AFTER  GOAL</v>
      </c>
      <c r="D503" s="270" t="str" cm="1">
        <f t="array" ref="D503">_xlfn.IFS(E503=$AB$42,$AD$42,E503=$AB$43,$AD$43,E503=$AB$44,$AD$44,E503=$AB$45,$AD$45,E503=$AB$46,$AD$46,E503=$AB$47,$AD$47,E503=$AB$48,$AD$48,E503=$AB$49,$AD$49,E503=$AB$50,$AD$50,E503=$AB$51,$AD$51,E503=$AB$52,$AD$52,E503=$AB$53,$AD$53,E503=$AB$54,$AD$54,E503=$AB$55,$AD$55,E503=$AB$56,$AD$56,E503=$AB$57,$AD$57,E503=$AB$58,$AD$58,E503=$AB$59,$AD$59,E503=$AB$60,$AD$60,E503=$AB$61,$AD$61,E503=$AB$62,$AD$62,E503=$AB$63,$AD$63,E503=$AB$64,$AD$64,E503=$AB$65,$AD$65,E503=$AB$66,$AD$66,TRUE,"0")</f>
        <v xml:space="preserve">BFM </v>
      </c>
      <c r="E503" s="163" t="s">
        <v>512</v>
      </c>
      <c r="F503" s="2" t="s">
        <v>6</v>
      </c>
      <c r="G503" s="2" t="s">
        <v>62</v>
      </c>
      <c r="H503" s="3">
        <v>45360.625</v>
      </c>
      <c r="I503" s="2" t="s">
        <v>117</v>
      </c>
      <c r="J503" s="2" t="s">
        <v>85</v>
      </c>
      <c r="K503" s="2">
        <v>4.9000000000000004</v>
      </c>
      <c r="L503" s="2">
        <v>20</v>
      </c>
      <c r="M503" s="2">
        <v>3</v>
      </c>
      <c r="N503" s="2">
        <v>27</v>
      </c>
      <c r="O503" s="2">
        <v>2</v>
      </c>
      <c r="P503" s="2"/>
      <c r="Q503" s="2" t="s">
        <v>95</v>
      </c>
      <c r="R503" s="14" t="s">
        <v>193</v>
      </c>
      <c r="S503" s="10" t="s">
        <v>210</v>
      </c>
      <c r="T503" s="188">
        <f t="shared" si="55"/>
        <v>799.03491570934227</v>
      </c>
      <c r="U503" s="8">
        <f t="shared" si="62"/>
        <v>143.8262848276816</v>
      </c>
      <c r="V503" s="234">
        <f>SUM(V502,U503)</f>
        <v>16124.524599014525</v>
      </c>
      <c r="W503" s="15">
        <v>25</v>
      </c>
      <c r="X503" s="8">
        <f t="shared" si="56"/>
        <v>4.5</v>
      </c>
      <c r="Y503" s="233">
        <f t="shared" si="57"/>
        <v>2257.5</v>
      </c>
    </row>
    <row r="504" spans="1:25">
      <c r="A504" s="156" t="e" cm="1">
        <f t="array" aca="1" ref="A504" ca="1">_xlfn.IFS(E504=$AB$42,$AC$42,E504=$AB$43,$AC$43,E504=$AB$44,$AC$44,E504=$AB$45,$AC$45,E504=$AB$46,$AC$46,E504=$AB$47,$AC$47,E504=$AB$48,$AC$48,E504=$AB$49,$AC$49,E504=$AB$50,$AC$50,E504=$AB$51,$AC$51,E504=$AB$52,$AC$52,E504=$AB$53,$AC$53,E504=$AB$54,$AC$54,E504=$AB$55,$AC$55,E504=$AB$56,$AC$56,E504=$AB$57,$AC$57,E504=$AB$58,$AC$58,E504=$AB$59,$AC$59,E504=$AB$60,$AC$60,E504=$AB$61,$AC$61,E504=$AB$62,$AC$62,E504=$AB$63,$AC$63,E504=$AB$64,$AC$64,E504=$AB$65,$AC$65,E504=$AB$66,$AC$66,TRUE,"0")</f>
        <v>#NAME?</v>
      </c>
      <c r="C504" s="161" t="str" cm="1">
        <f t="array" ref="C504">_xlfn.IFS(E504=$AB$42,$AF$42,E504=$AB$43,$AF$43,E504=$AB$44,$AF$44,E504=$AB$45,$AF$45,E504=$AB$46,$AF$46,E504=$AB$47,$AF$47,E504=$AB$48,$AF$48,E504=$AB$49,$AF$49,E504=$AB$50,$AF$50,E504=$AB$51,$AF$51,E504=$AB$52,$AF$52,E504=$AB$53,$AF$53,E504=$AB$54,$AF$54,E504=$AB$55,$AF$55,E504=$AB$56,$AF$56,E504=$AB$57,$AF$57,E504=$AB$58,$AF$58,E504=$AB$59,$AF$59,E504=$AB$60,$AF$60,E504=$AB$61,$AF$61,E504=$AB$62,$AF$62,E504=$AB$63,$AF$63,E504=$AB$64,$AF$64,E504=$AB$65,$AF$65,E504=$AB$66,$AF$66,TRUE,"0")</f>
        <v>if 0-0, BACK+ 0.5 GOALS  @ 1.15+odds.  or @ 40 mins</v>
      </c>
      <c r="D504" s="270" t="str" cm="1">
        <f t="array" ref="D504">_xlfn.IFS(E504=$AB$42,$AD$42,E504=$AB$43,$AD$43,E504=$AB$44,$AD$44,E504=$AB$45,$AD$45,E504=$AB$46,$AD$46,E504=$AB$47,$AD$47,E504=$AB$48,$AD$48,E504=$AB$49,$AD$49,E504=$AB$50,$AD$50,E504=$AB$51,$AD$51,E504=$AB$52,$AD$52,E504=$AB$53,$AD$53,E504=$AB$54,$AD$54,E504=$AB$55,$AD$55,E504=$AB$56,$AD$56,E504=$AB$57,$AD$57,E504=$AB$58,$AD$58,E504=$AB$59,$AD$59,E504=$AB$60,$AD$60,E504=$AB$61,$AD$61,E504=$AB$62,$AD$62,E504=$AB$63,$AD$63,E504=$AB$64,$AD$64,E504=$AB$65,$AD$65,E504=$AB$66,$AD$66,TRUE,"0")</f>
        <v>IP</v>
      </c>
      <c r="E504" s="163" t="s">
        <v>270</v>
      </c>
      <c r="F504" s="2" t="s">
        <v>6</v>
      </c>
      <c r="G504" s="2" t="s">
        <v>62</v>
      </c>
      <c r="H504" s="3">
        <v>45360.625</v>
      </c>
      <c r="I504" s="2" t="s">
        <v>117</v>
      </c>
      <c r="J504" s="2" t="s">
        <v>85</v>
      </c>
      <c r="K504" s="2">
        <v>60</v>
      </c>
      <c r="L504" s="2">
        <v>0</v>
      </c>
      <c r="M504" s="2">
        <v>20</v>
      </c>
      <c r="N504" s="2">
        <v>27</v>
      </c>
      <c r="O504" s="2">
        <v>2.27</v>
      </c>
      <c r="P504" s="2"/>
      <c r="Q504" s="2" t="s">
        <v>95</v>
      </c>
      <c r="R504" s="14" t="s">
        <v>193</v>
      </c>
      <c r="S504" s="10" t="s">
        <v>210</v>
      </c>
      <c r="T504" s="188">
        <f t="shared" si="55"/>
        <v>806.22622995072629</v>
      </c>
      <c r="U504" s="8">
        <f t="shared" si="62"/>
        <v>145.12072139113073</v>
      </c>
      <c r="V504" s="234">
        <f>SUM(V503,U504)</f>
        <v>16269.645320405656</v>
      </c>
      <c r="W504" s="15">
        <v>25</v>
      </c>
      <c r="X504" s="8">
        <f t="shared" si="56"/>
        <v>4.5</v>
      </c>
      <c r="Y504" s="233">
        <f t="shared" si="57"/>
        <v>2262</v>
      </c>
    </row>
    <row r="505" spans="1:25">
      <c r="A505" s="156" t="e" cm="1">
        <f t="array" aca="1" ref="A505" ca="1">_xlfn.IFS(E505=$AB$42,$AC$42,E505=$AB$43,$AC$43,E505=$AB$44,$AC$44,E505=$AB$45,$AC$45,E505=$AB$46,$AC$46,E505=$AB$47,$AC$47,E505=$AB$48,$AC$48,E505=$AB$49,$AC$49,E505=$AB$50,$AC$50,E505=$AB$51,$AC$51,E505=$AB$52,$AC$52,E505=$AB$53,$AC$53,E505=$AB$54,$AC$54,E505=$AB$55,$AC$55,E505=$AB$56,$AC$56,E505=$AB$57,$AC$57,E505=$AB$58,$AC$58,E505=$AB$59,$AC$59,E505=$AB$60,$AC$60,E505=$AB$61,$AC$61,E505=$AB$62,$AC$62,E505=$AB$63,$AC$63,E505=$AB$64,$AC$64,E505=$AB$65,$AC$65,E505=$AB$66,$AC$66,TRUE,"0")</f>
        <v>#NAME?</v>
      </c>
      <c r="C505" s="161" t="str" cm="1">
        <f t="array" ref="C505">_xlfn.IFS(E505=$AB$42,$AF$42,E505=$AB$43,$AF$43,E505=$AB$44,$AF$44,E505=$AB$45,$AF$45,E505=$AB$46,$AF$46,E505=$AB$47,$AF$47,E505=$AB$48,$AF$48,E505=$AB$49,$AF$49,E505=$AB$50,$AF$50,E505=$AB$51,$AF$51,E505=$AB$52,$AF$52,E505=$AB$53,$AF$53,E505=$AB$54,$AF$54,E505=$AB$55,$AF$55,E505=$AB$56,$AF$56,E505=$AB$57,$AF$57,E505=$AB$58,$AF$58,E505=$AB$59,$AF$59,E505=$AB$60,$AF$60,E505=$AB$61,$AF$61,E505=$AB$62,$AF$62,E505=$AB$63,$AF$63,E505=$AB$64,$AF$64,E505=$AB$65,$AF$65,E505=$AB$66,$AF$66,TRUE,"0")</f>
        <v>B4 match BACK FT +1.5 goals. X AFTER  GOAL</v>
      </c>
      <c r="D505" s="270" t="str" cm="1">
        <f t="array" ref="D505">_xlfn.IFS(E505=$AB$42,$AD$42,E505=$AB$43,$AD$43,E505=$AB$44,$AD$44,E505=$AB$45,$AD$45,E505=$AB$46,$AD$46,E505=$AB$47,$AD$47,E505=$AB$48,$AD$48,E505=$AB$49,$AD$49,E505=$AB$50,$AD$50,E505=$AB$51,$AD$51,E505=$AB$52,$AD$52,E505=$AB$53,$AD$53,E505=$AB$54,$AD$54,E505=$AB$55,$AD$55,E505=$AB$56,$AD$56,E505=$AB$57,$AD$57,E505=$AB$58,$AD$58,E505=$AB$59,$AD$59,E505=$AB$60,$AD$60,E505=$AB$61,$AD$61,E505=$AB$62,$AD$62,E505=$AB$63,$AD$63,E505=$AB$64,$AD$64,E505=$AB$65,$AD$65,E505=$AB$66,$AD$66,TRUE,"0")</f>
        <v xml:space="preserve">BFM </v>
      </c>
      <c r="E505" s="163" t="s">
        <v>531</v>
      </c>
      <c r="F505" s="2" t="s">
        <v>6</v>
      </c>
      <c r="G505" s="2" t="s">
        <v>11</v>
      </c>
      <c r="H505" s="3">
        <v>45360.625</v>
      </c>
      <c r="I505" s="2" t="s">
        <v>232</v>
      </c>
      <c r="J505" s="2" t="s">
        <v>12</v>
      </c>
      <c r="K505" s="2">
        <v>6</v>
      </c>
      <c r="L505" s="2">
        <v>35</v>
      </c>
      <c r="M505" s="2">
        <v>2.4300000000000002</v>
      </c>
      <c r="N505" s="2">
        <v>33</v>
      </c>
      <c r="O505" s="2">
        <v>2</v>
      </c>
      <c r="P505" s="2"/>
      <c r="Q505" s="2" t="s">
        <v>95</v>
      </c>
      <c r="R505" s="14" t="s">
        <v>221</v>
      </c>
      <c r="S505" s="10" t="s">
        <v>211</v>
      </c>
      <c r="T505" s="188">
        <f t="shared" si="55"/>
        <v>813.48226602028285</v>
      </c>
      <c r="U505" s="8">
        <f t="shared" si="62"/>
        <v>146.42680788365089</v>
      </c>
      <c r="V505" s="234">
        <f t="shared" ref="V505:V526" si="63">SUM(V504,U505)</f>
        <v>16416.072128289306</v>
      </c>
      <c r="W505" s="15">
        <v>25</v>
      </c>
      <c r="X505" s="8">
        <f t="shared" si="56"/>
        <v>4.5</v>
      </c>
      <c r="Y505" s="233">
        <f t="shared" si="57"/>
        <v>2266.5</v>
      </c>
    </row>
    <row r="506" spans="1:25">
      <c r="A506" s="156" t="e" cm="1">
        <f t="array" aca="1" ref="A506" ca="1">_xlfn.IFS(E506=$AB$42,$AC$42,E506=$AB$43,$AC$43,E506=$AB$44,$AC$44,E506=$AB$45,$AC$45,E506=$AB$46,$AC$46,E506=$AB$47,$AC$47,E506=$AB$48,$AC$48,E506=$AB$49,$AC$49,E506=$AB$50,$AC$50,E506=$AB$51,$AC$51,E506=$AB$52,$AC$52,E506=$AB$53,$AC$53,E506=$AB$54,$AC$54,E506=$AB$55,$AC$55,E506=$AB$56,$AC$56,E506=$AB$57,$AC$57,E506=$AB$58,$AC$58,E506=$AB$59,$AC$59,E506=$AB$60,$AC$60,E506=$AB$61,$AC$61,E506=$AB$62,$AC$62,E506=$AB$63,$AC$63,E506=$AB$64,$AC$64,E506=$AB$65,$AC$65,E506=$AB$66,$AC$66,TRUE,"0")</f>
        <v>#NAME?</v>
      </c>
      <c r="C506" s="161" t="str" cm="1">
        <f t="array" ref="C506">_xlfn.IFS(E506=$AB$42,$AF$42,E506=$AB$43,$AF$43,E506=$AB$44,$AF$44,E506=$AB$45,$AF$45,E506=$AB$46,$AF$46,E506=$AB$47,$AF$47,E506=$AB$48,$AF$48,E506=$AB$49,$AF$49,E506=$AB$50,$AF$50,E506=$AB$51,$AF$51,E506=$AB$52,$AF$52,E506=$AB$53,$AF$53,E506=$AB$54,$AF$54,E506=$AB$55,$AF$55,E506=$AB$56,$AF$56,E506=$AB$57,$AF$57,E506=$AB$58,$AF$58,E506=$AB$59,$AF$59,E506=$AB$60,$AF$60,E506=$AB$61,$AF$61,E506=$AB$62,$AF$62,E506=$AB$63,$AF$63,E506=$AB$64,$AF$64,E506=$AB$65,$AF$65,E506=$AB$66,$AF$66,TRUE,"0")</f>
        <v>AT HT IF 0-0 BACK +0.5 GOALS</v>
      </c>
      <c r="D506" s="270" t="str" cm="1">
        <f t="array" ref="D506">_xlfn.IFS(E506=$AB$42,$AD$42,E506=$AB$43,$AD$43,E506=$AB$44,$AD$44,E506=$AB$45,$AD$45,E506=$AB$46,$AD$46,E506=$AB$47,$AD$47,E506=$AB$48,$AD$48,E506=$AB$49,$AD$49,E506=$AB$50,$AD$50,E506=$AB$51,$AD$51,E506=$AB$52,$AD$52,E506=$AB$53,$AD$53,E506=$AB$54,$AD$54,E506=$AB$55,$AD$55,E506=$AB$56,$AD$56,E506=$AB$57,$AD$57,E506=$AB$58,$AD$58,E506=$AB$59,$AD$59,E506=$AB$60,$AD$60,E506=$AB$61,$AD$61,E506=$AB$62,$AD$62,E506=$AB$63,$AD$63,E506=$AB$64,$AD$64,E506=$AB$65,$AD$65,E506=$AB$66,$AD$66,TRUE,"0")</f>
        <v>IP</v>
      </c>
      <c r="E506" s="163" t="s">
        <v>514</v>
      </c>
      <c r="F506" s="2" t="s">
        <v>6</v>
      </c>
      <c r="G506" s="2" t="s">
        <v>11</v>
      </c>
      <c r="H506" s="3">
        <v>45360.625</v>
      </c>
      <c r="I506" s="2" t="s">
        <v>232</v>
      </c>
      <c r="J506" s="2" t="s">
        <v>12</v>
      </c>
      <c r="K506" s="2">
        <v>0</v>
      </c>
      <c r="L506" s="2">
        <v>6</v>
      </c>
      <c r="M506" s="2">
        <v>350</v>
      </c>
      <c r="N506" s="2">
        <v>20</v>
      </c>
      <c r="O506" s="2">
        <v>5</v>
      </c>
      <c r="P506" s="2"/>
      <c r="Q506" s="2" t="s">
        <v>95</v>
      </c>
      <c r="R506" s="14" t="s">
        <v>221</v>
      </c>
      <c r="S506" s="10" t="s">
        <v>211</v>
      </c>
      <c r="T506" s="188">
        <f t="shared" si="55"/>
        <v>820.80360641446532</v>
      </c>
      <c r="U506" s="8">
        <f t="shared" si="62"/>
        <v>147.74464915460376</v>
      </c>
      <c r="V506" s="234">
        <f t="shared" si="63"/>
        <v>16563.81677744391</v>
      </c>
      <c r="W506" s="15">
        <v>25</v>
      </c>
      <c r="X506" s="8">
        <f t="shared" si="56"/>
        <v>4.5</v>
      </c>
      <c r="Y506" s="233">
        <f t="shared" si="57"/>
        <v>2271</v>
      </c>
    </row>
    <row r="507" spans="1:25">
      <c r="A507" s="156" t="e" cm="1">
        <f t="array" aca="1" ref="A507" ca="1">_xlfn.IFS(E507=$AB$42,$AC$42,E507=$AB$43,$AC$43,E507=$AB$44,$AC$44,E507=$AB$45,$AC$45,E507=$AB$46,$AC$46,E507=$AB$47,$AC$47,E507=$AB$48,$AC$48,E507=$AB$49,$AC$49,E507=$AB$50,$AC$50,E507=$AB$51,$AC$51,E507=$AB$52,$AC$52,E507=$AB$53,$AC$53,E507=$AB$54,$AC$54,E507=$AB$55,$AC$55,E507=$AB$56,$AC$56,E507=$AB$57,$AC$57,E507=$AB$58,$AC$58,E507=$AB$59,$AC$59,E507=$AB$60,$AC$60,E507=$AB$61,$AC$61,E507=$AB$62,$AC$62,E507=$AB$63,$AC$63,E507=$AB$64,$AC$64,E507=$AB$65,$AC$65,E507=$AB$66,$AC$66,TRUE,"0")</f>
        <v>#NAME?</v>
      </c>
      <c r="C507" s="161" t="str" cm="1">
        <f t="array" ref="C507">_xlfn.IFS(E507=$AB$42,$AF$42,E507=$AB$43,$AF$43,E507=$AB$44,$AF$44,E507=$AB$45,$AF$45,E507=$AB$46,$AF$46,E507=$AB$47,$AF$47,E507=$AB$48,$AF$48,E507=$AB$49,$AF$49,E507=$AB$50,$AF$50,E507=$AB$51,$AF$51,E507=$AB$52,$AF$52,E507=$AB$53,$AF$53,E507=$AB$54,$AF$54,E507=$AB$55,$AF$55,E507=$AB$56,$AF$56,E507=$AB$57,$AF$57,E507=$AB$58,$AF$58,E507=$AB$59,$AF$59,E507=$AB$60,$AF$60,E507=$AB$61,$AF$61,E507=$AB$62,$AF$62,E507=$AB$63,$AF$63,E507=$AB$64,$AF$64,E507=$AB$65,$AF$65,E507=$AB$66,$AF$66,TRUE,"0")</f>
        <v>20mins if  0-0, BACK over 1.5 goals X after goal OR LET RUN</v>
      </c>
      <c r="D507" s="270" t="str" cm="1">
        <f t="array" ref="D507">_xlfn.IFS(E507=$AB$42,$AD$42,E507=$AB$43,$AD$43,E507=$AB$44,$AD$44,E507=$AB$45,$AD$45,E507=$AB$46,$AD$46,E507=$AB$47,$AD$47,E507=$AB$48,$AD$48,E507=$AB$49,$AD$49,E507=$AB$50,$AD$50,E507=$AB$51,$AD$51,E507=$AB$52,$AD$52,E507=$AB$53,$AD$53,E507=$AB$54,$AD$54,E507=$AB$55,$AD$55,E507=$AB$56,$AD$56,E507=$AB$57,$AD$57,E507=$AB$58,$AD$58,E507=$AB$59,$AD$59,E507=$AB$60,$AD$60,E507=$AB$61,$AD$61,E507=$AB$62,$AD$62,E507=$AB$63,$AD$63,E507=$AB$64,$AD$64,E507=$AB$65,$AD$65,E507=$AB$66,$AD$66,TRUE,"0")</f>
        <v>IP</v>
      </c>
      <c r="E507" s="163" t="s">
        <v>474</v>
      </c>
      <c r="F507" s="2" t="s">
        <v>13</v>
      </c>
      <c r="G507" s="2" t="s">
        <v>11</v>
      </c>
      <c r="H507" s="3">
        <v>45360.625</v>
      </c>
      <c r="I507" s="2" t="s">
        <v>543</v>
      </c>
      <c r="J507" s="2" t="s">
        <v>400</v>
      </c>
      <c r="K507" s="2">
        <v>51</v>
      </c>
      <c r="L507" s="2">
        <v>3.7</v>
      </c>
      <c r="M507" s="2">
        <v>20</v>
      </c>
      <c r="N507" s="2">
        <v>70</v>
      </c>
      <c r="O507" s="2">
        <v>100</v>
      </c>
      <c r="P507" s="2"/>
      <c r="Q507" s="2" t="s">
        <v>95</v>
      </c>
      <c r="R507" s="14" t="s">
        <v>214</v>
      </c>
      <c r="S507" s="10" t="s">
        <v>214</v>
      </c>
      <c r="T507" s="188">
        <f t="shared" si="55"/>
        <v>828.19083887219551</v>
      </c>
      <c r="U507" s="8">
        <f t="shared" si="62"/>
        <v>149.07435099699518</v>
      </c>
      <c r="V507" s="234">
        <f t="shared" si="63"/>
        <v>16712.891128440904</v>
      </c>
      <c r="W507" s="15">
        <v>25</v>
      </c>
      <c r="X507" s="8">
        <f t="shared" si="56"/>
        <v>4.5</v>
      </c>
      <c r="Y507" s="233">
        <f t="shared" si="57"/>
        <v>2275.5</v>
      </c>
    </row>
    <row r="508" spans="1:25">
      <c r="A508" s="156" t="e" cm="1">
        <f t="array" aca="1" ref="A508" ca="1">_xlfn.IFS(E508=$AB$42,$AC$42,E508=$AB$43,$AC$43,E508=$AB$44,$AC$44,E508=$AB$45,$AC$45,E508=$AB$46,$AC$46,E508=$AB$47,$AC$47,E508=$AB$48,$AC$48,E508=$AB$49,$AC$49,E508=$AB$50,$AC$50,E508=$AB$51,$AC$51,E508=$AB$52,$AC$52,E508=$AB$53,$AC$53,E508=$AB$54,$AC$54,E508=$AB$55,$AC$55,E508=$AB$56,$AC$56,E508=$AB$57,$AC$57,E508=$AB$58,$AC$58,E508=$AB$59,$AC$59,E508=$AB$60,$AC$60,E508=$AB$61,$AC$61,E508=$AB$62,$AC$62,E508=$AB$63,$AC$63,E508=$AB$64,$AC$64,E508=$AB$65,$AC$65,E508=$AB$66,$AC$66,TRUE,"0")</f>
        <v>#NAME?</v>
      </c>
      <c r="C508" s="161" t="str" cm="1">
        <f t="array" ref="C508">_xlfn.IFS(E508=$AB$42,$AF$42,E508=$AB$43,$AF$43,E508=$AB$44,$AF$44,E508=$AB$45,$AF$45,E508=$AB$46,$AF$46,E508=$AB$47,$AF$47,E508=$AB$48,$AF$48,E508=$AB$49,$AF$49,E508=$AB$50,$AF$50,E508=$AB$51,$AF$51,E508=$AB$52,$AF$52,E508=$AB$53,$AF$53,E508=$AB$54,$AF$54,E508=$AB$55,$AF$55,E508=$AB$56,$AF$56,E508=$AB$57,$AF$57,E508=$AB$58,$AF$58,E508=$AB$59,$AF$59,E508=$AB$60,$AF$60,E508=$AB$61,$AF$61,E508=$AB$62,$AF$62,E508=$AB$63,$AF$63,E508=$AB$64,$AF$64,E508=$AB$65,$AF$65,E508=$AB$66,$AF$66,TRUE,"0")</f>
        <v>if 0-0, BACK+ 0.5 GOALS  @ 1.15+odds.  or @ 40 mins</v>
      </c>
      <c r="D508" s="270" t="str" cm="1">
        <f t="array" ref="D508">_xlfn.IFS(E508=$AB$42,$AD$42,E508=$AB$43,$AD$43,E508=$AB$44,$AD$44,E508=$AB$45,$AD$45,E508=$AB$46,$AD$46,E508=$AB$47,$AD$47,E508=$AB$48,$AD$48,E508=$AB$49,$AD$49,E508=$AB$50,$AD$50,E508=$AB$51,$AD$51,E508=$AB$52,$AD$52,E508=$AB$53,$AD$53,E508=$AB$54,$AD$54,E508=$AB$55,$AD$55,E508=$AB$56,$AD$56,E508=$AB$57,$AD$57,E508=$AB$58,$AD$58,E508=$AB$59,$AD$59,E508=$AB$60,$AD$60,E508=$AB$61,$AD$61,E508=$AB$62,$AD$62,E508=$AB$63,$AD$63,E508=$AB$64,$AD$64,E508=$AB$65,$AD$65,E508=$AB$66,$AD$66,TRUE,"0")</f>
        <v>IP</v>
      </c>
      <c r="E508" s="163" t="s">
        <v>270</v>
      </c>
      <c r="F508" s="2" t="s">
        <v>6</v>
      </c>
      <c r="G508" s="2" t="s">
        <v>7</v>
      </c>
      <c r="H508" s="3">
        <v>45360.625</v>
      </c>
      <c r="I508" s="2" t="s">
        <v>378</v>
      </c>
      <c r="J508" s="2" t="s">
        <v>55</v>
      </c>
      <c r="K508" s="2">
        <v>66</v>
      </c>
      <c r="L508" s="2">
        <v>0</v>
      </c>
      <c r="M508" s="2">
        <v>20</v>
      </c>
      <c r="N508" s="2">
        <v>40</v>
      </c>
      <c r="O508" s="2">
        <v>2.6</v>
      </c>
      <c r="P508" s="2"/>
      <c r="Q508" s="2" t="s">
        <v>95</v>
      </c>
      <c r="R508" s="14" t="s">
        <v>214</v>
      </c>
      <c r="S508" s="10" t="s">
        <v>223</v>
      </c>
      <c r="T508" s="188">
        <f t="shared" si="55"/>
        <v>835.6445564220453</v>
      </c>
      <c r="U508" s="8">
        <f t="shared" si="62"/>
        <v>150.41602015596814</v>
      </c>
      <c r="V508" s="234">
        <f t="shared" si="63"/>
        <v>16863.307148596872</v>
      </c>
      <c r="W508" s="15">
        <v>25</v>
      </c>
      <c r="X508" s="8">
        <f t="shared" si="56"/>
        <v>4.5</v>
      </c>
      <c r="Y508" s="233">
        <f t="shared" si="57"/>
        <v>2280</v>
      </c>
    </row>
    <row r="509" spans="1:25">
      <c r="A509" s="156" t="e" cm="1">
        <f t="array" aca="1" ref="A509" ca="1">_xlfn.IFS(E509=$AB$42,$AC$42,E509=$AB$43,$AC$43,E509=$AB$44,$AC$44,E509=$AB$45,$AC$45,E509=$AB$46,$AC$46,E509=$AB$47,$AC$47,E509=$AB$48,$AC$48,E509=$AB$49,$AC$49,E509=$AB$50,$AC$50,E509=$AB$51,$AC$51,E509=$AB$52,$AC$52,E509=$AB$53,$AC$53,E509=$AB$54,$AC$54,E509=$AB$55,$AC$55,E509=$AB$56,$AC$56,E509=$AB$57,$AC$57,E509=$AB$58,$AC$58,E509=$AB$59,$AC$59,E509=$AB$60,$AC$60,E509=$AB$61,$AC$61,E509=$AB$62,$AC$62,E509=$AB$63,$AC$63,E509=$AB$64,$AC$64,E509=$AB$65,$AC$65,E509=$AB$66,$AC$66,TRUE,"0")</f>
        <v>#NAME?</v>
      </c>
      <c r="C509" s="161" t="str" cm="1">
        <f t="array" ref="C509">_xlfn.IFS(E509=$AB$42,$AF$42,E509=$AB$43,$AF$43,E509=$AB$44,$AF$44,E509=$AB$45,$AF$45,E509=$AB$46,$AF$46,E509=$AB$47,$AF$47,E509=$AB$48,$AF$48,E509=$AB$49,$AF$49,E509=$AB$50,$AF$50,E509=$AB$51,$AF$51,E509=$AB$52,$AF$52,E509=$AB$53,$AF$53,E509=$AB$54,$AF$54,E509=$AB$55,$AF$55,E509=$AB$56,$AF$56,E509=$AB$57,$AF$57,E509=$AB$58,$AF$58,E509=$AB$59,$AF$59,E509=$AB$60,$AF$60,E509=$AB$61,$AF$61,E509=$AB$62,$AF$62,E509=$AB$63,$AF$63,E509=$AB$64,$AF$64,E509=$AB$65,$AF$65,E509=$AB$66,$AF$66,TRUE,"0")</f>
        <v>B4 match BACK FT +1.5 goals. X AFTER  GOAL</v>
      </c>
      <c r="D509" s="270" t="str" cm="1">
        <f t="array" ref="D509">_xlfn.IFS(E509=$AB$42,$AD$42,E509=$AB$43,$AD$43,E509=$AB$44,$AD$44,E509=$AB$45,$AD$45,E509=$AB$46,$AD$46,E509=$AB$47,$AD$47,E509=$AB$48,$AD$48,E509=$AB$49,$AD$49,E509=$AB$50,$AD$50,E509=$AB$51,$AD$51,E509=$AB$52,$AD$52,E509=$AB$53,$AD$53,E509=$AB$54,$AD$54,E509=$AB$55,$AD$55,E509=$AB$56,$AD$56,E509=$AB$57,$AD$57,E509=$AB$58,$AD$58,E509=$AB$59,$AD$59,E509=$AB$60,$AD$60,E509=$AB$61,$AD$61,E509=$AB$62,$AD$62,E509=$AB$63,$AD$63,E509=$AB$64,$AD$64,E509=$AB$65,$AD$65,E509=$AB$66,$AD$66,TRUE,"0")</f>
        <v xml:space="preserve">BFM </v>
      </c>
      <c r="E509" s="163" t="s">
        <v>512</v>
      </c>
      <c r="F509" s="2" t="s">
        <v>6</v>
      </c>
      <c r="G509" s="2" t="s">
        <v>7</v>
      </c>
      <c r="H509" s="3">
        <v>45360.625</v>
      </c>
      <c r="I509" s="2" t="s">
        <v>307</v>
      </c>
      <c r="J509" s="2" t="s">
        <v>163</v>
      </c>
      <c r="K509" s="2">
        <v>5.9</v>
      </c>
      <c r="L509" s="2">
        <v>20</v>
      </c>
      <c r="M509" s="2">
        <v>3.4</v>
      </c>
      <c r="N509" s="2">
        <v>16</v>
      </c>
      <c r="O509" s="2">
        <v>2</v>
      </c>
      <c r="P509" s="2"/>
      <c r="Q509" s="2" t="s">
        <v>95</v>
      </c>
      <c r="R509" s="14" t="s">
        <v>214</v>
      </c>
      <c r="S509" s="10" t="s">
        <v>209</v>
      </c>
      <c r="T509" s="188">
        <f t="shared" si="55"/>
        <v>843.16535742984365</v>
      </c>
      <c r="U509" s="8">
        <f t="shared" si="62"/>
        <v>151.76976433737184</v>
      </c>
      <c r="V509" s="234">
        <f t="shared" si="63"/>
        <v>17015.076912934244</v>
      </c>
      <c r="W509" s="15">
        <v>25</v>
      </c>
      <c r="X509" s="8">
        <f t="shared" si="56"/>
        <v>4.5</v>
      </c>
      <c r="Y509" s="233">
        <f t="shared" si="57"/>
        <v>2284.5</v>
      </c>
    </row>
    <row r="510" spans="1:25">
      <c r="A510" s="156" t="e" cm="1">
        <f t="array" aca="1" ref="A510" ca="1">_xlfn.IFS(E510=$AB$42,$AC$42,E510=$AB$43,$AC$43,E510=$AB$44,$AC$44,E510=$AB$45,$AC$45,E510=$AB$46,$AC$46,E510=$AB$47,$AC$47,E510=$AB$48,$AC$48,E510=$AB$49,$AC$49,E510=$AB$50,$AC$50,E510=$AB$51,$AC$51,E510=$AB$52,$AC$52,E510=$AB$53,$AC$53,E510=$AB$54,$AC$54,E510=$AB$55,$AC$55,E510=$AB$56,$AC$56,E510=$AB$57,$AC$57,E510=$AB$58,$AC$58,E510=$AB$59,$AC$59,E510=$AB$60,$AC$60,E510=$AB$61,$AC$61,E510=$AB$62,$AC$62,E510=$AB$63,$AC$63,E510=$AB$64,$AC$64,E510=$AB$65,$AC$65,E510=$AB$66,$AC$66,TRUE,"0")</f>
        <v>#NAME?</v>
      </c>
      <c r="C510" s="161" t="str" cm="1">
        <f t="array" ref="C510">_xlfn.IFS(E510=$AB$42,$AF$42,E510=$AB$43,$AF$43,E510=$AB$44,$AF$44,E510=$AB$45,$AF$45,E510=$AB$46,$AF$46,E510=$AB$47,$AF$47,E510=$AB$48,$AF$48,E510=$AB$49,$AF$49,E510=$AB$50,$AF$50,E510=$AB$51,$AF$51,E510=$AB$52,$AF$52,E510=$AB$53,$AF$53,E510=$AB$54,$AF$54,E510=$AB$55,$AF$55,E510=$AB$56,$AF$56,E510=$AB$57,$AF$57,E510=$AB$58,$AF$58,E510=$AB$59,$AF$59,E510=$AB$60,$AF$60,E510=$AB$61,$AF$61,E510=$AB$62,$AF$62,E510=$AB$63,$AF$63,E510=$AB$64,$AF$64,E510=$AB$65,$AF$65,E510=$AB$66,$AF$66,TRUE,"0")</f>
        <v>B4 Match, lay HT 0-0 or BACK H1 +0.5 GOALS</v>
      </c>
      <c r="D510" s="270" t="str" cm="1">
        <f t="array" ref="D510">_xlfn.IFS(E510=$AB$42,$AD$42,E510=$AB$43,$AD$43,E510=$AB$44,$AD$44,E510=$AB$45,$AD$45,E510=$AB$46,$AD$46,E510=$AB$47,$AD$47,E510=$AB$48,$AD$48,E510=$AB$49,$AD$49,E510=$AB$50,$AD$50,E510=$AB$51,$AD$51,E510=$AB$52,$AD$52,E510=$AB$53,$AD$53,E510=$AB$54,$AD$54,E510=$AB$55,$AD$55,E510=$AB$56,$AD$56,E510=$AB$57,$AD$57,E510=$AB$58,$AD$58,E510=$AB$59,$AD$59,E510=$AB$60,$AD$60,E510=$AB$61,$AD$61,E510=$AB$62,$AD$62,E510=$AB$63,$AD$63,E510=$AB$64,$AD$64,E510=$AB$65,$AD$65,E510=$AB$66,$AD$66,TRUE,"0")</f>
        <v xml:space="preserve">BFM </v>
      </c>
      <c r="E510" s="163" t="s">
        <v>448</v>
      </c>
      <c r="F510" s="2" t="s">
        <v>6</v>
      </c>
      <c r="G510" s="2" t="s">
        <v>7</v>
      </c>
      <c r="H510" s="3">
        <v>45360.625</v>
      </c>
      <c r="I510" s="2" t="s">
        <v>307</v>
      </c>
      <c r="J510" s="2" t="s">
        <v>163</v>
      </c>
      <c r="K510" s="2">
        <v>20</v>
      </c>
      <c r="L510" s="2">
        <v>10</v>
      </c>
      <c r="M510" s="2">
        <v>31</v>
      </c>
      <c r="N510" s="2">
        <v>6</v>
      </c>
      <c r="O510" s="2">
        <v>9</v>
      </c>
      <c r="P510" s="2"/>
      <c r="Q510" s="2" t="s">
        <v>95</v>
      </c>
      <c r="R510" s="14" t="s">
        <v>214</v>
      </c>
      <c r="S510" s="10" t="s">
        <v>209</v>
      </c>
      <c r="T510" s="188">
        <f t="shared" si="55"/>
        <v>850.75384564671231</v>
      </c>
      <c r="U510" s="8">
        <f t="shared" si="62"/>
        <v>153.13569221640822</v>
      </c>
      <c r="V510" s="234">
        <f t="shared" si="63"/>
        <v>17168.212605150653</v>
      </c>
      <c r="W510" s="15">
        <v>25</v>
      </c>
      <c r="X510" s="8">
        <f t="shared" si="56"/>
        <v>4.5</v>
      </c>
      <c r="Y510" s="233">
        <f t="shared" si="57"/>
        <v>2289</v>
      </c>
    </row>
    <row r="511" spans="1:25">
      <c r="A511" s="156" t="e" cm="1">
        <f t="array" aca="1" ref="A511" ca="1">_xlfn.IFS(E511=$AB$42,$AC$42,E511=$AB$43,$AC$43,E511=$AB$44,$AC$44,E511=$AB$45,$AC$45,E511=$AB$46,$AC$46,E511=$AB$47,$AC$47,E511=$AB$48,$AC$48,E511=$AB$49,$AC$49,E511=$AB$50,$AC$50,E511=$AB$51,$AC$51,E511=$AB$52,$AC$52,E511=$AB$53,$AC$53,E511=$AB$54,$AC$54,E511=$AB$55,$AC$55,E511=$AB$56,$AC$56,E511=$AB$57,$AC$57,E511=$AB$58,$AC$58,E511=$AB$59,$AC$59,E511=$AB$60,$AC$60,E511=$AB$61,$AC$61,E511=$AB$62,$AC$62,E511=$AB$63,$AC$63,E511=$AB$64,$AC$64,E511=$AB$65,$AC$65,E511=$AB$66,$AC$66,TRUE,"0")</f>
        <v>#NAME?</v>
      </c>
      <c r="C511" s="161" t="str" cm="1">
        <f t="array" ref="C511">_xlfn.IFS(E511=$AB$42,$AF$42,E511=$AB$43,$AF$43,E511=$AB$44,$AF$44,E511=$AB$45,$AF$45,E511=$AB$46,$AF$46,E511=$AB$47,$AF$47,E511=$AB$48,$AF$48,E511=$AB$49,$AF$49,E511=$AB$50,$AF$50,E511=$AB$51,$AF$51,E511=$AB$52,$AF$52,E511=$AB$53,$AF$53,E511=$AB$54,$AF$54,E511=$AB$55,$AF$55,E511=$AB$56,$AF$56,E511=$AB$57,$AF$57,E511=$AB$58,$AF$58,E511=$AB$59,$AF$59,E511=$AB$60,$AF$60,E511=$AB$61,$AF$61,E511=$AB$62,$AF$62,E511=$AB$63,$AF$63,E511=$AB$64,$AF$64,E511=$AB$65,$AF$65,E511=$AB$66,$AF$66,TRUE,"0")</f>
        <v>B4 match BACK FT +1.5 goals. X AFTER  GOAL</v>
      </c>
      <c r="D511" s="270" t="str" cm="1">
        <f t="array" ref="D511">_xlfn.IFS(E511=$AB$42,$AD$42,E511=$AB$43,$AD$43,E511=$AB$44,$AD$44,E511=$AB$45,$AD$45,E511=$AB$46,$AD$46,E511=$AB$47,$AD$47,E511=$AB$48,$AD$48,E511=$AB$49,$AD$49,E511=$AB$50,$AD$50,E511=$AB$51,$AD$51,E511=$AB$52,$AD$52,E511=$AB$53,$AD$53,E511=$AB$54,$AD$54,E511=$AB$55,$AD$55,E511=$AB$56,$AD$56,E511=$AB$57,$AD$57,E511=$AB$58,$AD$58,E511=$AB$59,$AD$59,E511=$AB$60,$AD$60,E511=$AB$61,$AD$61,E511=$AB$62,$AD$62,E511=$AB$63,$AD$63,E511=$AB$64,$AD$64,E511=$AB$65,$AD$65,E511=$AB$66,$AD$66,TRUE,"0")</f>
        <v xml:space="preserve">BFM </v>
      </c>
      <c r="E511" s="163" t="s">
        <v>406</v>
      </c>
      <c r="F511" s="2" t="s">
        <v>6</v>
      </c>
      <c r="G511" s="2" t="s">
        <v>14</v>
      </c>
      <c r="H511" s="3">
        <v>45360.625</v>
      </c>
      <c r="I511" s="2" t="s">
        <v>317</v>
      </c>
      <c r="J511" s="2" t="s">
        <v>262</v>
      </c>
      <c r="K511" s="2">
        <v>1.34</v>
      </c>
      <c r="L511" s="2">
        <v>12.5</v>
      </c>
      <c r="M511" s="2">
        <v>3.15</v>
      </c>
      <c r="N511" s="2">
        <v>5.5</v>
      </c>
      <c r="O511" s="2">
        <v>2.71</v>
      </c>
      <c r="P511" s="2"/>
      <c r="Q511" s="2" t="s">
        <v>95</v>
      </c>
      <c r="R511" s="14" t="s">
        <v>194</v>
      </c>
      <c r="S511" s="10" t="s">
        <v>195</v>
      </c>
      <c r="T511" s="188">
        <f t="shared" si="55"/>
        <v>858.41063025753272</v>
      </c>
      <c r="U511" s="8">
        <f t="shared" si="62"/>
        <v>154.51391344635587</v>
      </c>
      <c r="V511" s="234">
        <f t="shared" si="63"/>
        <v>17322.72651859701</v>
      </c>
      <c r="W511" s="15">
        <v>25</v>
      </c>
      <c r="X511" s="8">
        <f t="shared" si="56"/>
        <v>4.5</v>
      </c>
      <c r="Y511" s="233">
        <f t="shared" si="57"/>
        <v>2293.5</v>
      </c>
    </row>
    <row r="512" spans="1:25">
      <c r="A512" s="156" t="e" cm="1">
        <f t="array" aca="1" ref="A512" ca="1">_xlfn.IFS(E512=$AB$42,$AC$42,E512=$AB$43,$AC$43,E512=$AB$44,$AC$44,E512=$AB$45,$AC$45,E512=$AB$46,$AC$46,E512=$AB$47,$AC$47,E512=$AB$48,$AC$48,E512=$AB$49,$AC$49,E512=$AB$50,$AC$50,E512=$AB$51,$AC$51,E512=$AB$52,$AC$52,E512=$AB$53,$AC$53,E512=$AB$54,$AC$54,E512=$AB$55,$AC$55,E512=$AB$56,$AC$56,E512=$AB$57,$AC$57,E512=$AB$58,$AC$58,E512=$AB$59,$AC$59,E512=$AB$60,$AC$60,E512=$AB$61,$AC$61,E512=$AB$62,$AC$62,E512=$AB$63,$AC$63,E512=$AB$64,$AC$64,E512=$AB$65,$AC$65,E512=$AB$66,$AC$66,TRUE,"0")</f>
        <v>#NAME?</v>
      </c>
      <c r="C512" s="161" t="str" cm="1">
        <f t="array" ref="C512">_xlfn.IFS(E512=$AB$42,$AF$42,E512=$AB$43,$AF$43,E512=$AB$44,$AF$44,E512=$AB$45,$AF$45,E512=$AB$46,$AF$46,E512=$AB$47,$AF$47,E512=$AB$48,$AF$48,E512=$AB$49,$AF$49,E512=$AB$50,$AF$50,E512=$AB$51,$AF$51,E512=$AB$52,$AF$52,E512=$AB$53,$AF$53,E512=$AB$54,$AF$54,E512=$AB$55,$AF$55,E512=$AB$56,$AF$56,E512=$AB$57,$AF$57,E512=$AB$58,$AF$58,E512=$AB$59,$AF$59,E512=$AB$60,$AF$60,E512=$AB$61,$AF$61,E512=$AB$62,$AF$62,E512=$AB$63,$AF$63,E512=$AB$64,$AF$64,E512=$AB$65,$AF$65,E512=$AB$66,$AF$66,TRUE,"0")</f>
        <v>B4 match BACK FT +1.5 goals. X AFTER  GOAL</v>
      </c>
      <c r="D512" s="270" t="str" cm="1">
        <f t="array" ref="D512">_xlfn.IFS(E512=$AB$42,$AD$42,E512=$AB$43,$AD$43,E512=$AB$44,$AD$44,E512=$AB$45,$AD$45,E512=$AB$46,$AD$46,E512=$AB$47,$AD$47,E512=$AB$48,$AD$48,E512=$AB$49,$AD$49,E512=$AB$50,$AD$50,E512=$AB$51,$AD$51,E512=$AB$52,$AD$52,E512=$AB$53,$AD$53,E512=$AB$54,$AD$54,E512=$AB$55,$AD$55,E512=$AB$56,$AD$56,E512=$AB$57,$AD$57,E512=$AB$58,$AD$58,E512=$AB$59,$AD$59,E512=$AB$60,$AD$60,E512=$AB$61,$AD$61,E512=$AB$62,$AD$62,E512=$AB$63,$AD$63,E512=$AB$64,$AD$64,E512=$AB$65,$AD$65,E512=$AB$66,$AD$66,TRUE,"0")</f>
        <v xml:space="preserve">BFM </v>
      </c>
      <c r="E512" s="163" t="s">
        <v>512</v>
      </c>
      <c r="F512" s="2" t="s">
        <v>6</v>
      </c>
      <c r="G512" s="2" t="s">
        <v>14</v>
      </c>
      <c r="H512" s="3">
        <v>45360.625</v>
      </c>
      <c r="I512" s="2" t="s">
        <v>317</v>
      </c>
      <c r="J512" s="2" t="s">
        <v>262</v>
      </c>
      <c r="K512" s="2">
        <v>5.5</v>
      </c>
      <c r="L512" s="2">
        <v>20</v>
      </c>
      <c r="M512" s="2">
        <v>3.15</v>
      </c>
      <c r="N512" s="2">
        <v>28</v>
      </c>
      <c r="O512" s="2">
        <v>2</v>
      </c>
      <c r="P512" s="2"/>
      <c r="Q512" s="2" t="s">
        <v>95</v>
      </c>
      <c r="R512" s="14" t="s">
        <v>194</v>
      </c>
      <c r="S512" s="10" t="s">
        <v>195</v>
      </c>
      <c r="T512" s="188">
        <f t="shared" si="55"/>
        <v>866.1363259298505</v>
      </c>
      <c r="U512" s="8">
        <f t="shared" si="62"/>
        <v>155.90453866737309</v>
      </c>
      <c r="V512" s="234">
        <f t="shared" si="63"/>
        <v>17478.631057264382</v>
      </c>
      <c r="W512" s="15">
        <v>25</v>
      </c>
      <c r="X512" s="8">
        <f t="shared" si="56"/>
        <v>4.5</v>
      </c>
      <c r="Y512" s="233">
        <f t="shared" si="57"/>
        <v>2298</v>
      </c>
    </row>
    <row r="513" spans="1:25">
      <c r="A513" s="156" t="e" cm="1">
        <f t="array" aca="1" ref="A513" ca="1">_xlfn.IFS(E513=$AB$42,$AC$42,E513=$AB$43,$AC$43,E513=$AB$44,$AC$44,E513=$AB$45,$AC$45,E513=$AB$46,$AC$46,E513=$AB$47,$AC$47,E513=$AB$48,$AC$48,E513=$AB$49,$AC$49,E513=$AB$50,$AC$50,E513=$AB$51,$AC$51,E513=$AB$52,$AC$52,E513=$AB$53,$AC$53,E513=$AB$54,$AC$54,E513=$AB$55,$AC$55,E513=$AB$56,$AC$56,E513=$AB$57,$AC$57,E513=$AB$58,$AC$58,E513=$AB$59,$AC$59,E513=$AB$60,$AC$60,E513=$AB$61,$AC$61,E513=$AB$62,$AC$62,E513=$AB$63,$AC$63,E513=$AB$64,$AC$64,E513=$AB$65,$AC$65,E513=$AB$66,$AC$66,TRUE,"0")</f>
        <v>#NAME?</v>
      </c>
      <c r="C513" s="161" t="str" cm="1">
        <f t="array" ref="C513">_xlfn.IFS(E513=$AB$42,$AF$42,E513=$AB$43,$AF$43,E513=$AB$44,$AF$44,E513=$AB$45,$AF$45,E513=$AB$46,$AF$46,E513=$AB$47,$AF$47,E513=$AB$48,$AF$48,E513=$AB$49,$AF$49,E513=$AB$50,$AF$50,E513=$AB$51,$AF$51,E513=$AB$52,$AF$52,E513=$AB$53,$AF$53,E513=$AB$54,$AF$54,E513=$AB$55,$AF$55,E513=$AB$56,$AF$56,E513=$AB$57,$AF$57,E513=$AB$58,$AF$58,E513=$AB$59,$AF$59,E513=$AB$60,$AF$60,E513=$AB$61,$AF$61,E513=$AB$62,$AF$62,E513=$AB$63,$AF$63,E513=$AB$64,$AF$64,E513=$AB$65,$AF$65,E513=$AB$66,$AF$66,TRUE,"0")</f>
        <v>40 mins Back ANother Goal</v>
      </c>
      <c r="D513" s="270" t="str" cm="1">
        <f t="array" ref="D513">_xlfn.IFS(E513=$AB$42,$AD$42,E513=$AB$43,$AD$43,E513=$AB$44,$AD$44,E513=$AB$45,$AD$45,E513=$AB$46,$AD$46,E513=$AB$47,$AD$47,E513=$AB$48,$AD$48,E513=$AB$49,$AD$49,E513=$AB$50,$AD$50,E513=$AB$51,$AD$51,E513=$AB$52,$AD$52,E513=$AB$53,$AD$53,E513=$AB$54,$AD$54,E513=$AB$55,$AD$55,E513=$AB$56,$AD$56,E513=$AB$57,$AD$57,E513=$AB$58,$AD$58,E513=$AB$59,$AD$59,E513=$AB$60,$AD$60,E513=$AB$61,$AD$61,E513=$AB$62,$AD$62,E513=$AB$63,$AD$63,E513=$AB$64,$AD$64,E513=$AB$65,$AD$65,E513=$AB$66,$AD$66,TRUE,"0")</f>
        <v xml:space="preserve">  BANG</v>
      </c>
      <c r="E513" s="163" t="s">
        <v>519</v>
      </c>
      <c r="F513" s="2" t="s">
        <v>410</v>
      </c>
      <c r="G513" s="2" t="s">
        <v>544</v>
      </c>
      <c r="H513" s="3">
        <v>45360.625</v>
      </c>
      <c r="I513" s="2" t="s">
        <v>545</v>
      </c>
      <c r="J513" s="2" t="s">
        <v>546</v>
      </c>
      <c r="K513" s="2">
        <v>20</v>
      </c>
      <c r="L513" s="2">
        <v>90</v>
      </c>
      <c r="M513" s="2">
        <v>90</v>
      </c>
      <c r="N513" s="2"/>
      <c r="O513" s="2"/>
      <c r="P513" s="2"/>
      <c r="Q513" s="2" t="s">
        <v>95</v>
      </c>
      <c r="R513" s="14" t="s">
        <v>221</v>
      </c>
      <c r="S513" s="10" t="s">
        <v>193</v>
      </c>
      <c r="T513" s="188">
        <f t="shared" si="55"/>
        <v>873.93155286321917</v>
      </c>
      <c r="U513" s="8">
        <f t="shared" si="62"/>
        <v>157.30767951537945</v>
      </c>
      <c r="V513" s="234">
        <f t="shared" si="63"/>
        <v>17635.938736779761</v>
      </c>
      <c r="W513" s="15">
        <v>25</v>
      </c>
      <c r="X513" s="8">
        <f t="shared" si="56"/>
        <v>4.5</v>
      </c>
      <c r="Y513" s="233">
        <f t="shared" si="57"/>
        <v>2302.5</v>
      </c>
    </row>
    <row r="514" spans="1:25">
      <c r="A514" s="156" t="e" cm="1">
        <f t="array" aca="1" ref="A514" ca="1">_xlfn.IFS(E514=$AB$42,$AC$42,E514=$AB$43,$AC$43,E514=$AB$44,$AC$44,E514=$AB$45,$AC$45,E514=$AB$46,$AC$46,E514=$AB$47,$AC$47,E514=$AB$48,$AC$48,E514=$AB$49,$AC$49,E514=$AB$50,$AC$50,E514=$AB$51,$AC$51,E514=$AB$52,$AC$52,E514=$AB$53,$AC$53,E514=$AB$54,$AC$54,E514=$AB$55,$AC$55,E514=$AB$56,$AC$56,E514=$AB$57,$AC$57,E514=$AB$58,$AC$58,E514=$AB$59,$AC$59,E514=$AB$60,$AC$60,E514=$AB$61,$AC$61,E514=$AB$62,$AC$62,E514=$AB$63,$AC$63,E514=$AB$64,$AC$64,E514=$AB$65,$AC$65,E514=$AB$66,$AC$66,TRUE,"0")</f>
        <v>#NAME?</v>
      </c>
      <c r="C514" s="161" t="str" cm="1">
        <f t="array" ref="C514">_xlfn.IFS(E514=$AB$42,$AF$42,E514=$AB$43,$AF$43,E514=$AB$44,$AF$44,E514=$AB$45,$AF$45,E514=$AB$46,$AF$46,E514=$AB$47,$AF$47,E514=$AB$48,$AF$48,E514=$AB$49,$AF$49,E514=$AB$50,$AF$50,E514=$AB$51,$AF$51,E514=$AB$52,$AF$52,E514=$AB$53,$AF$53,E514=$AB$54,$AF$54,E514=$AB$55,$AF$55,E514=$AB$56,$AF$56,E514=$AB$57,$AF$57,E514=$AB$58,$AF$58,E514=$AB$59,$AF$59,E514=$AB$60,$AF$60,E514=$AB$61,$AF$61,E514=$AB$62,$AF$62,E514=$AB$63,$AF$63,E514=$AB$64,$AF$64,E514=$AB$65,$AF$65,E514=$AB$66,$AF$66,TRUE,"0")</f>
        <v>40 mins Back ANother Goal</v>
      </c>
      <c r="D514" s="270" t="str" cm="1">
        <f t="array" ref="D514">_xlfn.IFS(E514=$AB$42,$AD$42,E514=$AB$43,$AD$43,E514=$AB$44,$AD$44,E514=$AB$45,$AD$45,E514=$AB$46,$AD$46,E514=$AB$47,$AD$47,E514=$AB$48,$AD$48,E514=$AB$49,$AD$49,E514=$AB$50,$AD$50,E514=$AB$51,$AD$51,E514=$AB$52,$AD$52,E514=$AB$53,$AD$53,E514=$AB$54,$AD$54,E514=$AB$55,$AD$55,E514=$AB$56,$AD$56,E514=$AB$57,$AD$57,E514=$AB$58,$AD$58,E514=$AB$59,$AD$59,E514=$AB$60,$AD$60,E514=$AB$61,$AD$61,E514=$AB$62,$AD$62,E514=$AB$63,$AD$63,E514=$AB$64,$AD$64,E514=$AB$65,$AD$65,E514=$AB$66,$AD$66,TRUE,"0")</f>
        <v xml:space="preserve">  BANG</v>
      </c>
      <c r="E514" s="163" t="s">
        <v>515</v>
      </c>
      <c r="F514" s="2" t="s">
        <v>410</v>
      </c>
      <c r="G514" s="2" t="s">
        <v>544</v>
      </c>
      <c r="H514" s="3">
        <v>45360.625</v>
      </c>
      <c r="I514" s="2" t="s">
        <v>545</v>
      </c>
      <c r="J514" s="2" t="s">
        <v>546</v>
      </c>
      <c r="K514" s="2">
        <v>20</v>
      </c>
      <c r="L514" s="2">
        <v>73</v>
      </c>
      <c r="M514" s="2">
        <v>1.45</v>
      </c>
      <c r="N514" s="2"/>
      <c r="O514" s="2"/>
      <c r="P514" s="2"/>
      <c r="Q514" s="2" t="s">
        <v>95</v>
      </c>
      <c r="R514" s="14" t="s">
        <v>221</v>
      </c>
      <c r="S514" s="10" t="s">
        <v>193</v>
      </c>
      <c r="T514" s="188">
        <f t="shared" si="55"/>
        <v>881.79693683898813</v>
      </c>
      <c r="U514" s="8">
        <f t="shared" si="62"/>
        <v>158.72344863101785</v>
      </c>
      <c r="V514" s="234">
        <f>SUM(V513,U514)</f>
        <v>17794.66218541078</v>
      </c>
      <c r="W514" s="15">
        <v>25</v>
      </c>
      <c r="X514" s="8">
        <f t="shared" si="56"/>
        <v>4.5</v>
      </c>
      <c r="Y514" s="233">
        <f t="shared" si="57"/>
        <v>2307</v>
      </c>
    </row>
    <row r="515" spans="1:25">
      <c r="A515" s="156" t="e" cm="1">
        <f t="array" aca="1" ref="A515" ca="1">_xlfn.IFS(E515=$AB$42,$AC$42,E515=$AB$43,$AC$43,E515=$AB$44,$AC$44,E515=$AB$45,$AC$45,E515=$AB$46,$AC$46,E515=$AB$47,$AC$47,E515=$AB$48,$AC$48,E515=$AB$49,$AC$49,E515=$AB$50,$AC$50,E515=$AB$51,$AC$51,E515=$AB$52,$AC$52,E515=$AB$53,$AC$53,E515=$AB$54,$AC$54,E515=$AB$55,$AC$55,E515=$AB$56,$AC$56,E515=$AB$57,$AC$57,E515=$AB$58,$AC$58,E515=$AB$59,$AC$59,E515=$AB$60,$AC$60,E515=$AB$61,$AC$61,E515=$AB$62,$AC$62,E515=$AB$63,$AC$63,E515=$AB$64,$AC$64,E515=$AB$65,$AC$65,E515=$AB$66,$AC$66,TRUE,"0")</f>
        <v>#NAME?</v>
      </c>
      <c r="C515" s="161" t="str" cm="1">
        <f t="array" ref="C515">_xlfn.IFS(E515=$AB$42,$AF$42,E515=$AB$43,$AF$43,E515=$AB$44,$AF$44,E515=$AB$45,$AF$45,E515=$AB$46,$AF$46,E515=$AB$47,$AF$47,E515=$AB$48,$AF$48,E515=$AB$49,$AF$49,E515=$AB$50,$AF$50,E515=$AB$51,$AF$51,E515=$AB$52,$AF$52,E515=$AB$53,$AF$53,E515=$AB$54,$AF$54,E515=$AB$55,$AF$55,E515=$AB$56,$AF$56,E515=$AB$57,$AF$57,E515=$AB$58,$AF$58,E515=$AB$59,$AF$59,E515=$AB$60,$AF$60,E515=$AB$61,$AF$61,E515=$AB$62,$AF$62,E515=$AB$63,$AF$63,E515=$AB$64,$AF$64,E515=$AB$65,$AF$65,E515=$AB$66,$AF$66,TRUE,"0")</f>
        <v>40 mins Back ANother Goal</v>
      </c>
      <c r="D515" s="270" t="str" cm="1">
        <f t="array" ref="D515">_xlfn.IFS(E515=$AB$42,$AD$42,E515=$AB$43,$AD$43,E515=$AB$44,$AD$44,E515=$AB$45,$AD$45,E515=$AB$46,$AD$46,E515=$AB$47,$AD$47,E515=$AB$48,$AD$48,E515=$AB$49,$AD$49,E515=$AB$50,$AD$50,E515=$AB$51,$AD$51,E515=$AB$52,$AD$52,E515=$AB$53,$AD$53,E515=$AB$54,$AD$54,E515=$AB$55,$AD$55,E515=$AB$56,$AD$56,E515=$AB$57,$AD$57,E515=$AB$58,$AD$58,E515=$AB$59,$AD$59,E515=$AB$60,$AD$60,E515=$AB$61,$AD$61,E515=$AB$62,$AD$62,E515=$AB$63,$AD$63,E515=$AB$64,$AD$64,E515=$AB$65,$AD$65,E515=$AB$66,$AD$66,TRUE,"0")</f>
        <v xml:space="preserve">  BANG</v>
      </c>
      <c r="E515" s="163" t="s">
        <v>43</v>
      </c>
      <c r="F515" s="2" t="s">
        <v>6</v>
      </c>
      <c r="G515" s="2" t="s">
        <v>14</v>
      </c>
      <c r="H515" s="3">
        <v>45360.625</v>
      </c>
      <c r="I515" s="2" t="s">
        <v>56</v>
      </c>
      <c r="J515" s="2" t="s">
        <v>503</v>
      </c>
      <c r="K515" s="2">
        <v>74</v>
      </c>
      <c r="L515" s="2">
        <v>67</v>
      </c>
      <c r="M515" s="2">
        <v>64</v>
      </c>
      <c r="N515" s="2">
        <v>1.65</v>
      </c>
      <c r="O515" s="2">
        <v>1.42</v>
      </c>
      <c r="P515" s="2"/>
      <c r="Q515" s="2" t="s">
        <v>95</v>
      </c>
      <c r="R515" s="14" t="s">
        <v>220</v>
      </c>
      <c r="S515" s="10" t="s">
        <v>277</v>
      </c>
      <c r="T515" s="188">
        <f t="shared" ref="T515:T529" si="64">SUM(V514*0.05)</f>
        <v>889.73310927053899</v>
      </c>
      <c r="U515" s="8">
        <f t="shared" si="62"/>
        <v>160.151959668697</v>
      </c>
      <c r="V515" s="234">
        <f>SUM(V514,U515)</f>
        <v>17954.814145079476</v>
      </c>
      <c r="W515" s="15">
        <v>25</v>
      </c>
      <c r="X515" s="8">
        <f t="shared" ref="X515:X578" si="65">IF(Q515="won",W515*0.18,-W515)</f>
        <v>4.5</v>
      </c>
      <c r="Y515" s="233">
        <f t="shared" ref="Y515:Y578" si="66">SUM(Y514,X515)</f>
        <v>2311.5</v>
      </c>
    </row>
    <row r="516" spans="1:25">
      <c r="A516" s="156" t="e" cm="1">
        <f t="array" aca="1" ref="A516" ca="1">_xlfn.IFS(E516=$AB$42,$AC$42,E516=$AB$43,$AC$43,E516=$AB$44,$AC$44,E516=$AB$45,$AC$45,E516=$AB$46,$AC$46,E516=$AB$47,$AC$47,E516=$AB$48,$AC$48,E516=$AB$49,$AC$49,E516=$AB$50,$AC$50,E516=$AB$51,$AC$51,E516=$AB$52,$AC$52,E516=$AB$53,$AC$53,E516=$AB$54,$AC$54,E516=$AB$55,$AC$55,E516=$AB$56,$AC$56,E516=$AB$57,$AC$57,E516=$AB$58,$AC$58,E516=$AB$59,$AC$59,E516=$AB$60,$AC$60,E516=$AB$61,$AC$61,E516=$AB$62,$AC$62,E516=$AB$63,$AC$63,E516=$AB$64,$AC$64,E516=$AB$65,$AC$65,E516=$AB$66,$AC$66,TRUE,"0")</f>
        <v>#NAME?</v>
      </c>
      <c r="C516" s="161" t="str" cm="1">
        <f t="array" ref="C516">_xlfn.IFS(E516=$AB$42,$AF$42,E516=$AB$43,$AF$43,E516=$AB$44,$AF$44,E516=$AB$45,$AF$45,E516=$AB$46,$AF$46,E516=$AB$47,$AF$47,E516=$AB$48,$AF$48,E516=$AB$49,$AF$49,E516=$AB$50,$AF$50,E516=$AB$51,$AF$51,E516=$AB$52,$AF$52,E516=$AB$53,$AF$53,E516=$AB$54,$AF$54,E516=$AB$55,$AF$55,E516=$AB$56,$AF$56,E516=$AB$57,$AF$57,E516=$AB$58,$AF$58,E516=$AB$59,$AF$59,E516=$AB$60,$AF$60,E516=$AB$61,$AF$61,E516=$AB$62,$AF$62,E516=$AB$63,$AF$63,E516=$AB$64,$AF$64,E516=$AB$65,$AF$65,E516=$AB$66,$AF$66,TRUE,"0")</f>
        <v>B4 match BACK FT +1.5 goals. X AFTER  GOAL</v>
      </c>
      <c r="D516" s="270" t="str" cm="1">
        <f t="array" ref="D516">_xlfn.IFS(E516=$AB$42,$AD$42,E516=$AB$43,$AD$43,E516=$AB$44,$AD$44,E516=$AB$45,$AD$45,E516=$AB$46,$AD$46,E516=$AB$47,$AD$47,E516=$AB$48,$AD$48,E516=$AB$49,$AD$49,E516=$AB$50,$AD$50,E516=$AB$51,$AD$51,E516=$AB$52,$AD$52,E516=$AB$53,$AD$53,E516=$AB$54,$AD$54,E516=$AB$55,$AD$55,E516=$AB$56,$AD$56,E516=$AB$57,$AD$57,E516=$AB$58,$AD$58,E516=$AB$59,$AD$59,E516=$AB$60,$AD$60,E516=$AB$61,$AD$61,E516=$AB$62,$AD$62,E516=$AB$63,$AD$63,E516=$AB$64,$AD$64,E516=$AB$65,$AD$65,E516=$AB$66,$AD$66,TRUE,"0")</f>
        <v xml:space="preserve">BFM </v>
      </c>
      <c r="E516" s="163" t="s">
        <v>512</v>
      </c>
      <c r="F516" s="2" t="s">
        <v>6</v>
      </c>
      <c r="G516" s="2" t="s">
        <v>14</v>
      </c>
      <c r="H516" s="3">
        <v>45360.625</v>
      </c>
      <c r="I516" s="2" t="s">
        <v>56</v>
      </c>
      <c r="J516" s="2" t="s">
        <v>503</v>
      </c>
      <c r="K516" s="2">
        <v>4.8</v>
      </c>
      <c r="L516" s="2">
        <v>20</v>
      </c>
      <c r="M516" s="2">
        <v>2.7</v>
      </c>
      <c r="N516" s="2">
        <v>36</v>
      </c>
      <c r="O516" s="2">
        <v>4</v>
      </c>
      <c r="P516" s="2"/>
      <c r="Q516" s="2" t="s">
        <v>95</v>
      </c>
      <c r="R516" s="14" t="s">
        <v>220</v>
      </c>
      <c r="S516" s="10" t="s">
        <v>277</v>
      </c>
      <c r="T516" s="188">
        <f t="shared" si="64"/>
        <v>897.74070725397382</v>
      </c>
      <c r="U516" s="8">
        <f t="shared" si="62"/>
        <v>161.59332730571529</v>
      </c>
      <c r="V516" s="234">
        <f t="shared" si="63"/>
        <v>18116.407472385192</v>
      </c>
      <c r="W516" s="15">
        <v>25</v>
      </c>
      <c r="X516" s="8">
        <f t="shared" si="65"/>
        <v>4.5</v>
      </c>
      <c r="Y516" s="233">
        <f t="shared" si="66"/>
        <v>2316</v>
      </c>
    </row>
    <row r="517" spans="1:25">
      <c r="A517" s="156" t="e" cm="1">
        <f t="array" aca="1" ref="A517" ca="1">_xlfn.IFS(E517=$AB$42,$AC$42,E517=$AB$43,$AC$43,E517=$AB$44,$AC$44,E517=$AB$45,$AC$45,E517=$AB$46,$AC$46,E517=$AB$47,$AC$47,E517=$AB$48,$AC$48,E517=$AB$49,$AC$49,E517=$AB$50,$AC$50,E517=$AB$51,$AC$51,E517=$AB$52,$AC$52,E517=$AB$53,$AC$53,E517=$AB$54,$AC$54,E517=$AB$55,$AC$55,E517=$AB$56,$AC$56,E517=$AB$57,$AC$57,E517=$AB$58,$AC$58,E517=$AB$59,$AC$59,E517=$AB$60,$AC$60,E517=$AB$61,$AC$61,E517=$AB$62,$AC$62,E517=$AB$63,$AC$63,E517=$AB$64,$AC$64,E517=$AB$65,$AC$65,E517=$AB$66,$AC$66,TRUE,"0")</f>
        <v>#NAME?</v>
      </c>
      <c r="C517" s="161" t="str" cm="1">
        <f t="array" ref="C517">_xlfn.IFS(E517=$AB$42,$AF$42,E517=$AB$43,$AF$43,E517=$AB$44,$AF$44,E517=$AB$45,$AF$45,E517=$AB$46,$AF$46,E517=$AB$47,$AF$47,E517=$AB$48,$AF$48,E517=$AB$49,$AF$49,E517=$AB$50,$AF$50,E517=$AB$51,$AF$51,E517=$AB$52,$AF$52,E517=$AB$53,$AF$53,E517=$AB$54,$AF$54,E517=$AB$55,$AF$55,E517=$AB$56,$AF$56,E517=$AB$57,$AF$57,E517=$AB$58,$AF$58,E517=$AB$59,$AF$59,E517=$AB$60,$AF$60,E517=$AB$61,$AF$61,E517=$AB$62,$AF$62,E517=$AB$63,$AF$63,E517=$AB$64,$AF$64,E517=$AB$65,$AF$65,E517=$AB$66,$AF$66,TRUE,"0")</f>
        <v>if 0-0, BACK+ 0.5 GOALS  @ 1.15+odds.  or @ 40 mins</v>
      </c>
      <c r="D517" s="270" t="str" cm="1">
        <f t="array" ref="D517">_xlfn.IFS(E517=$AB$42,$AD$42,E517=$AB$43,$AD$43,E517=$AB$44,$AD$44,E517=$AB$45,$AD$45,E517=$AB$46,$AD$46,E517=$AB$47,$AD$47,E517=$AB$48,$AD$48,E517=$AB$49,$AD$49,E517=$AB$50,$AD$50,E517=$AB$51,$AD$51,E517=$AB$52,$AD$52,E517=$AB$53,$AD$53,E517=$AB$54,$AD$54,E517=$AB$55,$AD$55,E517=$AB$56,$AD$56,E517=$AB$57,$AD$57,E517=$AB$58,$AD$58,E517=$AB$59,$AD$59,E517=$AB$60,$AD$60,E517=$AB$61,$AD$61,E517=$AB$62,$AD$62,E517=$AB$63,$AD$63,E517=$AB$64,$AD$64,E517=$AB$65,$AD$65,E517=$AB$66,$AD$66,TRUE,"0")</f>
        <v>IP</v>
      </c>
      <c r="E517" s="163" t="s">
        <v>270</v>
      </c>
      <c r="F517" s="2" t="s">
        <v>6</v>
      </c>
      <c r="G517" s="2" t="s">
        <v>14</v>
      </c>
      <c r="H517" s="3">
        <v>45360.625</v>
      </c>
      <c r="I517" s="2" t="s">
        <v>56</v>
      </c>
      <c r="J517" s="2" t="s">
        <v>503</v>
      </c>
      <c r="K517" s="2">
        <v>61</v>
      </c>
      <c r="L517" s="2">
        <v>0</v>
      </c>
      <c r="M517" s="2">
        <v>20</v>
      </c>
      <c r="N517" s="2">
        <v>36</v>
      </c>
      <c r="O517" s="2">
        <v>2.5</v>
      </c>
      <c r="P517" s="2"/>
      <c r="Q517" s="2" t="s">
        <v>95</v>
      </c>
      <c r="R517" s="14" t="s">
        <v>220</v>
      </c>
      <c r="S517" s="10" t="s">
        <v>277</v>
      </c>
      <c r="T517" s="188">
        <f t="shared" si="64"/>
        <v>905.82037361925961</v>
      </c>
      <c r="U517" s="8">
        <f t="shared" si="62"/>
        <v>163.04766725146672</v>
      </c>
      <c r="V517" s="234">
        <f t="shared" si="63"/>
        <v>18279.455139636659</v>
      </c>
      <c r="W517" s="15">
        <v>25</v>
      </c>
      <c r="X517" s="8">
        <f t="shared" si="65"/>
        <v>4.5</v>
      </c>
      <c r="Y517" s="233">
        <f t="shared" si="66"/>
        <v>2320.5</v>
      </c>
    </row>
    <row r="518" spans="1:25">
      <c r="A518" s="156" t="e" cm="1">
        <f t="array" aca="1" ref="A518" ca="1">_xlfn.IFS(E518=$AB$42,$AC$42,E518=$AB$43,$AC$43,E518=$AB$44,$AC$44,E518=$AB$45,$AC$45,E518=$AB$46,$AC$46,E518=$AB$47,$AC$47,E518=$AB$48,$AC$48,E518=$AB$49,$AC$49,E518=$AB$50,$AC$50,E518=$AB$51,$AC$51,E518=$AB$52,$AC$52,E518=$AB$53,$AC$53,E518=$AB$54,$AC$54,E518=$AB$55,$AC$55,E518=$AB$56,$AC$56,E518=$AB$57,$AC$57,E518=$AB$58,$AC$58,E518=$AB$59,$AC$59,E518=$AB$60,$AC$60,E518=$AB$61,$AC$61,E518=$AB$62,$AC$62,E518=$AB$63,$AC$63,E518=$AB$64,$AC$64,E518=$AB$65,$AC$65,E518=$AB$66,$AC$66,TRUE,"0")</f>
        <v>#NAME?</v>
      </c>
      <c r="C518" s="161" t="str" cm="1">
        <f t="array" ref="C518">_xlfn.IFS(E518=$AB$42,$AF$42,E518=$AB$43,$AF$43,E518=$AB$44,$AF$44,E518=$AB$45,$AF$45,E518=$AB$46,$AF$46,E518=$AB$47,$AF$47,E518=$AB$48,$AF$48,E518=$AB$49,$AF$49,E518=$AB$50,$AF$50,E518=$AB$51,$AF$51,E518=$AB$52,$AF$52,E518=$AB$53,$AF$53,E518=$AB$54,$AF$54,E518=$AB$55,$AF$55,E518=$AB$56,$AF$56,E518=$AB$57,$AF$57,E518=$AB$58,$AF$58,E518=$AB$59,$AF$59,E518=$AB$60,$AF$60,E518=$AB$61,$AF$61,E518=$AB$62,$AF$62,E518=$AB$63,$AF$63,E518=$AB$64,$AF$64,E518=$AB$65,$AF$65,E518=$AB$66,$AF$66,TRUE,"0")</f>
        <v>if 0-0, BACK+ 0.5 GOALS  @ 1.15+odds.  or @ 40 mins</v>
      </c>
      <c r="D518" s="270" t="str" cm="1">
        <f t="array" ref="D518">_xlfn.IFS(E518=$AB$42,$AD$42,E518=$AB$43,$AD$43,E518=$AB$44,$AD$44,E518=$AB$45,$AD$45,E518=$AB$46,$AD$46,E518=$AB$47,$AD$47,E518=$AB$48,$AD$48,E518=$AB$49,$AD$49,E518=$AB$50,$AD$50,E518=$AB$51,$AD$51,E518=$AB$52,$AD$52,E518=$AB$53,$AD$53,E518=$AB$54,$AD$54,E518=$AB$55,$AD$55,E518=$AB$56,$AD$56,E518=$AB$57,$AD$57,E518=$AB$58,$AD$58,E518=$AB$59,$AD$59,E518=$AB$60,$AD$60,E518=$AB$61,$AD$61,E518=$AB$62,$AD$62,E518=$AB$63,$AD$63,E518=$AB$64,$AD$64,E518=$AB$65,$AD$65,E518=$AB$66,$AD$66,TRUE,"0")</f>
        <v>IP</v>
      </c>
      <c r="E518" s="163" t="s">
        <v>270</v>
      </c>
      <c r="F518" s="2" t="s">
        <v>67</v>
      </c>
      <c r="G518" s="2" t="s">
        <v>169</v>
      </c>
      <c r="H518" s="3">
        <v>45360.625</v>
      </c>
      <c r="I518" s="2" t="s">
        <v>283</v>
      </c>
      <c r="J518" s="2" t="s">
        <v>203</v>
      </c>
      <c r="K518" s="2">
        <v>61</v>
      </c>
      <c r="L518" s="2">
        <v>0</v>
      </c>
      <c r="M518" s="2">
        <v>20</v>
      </c>
      <c r="N518" s="2">
        <v>35</v>
      </c>
      <c r="O518" s="2">
        <v>2.4500000000000002</v>
      </c>
      <c r="P518" s="2"/>
      <c r="Q518" s="2" t="s">
        <v>95</v>
      </c>
      <c r="R518" s="14" t="s">
        <v>193</v>
      </c>
      <c r="S518" s="10" t="s">
        <v>223</v>
      </c>
      <c r="T518" s="188">
        <f t="shared" si="64"/>
        <v>913.97275698183296</v>
      </c>
      <c r="U518" s="8">
        <f t="shared" si="62"/>
        <v>164.51509625672992</v>
      </c>
      <c r="V518" s="234">
        <f>SUM(V517,U518)</f>
        <v>18443.97023589339</v>
      </c>
      <c r="W518" s="15">
        <v>25</v>
      </c>
      <c r="X518" s="8">
        <f t="shared" si="65"/>
        <v>4.5</v>
      </c>
      <c r="Y518" s="233">
        <f t="shared" si="66"/>
        <v>2325</v>
      </c>
    </row>
    <row r="519" spans="1:25">
      <c r="A519" s="156" t="e" cm="1">
        <f t="array" aca="1" ref="A519" ca="1">_xlfn.IFS(E519=$AB$42,$AC$42,E519=$AB$43,$AC$43,E519=$AB$44,$AC$44,E519=$AB$45,$AC$45,E519=$AB$46,$AC$46,E519=$AB$47,$AC$47,E519=$AB$48,$AC$48,E519=$AB$49,$AC$49,E519=$AB$50,$AC$50,E519=$AB$51,$AC$51,E519=$AB$52,$AC$52,E519=$AB$53,$AC$53,E519=$AB$54,$AC$54,E519=$AB$55,$AC$55,E519=$AB$56,$AC$56,E519=$AB$57,$AC$57,E519=$AB$58,$AC$58,E519=$AB$59,$AC$59,E519=$AB$60,$AC$60,E519=$AB$61,$AC$61,E519=$AB$62,$AC$62,E519=$AB$63,$AC$63,E519=$AB$64,$AC$64,E519=$AB$65,$AC$65,E519=$AB$66,$AC$66,TRUE,"0")</f>
        <v>#NAME?</v>
      </c>
      <c r="C519" s="161" t="str" cm="1">
        <f t="array" ref="C519">_xlfn.IFS(E519=$AB$42,$AF$42,E519=$AB$43,$AF$43,E519=$AB$44,$AF$44,E519=$AB$45,$AF$45,E519=$AB$46,$AF$46,E519=$AB$47,$AF$47,E519=$AB$48,$AF$48,E519=$AB$49,$AF$49,E519=$AB$50,$AF$50,E519=$AB$51,$AF$51,E519=$AB$52,$AF$52,E519=$AB$53,$AF$53,E519=$AB$54,$AF$54,E519=$AB$55,$AF$55,E519=$AB$56,$AF$56,E519=$AB$57,$AF$57,E519=$AB$58,$AF$58,E519=$AB$59,$AF$59,E519=$AB$60,$AF$60,E519=$AB$61,$AF$61,E519=$AB$62,$AF$62,E519=$AB$63,$AF$63,E519=$AB$64,$AF$64,E519=$AB$65,$AF$65,E519=$AB$66,$AF$66,TRUE,"0")</f>
        <v>if 0-0, BACK+ 0.5 GOALS  @ 1.15+odds.  or @ 40 mins</v>
      </c>
      <c r="D519" s="270" t="str" cm="1">
        <f t="array" ref="D519">_xlfn.IFS(E519=$AB$42,$AD$42,E519=$AB$43,$AD$43,E519=$AB$44,$AD$44,E519=$AB$45,$AD$45,E519=$AB$46,$AD$46,E519=$AB$47,$AD$47,E519=$AB$48,$AD$48,E519=$AB$49,$AD$49,E519=$AB$50,$AD$50,E519=$AB$51,$AD$51,E519=$AB$52,$AD$52,E519=$AB$53,$AD$53,E519=$AB$54,$AD$54,E519=$AB$55,$AD$55,E519=$AB$56,$AD$56,E519=$AB$57,$AD$57,E519=$AB$58,$AD$58,E519=$AB$59,$AD$59,E519=$AB$60,$AD$60,E519=$AB$61,$AD$61,E519=$AB$62,$AD$62,E519=$AB$63,$AD$63,E519=$AB$64,$AD$64,E519=$AB$65,$AD$65,E519=$AB$66,$AD$66,TRUE,"0")</f>
        <v>IP</v>
      </c>
      <c r="E519" s="163" t="s">
        <v>270</v>
      </c>
      <c r="F519" s="2" t="s">
        <v>6</v>
      </c>
      <c r="G519" s="2" t="s">
        <v>14</v>
      </c>
      <c r="H519" s="3">
        <v>45360.625</v>
      </c>
      <c r="I519" s="2" t="s">
        <v>431</v>
      </c>
      <c r="J519" s="2" t="s">
        <v>376</v>
      </c>
      <c r="K519" s="2">
        <v>60</v>
      </c>
      <c r="L519" s="2">
        <v>0</v>
      </c>
      <c r="M519" s="2">
        <v>20</v>
      </c>
      <c r="N519" s="2">
        <v>31</v>
      </c>
      <c r="O519" s="2">
        <v>2.66</v>
      </c>
      <c r="P519" s="2"/>
      <c r="Q519" s="2" t="s">
        <v>95</v>
      </c>
      <c r="R519" s="14" t="s">
        <v>216</v>
      </c>
      <c r="S519" s="10" t="s">
        <v>223</v>
      </c>
      <c r="T519" s="188">
        <f t="shared" si="64"/>
        <v>922.19851179466957</v>
      </c>
      <c r="U519" s="8">
        <f t="shared" si="62"/>
        <v>165.99573212304051</v>
      </c>
      <c r="V519" s="234">
        <f t="shared" si="63"/>
        <v>18609.96596801643</v>
      </c>
      <c r="W519" s="15">
        <v>25</v>
      </c>
      <c r="X519" s="8">
        <f t="shared" si="65"/>
        <v>4.5</v>
      </c>
      <c r="Y519" s="233">
        <f t="shared" si="66"/>
        <v>2329.5</v>
      </c>
    </row>
    <row r="520" spans="1:25">
      <c r="A520" s="156" t="e" cm="1">
        <f t="array" aca="1" ref="A520" ca="1">_xlfn.IFS(E520=$AB$42,$AC$42,E520=$AB$43,$AC$43,E520=$AB$44,$AC$44,E520=$AB$45,$AC$45,E520=$AB$46,$AC$46,E520=$AB$47,$AC$47,E520=$AB$48,$AC$48,E520=$AB$49,$AC$49,E520=$AB$50,$AC$50,E520=$AB$51,$AC$51,E520=$AB$52,$AC$52,E520=$AB$53,$AC$53,E520=$AB$54,$AC$54,E520=$AB$55,$AC$55,E520=$AB$56,$AC$56,E520=$AB$57,$AC$57,E520=$AB$58,$AC$58,E520=$AB$59,$AC$59,E520=$AB$60,$AC$60,E520=$AB$61,$AC$61,E520=$AB$62,$AC$62,E520=$AB$63,$AC$63,E520=$AB$64,$AC$64,E520=$AB$65,$AC$65,E520=$AB$66,$AC$66,TRUE,"0")</f>
        <v>#NAME?</v>
      </c>
      <c r="C520" s="161" t="str" cm="1">
        <f t="array" ref="C520">_xlfn.IFS(E520=$AB$42,$AF$42,E520=$AB$43,$AF$43,E520=$AB$44,$AF$44,E520=$AB$45,$AF$45,E520=$AB$46,$AF$46,E520=$AB$47,$AF$47,E520=$AB$48,$AF$48,E520=$AB$49,$AF$49,E520=$AB$50,$AF$50,E520=$AB$51,$AF$51,E520=$AB$52,$AF$52,E520=$AB$53,$AF$53,E520=$AB$54,$AF$54,E520=$AB$55,$AF$55,E520=$AB$56,$AF$56,E520=$AB$57,$AF$57,E520=$AB$58,$AF$58,E520=$AB$59,$AF$59,E520=$AB$60,$AF$60,E520=$AB$61,$AF$61,E520=$AB$62,$AF$62,E520=$AB$63,$AF$63,E520=$AB$64,$AF$64,E520=$AB$65,$AF$65,E520=$AB$66,$AF$66,TRUE,"0")</f>
        <v>B4 MATCH bet H1 'under 2.5goals'- X at 40 minutes</v>
      </c>
      <c r="D520" s="270" t="str" cm="1">
        <f t="array" ref="D520">_xlfn.IFS(E520=$AB$42,$AD$42,E520=$AB$43,$AD$43,E520=$AB$44,$AD$44,E520=$AB$45,$AD$45,E520=$AB$46,$AD$46,E520=$AB$47,$AD$47,E520=$AB$48,$AD$48,E520=$AB$49,$AD$49,E520=$AB$50,$AD$50,E520=$AB$51,$AD$51,E520=$AB$52,$AD$52,E520=$AB$53,$AD$53,E520=$AB$54,$AD$54,E520=$AB$55,$AD$55,E520=$AB$56,$AD$56,E520=$AB$57,$AD$57,E520=$AB$58,$AD$58,E520=$AB$59,$AD$59,E520=$AB$60,$AD$60,E520=$AB$61,$AD$61,E520=$AB$62,$AD$62,E520=$AB$63,$AD$63,E520=$AB$64,$AD$64,E520=$AB$65,$AD$65,E520=$AB$66,$AD$66,TRUE,"0")</f>
        <v xml:space="preserve">BFM </v>
      </c>
      <c r="E520" s="164" t="s">
        <v>458</v>
      </c>
      <c r="F520" s="36" t="s">
        <v>541</v>
      </c>
      <c r="G520" s="36" t="s">
        <v>62</v>
      </c>
      <c r="H520" s="37">
        <v>45360.645833333336</v>
      </c>
      <c r="I520" s="36" t="s">
        <v>547</v>
      </c>
      <c r="J520" s="36" t="s">
        <v>548</v>
      </c>
      <c r="K520" s="36">
        <v>20</v>
      </c>
      <c r="L520" s="36">
        <v>80</v>
      </c>
      <c r="M520" s="36">
        <v>95</v>
      </c>
      <c r="N520" s="36">
        <v>45</v>
      </c>
      <c r="O520" s="36">
        <v>1.65</v>
      </c>
      <c r="P520" s="36"/>
      <c r="Q520" s="36" t="s">
        <v>95</v>
      </c>
      <c r="R520" s="38" t="s">
        <v>216</v>
      </c>
      <c r="S520" s="157" t="s">
        <v>225</v>
      </c>
      <c r="T520" s="188">
        <f t="shared" si="64"/>
        <v>930.49829840082157</v>
      </c>
      <c r="U520" s="8">
        <f t="shared" si="62"/>
        <v>167.48969371214787</v>
      </c>
      <c r="V520" s="234">
        <f t="shared" si="63"/>
        <v>18777.455661728578</v>
      </c>
      <c r="W520" s="15">
        <v>25</v>
      </c>
      <c r="X520" s="8">
        <f t="shared" si="65"/>
        <v>4.5</v>
      </c>
      <c r="Y520" s="233">
        <f t="shared" si="66"/>
        <v>2334</v>
      </c>
    </row>
    <row r="521" spans="1:25">
      <c r="A521" s="156" t="e" cm="1">
        <f t="array" aca="1" ref="A521" ca="1">_xlfn.IFS(E521=$AB$42,$AC$42,E521=$AB$43,$AC$43,E521=$AB$44,$AC$44,E521=$AB$45,$AC$45,E521=$AB$46,$AC$46,E521=$AB$47,$AC$47,E521=$AB$48,$AC$48,E521=$AB$49,$AC$49,E521=$AB$50,$AC$50,E521=$AB$51,$AC$51,E521=$AB$52,$AC$52,E521=$AB$53,$AC$53,E521=$AB$54,$AC$54,E521=$AB$55,$AC$55,E521=$AB$56,$AC$56,E521=$AB$57,$AC$57,E521=$AB$58,$AC$58,E521=$AB$59,$AC$59,E521=$AB$60,$AC$60,E521=$AB$61,$AC$61,E521=$AB$62,$AC$62,E521=$AB$63,$AC$63,E521=$AB$64,$AC$64,E521=$AB$65,$AC$65,E521=$AB$66,$AC$66,TRUE,"0")</f>
        <v>#NAME?</v>
      </c>
      <c r="C521" s="161" t="str" cm="1">
        <f t="array" ref="C521">_xlfn.IFS(E521=$AB$42,$AF$42,E521=$AB$43,$AF$43,E521=$AB$44,$AF$44,E521=$AB$45,$AF$45,E521=$AB$46,$AF$46,E521=$AB$47,$AF$47,E521=$AB$48,$AF$48,E521=$AB$49,$AF$49,E521=$AB$50,$AF$50,E521=$AB$51,$AF$51,E521=$AB$52,$AF$52,E521=$AB$53,$AF$53,E521=$AB$54,$AF$54,E521=$AB$55,$AF$55,E521=$AB$56,$AF$56,E521=$AB$57,$AF$57,E521=$AB$58,$AF$58,E521=$AB$59,$AF$59,E521=$AB$60,$AF$60,E521=$AB$61,$AF$61,E521=$AB$62,$AF$62,E521=$AB$63,$AF$63,E521=$AB$64,$AF$64,E521=$AB$65,$AF$65,E521=$AB$66,$AF$66,TRUE,"0")</f>
        <v>20mins if  0-0, BACK over 1.5 goals X after goal OR LET RUN</v>
      </c>
      <c r="D521" s="270" t="str" cm="1">
        <f t="array" ref="D521">_xlfn.IFS(E521=$AB$42,$AD$42,E521=$AB$43,$AD$43,E521=$AB$44,$AD$44,E521=$AB$45,$AD$45,E521=$AB$46,$AD$46,E521=$AB$47,$AD$47,E521=$AB$48,$AD$48,E521=$AB$49,$AD$49,E521=$AB$50,$AD$50,E521=$AB$51,$AD$51,E521=$AB$52,$AD$52,E521=$AB$53,$AD$53,E521=$AB$54,$AD$54,E521=$AB$55,$AD$55,E521=$AB$56,$AD$56,E521=$AB$57,$AD$57,E521=$AB$58,$AD$58,E521=$AB$59,$AD$59,E521=$AB$60,$AD$60,E521=$AB$61,$AD$61,E521=$AB$62,$AD$62,E521=$AB$63,$AD$63,E521=$AB$64,$AD$64,E521=$AB$65,$AD$65,E521=$AB$66,$AD$66,TRUE,"0")</f>
        <v>IP</v>
      </c>
      <c r="E521" s="163" t="s">
        <v>474</v>
      </c>
      <c r="F521" s="2" t="s">
        <v>77</v>
      </c>
      <c r="G521" s="2" t="s">
        <v>251</v>
      </c>
      <c r="H521" s="3">
        <v>45360.645833333336</v>
      </c>
      <c r="I521" s="2" t="s">
        <v>252</v>
      </c>
      <c r="J521" s="2" t="s">
        <v>549</v>
      </c>
      <c r="K521" s="2">
        <v>53</v>
      </c>
      <c r="L521" s="2">
        <v>3.45</v>
      </c>
      <c r="M521" s="2">
        <v>20</v>
      </c>
      <c r="N521" s="2">
        <v>70</v>
      </c>
      <c r="O521" s="2">
        <v>95</v>
      </c>
      <c r="P521" s="2"/>
      <c r="Q521" s="2" t="s">
        <v>95</v>
      </c>
      <c r="R521" s="14" t="s">
        <v>221</v>
      </c>
      <c r="S521" s="10" t="s">
        <v>214</v>
      </c>
      <c r="T521" s="188">
        <f t="shared" si="64"/>
        <v>938.87278308642897</v>
      </c>
      <c r="U521" s="8">
        <f t="shared" si="62"/>
        <v>168.99710095555722</v>
      </c>
      <c r="V521" s="234">
        <f t="shared" si="63"/>
        <v>18946.452762684134</v>
      </c>
      <c r="W521" s="15">
        <v>25</v>
      </c>
      <c r="X521" s="8">
        <f t="shared" si="65"/>
        <v>4.5</v>
      </c>
      <c r="Y521" s="233">
        <f t="shared" si="66"/>
        <v>2338.5</v>
      </c>
    </row>
    <row r="522" spans="1:25">
      <c r="A522" s="156" t="e" cm="1">
        <f t="array" aca="1" ref="A522" ca="1">_xlfn.IFS(E522=$AB$42,$AC$42,E522=$AB$43,$AC$43,E522=$AB$44,$AC$44,E522=$AB$45,$AC$45,E522=$AB$46,$AC$46,E522=$AB$47,$AC$47,E522=$AB$48,$AC$48,E522=$AB$49,$AC$49,E522=$AB$50,$AC$50,E522=$AB$51,$AC$51,E522=$AB$52,$AC$52,E522=$AB$53,$AC$53,E522=$AB$54,$AC$54,E522=$AB$55,$AC$55,E522=$AB$56,$AC$56,E522=$AB$57,$AC$57,E522=$AB$58,$AC$58,E522=$AB$59,$AC$59,E522=$AB$60,$AC$60,E522=$AB$61,$AC$61,E522=$AB$62,$AC$62,E522=$AB$63,$AC$63,E522=$AB$64,$AC$64,E522=$AB$65,$AC$65,E522=$AB$66,$AC$66,TRUE,"0")</f>
        <v>#NAME?</v>
      </c>
      <c r="C522" s="161" t="str" cm="1">
        <f t="array" ref="C522">_xlfn.IFS(E522=$AB$42,$AF$42,E522=$AB$43,$AF$43,E522=$AB$44,$AF$44,E522=$AB$45,$AF$45,E522=$AB$46,$AF$46,E522=$AB$47,$AF$47,E522=$AB$48,$AF$48,E522=$AB$49,$AF$49,E522=$AB$50,$AF$50,E522=$AB$51,$AF$51,E522=$AB$52,$AF$52,E522=$AB$53,$AF$53,E522=$AB$54,$AF$54,E522=$AB$55,$AF$55,E522=$AB$56,$AF$56,E522=$AB$57,$AF$57,E522=$AB$58,$AF$58,E522=$AB$59,$AF$59,E522=$AB$60,$AF$60,E522=$AB$61,$AF$61,E522=$AB$62,$AF$62,E522=$AB$63,$AF$63,E522=$AB$64,$AF$64,E522=$AB$65,$AF$65,E522=$AB$66,$AF$66,TRUE,"0")</f>
        <v>if 0-0, BACK+ 0.5 GOALS  @ 1.15+odds.  or @ 40 mins</v>
      </c>
      <c r="D522" s="270" t="str" cm="1">
        <f t="array" ref="D522">_xlfn.IFS(E522=$AB$42,$AD$42,E522=$AB$43,$AD$43,E522=$AB$44,$AD$44,E522=$AB$45,$AD$45,E522=$AB$46,$AD$46,E522=$AB$47,$AD$47,E522=$AB$48,$AD$48,E522=$AB$49,$AD$49,E522=$AB$50,$AD$50,E522=$AB$51,$AD$51,E522=$AB$52,$AD$52,E522=$AB$53,$AD$53,E522=$AB$54,$AD$54,E522=$AB$55,$AD$55,E522=$AB$56,$AD$56,E522=$AB$57,$AD$57,E522=$AB$58,$AD$58,E522=$AB$59,$AD$59,E522=$AB$60,$AD$60,E522=$AB$61,$AD$61,E522=$AB$62,$AD$62,E522=$AB$63,$AD$63,E522=$AB$64,$AD$64,E522=$AB$65,$AD$65,E522=$AB$66,$AD$66,TRUE,"0")</f>
        <v>IP</v>
      </c>
      <c r="E522" s="163" t="s">
        <v>270</v>
      </c>
      <c r="F522" s="2" t="s">
        <v>80</v>
      </c>
      <c r="G522" s="2" t="s">
        <v>81</v>
      </c>
      <c r="H522" s="3">
        <v>45360.666666666664</v>
      </c>
      <c r="I522" s="2" t="s">
        <v>550</v>
      </c>
      <c r="J522" s="2" t="s">
        <v>551</v>
      </c>
      <c r="K522" s="2">
        <v>59</v>
      </c>
      <c r="L522" s="2">
        <v>0</v>
      </c>
      <c r="M522" s="2">
        <v>20</v>
      </c>
      <c r="N522" s="2">
        <v>36</v>
      </c>
      <c r="O522" s="2">
        <v>2.06</v>
      </c>
      <c r="P522" s="2"/>
      <c r="Q522" s="2" t="s">
        <v>95</v>
      </c>
      <c r="R522" s="14" t="s">
        <v>216</v>
      </c>
      <c r="S522" s="10" t="s">
        <v>197</v>
      </c>
      <c r="T522" s="188">
        <f t="shared" si="64"/>
        <v>947.32263813420673</v>
      </c>
      <c r="U522" s="8">
        <f t="shared" si="62"/>
        <v>170.5180748641572</v>
      </c>
      <c r="V522" s="234">
        <f t="shared" si="63"/>
        <v>19116.970837548291</v>
      </c>
      <c r="W522" s="15">
        <v>25</v>
      </c>
      <c r="X522" s="8">
        <f t="shared" si="65"/>
        <v>4.5</v>
      </c>
      <c r="Y522" s="233">
        <f t="shared" si="66"/>
        <v>2343</v>
      </c>
    </row>
    <row r="523" spans="1:25">
      <c r="A523" s="156" t="e" cm="1">
        <f t="array" aca="1" ref="A523" ca="1">_xlfn.IFS(E523=$AB$42,$AC$42,E523=$AB$43,$AC$43,E523=$AB$44,$AC$44,E523=$AB$45,$AC$45,E523=$AB$46,$AC$46,E523=$AB$47,$AC$47,E523=$AB$48,$AC$48,E523=$AB$49,$AC$49,E523=$AB$50,$AC$50,E523=$AB$51,$AC$51,E523=$AB$52,$AC$52,E523=$AB$53,$AC$53,E523=$AB$54,$AC$54,E523=$AB$55,$AC$55,E523=$AB$56,$AC$56,E523=$AB$57,$AC$57,E523=$AB$58,$AC$58,E523=$AB$59,$AC$59,E523=$AB$60,$AC$60,E523=$AB$61,$AC$61,E523=$AB$62,$AC$62,E523=$AB$63,$AC$63,E523=$AB$64,$AC$64,E523=$AB$65,$AC$65,E523=$AB$66,$AC$66,TRUE,"0")</f>
        <v>#NAME?</v>
      </c>
      <c r="C523" s="161" t="str" cm="1">
        <f t="array" ref="C523">_xlfn.IFS(E523=$AB$42,$AF$42,E523=$AB$43,$AF$43,E523=$AB$44,$AF$44,E523=$AB$45,$AF$45,E523=$AB$46,$AF$46,E523=$AB$47,$AF$47,E523=$AB$48,$AF$48,E523=$AB$49,$AF$49,E523=$AB$50,$AF$50,E523=$AB$51,$AF$51,E523=$AB$52,$AF$52,E523=$AB$53,$AF$53,E523=$AB$54,$AF$54,E523=$AB$55,$AF$55,E523=$AB$56,$AF$56,E523=$AB$57,$AF$57,E523=$AB$58,$AF$58,E523=$AB$59,$AF$59,E523=$AB$60,$AF$60,E523=$AB$61,$AF$61,E523=$AB$62,$AF$62,E523=$AB$63,$AF$63,E523=$AB$64,$AF$64,E523=$AB$65,$AF$65,E523=$AB$66,$AF$66,TRUE,"0")</f>
        <v>B4 match BACK FT +1.5 goals. X AFTER  GOAL</v>
      </c>
      <c r="D523" s="270" t="str" cm="1">
        <f t="array" ref="D523">_xlfn.IFS(E523=$AB$42,$AD$42,E523=$AB$43,$AD$43,E523=$AB$44,$AD$44,E523=$AB$45,$AD$45,E523=$AB$46,$AD$46,E523=$AB$47,$AD$47,E523=$AB$48,$AD$48,E523=$AB$49,$AD$49,E523=$AB$50,$AD$50,E523=$AB$51,$AD$51,E523=$AB$52,$AD$52,E523=$AB$53,$AD$53,E523=$AB$54,$AD$54,E523=$AB$55,$AD$55,E523=$AB$56,$AD$56,E523=$AB$57,$AD$57,E523=$AB$58,$AD$58,E523=$AB$59,$AD$59,E523=$AB$60,$AD$60,E523=$AB$61,$AD$61,E523=$AB$62,$AD$62,E523=$AB$63,$AD$63,E523=$AB$64,$AD$64,E523=$AB$65,$AD$65,E523=$AB$66,$AD$66,TRUE,"0")</f>
        <v xml:space="preserve">BFM </v>
      </c>
      <c r="E523" s="163" t="s">
        <v>512</v>
      </c>
      <c r="F523" s="2" t="s">
        <v>6</v>
      </c>
      <c r="G523" s="2" t="s">
        <v>62</v>
      </c>
      <c r="H523" s="3">
        <v>45360.729166666664</v>
      </c>
      <c r="I523" s="2" t="s">
        <v>73</v>
      </c>
      <c r="J523" s="2" t="s">
        <v>63</v>
      </c>
      <c r="K523" s="2">
        <v>3.55</v>
      </c>
      <c r="L523" s="2">
        <v>20</v>
      </c>
      <c r="M523" s="2">
        <v>3.25</v>
      </c>
      <c r="N523" s="2">
        <v>31</v>
      </c>
      <c r="O523" s="2">
        <v>3</v>
      </c>
      <c r="P523" s="2"/>
      <c r="Q523" s="2" t="s">
        <v>95</v>
      </c>
      <c r="R523" s="14" t="s">
        <v>216</v>
      </c>
      <c r="S523" s="10" t="s">
        <v>222</v>
      </c>
      <c r="T523" s="188">
        <f t="shared" si="64"/>
        <v>955.84854187741462</v>
      </c>
      <c r="U523" s="8">
        <f t="shared" si="62"/>
        <v>172.05273753793463</v>
      </c>
      <c r="V523" s="234">
        <f t="shared" si="63"/>
        <v>19289.023575086227</v>
      </c>
      <c r="W523" s="15">
        <v>25</v>
      </c>
      <c r="X523" s="8">
        <f t="shared" si="65"/>
        <v>4.5</v>
      </c>
      <c r="Y523" s="233">
        <f t="shared" si="66"/>
        <v>2347.5</v>
      </c>
    </row>
    <row r="524" spans="1:25">
      <c r="A524" s="156" t="e" cm="1">
        <f t="array" aca="1" ref="A524" ca="1">_xlfn.IFS(E524=$AB$42,$AC$42,E524=$AB$43,$AC$43,E524=$AB$44,$AC$44,E524=$AB$45,$AC$45,E524=$AB$46,$AC$46,E524=$AB$47,$AC$47,E524=$AB$48,$AC$48,E524=$AB$49,$AC$49,E524=$AB$50,$AC$50,E524=$AB$51,$AC$51,E524=$AB$52,$AC$52,E524=$AB$53,$AC$53,E524=$AB$54,$AC$54,E524=$AB$55,$AC$55,E524=$AB$56,$AC$56,E524=$AB$57,$AC$57,E524=$AB$58,$AC$58,E524=$AB$59,$AC$59,E524=$AB$60,$AC$60,E524=$AB$61,$AC$61,E524=$AB$62,$AC$62,E524=$AB$63,$AC$63,E524=$AB$64,$AC$64,E524=$AB$65,$AC$65,E524=$AB$66,$AC$66,TRUE,"0")</f>
        <v>#NAME?</v>
      </c>
      <c r="C524" s="161" t="str" cm="1">
        <f t="array" ref="C524">_xlfn.IFS(E524=$AB$42,$AF$42,E524=$AB$43,$AF$43,E524=$AB$44,$AF$44,E524=$AB$45,$AF$45,E524=$AB$46,$AF$46,E524=$AB$47,$AF$47,E524=$AB$48,$AF$48,E524=$AB$49,$AF$49,E524=$AB$50,$AF$50,E524=$AB$51,$AF$51,E524=$AB$52,$AF$52,E524=$AB$53,$AF$53,E524=$AB$54,$AF$54,E524=$AB$55,$AF$55,E524=$AB$56,$AF$56,E524=$AB$57,$AF$57,E524=$AB$58,$AF$58,E524=$AB$59,$AF$59,E524=$AB$60,$AF$60,E524=$AB$61,$AF$61,E524=$AB$62,$AF$62,E524=$AB$63,$AF$63,E524=$AB$64,$AF$64,E524=$AB$65,$AF$65,E524=$AB$66,$AF$66,TRUE,"0")</f>
        <v>if 0-0, BACK+ 0.5 GOALS  @ 1.15+odds.  or @ 40 mins</v>
      </c>
      <c r="D524" s="270" t="str" cm="1">
        <f t="array" ref="D524">_xlfn.IFS(E524=$AB$42,$AD$42,E524=$AB$43,$AD$43,E524=$AB$44,$AD$44,E524=$AB$45,$AD$45,E524=$AB$46,$AD$46,E524=$AB$47,$AD$47,E524=$AB$48,$AD$48,E524=$AB$49,$AD$49,E524=$AB$50,$AD$50,E524=$AB$51,$AD$51,E524=$AB$52,$AD$52,E524=$AB$53,$AD$53,E524=$AB$54,$AD$54,E524=$AB$55,$AD$55,E524=$AB$56,$AD$56,E524=$AB$57,$AD$57,E524=$AB$58,$AD$58,E524=$AB$59,$AD$59,E524=$AB$60,$AD$60,E524=$AB$61,$AD$61,E524=$AB$62,$AD$62,E524=$AB$63,$AD$63,E524=$AB$64,$AD$64,E524=$AB$65,$AD$65,E524=$AB$66,$AD$66,TRUE,"0")</f>
        <v>IP</v>
      </c>
      <c r="E524" s="163" t="s">
        <v>270</v>
      </c>
      <c r="F524" s="2" t="s">
        <v>6</v>
      </c>
      <c r="G524" s="2" t="s">
        <v>62</v>
      </c>
      <c r="H524" s="3">
        <v>45360.729166666664</v>
      </c>
      <c r="I524" s="2" t="s">
        <v>73</v>
      </c>
      <c r="J524" s="2" t="s">
        <v>63</v>
      </c>
      <c r="K524" s="2">
        <v>60</v>
      </c>
      <c r="L524" s="2">
        <v>0</v>
      </c>
      <c r="M524" s="2">
        <v>20</v>
      </c>
      <c r="N524" s="2">
        <v>31</v>
      </c>
      <c r="O524" s="2">
        <v>3.03</v>
      </c>
      <c r="P524" s="2"/>
      <c r="Q524" s="2" t="s">
        <v>95</v>
      </c>
      <c r="R524" s="14" t="s">
        <v>216</v>
      </c>
      <c r="S524" s="10" t="s">
        <v>222</v>
      </c>
      <c r="T524" s="188">
        <f t="shared" si="64"/>
        <v>964.4511787543114</v>
      </c>
      <c r="U524" s="8">
        <f t="shared" si="62"/>
        <v>173.60121217577606</v>
      </c>
      <c r="V524" s="234">
        <f t="shared" si="63"/>
        <v>19462.624787262004</v>
      </c>
      <c r="W524" s="15">
        <v>25</v>
      </c>
      <c r="X524" s="8">
        <f t="shared" si="65"/>
        <v>4.5</v>
      </c>
      <c r="Y524" s="233">
        <f t="shared" si="66"/>
        <v>2352</v>
      </c>
    </row>
    <row r="525" spans="1:25">
      <c r="A525" s="156" t="e" cm="1">
        <f t="array" aca="1" ref="A525" ca="1">_xlfn.IFS(E525=$AB$42,$AC$42,E525=$AB$43,$AC$43,E525=$AB$44,$AC$44,E525=$AB$45,$AC$45,E525=$AB$46,$AC$46,E525=$AB$47,$AC$47,E525=$AB$48,$AC$48,E525=$AB$49,$AC$49,E525=$AB$50,$AC$50,E525=$AB$51,$AC$51,E525=$AB$52,$AC$52,E525=$AB$53,$AC$53,E525=$AB$54,$AC$54,E525=$AB$55,$AC$55,E525=$AB$56,$AC$56,E525=$AB$57,$AC$57,E525=$AB$58,$AC$58,E525=$AB$59,$AC$59,E525=$AB$60,$AC$60,E525=$AB$61,$AC$61,E525=$AB$62,$AC$62,E525=$AB$63,$AC$63,E525=$AB$64,$AC$64,E525=$AB$65,$AC$65,E525=$AB$66,$AC$66,TRUE,"0")</f>
        <v>#NAME?</v>
      </c>
      <c r="C525" s="161" t="str" cm="1">
        <f t="array" ref="C525">_xlfn.IFS(E525=$AB$42,$AF$42,E525=$AB$43,$AF$43,E525=$AB$44,$AF$44,E525=$AB$45,$AF$45,E525=$AB$46,$AF$46,E525=$AB$47,$AF$47,E525=$AB$48,$AF$48,E525=$AB$49,$AF$49,E525=$AB$50,$AF$50,E525=$AB$51,$AF$51,E525=$AB$52,$AF$52,E525=$AB$53,$AF$53,E525=$AB$54,$AF$54,E525=$AB$55,$AF$55,E525=$AB$56,$AF$56,E525=$AB$57,$AF$57,E525=$AB$58,$AF$58,E525=$AB$59,$AF$59,E525=$AB$60,$AF$60,E525=$AB$61,$AF$61,E525=$AB$62,$AF$62,E525=$AB$63,$AF$63,E525=$AB$64,$AF$64,E525=$AB$65,$AF$65,E525=$AB$66,$AF$66,TRUE,"0")</f>
        <v>B4 Match, lay HT 0-0 or BACK H1 +0.5 GOALS</v>
      </c>
      <c r="D525" s="270" t="str" cm="1">
        <f t="array" ref="D525">_xlfn.IFS(E525=$AB$42,$AD$42,E525=$AB$43,$AD$43,E525=$AB$44,$AD$44,E525=$AB$45,$AD$45,E525=$AB$46,$AD$46,E525=$AB$47,$AD$47,E525=$AB$48,$AD$48,E525=$AB$49,$AD$49,E525=$AB$50,$AD$50,E525=$AB$51,$AD$51,E525=$AB$52,$AD$52,E525=$AB$53,$AD$53,E525=$AB$54,$AD$54,E525=$AB$55,$AD$55,E525=$AB$56,$AD$56,E525=$AB$57,$AD$57,E525=$AB$58,$AD$58,E525=$AB$59,$AD$59,E525=$AB$60,$AD$60,E525=$AB$61,$AD$61,E525=$AB$62,$AD$62,E525=$AB$63,$AD$63,E525=$AB$64,$AD$64,E525=$AB$65,$AD$65,E525=$AB$66,$AD$66,TRUE,"0")</f>
        <v xml:space="preserve">BFM </v>
      </c>
      <c r="E525" s="163" t="s">
        <v>448</v>
      </c>
      <c r="F525" s="2" t="s">
        <v>77</v>
      </c>
      <c r="G525" s="2" t="s">
        <v>156</v>
      </c>
      <c r="H525" s="3">
        <v>45360.729166666664</v>
      </c>
      <c r="I525" s="2" t="s">
        <v>254</v>
      </c>
      <c r="J525" s="2" t="s">
        <v>552</v>
      </c>
      <c r="K525" s="2">
        <v>20</v>
      </c>
      <c r="L525" s="2">
        <v>10</v>
      </c>
      <c r="M525" s="2">
        <v>32</v>
      </c>
      <c r="N525" s="2">
        <v>7</v>
      </c>
      <c r="O525" s="2">
        <v>6</v>
      </c>
      <c r="P525" s="2"/>
      <c r="Q525" s="2" t="s">
        <v>95</v>
      </c>
      <c r="R525" s="14" t="s">
        <v>217</v>
      </c>
      <c r="S525" s="10" t="s">
        <v>223</v>
      </c>
      <c r="T525" s="188">
        <f t="shared" si="64"/>
        <v>973.13123936310024</v>
      </c>
      <c r="U525" s="8">
        <f t="shared" si="62"/>
        <v>175.16362308535804</v>
      </c>
      <c r="V525" s="234">
        <f t="shared" si="63"/>
        <v>19637.788410347363</v>
      </c>
      <c r="W525" s="15">
        <v>25</v>
      </c>
      <c r="X525" s="8">
        <f t="shared" si="65"/>
        <v>4.5</v>
      </c>
      <c r="Y525" s="233">
        <f t="shared" si="66"/>
        <v>2356.5</v>
      </c>
    </row>
    <row r="526" spans="1:25">
      <c r="A526" s="156" t="e" cm="1">
        <f t="array" aca="1" ref="A526" ca="1">_xlfn.IFS(E526=$AB$42,$AC$42,E526=$AB$43,$AC$43,E526=$AB$44,$AC$44,E526=$AB$45,$AC$45,E526=$AB$46,$AC$46,E526=$AB$47,$AC$47,E526=$AB$48,$AC$48,E526=$AB$49,$AC$49,E526=$AB$50,$AC$50,E526=$AB$51,$AC$51,E526=$AB$52,$AC$52,E526=$AB$53,$AC$53,E526=$AB$54,$AC$54,E526=$AB$55,$AC$55,E526=$AB$56,$AC$56,E526=$AB$57,$AC$57,E526=$AB$58,$AC$58,E526=$AB$59,$AC$59,E526=$AB$60,$AC$60,E526=$AB$61,$AC$61,E526=$AB$62,$AC$62,E526=$AB$63,$AC$63,E526=$AB$64,$AC$64,E526=$AB$65,$AC$65,E526=$AB$66,$AC$66,TRUE,"0")</f>
        <v>#NAME?</v>
      </c>
      <c r="C526" s="161" t="str" cm="1">
        <f t="array" ref="C526">_xlfn.IFS(E526=$AB$42,$AF$42,E526=$AB$43,$AF$43,E526=$AB$44,$AF$44,E526=$AB$45,$AF$45,E526=$AB$46,$AF$46,E526=$AB$47,$AF$47,E526=$AB$48,$AF$48,E526=$AB$49,$AF$49,E526=$AB$50,$AF$50,E526=$AB$51,$AF$51,E526=$AB$52,$AF$52,E526=$AB$53,$AF$53,E526=$AB$54,$AF$54,E526=$AB$55,$AF$55,E526=$AB$56,$AF$56,E526=$AB$57,$AF$57,E526=$AB$58,$AF$58,E526=$AB$59,$AF$59,E526=$AB$60,$AF$60,E526=$AB$61,$AF$61,E526=$AB$62,$AF$62,E526=$AB$63,$AF$63,E526=$AB$64,$AF$64,E526=$AB$65,$AF$65,E526=$AB$66,$AF$66,TRUE,"0")</f>
        <v>B4 match BACK FT +1.5 goals. X AFTER  GOAL</v>
      </c>
      <c r="D526" s="270" t="str" cm="1">
        <f t="array" ref="D526">_xlfn.IFS(E526=$AB$42,$AD$42,E526=$AB$43,$AD$43,E526=$AB$44,$AD$44,E526=$AB$45,$AD$45,E526=$AB$46,$AD$46,E526=$AB$47,$AD$47,E526=$AB$48,$AD$48,E526=$AB$49,$AD$49,E526=$AB$50,$AD$50,E526=$AB$51,$AD$51,E526=$AB$52,$AD$52,E526=$AB$53,$AD$53,E526=$AB$54,$AD$54,E526=$AB$55,$AD$55,E526=$AB$56,$AD$56,E526=$AB$57,$AD$57,E526=$AB$58,$AD$58,E526=$AB$59,$AD$59,E526=$AB$60,$AD$60,E526=$AB$61,$AD$61,E526=$AB$62,$AD$62,E526=$AB$63,$AD$63,E526=$AB$64,$AD$64,E526=$AB$65,$AD$65,E526=$AB$66,$AD$66,TRUE,"0")</f>
        <v xml:space="preserve">BFM </v>
      </c>
      <c r="E526" s="163" t="s">
        <v>512</v>
      </c>
      <c r="F526" s="2" t="s">
        <v>149</v>
      </c>
      <c r="G526" s="2" t="s">
        <v>153</v>
      </c>
      <c r="H526" s="3">
        <v>45360.739583333336</v>
      </c>
      <c r="I526" s="2" t="s">
        <v>242</v>
      </c>
      <c r="J526" s="2" t="s">
        <v>395</v>
      </c>
      <c r="K526" s="2">
        <v>5.5</v>
      </c>
      <c r="L526" s="2">
        <v>20</v>
      </c>
      <c r="M526" s="2">
        <v>2.6</v>
      </c>
      <c r="N526" s="2">
        <v>32</v>
      </c>
      <c r="O526" s="2">
        <v>1</v>
      </c>
      <c r="P526" s="2"/>
      <c r="Q526" s="2" t="s">
        <v>95</v>
      </c>
      <c r="R526" s="14" t="s">
        <v>214</v>
      </c>
      <c r="S526" s="10" t="s">
        <v>222</v>
      </c>
      <c r="T526" s="188">
        <f t="shared" si="64"/>
        <v>981.88942051736819</v>
      </c>
      <c r="U526" s="8">
        <f t="shared" si="62"/>
        <v>176.74009569312628</v>
      </c>
      <c r="V526" s="234">
        <f t="shared" si="63"/>
        <v>19814.528506040489</v>
      </c>
      <c r="W526" s="15">
        <v>25</v>
      </c>
      <c r="X526" s="8">
        <f t="shared" si="65"/>
        <v>4.5</v>
      </c>
      <c r="Y526" s="233">
        <f t="shared" si="66"/>
        <v>2361</v>
      </c>
    </row>
    <row r="527" spans="1:25">
      <c r="A527" s="156" t="e" cm="1">
        <f t="array" aca="1" ref="A527" ca="1">_xlfn.IFS(E527=$AB$42,$AC$42,E527=$AB$43,$AC$43,E527=$AB$44,$AC$44,E527=$AB$45,$AC$45,E527=$AB$46,$AC$46,E527=$AB$47,$AC$47,E527=$AB$48,$AC$48,E527=$AB$49,$AC$49,E527=$AB$50,$AC$50,E527=$AB$51,$AC$51,E527=$AB$52,$AC$52,E527=$AB$53,$AC$53,E527=$AB$54,$AC$54,E527=$AB$55,$AC$55,E527=$AB$56,$AC$56,E527=$AB$57,$AC$57,E527=$AB$58,$AC$58,E527=$AB$59,$AC$59,E527=$AB$60,$AC$60,E527=$AB$61,$AC$61,E527=$AB$62,$AC$62,E527=$AB$63,$AC$63,E527=$AB$64,$AC$64,E527=$AB$65,$AC$65,E527=$AB$66,$AC$66,TRUE,"0")</f>
        <v>#NAME?</v>
      </c>
      <c r="C527" s="161" t="str" cm="1">
        <f t="array" ref="C527">_xlfn.IFS(E527=$AB$42,$AF$42,E527=$AB$43,$AF$43,E527=$AB$44,$AF$44,E527=$AB$45,$AF$45,E527=$AB$46,$AF$46,E527=$AB$47,$AF$47,E527=$AB$48,$AF$48,E527=$AB$49,$AF$49,E527=$AB$50,$AF$50,E527=$AB$51,$AF$51,E527=$AB$52,$AF$52,E527=$AB$53,$AF$53,E527=$AB$54,$AF$54,E527=$AB$55,$AF$55,E527=$AB$56,$AF$56,E527=$AB$57,$AF$57,E527=$AB$58,$AF$58,E527=$AB$59,$AF$59,E527=$AB$60,$AF$60,E527=$AB$61,$AF$61,E527=$AB$62,$AF$62,E527=$AB$63,$AF$63,E527=$AB$64,$AF$64,E527=$AB$65,$AF$65,E527=$AB$66,$AF$66,TRUE,"0")</f>
        <v>if 0-0, BACK+ 0.5 GOALS  @ 1.15+odds.  or @ 40 mins</v>
      </c>
      <c r="D527" s="270" t="str" cm="1">
        <f t="array" ref="D527">_xlfn.IFS(E527=$AB$42,$AD$42,E527=$AB$43,$AD$43,E527=$AB$44,$AD$44,E527=$AB$45,$AD$45,E527=$AB$46,$AD$46,E527=$AB$47,$AD$47,E527=$AB$48,$AD$48,E527=$AB$49,$AD$49,E527=$AB$50,$AD$50,E527=$AB$51,$AD$51,E527=$AB$52,$AD$52,E527=$AB$53,$AD$53,E527=$AB$54,$AD$54,E527=$AB$55,$AD$55,E527=$AB$56,$AD$56,E527=$AB$57,$AD$57,E527=$AB$58,$AD$58,E527=$AB$59,$AD$59,E527=$AB$60,$AD$60,E527=$AB$61,$AD$61,E527=$AB$62,$AD$62,E527=$AB$63,$AD$63,E527=$AB$64,$AD$64,E527=$AB$65,$AD$65,E527=$AB$66,$AD$66,TRUE,"0")</f>
        <v>IP</v>
      </c>
      <c r="E527" s="163" t="s">
        <v>270</v>
      </c>
      <c r="F527" s="2" t="s">
        <v>58</v>
      </c>
      <c r="G527" s="2" t="s">
        <v>59</v>
      </c>
      <c r="H527" s="3">
        <v>45360.75</v>
      </c>
      <c r="I527" s="2" t="s">
        <v>127</v>
      </c>
      <c r="J527" s="2" t="s">
        <v>112</v>
      </c>
      <c r="K527" s="2">
        <v>67</v>
      </c>
      <c r="L527" s="2">
        <v>0</v>
      </c>
      <c r="M527" s="2">
        <v>20</v>
      </c>
      <c r="N527" s="2">
        <v>34</v>
      </c>
      <c r="O527" s="2">
        <v>2.35</v>
      </c>
      <c r="P527" s="2"/>
      <c r="Q527" s="2" t="s">
        <v>96</v>
      </c>
      <c r="R527" s="14" t="s">
        <v>221</v>
      </c>
      <c r="S527" s="10" t="s">
        <v>221</v>
      </c>
      <c r="T527" s="188">
        <f t="shared" si="64"/>
        <v>990.7264253020245</v>
      </c>
      <c r="U527" s="8">
        <f t="shared" si="62"/>
        <v>-990.7264253020245</v>
      </c>
      <c r="V527" s="234">
        <f t="shared" ref="V527:V535" si="67">SUM(V526,U527)</f>
        <v>18823.802080738464</v>
      </c>
      <c r="W527" s="15">
        <v>25</v>
      </c>
      <c r="X527" s="8">
        <f t="shared" si="65"/>
        <v>-25</v>
      </c>
      <c r="Y527" s="233">
        <f t="shared" si="66"/>
        <v>2336</v>
      </c>
    </row>
    <row r="528" spans="1:25">
      <c r="A528" s="156" t="e" cm="1">
        <f t="array" aca="1" ref="A528" ca="1">_xlfn.IFS(E528=$AB$42,$AC$42,E528=$AB$43,$AC$43,E528=$AB$44,$AC$44,E528=$AB$45,$AC$45,E528=$AB$46,$AC$46,E528=$AB$47,$AC$47,E528=$AB$48,$AC$48,E528=$AB$49,$AC$49,E528=$AB$50,$AC$50,E528=$AB$51,$AC$51,E528=$AB$52,$AC$52,E528=$AB$53,$AC$53,E528=$AB$54,$AC$54,E528=$AB$55,$AC$55,E528=$AB$56,$AC$56,E528=$AB$57,$AC$57,E528=$AB$58,$AC$58,E528=$AB$59,$AC$59,E528=$AB$60,$AC$60,E528=$AB$61,$AC$61,E528=$AB$62,$AC$62,E528=$AB$63,$AC$63,E528=$AB$64,$AC$64,E528=$AB$65,$AC$65,E528=$AB$66,$AC$66,TRUE,"0")</f>
        <v>#NAME?</v>
      </c>
      <c r="C528" s="161" t="str" cm="1">
        <f t="array" ref="C528">_xlfn.IFS(E528=$AB$42,$AF$42,E528=$AB$43,$AF$43,E528=$AB$44,$AF$44,E528=$AB$45,$AF$45,E528=$AB$46,$AF$46,E528=$AB$47,$AF$47,E528=$AB$48,$AF$48,E528=$AB$49,$AF$49,E528=$AB$50,$AF$50,E528=$AB$51,$AF$51,E528=$AB$52,$AF$52,E528=$AB$53,$AF$53,E528=$AB$54,$AF$54,E528=$AB$55,$AF$55,E528=$AB$56,$AF$56,E528=$AB$57,$AF$57,E528=$AB$58,$AF$58,E528=$AB$59,$AF$59,E528=$AB$60,$AF$60,E528=$AB$61,$AF$61,E528=$AB$62,$AF$62,E528=$AB$63,$AF$63,E528=$AB$64,$AF$64,E528=$AB$65,$AF$65,E528=$AB$66,$AF$66,TRUE,"0")</f>
        <v>if 0-0, BACK+ 0.5 GOALS  @ 1.15+odds.  or @ 40 mins</v>
      </c>
      <c r="D528" s="270" t="str" cm="1">
        <f t="array" ref="D528">_xlfn.IFS(E528=$AB$42,$AD$42,E528=$AB$43,$AD$43,E528=$AB$44,$AD$44,E528=$AB$45,$AD$45,E528=$AB$46,$AD$46,E528=$AB$47,$AD$47,E528=$AB$48,$AD$48,E528=$AB$49,$AD$49,E528=$AB$50,$AD$50,E528=$AB$51,$AD$51,E528=$AB$52,$AD$52,E528=$AB$53,$AD$53,E528=$AB$54,$AD$54,E528=$AB$55,$AD$55,E528=$AB$56,$AD$56,E528=$AB$57,$AD$57,E528=$AB$58,$AD$58,E528=$AB$59,$AD$59,E528=$AB$60,$AD$60,E528=$AB$61,$AD$61,E528=$AB$62,$AD$62,E528=$AB$63,$AD$63,E528=$AB$64,$AD$64,E528=$AB$65,$AD$65,E528=$AB$66,$AD$66,TRUE,"0")</f>
        <v>IP</v>
      </c>
      <c r="E528" s="163" t="s">
        <v>270</v>
      </c>
      <c r="F528" s="2" t="s">
        <v>296</v>
      </c>
      <c r="G528" s="2" t="s">
        <v>78</v>
      </c>
      <c r="H528" s="3">
        <v>45360.8125</v>
      </c>
      <c r="I528" s="2" t="s">
        <v>367</v>
      </c>
      <c r="J528" s="2" t="s">
        <v>368</v>
      </c>
      <c r="K528" s="2">
        <v>61</v>
      </c>
      <c r="L528" s="2">
        <v>0</v>
      </c>
      <c r="M528" s="2">
        <v>20</v>
      </c>
      <c r="N528" s="2">
        <v>37</v>
      </c>
      <c r="O528" s="2">
        <v>1.83</v>
      </c>
      <c r="P528" s="2"/>
      <c r="Q528" s="2" t="s">
        <v>95</v>
      </c>
      <c r="R528" s="14" t="s">
        <v>222</v>
      </c>
      <c r="S528" s="10" t="s">
        <v>213</v>
      </c>
      <c r="T528" s="188">
        <f t="shared" si="64"/>
        <v>941.19010403692323</v>
      </c>
      <c r="U528" s="8">
        <f t="shared" si="62"/>
        <v>169.41421872664617</v>
      </c>
      <c r="V528" s="234">
        <f t="shared" si="67"/>
        <v>18993.216299465112</v>
      </c>
      <c r="W528" s="15">
        <v>25</v>
      </c>
      <c r="X528" s="8">
        <f t="shared" si="65"/>
        <v>4.5</v>
      </c>
      <c r="Y528" s="233">
        <f t="shared" si="66"/>
        <v>2340.5</v>
      </c>
    </row>
    <row r="529" spans="1:25">
      <c r="A529" s="156" t="e" cm="1">
        <f t="array" aca="1" ref="A529" ca="1">_xlfn.IFS(E529=$AB$42,$AC$42,E529=$AB$43,$AC$43,E529=$AB$44,$AC$44,E529=$AB$45,$AC$45,E529=$AB$46,$AC$46,E529=$AB$47,$AC$47,E529=$AB$48,$AC$48,E529=$AB$49,$AC$49,E529=$AB$50,$AC$50,E529=$AB$51,$AC$51,E529=$AB$52,$AC$52,E529=$AB$53,$AC$53,E529=$AB$54,$AC$54,E529=$AB$55,$AC$55,E529=$AB$56,$AC$56,E529=$AB$57,$AC$57,E529=$AB$58,$AC$58,E529=$AB$59,$AC$59,E529=$AB$60,$AC$60,E529=$AB$61,$AC$61,E529=$AB$62,$AC$62,E529=$AB$63,$AC$63,E529=$AB$64,$AC$64,E529=$AB$65,$AC$65,E529=$AB$66,$AC$66,TRUE,"0")</f>
        <v>#NAME?</v>
      </c>
      <c r="C529" s="161" t="str" cm="1">
        <f t="array" ref="C529">_xlfn.IFS(E529=$AB$42,$AF$42,E529=$AB$43,$AF$43,E529=$AB$44,$AF$44,E529=$AB$45,$AF$45,E529=$AB$46,$AF$46,E529=$AB$47,$AF$47,E529=$AB$48,$AF$48,E529=$AB$49,$AF$49,E529=$AB$50,$AF$50,E529=$AB$51,$AF$51,E529=$AB$52,$AF$52,E529=$AB$53,$AF$53,E529=$AB$54,$AF$54,E529=$AB$55,$AF$55,E529=$AB$56,$AF$56,E529=$AB$57,$AF$57,E529=$AB$58,$AF$58,E529=$AB$59,$AF$59,E529=$AB$60,$AF$60,E529=$AB$61,$AF$61,E529=$AB$62,$AF$62,E529=$AB$63,$AF$63,E529=$AB$64,$AF$64,E529=$AB$65,$AF$65,E529=$AB$66,$AF$66,TRUE,"0")</f>
        <v>if 0-0, BACK+ 0.5 GOALS  @ 1.15+odds.  or @ 40 mins</v>
      </c>
      <c r="D529" s="270" t="str" cm="1">
        <f t="array" ref="D529">_xlfn.IFS(E529=$AB$42,$AD$42,E529=$AB$43,$AD$43,E529=$AB$44,$AD$44,E529=$AB$45,$AD$45,E529=$AB$46,$AD$46,E529=$AB$47,$AD$47,E529=$AB$48,$AD$48,E529=$AB$49,$AD$49,E529=$AB$50,$AD$50,E529=$AB$51,$AD$51,E529=$AB$52,$AD$52,E529=$AB$53,$AD$53,E529=$AB$54,$AD$54,E529=$AB$55,$AD$55,E529=$AB$56,$AD$56,E529=$AB$57,$AD$57,E529=$AB$58,$AD$58,E529=$AB$59,$AD$59,E529=$AB$60,$AD$60,E529=$AB$61,$AD$61,E529=$AB$62,$AD$62,E529=$AB$63,$AD$63,E529=$AB$64,$AD$64,E529=$AB$65,$AD$65,E529=$AB$66,$AD$66,TRUE,"0")</f>
        <v>IP</v>
      </c>
      <c r="E529" s="163" t="s">
        <v>270</v>
      </c>
      <c r="F529" s="2" t="s">
        <v>44</v>
      </c>
      <c r="G529" s="2" t="s">
        <v>45</v>
      </c>
      <c r="H529" s="3">
        <v>45361.25</v>
      </c>
      <c r="I529" s="2" t="s">
        <v>46</v>
      </c>
      <c r="J529" s="2" t="s">
        <v>233</v>
      </c>
      <c r="K529" s="2">
        <v>64</v>
      </c>
      <c r="L529" s="2">
        <v>0</v>
      </c>
      <c r="M529" s="2">
        <v>20</v>
      </c>
      <c r="N529" s="2">
        <v>33</v>
      </c>
      <c r="O529" s="2">
        <v>2.99</v>
      </c>
      <c r="P529" s="2"/>
      <c r="Q529" s="2" t="s">
        <v>95</v>
      </c>
      <c r="R529" s="14" t="s">
        <v>221</v>
      </c>
      <c r="S529" s="10" t="s">
        <v>216</v>
      </c>
      <c r="T529" s="256">
        <f t="shared" si="64"/>
        <v>949.66081497325558</v>
      </c>
      <c r="U529" s="8">
        <f t="shared" si="62"/>
        <v>170.93894669518599</v>
      </c>
      <c r="V529" s="234">
        <f t="shared" si="67"/>
        <v>19164.155246160299</v>
      </c>
      <c r="W529" s="15">
        <v>25</v>
      </c>
      <c r="X529" s="8">
        <f t="shared" si="65"/>
        <v>4.5</v>
      </c>
      <c r="Y529" s="233">
        <f t="shared" si="66"/>
        <v>2345</v>
      </c>
    </row>
    <row r="530" spans="1:25">
      <c r="A530" s="156" t="e" cm="1">
        <f t="array" aca="1" ref="A530" ca="1">_xlfn.IFS(E530=$AB$42,$AC$42,E530=$AB$43,$AC$43,E530=$AB$44,$AC$44,E530=$AB$45,$AC$45,E530=$AB$46,$AC$46,E530=$AB$47,$AC$47,E530=$AB$48,$AC$48,E530=$AB$49,$AC$49,E530=$AB$50,$AC$50,E530=$AB$51,$AC$51,E530=$AB$52,$AC$52,E530=$AB$53,$AC$53,E530=$AB$54,$AC$54,E530=$AB$55,$AC$55,E530=$AB$56,$AC$56,E530=$AB$57,$AC$57,E530=$AB$58,$AC$58,E530=$AB$59,$AC$59,E530=$AB$60,$AC$60,E530=$AB$61,$AC$61,E530=$AB$62,$AC$62,E530=$AB$63,$AC$63,E530=$AB$64,$AC$64,E530=$AB$65,$AC$65,E530=$AB$66,$AC$66,TRUE,"0")</f>
        <v>#NAME?</v>
      </c>
      <c r="C530" s="161" t="str" cm="1">
        <f t="array" ref="C530">_xlfn.IFS(E530=$AB$42,$AF$42,E530=$AB$43,$AF$43,E530=$AB$44,$AF$44,E530=$AB$45,$AF$45,E530=$AB$46,$AF$46,E530=$AB$47,$AF$47,E530=$AB$48,$AF$48,E530=$AB$49,$AF$49,E530=$AB$50,$AF$50,E530=$AB$51,$AF$51,E530=$AB$52,$AF$52,E530=$AB$53,$AF$53,E530=$AB$54,$AF$54,E530=$AB$55,$AF$55,E530=$AB$56,$AF$56,E530=$AB$57,$AF$57,E530=$AB$58,$AF$58,E530=$AB$59,$AF$59,E530=$AB$60,$AF$60,E530=$AB$61,$AF$61,E530=$AB$62,$AF$62,E530=$AB$63,$AF$63,E530=$AB$64,$AF$64,E530=$AB$65,$AF$65,E530=$AB$66,$AF$66,TRUE,"0")</f>
        <v>40 mins Back ANother Goal</v>
      </c>
      <c r="D530" s="270" t="str" cm="1">
        <f t="array" ref="D530">_xlfn.IFS(E530=$AB$42,$AD$42,E530=$AB$43,$AD$43,E530=$AB$44,$AD$44,E530=$AB$45,$AD$45,E530=$AB$46,$AD$46,E530=$AB$47,$AD$47,E530=$AB$48,$AD$48,E530=$AB$49,$AD$49,E530=$AB$50,$AD$50,E530=$AB$51,$AD$51,E530=$AB$52,$AD$52,E530=$AB$53,$AD$53,E530=$AB$54,$AD$54,E530=$AB$55,$AD$55,E530=$AB$56,$AD$56,E530=$AB$57,$AD$57,E530=$AB$58,$AD$58,E530=$AB$59,$AD$59,E530=$AB$60,$AD$60,E530=$AB$61,$AD$61,E530=$AB$62,$AD$62,E530=$AB$63,$AD$63,E530=$AB$64,$AD$64,E530=$AB$65,$AD$65,E530=$AB$66,$AD$66,TRUE,"0")</f>
        <v xml:space="preserve">  BANG</v>
      </c>
      <c r="E530" s="163" t="s">
        <v>43</v>
      </c>
      <c r="F530" s="2" t="s">
        <v>6</v>
      </c>
      <c r="G530" s="2" t="s">
        <v>14</v>
      </c>
      <c r="H530" s="3">
        <v>45361.5</v>
      </c>
      <c r="I530" s="2" t="s">
        <v>421</v>
      </c>
      <c r="J530" s="2" t="s">
        <v>414</v>
      </c>
      <c r="K530" s="2">
        <v>67</v>
      </c>
      <c r="L530" s="2">
        <v>67</v>
      </c>
      <c r="M530" s="2">
        <v>57</v>
      </c>
      <c r="N530" s="2">
        <v>1.55</v>
      </c>
      <c r="O530" s="2">
        <v>1.1299999999999999</v>
      </c>
      <c r="P530" s="2"/>
      <c r="Q530" s="2" t="s">
        <v>95</v>
      </c>
      <c r="R530" s="14" t="s">
        <v>214</v>
      </c>
      <c r="S530" s="10" t="s">
        <v>225</v>
      </c>
      <c r="T530" s="188">
        <v>1000</v>
      </c>
      <c r="U530" s="8">
        <f t="shared" si="62"/>
        <v>180</v>
      </c>
      <c r="V530" s="234">
        <f t="shared" si="67"/>
        <v>19344.155246160299</v>
      </c>
      <c r="W530" s="15">
        <v>25</v>
      </c>
      <c r="X530" s="8">
        <f t="shared" si="65"/>
        <v>4.5</v>
      </c>
      <c r="Y530" s="233">
        <f t="shared" si="66"/>
        <v>2349.5</v>
      </c>
    </row>
    <row r="531" spans="1:25">
      <c r="A531" s="156" t="e" cm="1">
        <f t="array" aca="1" ref="A531" ca="1">_xlfn.IFS(E531=$AB$42,$AC$42,E531=$AB$43,$AC$43,E531=$AB$44,$AC$44,E531=$AB$45,$AC$45,E531=$AB$46,$AC$46,E531=$AB$47,$AC$47,E531=$AB$48,$AC$48,E531=$AB$49,$AC$49,E531=$AB$50,$AC$50,E531=$AB$51,$AC$51,E531=$AB$52,$AC$52,E531=$AB$53,$AC$53,E531=$AB$54,$AC$54,E531=$AB$55,$AC$55,E531=$AB$56,$AC$56,E531=$AB$57,$AC$57,E531=$AB$58,$AC$58,E531=$AB$59,$AC$59,E531=$AB$60,$AC$60,E531=$AB$61,$AC$61,E531=$AB$62,$AC$62,E531=$AB$63,$AC$63,E531=$AB$64,$AC$64,E531=$AB$65,$AC$65,E531=$AB$66,$AC$66,TRUE,"0")</f>
        <v>#NAME?</v>
      </c>
      <c r="C531" s="161" t="str" cm="1">
        <f t="array" ref="C531">_xlfn.IFS(E531=$AB$42,$AF$42,E531=$AB$43,$AF$43,E531=$AB$44,$AF$44,E531=$AB$45,$AF$45,E531=$AB$46,$AF$46,E531=$AB$47,$AF$47,E531=$AB$48,$AF$48,E531=$AB$49,$AF$49,E531=$AB$50,$AF$50,E531=$AB$51,$AF$51,E531=$AB$52,$AF$52,E531=$AB$53,$AF$53,E531=$AB$54,$AF$54,E531=$AB$55,$AF$55,E531=$AB$56,$AF$56,E531=$AB$57,$AF$57,E531=$AB$58,$AF$58,E531=$AB$59,$AF$59,E531=$AB$60,$AF$60,E531=$AB$61,$AF$61,E531=$AB$62,$AF$62,E531=$AB$63,$AF$63,E531=$AB$64,$AF$64,E531=$AB$65,$AF$65,E531=$AB$66,$AF$66,TRUE,"0")</f>
        <v>if 0-0, BACK+ 0.5 GOALS  @ 1.15+odds.  or @ 40 mins</v>
      </c>
      <c r="D531" s="270" t="str" cm="1">
        <f t="array" ref="D531">_xlfn.IFS(E531=$AB$42,$AD$42,E531=$AB$43,$AD$43,E531=$AB$44,$AD$44,E531=$AB$45,$AD$45,E531=$AB$46,$AD$46,E531=$AB$47,$AD$47,E531=$AB$48,$AD$48,E531=$AB$49,$AD$49,E531=$AB$50,$AD$50,E531=$AB$51,$AD$51,E531=$AB$52,$AD$52,E531=$AB$53,$AD$53,E531=$AB$54,$AD$54,E531=$AB$55,$AD$55,E531=$AB$56,$AD$56,E531=$AB$57,$AD$57,E531=$AB$58,$AD$58,E531=$AB$59,$AD$59,E531=$AB$60,$AD$60,E531=$AB$61,$AD$61,E531=$AB$62,$AD$62,E531=$AB$63,$AD$63,E531=$AB$64,$AD$64,E531=$AB$65,$AD$65,E531=$AB$66,$AD$66,TRUE,"0")</f>
        <v>IP</v>
      </c>
      <c r="E531" s="163" t="s">
        <v>270</v>
      </c>
      <c r="F531" s="2" t="s">
        <v>6</v>
      </c>
      <c r="G531" s="2" t="s">
        <v>14</v>
      </c>
      <c r="H531" s="3">
        <v>45361.5</v>
      </c>
      <c r="I531" s="2" t="s">
        <v>421</v>
      </c>
      <c r="J531" s="2" t="s">
        <v>414</v>
      </c>
      <c r="K531" s="2">
        <v>63</v>
      </c>
      <c r="L531" s="2">
        <v>0</v>
      </c>
      <c r="M531" s="2">
        <v>20</v>
      </c>
      <c r="N531" s="2">
        <v>37</v>
      </c>
      <c r="O531" s="2">
        <v>1.98</v>
      </c>
      <c r="P531" s="2"/>
      <c r="Q531" s="2" t="s">
        <v>95</v>
      </c>
      <c r="R531" s="14" t="s">
        <v>214</v>
      </c>
      <c r="S531" s="10" t="s">
        <v>225</v>
      </c>
      <c r="T531" s="188">
        <v>1000</v>
      </c>
      <c r="U531" s="8">
        <f t="shared" si="62"/>
        <v>180</v>
      </c>
      <c r="V531" s="234">
        <f>SUM(V530,U531)</f>
        <v>19524.155246160299</v>
      </c>
      <c r="W531" s="15">
        <v>25</v>
      </c>
      <c r="X531" s="8">
        <f t="shared" si="65"/>
        <v>4.5</v>
      </c>
      <c r="Y531" s="233">
        <f t="shared" si="66"/>
        <v>2354</v>
      </c>
    </row>
    <row r="532" spans="1:25">
      <c r="A532" s="156" t="e" cm="1">
        <f t="array" aca="1" ref="A532" ca="1">_xlfn.IFS(E532=$AB$42,$AC$42,E532=$AB$43,$AC$43,E532=$AB$44,$AC$44,E532=$AB$45,$AC$45,E532=$AB$46,$AC$46,E532=$AB$47,$AC$47,E532=$AB$48,$AC$48,E532=$AB$49,$AC$49,E532=$AB$50,$AC$50,E532=$AB$51,$AC$51,E532=$AB$52,$AC$52,E532=$AB$53,$AC$53,E532=$AB$54,$AC$54,E532=$AB$55,$AC$55,E532=$AB$56,$AC$56,E532=$AB$57,$AC$57,E532=$AB$58,$AC$58,E532=$AB$59,$AC$59,E532=$AB$60,$AC$60,E532=$AB$61,$AC$61,E532=$AB$62,$AC$62,E532=$AB$63,$AC$63,E532=$AB$64,$AC$64,E532=$AB$65,$AC$65,E532=$AB$66,$AC$66,TRUE,"0")</f>
        <v>#NAME?</v>
      </c>
      <c r="C532" s="161" t="str" cm="1">
        <f t="array" ref="C532">_xlfn.IFS(E532=$AB$42,$AF$42,E532=$AB$43,$AF$43,E532=$AB$44,$AF$44,E532=$AB$45,$AF$45,E532=$AB$46,$AF$46,E532=$AB$47,$AF$47,E532=$AB$48,$AF$48,E532=$AB$49,$AF$49,E532=$AB$50,$AF$50,E532=$AB$51,$AF$51,E532=$AB$52,$AF$52,E532=$AB$53,$AF$53,E532=$AB$54,$AF$54,E532=$AB$55,$AF$55,E532=$AB$56,$AF$56,E532=$AB$57,$AF$57,E532=$AB$58,$AF$58,E532=$AB$59,$AF$59,E532=$AB$60,$AF$60,E532=$AB$61,$AF$61,E532=$AB$62,$AF$62,E532=$AB$63,$AF$63,E532=$AB$64,$AF$64,E532=$AB$65,$AF$65,E532=$AB$66,$AF$66,TRUE,"0")</f>
        <v>40 mins Back ANother Goal</v>
      </c>
      <c r="D532" s="270" t="str" cm="1">
        <f t="array" ref="D532">_xlfn.IFS(E532=$AB$42,$AD$42,E532=$AB$43,$AD$43,E532=$AB$44,$AD$44,E532=$AB$45,$AD$45,E532=$AB$46,$AD$46,E532=$AB$47,$AD$47,E532=$AB$48,$AD$48,E532=$AB$49,$AD$49,E532=$AB$50,$AD$50,E532=$AB$51,$AD$51,E532=$AB$52,$AD$52,E532=$AB$53,$AD$53,E532=$AB$54,$AD$54,E532=$AB$55,$AD$55,E532=$AB$56,$AD$56,E532=$AB$57,$AD$57,E532=$AB$58,$AD$58,E532=$AB$59,$AD$59,E532=$AB$60,$AD$60,E532=$AB$61,$AD$61,E532=$AB$62,$AD$62,E532=$AB$63,$AD$63,E532=$AB$64,$AD$64,E532=$AB$65,$AD$65,E532=$AB$66,$AD$66,TRUE,"0")</f>
        <v xml:space="preserve">  BANG</v>
      </c>
      <c r="E532" s="163" t="s">
        <v>10</v>
      </c>
      <c r="F532" s="2" t="s">
        <v>145</v>
      </c>
      <c r="G532" s="2" t="s">
        <v>190</v>
      </c>
      <c r="H532" s="3">
        <v>45361.5</v>
      </c>
      <c r="I532" s="2" t="s">
        <v>553</v>
      </c>
      <c r="J532" s="2" t="s">
        <v>554</v>
      </c>
      <c r="K532" s="2">
        <v>2.1</v>
      </c>
      <c r="L532" s="2">
        <v>100</v>
      </c>
      <c r="M532" s="2">
        <v>70</v>
      </c>
      <c r="N532" s="2">
        <v>30</v>
      </c>
      <c r="O532" s="2">
        <v>62</v>
      </c>
      <c r="P532" s="2">
        <v>20</v>
      </c>
      <c r="Q532" s="2" t="s">
        <v>95</v>
      </c>
      <c r="R532" s="14" t="s">
        <v>210</v>
      </c>
      <c r="S532" s="10" t="s">
        <v>210</v>
      </c>
      <c r="T532" s="188">
        <v>1000</v>
      </c>
      <c r="U532" s="8">
        <f t="shared" si="62"/>
        <v>180</v>
      </c>
      <c r="V532" s="234">
        <f t="shared" si="67"/>
        <v>19704.155246160299</v>
      </c>
      <c r="W532" s="15">
        <v>25</v>
      </c>
      <c r="X532" s="8">
        <f t="shared" si="65"/>
        <v>4.5</v>
      </c>
      <c r="Y532" s="233">
        <f t="shared" si="66"/>
        <v>2358.5</v>
      </c>
    </row>
    <row r="533" spans="1:25">
      <c r="A533" s="156" t="e" cm="1">
        <f t="array" aca="1" ref="A533" ca="1">_xlfn.IFS(E533=$AB$42,$AC$42,E533=$AB$43,$AC$43,E533=$AB$44,$AC$44,E533=$AB$45,$AC$45,E533=$AB$46,$AC$46,E533=$AB$47,$AC$47,E533=$AB$48,$AC$48,E533=$AB$49,$AC$49,E533=$AB$50,$AC$50,E533=$AB$51,$AC$51,E533=$AB$52,$AC$52,E533=$AB$53,$AC$53,E533=$AB$54,$AC$54,E533=$AB$55,$AC$55,E533=$AB$56,$AC$56,E533=$AB$57,$AC$57,E533=$AB$58,$AC$58,E533=$AB$59,$AC$59,E533=$AB$60,$AC$60,E533=$AB$61,$AC$61,E533=$AB$62,$AC$62,E533=$AB$63,$AC$63,E533=$AB$64,$AC$64,E533=$AB$65,$AC$65,E533=$AB$66,$AC$66,TRUE,"0")</f>
        <v>#NAME?</v>
      </c>
      <c r="C533" s="161" t="str" cm="1">
        <f t="array" ref="C533">_xlfn.IFS(E533=$AB$42,$AF$42,E533=$AB$43,$AF$43,E533=$AB$44,$AF$44,E533=$AB$45,$AF$45,E533=$AB$46,$AF$46,E533=$AB$47,$AF$47,E533=$AB$48,$AF$48,E533=$AB$49,$AF$49,E533=$AB$50,$AF$50,E533=$AB$51,$AF$51,E533=$AB$52,$AF$52,E533=$AB$53,$AF$53,E533=$AB$54,$AF$54,E533=$AB$55,$AF$55,E533=$AB$56,$AF$56,E533=$AB$57,$AF$57,E533=$AB$58,$AF$58,E533=$AB$59,$AF$59,E533=$AB$60,$AF$60,E533=$AB$61,$AF$61,E533=$AB$62,$AF$62,E533=$AB$63,$AF$63,E533=$AB$64,$AF$64,E533=$AB$65,$AF$65,E533=$AB$66,$AF$66,TRUE,"0")</f>
        <v>B4 match BACK FT +1.5 goals. X AFTER  GOAL</v>
      </c>
      <c r="D533" s="270" t="str" cm="1">
        <f t="array" ref="D533">_xlfn.IFS(E533=$AB$42,$AD$42,E533=$AB$43,$AD$43,E533=$AB$44,$AD$44,E533=$AB$45,$AD$45,E533=$AB$46,$AD$46,E533=$AB$47,$AD$47,E533=$AB$48,$AD$48,E533=$AB$49,$AD$49,E533=$AB$50,$AD$50,E533=$AB$51,$AD$51,E533=$AB$52,$AD$52,E533=$AB$53,$AD$53,E533=$AB$54,$AD$54,E533=$AB$55,$AD$55,E533=$AB$56,$AD$56,E533=$AB$57,$AD$57,E533=$AB$58,$AD$58,E533=$AB$59,$AD$59,E533=$AB$60,$AD$60,E533=$AB$61,$AD$61,E533=$AB$62,$AD$62,E533=$AB$63,$AD$63,E533=$AB$64,$AD$64,E533=$AB$65,$AD$65,E533=$AB$66,$AD$66,TRUE,"0")</f>
        <v xml:space="preserve">BFM </v>
      </c>
      <c r="E533" s="163" t="s">
        <v>512</v>
      </c>
      <c r="F533" s="2" t="s">
        <v>145</v>
      </c>
      <c r="G533" s="2" t="s">
        <v>190</v>
      </c>
      <c r="H533" s="3">
        <v>45361.5</v>
      </c>
      <c r="I533" s="2" t="s">
        <v>553</v>
      </c>
      <c r="J533" s="2" t="s">
        <v>554</v>
      </c>
      <c r="K533" s="2">
        <v>5.0999999999999996</v>
      </c>
      <c r="L533" s="2">
        <v>20</v>
      </c>
      <c r="M533" s="2">
        <v>3.35</v>
      </c>
      <c r="N533" s="2">
        <v>32</v>
      </c>
      <c r="O533" s="2">
        <v>2</v>
      </c>
      <c r="P533" s="2">
        <v>10</v>
      </c>
      <c r="Q533" s="2" t="s">
        <v>95</v>
      </c>
      <c r="R533" s="14" t="s">
        <v>210</v>
      </c>
      <c r="S533" s="10" t="s">
        <v>210</v>
      </c>
      <c r="T533" s="188">
        <v>1000</v>
      </c>
      <c r="U533" s="8">
        <f t="shared" si="62"/>
        <v>180</v>
      </c>
      <c r="V533" s="234">
        <f t="shared" si="67"/>
        <v>19884.155246160299</v>
      </c>
      <c r="W533" s="15">
        <v>25</v>
      </c>
      <c r="X533" s="8">
        <f t="shared" si="65"/>
        <v>4.5</v>
      </c>
      <c r="Y533" s="233">
        <f t="shared" si="66"/>
        <v>2363</v>
      </c>
    </row>
    <row r="534" spans="1:25">
      <c r="A534" s="156" t="e" cm="1">
        <f t="array" aca="1" ref="A534" ca="1">_xlfn.IFS(E534=$AB$42,$AC$42,E534=$AB$43,$AC$43,E534=$AB$44,$AC$44,E534=$AB$45,$AC$45,E534=$AB$46,$AC$46,E534=$AB$47,$AC$47,E534=$AB$48,$AC$48,E534=$AB$49,$AC$49,E534=$AB$50,$AC$50,E534=$AB$51,$AC$51,E534=$AB$52,$AC$52,E534=$AB$53,$AC$53,E534=$AB$54,$AC$54,E534=$AB$55,$AC$55,E534=$AB$56,$AC$56,E534=$AB$57,$AC$57,E534=$AB$58,$AC$58,E534=$AB$59,$AC$59,E534=$AB$60,$AC$60,E534=$AB$61,$AC$61,E534=$AB$62,$AC$62,E534=$AB$63,$AC$63,E534=$AB$64,$AC$64,E534=$AB$65,$AC$65,E534=$AB$66,$AC$66,TRUE,"0")</f>
        <v>#NAME?</v>
      </c>
      <c r="C534" s="161" t="str" cm="1">
        <f t="array" ref="C534">_xlfn.IFS(E534=$AB$42,$AF$42,E534=$AB$43,$AF$43,E534=$AB$44,$AF$44,E534=$AB$45,$AF$45,E534=$AB$46,$AF$46,E534=$AB$47,$AF$47,E534=$AB$48,$AF$48,E534=$AB$49,$AF$49,E534=$AB$50,$AF$50,E534=$AB$51,$AF$51,E534=$AB$52,$AF$52,E534=$AB$53,$AF$53,E534=$AB$54,$AF$54,E534=$AB$55,$AF$55,E534=$AB$56,$AF$56,E534=$AB$57,$AF$57,E534=$AB$58,$AF$58,E534=$AB$59,$AF$59,E534=$AB$60,$AF$60,E534=$AB$61,$AF$61,E534=$AB$62,$AF$62,E534=$AB$63,$AF$63,E534=$AB$64,$AF$64,E534=$AB$65,$AF$65,E534=$AB$66,$AF$66,TRUE,"0")</f>
        <v>if 0-0, BACK+ 0.5 GOALS  @ 1.15+odds.  or @ 40 mins</v>
      </c>
      <c r="D534" s="270" t="str" cm="1">
        <f t="array" ref="D534">_xlfn.IFS(E534=$AB$42,$AD$42,E534=$AB$43,$AD$43,E534=$AB$44,$AD$44,E534=$AB$45,$AD$45,E534=$AB$46,$AD$46,E534=$AB$47,$AD$47,E534=$AB$48,$AD$48,E534=$AB$49,$AD$49,E534=$AB$50,$AD$50,E534=$AB$51,$AD$51,E534=$AB$52,$AD$52,E534=$AB$53,$AD$53,E534=$AB$54,$AD$54,E534=$AB$55,$AD$55,E534=$AB$56,$AD$56,E534=$AB$57,$AD$57,E534=$AB$58,$AD$58,E534=$AB$59,$AD$59,E534=$AB$60,$AD$60,E534=$AB$61,$AD$61,E534=$AB$62,$AD$62,E534=$AB$63,$AD$63,E534=$AB$64,$AD$64,E534=$AB$65,$AD$65,E534=$AB$66,$AD$66,TRUE,"0")</f>
        <v>IP</v>
      </c>
      <c r="E534" s="163" t="s">
        <v>270</v>
      </c>
      <c r="F534" s="2" t="s">
        <v>145</v>
      </c>
      <c r="G534" s="2" t="s">
        <v>190</v>
      </c>
      <c r="H534" s="3">
        <v>45361.5</v>
      </c>
      <c r="I534" s="2" t="s">
        <v>553</v>
      </c>
      <c r="J534" s="2" t="s">
        <v>554</v>
      </c>
      <c r="K534" s="2">
        <v>63</v>
      </c>
      <c r="L534" s="2">
        <v>0</v>
      </c>
      <c r="M534" s="2">
        <v>20</v>
      </c>
      <c r="N534" s="2">
        <v>32</v>
      </c>
      <c r="O534" s="2">
        <v>2.5</v>
      </c>
      <c r="Q534" s="1" t="s">
        <v>95</v>
      </c>
      <c r="R534" s="10" t="s">
        <v>210</v>
      </c>
      <c r="S534" s="14" t="s">
        <v>210</v>
      </c>
      <c r="T534" s="188">
        <v>1000</v>
      </c>
      <c r="U534" s="8">
        <f t="shared" si="62"/>
        <v>180</v>
      </c>
      <c r="V534" s="234">
        <f t="shared" si="67"/>
        <v>20064.155246160299</v>
      </c>
      <c r="W534" s="15">
        <v>25</v>
      </c>
      <c r="X534" s="8">
        <f t="shared" si="65"/>
        <v>4.5</v>
      </c>
      <c r="Y534" s="233">
        <f t="shared" si="66"/>
        <v>2367.5</v>
      </c>
    </row>
    <row r="535" spans="1:25">
      <c r="A535" s="156" t="e" cm="1">
        <f t="array" aca="1" ref="A535" ca="1">_xlfn.IFS(E535=$AB$42,$AC$42,E535=$AB$43,$AC$43,E535=$AB$44,$AC$44,E535=$AB$45,$AC$45,E535=$AB$46,$AC$46,E535=$AB$47,$AC$47,E535=$AB$48,$AC$48,E535=$AB$49,$AC$49,E535=$AB$50,$AC$50,E535=$AB$51,$AC$51,E535=$AB$52,$AC$52,E535=$AB$53,$AC$53,E535=$AB$54,$AC$54,E535=$AB$55,$AC$55,E535=$AB$56,$AC$56,E535=$AB$57,$AC$57,E535=$AB$58,$AC$58,E535=$AB$59,$AC$59,E535=$AB$60,$AC$60,E535=$AB$61,$AC$61,E535=$AB$62,$AC$62,E535=$AB$63,$AC$63,E535=$AB$64,$AC$64,E535=$AB$65,$AC$65,E535=$AB$66,$AC$66,TRUE,"0")</f>
        <v>#NAME?</v>
      </c>
      <c r="C535" s="161" t="str" cm="1">
        <f t="array" ref="C535">_xlfn.IFS(E535=$AB$42,$AF$42,E535=$AB$43,$AF$43,E535=$AB$44,$AF$44,E535=$AB$45,$AF$45,E535=$AB$46,$AF$46,E535=$AB$47,$AF$47,E535=$AB$48,$AF$48,E535=$AB$49,$AF$49,E535=$AB$50,$AF$50,E535=$AB$51,$AF$51,E535=$AB$52,$AF$52,E535=$AB$53,$AF$53,E535=$AB$54,$AF$54,E535=$AB$55,$AF$55,E535=$AB$56,$AF$56,E535=$AB$57,$AF$57,E535=$AB$58,$AF$58,E535=$AB$59,$AF$59,E535=$AB$60,$AF$60,E535=$AB$61,$AF$61,E535=$AB$62,$AF$62,E535=$AB$63,$AF$63,E535=$AB$64,$AF$64,E535=$AB$65,$AF$65,E535=$AB$66,$AF$66,TRUE,"0")</f>
        <v>40 mins Back ANother Goal</v>
      </c>
      <c r="D535" s="270" t="str" cm="1">
        <f t="array" ref="D535">_xlfn.IFS(E535=$AB$42,$AD$42,E535=$AB$43,$AD$43,E535=$AB$44,$AD$44,E535=$AB$45,$AD$45,E535=$AB$46,$AD$46,E535=$AB$47,$AD$47,E535=$AB$48,$AD$48,E535=$AB$49,$AD$49,E535=$AB$50,$AD$50,E535=$AB$51,$AD$51,E535=$AB$52,$AD$52,E535=$AB$53,$AD$53,E535=$AB$54,$AD$54,E535=$AB$55,$AD$55,E535=$AB$56,$AD$56,E535=$AB$57,$AD$57,E535=$AB$58,$AD$58,E535=$AB$59,$AD$59,E535=$AB$60,$AD$60,E535=$AB$61,$AD$61,E535=$AB$62,$AD$62,E535=$AB$63,$AD$63,E535=$AB$64,$AD$64,E535=$AB$65,$AD$65,E535=$AB$66,$AD$66,TRUE,"0")</f>
        <v xml:space="preserve">  BANG</v>
      </c>
      <c r="E535" s="163" t="s">
        <v>10</v>
      </c>
      <c r="F535" s="2" t="s">
        <v>67</v>
      </c>
      <c r="G535" s="2" t="s">
        <v>68</v>
      </c>
      <c r="H535" s="3">
        <v>45361.520833333336</v>
      </c>
      <c r="I535" s="2" t="s">
        <v>343</v>
      </c>
      <c r="J535" s="2" t="s">
        <v>338</v>
      </c>
      <c r="K535" s="2">
        <v>1.8</v>
      </c>
      <c r="L535" s="2">
        <v>100</v>
      </c>
      <c r="M535" s="2">
        <v>65</v>
      </c>
      <c r="N535" s="2">
        <v>15</v>
      </c>
      <c r="O535" s="2">
        <v>67</v>
      </c>
      <c r="P535" s="1">
        <v>20</v>
      </c>
      <c r="Q535" s="1" t="s">
        <v>95</v>
      </c>
      <c r="R535" s="10" t="s">
        <v>221</v>
      </c>
      <c r="S535" s="14" t="s">
        <v>214</v>
      </c>
      <c r="T535" s="188">
        <v>1000</v>
      </c>
      <c r="U535" s="8">
        <f t="shared" si="62"/>
        <v>180</v>
      </c>
      <c r="V535" s="234">
        <f t="shared" si="67"/>
        <v>20244.155246160299</v>
      </c>
      <c r="W535" s="15">
        <v>25</v>
      </c>
      <c r="X535" s="8">
        <f t="shared" si="65"/>
        <v>4.5</v>
      </c>
      <c r="Y535" s="233">
        <f t="shared" si="66"/>
        <v>2372</v>
      </c>
    </row>
    <row r="536" spans="1:25">
      <c r="A536" s="156" t="e" cm="1">
        <f t="array" aca="1" ref="A536" ca="1">_xlfn.IFS(E536=$AB$42,$AC$42,E536=$AB$43,$AC$43,E536=$AB$44,$AC$44,E536=$AB$45,$AC$45,E536=$AB$46,$AC$46,E536=$AB$47,$AC$47,E536=$AB$48,$AC$48,E536=$AB$49,$AC$49,E536=$AB$50,$AC$50,E536=$AB$51,$AC$51,E536=$AB$52,$AC$52,E536=$AB$53,$AC$53,E536=$AB$54,$AC$54,E536=$AB$55,$AC$55,E536=$AB$56,$AC$56,E536=$AB$57,$AC$57,E536=$AB$58,$AC$58,E536=$AB$59,$AC$59,E536=$AB$60,$AC$60,E536=$AB$61,$AC$61,E536=$AB$62,$AC$62,E536=$AB$63,$AC$63,E536=$AB$64,$AC$64,E536=$AB$65,$AC$65,E536=$AB$66,$AC$66,TRUE,"0")</f>
        <v>#NAME?</v>
      </c>
      <c r="C536" s="161" t="str" cm="1">
        <f t="array" ref="C536">_xlfn.IFS(E536=$AB$42,$AF$42,E536=$AB$43,$AF$43,E536=$AB$44,$AF$44,E536=$AB$45,$AF$45,E536=$AB$46,$AF$46,E536=$AB$47,$AF$47,E536=$AB$48,$AF$48,E536=$AB$49,$AF$49,E536=$AB$50,$AF$50,E536=$AB$51,$AF$51,E536=$AB$52,$AF$52,E536=$AB$53,$AF$53,E536=$AB$54,$AF$54,E536=$AB$55,$AF$55,E536=$AB$56,$AF$56,E536=$AB$57,$AF$57,E536=$AB$58,$AF$58,E536=$AB$59,$AF$59,E536=$AB$60,$AF$60,E536=$AB$61,$AF$61,E536=$AB$62,$AF$62,E536=$AB$63,$AF$63,E536=$AB$64,$AF$64,E536=$AB$65,$AF$65,E536=$AB$66,$AF$66,TRUE,"0")</f>
        <v>10mins if  0-0, BACK over 1.5 goals X after goal OR LET RUN</v>
      </c>
      <c r="D536" s="270" t="str" cm="1">
        <f t="array" ref="D536">_xlfn.IFS(E536=$AB$42,$AD$42,E536=$AB$43,$AD$43,E536=$AB$44,$AD$44,E536=$AB$45,$AD$45,E536=$AB$46,$AD$46,E536=$AB$47,$AD$47,E536=$AB$48,$AD$48,E536=$AB$49,$AD$49,E536=$AB$50,$AD$50,E536=$AB$51,$AD$51,E536=$AB$52,$AD$52,E536=$AB$53,$AD$53,E536=$AB$54,$AD$54,E536=$AB$55,$AD$55,E536=$AB$56,$AD$56,E536=$AB$57,$AD$57,E536=$AB$58,$AD$58,E536=$AB$59,$AD$59,E536=$AB$60,$AD$60,E536=$AB$61,$AD$61,E536=$AB$62,$AD$62,E536=$AB$63,$AD$63,E536=$AB$64,$AD$64,E536=$AB$65,$AD$65,E536=$AB$66,$AD$66,TRUE,"0")</f>
        <v>IP</v>
      </c>
      <c r="E536" s="163" t="s">
        <v>498</v>
      </c>
      <c r="F536" s="2" t="s">
        <v>77</v>
      </c>
      <c r="G536" s="2" t="s">
        <v>234</v>
      </c>
      <c r="H536" s="3">
        <v>45361.520833333336</v>
      </c>
      <c r="I536" s="2" t="s">
        <v>555</v>
      </c>
      <c r="J536" s="2" t="s">
        <v>475</v>
      </c>
      <c r="K536" s="2">
        <v>64</v>
      </c>
      <c r="L536" s="2">
        <v>85</v>
      </c>
      <c r="M536" s="2">
        <v>1.5</v>
      </c>
      <c r="N536" s="2">
        <v>20</v>
      </c>
      <c r="O536" s="2"/>
      <c r="P536" s="2"/>
      <c r="Q536" s="2" t="s">
        <v>95</v>
      </c>
      <c r="R536" s="10" t="s">
        <v>220</v>
      </c>
      <c r="S536" s="14" t="s">
        <v>220</v>
      </c>
      <c r="T536" s="188">
        <v>1000</v>
      </c>
      <c r="U536" s="8">
        <f t="shared" si="62"/>
        <v>180</v>
      </c>
      <c r="V536" s="234">
        <f t="shared" ref="V536:V553" si="68">SUM(V535,U536)</f>
        <v>20424.155246160299</v>
      </c>
      <c r="W536" s="15">
        <v>25</v>
      </c>
      <c r="X536" s="8">
        <f t="shared" si="65"/>
        <v>4.5</v>
      </c>
      <c r="Y536" s="233">
        <f t="shared" si="66"/>
        <v>2376.5</v>
      </c>
    </row>
    <row r="537" spans="1:25">
      <c r="A537" s="156" t="e" cm="1">
        <f t="array" aca="1" ref="A537" ca="1">_xlfn.IFS(E537=$AB$42,$AC$42,E537=$AB$43,$AC$43,E537=$AB$44,$AC$44,E537=$AB$45,$AC$45,E537=$AB$46,$AC$46,E537=$AB$47,$AC$47,E537=$AB$48,$AC$48,E537=$AB$49,$AC$49,E537=$AB$50,$AC$50,E537=$AB$51,$AC$51,E537=$AB$52,$AC$52,E537=$AB$53,$AC$53,E537=$AB$54,$AC$54,E537=$AB$55,$AC$55,E537=$AB$56,$AC$56,E537=$AB$57,$AC$57,E537=$AB$58,$AC$58,E537=$AB$59,$AC$59,E537=$AB$60,$AC$60,E537=$AB$61,$AC$61,E537=$AB$62,$AC$62,E537=$AB$63,$AC$63,E537=$AB$64,$AC$64,E537=$AB$65,$AC$65,E537=$AB$66,$AC$66,TRUE,"0")</f>
        <v>#NAME?</v>
      </c>
      <c r="C537" s="161" t="str" cm="1">
        <f t="array" ref="C537">_xlfn.IFS(E537=$AB$42,$AF$42,E537=$AB$43,$AF$43,E537=$AB$44,$AF$44,E537=$AB$45,$AF$45,E537=$AB$46,$AF$46,E537=$AB$47,$AF$47,E537=$AB$48,$AF$48,E537=$AB$49,$AF$49,E537=$AB$50,$AF$50,E537=$AB$51,$AF$51,E537=$AB$52,$AF$52,E537=$AB$53,$AF$53,E537=$AB$54,$AF$54,E537=$AB$55,$AF$55,E537=$AB$56,$AF$56,E537=$AB$57,$AF$57,E537=$AB$58,$AF$58,E537=$AB$59,$AF$59,E537=$AB$60,$AF$60,E537=$AB$61,$AF$61,E537=$AB$62,$AF$62,E537=$AB$63,$AF$63,E537=$AB$64,$AF$64,E537=$AB$65,$AF$65,E537=$AB$66,$AF$66,TRUE,"0")</f>
        <v>40 mins Back ANother Goal</v>
      </c>
      <c r="D537" s="270" t="str" cm="1">
        <f t="array" ref="D537">_xlfn.IFS(E537=$AB$42,$AD$42,E537=$AB$43,$AD$43,E537=$AB$44,$AD$44,E537=$AB$45,$AD$45,E537=$AB$46,$AD$46,E537=$AB$47,$AD$47,E537=$AB$48,$AD$48,E537=$AB$49,$AD$49,E537=$AB$50,$AD$50,E537=$AB$51,$AD$51,E537=$AB$52,$AD$52,E537=$AB$53,$AD$53,E537=$AB$54,$AD$54,E537=$AB$55,$AD$55,E537=$AB$56,$AD$56,E537=$AB$57,$AD$57,E537=$AB$58,$AD$58,E537=$AB$59,$AD$59,E537=$AB$60,$AD$60,E537=$AB$61,$AD$61,E537=$AB$62,$AD$62,E537=$AB$63,$AD$63,E537=$AB$64,$AD$64,E537=$AB$65,$AD$65,E537=$AB$66,$AD$66,TRUE,"0")</f>
        <v xml:space="preserve">  BANG</v>
      </c>
      <c r="E537" s="163" t="s">
        <v>10</v>
      </c>
      <c r="F537" s="2" t="s">
        <v>6</v>
      </c>
      <c r="G537" s="2" t="s">
        <v>62</v>
      </c>
      <c r="H537" s="3">
        <v>45361.541666666664</v>
      </c>
      <c r="I537" s="2" t="s">
        <v>102</v>
      </c>
      <c r="J537" s="2" t="s">
        <v>116</v>
      </c>
      <c r="K537" s="2">
        <v>2.1</v>
      </c>
      <c r="L537" s="2">
        <v>95</v>
      </c>
      <c r="M537" s="2">
        <v>70</v>
      </c>
      <c r="N537" s="2">
        <v>30</v>
      </c>
      <c r="O537" s="2">
        <v>63</v>
      </c>
      <c r="P537" s="2">
        <v>20</v>
      </c>
      <c r="Q537" s="2" t="s">
        <v>95</v>
      </c>
      <c r="R537" s="10" t="s">
        <v>221</v>
      </c>
      <c r="S537" s="14" t="s">
        <v>288</v>
      </c>
      <c r="T537" s="188">
        <v>1000</v>
      </c>
      <c r="U537" s="8">
        <f t="shared" si="62"/>
        <v>180</v>
      </c>
      <c r="V537" s="234">
        <f>SUM(V536,U537)</f>
        <v>20604.155246160299</v>
      </c>
      <c r="W537" s="15">
        <v>25</v>
      </c>
      <c r="X537" s="8">
        <f t="shared" si="65"/>
        <v>4.5</v>
      </c>
      <c r="Y537" s="233">
        <f t="shared" si="66"/>
        <v>2381</v>
      </c>
    </row>
    <row r="538" spans="1:25">
      <c r="A538" s="156" t="e" cm="1">
        <f t="array" aca="1" ref="A538" ca="1">_xlfn.IFS(E538=$AB$42,$AC$42,E538=$AB$43,$AC$43,E538=$AB$44,$AC$44,E538=$AB$45,$AC$45,E538=$AB$46,$AC$46,E538=$AB$47,$AC$47,E538=$AB$48,$AC$48,E538=$AB$49,$AC$49,E538=$AB$50,$AC$50,E538=$AB$51,$AC$51,E538=$AB$52,$AC$52,E538=$AB$53,$AC$53,E538=$AB$54,$AC$54,E538=$AB$55,$AC$55,E538=$AB$56,$AC$56,E538=$AB$57,$AC$57,E538=$AB$58,$AC$58,E538=$AB$59,$AC$59,E538=$AB$60,$AC$60,E538=$AB$61,$AC$61,E538=$AB$62,$AC$62,E538=$AB$63,$AC$63,E538=$AB$64,$AC$64,E538=$AB$65,$AC$65,E538=$AB$66,$AC$66,TRUE,"0")</f>
        <v>#NAME?</v>
      </c>
      <c r="C538" s="161" t="str" cm="1">
        <f t="array" ref="C538">_xlfn.IFS(E538=$AB$42,$AF$42,E538=$AB$43,$AF$43,E538=$AB$44,$AF$44,E538=$AB$45,$AF$45,E538=$AB$46,$AF$46,E538=$AB$47,$AF$47,E538=$AB$48,$AF$48,E538=$AB$49,$AF$49,E538=$AB$50,$AF$50,E538=$AB$51,$AF$51,E538=$AB$52,$AF$52,E538=$AB$53,$AF$53,E538=$AB$54,$AF$54,E538=$AB$55,$AF$55,E538=$AB$56,$AF$56,E538=$AB$57,$AF$57,E538=$AB$58,$AF$58,E538=$AB$59,$AF$59,E538=$AB$60,$AF$60,E538=$AB$61,$AF$61,E538=$AB$62,$AF$62,E538=$AB$63,$AF$63,E538=$AB$64,$AF$64,E538=$AB$65,$AF$65,E538=$AB$66,$AF$66,TRUE,"0")</f>
        <v>15mins if  0-0, BACK over 1.5 goals X after goal OR LET RUN</v>
      </c>
      <c r="D538" s="270" t="str" cm="1">
        <f t="array" ref="D538">_xlfn.IFS(E538=$AB$42,$AD$42,E538=$AB$43,$AD$43,E538=$AB$44,$AD$44,E538=$AB$45,$AD$45,E538=$AB$46,$AD$46,E538=$AB$47,$AD$47,E538=$AB$48,$AD$48,E538=$AB$49,$AD$49,E538=$AB$50,$AD$50,E538=$AB$51,$AD$51,E538=$AB$52,$AD$52,E538=$AB$53,$AD$53,E538=$AB$54,$AD$54,E538=$AB$55,$AD$55,E538=$AB$56,$AD$56,E538=$AB$57,$AD$57,E538=$AB$58,$AD$58,E538=$AB$59,$AD$59,E538=$AB$60,$AD$60,E538=$AB$61,$AD$61,E538=$AB$62,$AD$62,E538=$AB$63,$AD$63,E538=$AB$64,$AD$64,E538=$AB$65,$AD$65,E538=$AB$66,$AD$66,TRUE,"0")</f>
        <v>IP</v>
      </c>
      <c r="E538" s="163" t="s">
        <v>473</v>
      </c>
      <c r="F538" s="2" t="s">
        <v>119</v>
      </c>
      <c r="G538" s="2" t="s">
        <v>166</v>
      </c>
      <c r="H538" s="3">
        <v>45361.541666666664</v>
      </c>
      <c r="I538" s="2" t="s">
        <v>560</v>
      </c>
      <c r="J538" s="2" t="s">
        <v>327</v>
      </c>
      <c r="K538" s="2">
        <v>64</v>
      </c>
      <c r="L538" s="2">
        <v>90</v>
      </c>
      <c r="M538" s="2">
        <v>20</v>
      </c>
      <c r="N538" s="2">
        <v>2.65</v>
      </c>
      <c r="O538" s="2"/>
      <c r="P538" s="2"/>
      <c r="Q538" s="2" t="s">
        <v>95</v>
      </c>
      <c r="R538" s="10" t="s">
        <v>193</v>
      </c>
      <c r="S538" s="14" t="s">
        <v>277</v>
      </c>
      <c r="T538" s="188">
        <v>1000</v>
      </c>
      <c r="U538" s="8">
        <f t="shared" si="62"/>
        <v>180</v>
      </c>
      <c r="V538" s="234">
        <f t="shared" si="68"/>
        <v>20784.155246160299</v>
      </c>
      <c r="W538" s="15">
        <v>25</v>
      </c>
      <c r="X538" s="8">
        <f t="shared" si="65"/>
        <v>4.5</v>
      </c>
      <c r="Y538" s="233">
        <f t="shared" si="66"/>
        <v>2385.5</v>
      </c>
    </row>
    <row r="539" spans="1:25">
      <c r="A539" s="156" t="e" cm="1">
        <f t="array" aca="1" ref="A539" ca="1">_xlfn.IFS(E539=$AB$42,$AC$42,E539=$AB$43,$AC$43,E539=$AB$44,$AC$44,E539=$AB$45,$AC$45,E539=$AB$46,$AC$46,E539=$AB$47,$AC$47,E539=$AB$48,$AC$48,E539=$AB$49,$AC$49,E539=$AB$50,$AC$50,E539=$AB$51,$AC$51,E539=$AB$52,$AC$52,E539=$AB$53,$AC$53,E539=$AB$54,$AC$54,E539=$AB$55,$AC$55,E539=$AB$56,$AC$56,E539=$AB$57,$AC$57,E539=$AB$58,$AC$58,E539=$AB$59,$AC$59,E539=$AB$60,$AC$60,E539=$AB$61,$AC$61,E539=$AB$62,$AC$62,E539=$AB$63,$AC$63,E539=$AB$64,$AC$64,E539=$AB$65,$AC$65,E539=$AB$66,$AC$66,TRUE,"0")</f>
        <v>#NAME?</v>
      </c>
      <c r="C539" s="161" t="str" cm="1">
        <f t="array" ref="C539">_xlfn.IFS(E539=$AB$42,$AF$42,E539=$AB$43,$AF$43,E539=$AB$44,$AF$44,E539=$AB$45,$AF$45,E539=$AB$46,$AF$46,E539=$AB$47,$AF$47,E539=$AB$48,$AF$48,E539=$AB$49,$AF$49,E539=$AB$50,$AF$50,E539=$AB$51,$AF$51,E539=$AB$52,$AF$52,E539=$AB$53,$AF$53,E539=$AB$54,$AF$54,E539=$AB$55,$AF$55,E539=$AB$56,$AF$56,E539=$AB$57,$AF$57,E539=$AB$58,$AF$58,E539=$AB$59,$AF$59,E539=$AB$60,$AF$60,E539=$AB$61,$AF$61,E539=$AB$62,$AF$62,E539=$AB$63,$AF$63,E539=$AB$64,$AF$64,E539=$AB$65,$AF$65,E539=$AB$66,$AF$66,TRUE,"0")</f>
        <v>if 0-0, BACK+ 0.5 GOALS  @ 1.15+odds.  or @ 40 mins</v>
      </c>
      <c r="D539" s="270" t="str" cm="1">
        <f t="array" ref="D539">_xlfn.IFS(E539=$AB$42,$AD$42,E539=$AB$43,$AD$43,E539=$AB$44,$AD$44,E539=$AB$45,$AD$45,E539=$AB$46,$AD$46,E539=$AB$47,$AD$47,E539=$AB$48,$AD$48,E539=$AB$49,$AD$49,E539=$AB$50,$AD$50,E539=$AB$51,$AD$51,E539=$AB$52,$AD$52,E539=$AB$53,$AD$53,E539=$AB$54,$AD$54,E539=$AB$55,$AD$55,E539=$AB$56,$AD$56,E539=$AB$57,$AD$57,E539=$AB$58,$AD$58,E539=$AB$59,$AD$59,E539=$AB$60,$AD$60,E539=$AB$61,$AD$61,E539=$AB$62,$AD$62,E539=$AB$63,$AD$63,E539=$AB$64,$AD$64,E539=$AB$65,$AD$65,E539=$AB$66,$AD$66,TRUE,"0")</f>
        <v>IP</v>
      </c>
      <c r="E539" s="163" t="s">
        <v>270</v>
      </c>
      <c r="F539" s="2" t="s">
        <v>296</v>
      </c>
      <c r="G539" s="2" t="s">
        <v>78</v>
      </c>
      <c r="H539" s="3">
        <v>45361.552083333336</v>
      </c>
      <c r="I539" s="2" t="s">
        <v>298</v>
      </c>
      <c r="J539" s="2" t="s">
        <v>346</v>
      </c>
      <c r="K539" s="2">
        <v>61</v>
      </c>
      <c r="L539" s="2">
        <v>0</v>
      </c>
      <c r="M539" s="2">
        <v>20</v>
      </c>
      <c r="N539" s="2">
        <v>29</v>
      </c>
      <c r="O539" s="2">
        <v>2.0099999999999998</v>
      </c>
      <c r="P539" s="2"/>
      <c r="Q539" s="2" t="s">
        <v>95</v>
      </c>
      <c r="R539" s="10" t="s">
        <v>216</v>
      </c>
      <c r="S539" s="14" t="s">
        <v>215</v>
      </c>
      <c r="T539" s="188">
        <v>1000</v>
      </c>
      <c r="U539" s="8">
        <f t="shared" si="62"/>
        <v>180</v>
      </c>
      <c r="V539" s="234">
        <f>SUM(V538,U539)</f>
        <v>20964.155246160299</v>
      </c>
      <c r="W539" s="15">
        <v>25</v>
      </c>
      <c r="X539" s="8">
        <f t="shared" si="65"/>
        <v>4.5</v>
      </c>
      <c r="Y539" s="233">
        <f t="shared" si="66"/>
        <v>2390</v>
      </c>
    </row>
    <row r="540" spans="1:25">
      <c r="A540" s="156" t="e" cm="1">
        <f t="array" aca="1" ref="A540" ca="1">_xlfn.IFS(E540=$AB$42,$AC$42,E540=$AB$43,$AC$43,E540=$AB$44,$AC$44,E540=$AB$45,$AC$45,E540=$AB$46,$AC$46,E540=$AB$47,$AC$47,E540=$AB$48,$AC$48,E540=$AB$49,$AC$49,E540=$AB$50,$AC$50,E540=$AB$51,$AC$51,E540=$AB$52,$AC$52,E540=$AB$53,$AC$53,E540=$AB$54,$AC$54,E540=$AB$55,$AC$55,E540=$AB$56,$AC$56,E540=$AB$57,$AC$57,E540=$AB$58,$AC$58,E540=$AB$59,$AC$59,E540=$AB$60,$AC$60,E540=$AB$61,$AC$61,E540=$AB$62,$AC$62,E540=$AB$63,$AC$63,E540=$AB$64,$AC$64,E540=$AB$65,$AC$65,E540=$AB$66,$AC$66,TRUE,"0")</f>
        <v>#NAME?</v>
      </c>
      <c r="C540" s="161" t="str" cm="1">
        <f t="array" ref="C540">_xlfn.IFS(E540=$AB$42,$AF$42,E540=$AB$43,$AF$43,E540=$AB$44,$AF$44,E540=$AB$45,$AF$45,E540=$AB$46,$AF$46,E540=$AB$47,$AF$47,E540=$AB$48,$AF$48,E540=$AB$49,$AF$49,E540=$AB$50,$AF$50,E540=$AB$51,$AF$51,E540=$AB$52,$AF$52,E540=$AB$53,$AF$53,E540=$AB$54,$AF$54,E540=$AB$55,$AF$55,E540=$AB$56,$AF$56,E540=$AB$57,$AF$57,E540=$AB$58,$AF$58,E540=$AB$59,$AF$59,E540=$AB$60,$AF$60,E540=$AB$61,$AF$61,E540=$AB$62,$AF$62,E540=$AB$63,$AF$63,E540=$AB$64,$AF$64,E540=$AB$65,$AF$65,E540=$AB$66,$AF$66,TRUE,"0")</f>
        <v>B4 match BACK FT +1.5 goals. X AFTER  GOAL</v>
      </c>
      <c r="D540" s="270" t="str" cm="1">
        <f t="array" ref="D540">_xlfn.IFS(E540=$AB$42,$AD$42,E540=$AB$43,$AD$43,E540=$AB$44,$AD$44,E540=$AB$45,$AD$45,E540=$AB$46,$AD$46,E540=$AB$47,$AD$47,E540=$AB$48,$AD$48,E540=$AB$49,$AD$49,E540=$AB$50,$AD$50,E540=$AB$51,$AD$51,E540=$AB$52,$AD$52,E540=$AB$53,$AD$53,E540=$AB$54,$AD$54,E540=$AB$55,$AD$55,E540=$AB$56,$AD$56,E540=$AB$57,$AD$57,E540=$AB$58,$AD$58,E540=$AB$59,$AD$59,E540=$AB$60,$AD$60,E540=$AB$61,$AD$61,E540=$AB$62,$AD$62,E540=$AB$63,$AD$63,E540=$AB$64,$AD$64,E540=$AB$65,$AD$65,E540=$AB$66,$AD$66,TRUE,"0")</f>
        <v xml:space="preserve">BFM </v>
      </c>
      <c r="E540" s="163" t="s">
        <v>512</v>
      </c>
      <c r="F540" s="2" t="s">
        <v>149</v>
      </c>
      <c r="G540" s="2" t="s">
        <v>153</v>
      </c>
      <c r="H540" s="3">
        <v>45361.5625</v>
      </c>
      <c r="I540" s="2" t="s">
        <v>363</v>
      </c>
      <c r="J540" s="2" t="s">
        <v>249</v>
      </c>
      <c r="K540" s="2">
        <v>6</v>
      </c>
      <c r="L540" s="2">
        <v>20</v>
      </c>
      <c r="M540" s="2">
        <v>3.1</v>
      </c>
      <c r="N540" s="2">
        <v>33</v>
      </c>
      <c r="O540" s="2">
        <v>3</v>
      </c>
      <c r="P540" s="2">
        <v>10</v>
      </c>
      <c r="Q540" s="2" t="s">
        <v>95</v>
      </c>
      <c r="R540" s="10" t="s">
        <v>214</v>
      </c>
      <c r="S540" s="14" t="s">
        <v>210</v>
      </c>
      <c r="T540" s="188">
        <v>1000</v>
      </c>
      <c r="U540" s="8">
        <f t="shared" si="62"/>
        <v>180</v>
      </c>
      <c r="V540" s="234">
        <f t="shared" si="68"/>
        <v>21144.155246160299</v>
      </c>
      <c r="W540" s="15">
        <v>25</v>
      </c>
      <c r="X540" s="8">
        <f t="shared" si="65"/>
        <v>4.5</v>
      </c>
      <c r="Y540" s="233">
        <f t="shared" si="66"/>
        <v>2394.5</v>
      </c>
    </row>
    <row r="541" spans="1:25">
      <c r="A541" s="156" t="e" cm="1">
        <f t="array" aca="1" ref="A541" ca="1">_xlfn.IFS(E541=$AB$42,$AC$42,E541=$AB$43,$AC$43,E541=$AB$44,$AC$44,E541=$AB$45,$AC$45,E541=$AB$46,$AC$46,E541=$AB$47,$AC$47,E541=$AB$48,$AC$48,E541=$AB$49,$AC$49,E541=$AB$50,$AC$50,E541=$AB$51,$AC$51,E541=$AB$52,$AC$52,E541=$AB$53,$AC$53,E541=$AB$54,$AC$54,E541=$AB$55,$AC$55,E541=$AB$56,$AC$56,E541=$AB$57,$AC$57,E541=$AB$58,$AC$58,E541=$AB$59,$AC$59,E541=$AB$60,$AC$60,E541=$AB$61,$AC$61,E541=$AB$62,$AC$62,E541=$AB$63,$AC$63,E541=$AB$64,$AC$64,E541=$AB$65,$AC$65,E541=$AB$66,$AC$66,TRUE,"0")</f>
        <v>#NAME?</v>
      </c>
      <c r="C541" s="161" t="str" cm="1">
        <f t="array" ref="C541">_xlfn.IFS(E541=$AB$42,$AF$42,E541=$AB$43,$AF$43,E541=$AB$44,$AF$44,E541=$AB$45,$AF$45,E541=$AB$46,$AF$46,E541=$AB$47,$AF$47,E541=$AB$48,$AF$48,E541=$AB$49,$AF$49,E541=$AB$50,$AF$50,E541=$AB$51,$AF$51,E541=$AB$52,$AF$52,E541=$AB$53,$AF$53,E541=$AB$54,$AF$54,E541=$AB$55,$AF$55,E541=$AB$56,$AF$56,E541=$AB$57,$AF$57,E541=$AB$58,$AF$58,E541=$AB$59,$AF$59,E541=$AB$60,$AF$60,E541=$AB$61,$AF$61,E541=$AB$62,$AF$62,E541=$AB$63,$AF$63,E541=$AB$64,$AF$64,E541=$AB$65,$AF$65,E541=$AB$66,$AF$66,TRUE,"0")</f>
        <v>if 0-0, BACK+ 0.5 GOALS  @ 1.15+odds.  or @ 40 mins</v>
      </c>
      <c r="D541" s="270" t="str" cm="1">
        <f t="array" ref="D541">_xlfn.IFS(E541=$AB$42,$AD$42,E541=$AB$43,$AD$43,E541=$AB$44,$AD$44,E541=$AB$45,$AD$45,E541=$AB$46,$AD$46,E541=$AB$47,$AD$47,E541=$AB$48,$AD$48,E541=$AB$49,$AD$49,E541=$AB$50,$AD$50,E541=$AB$51,$AD$51,E541=$AB$52,$AD$52,E541=$AB$53,$AD$53,E541=$AB$54,$AD$54,E541=$AB$55,$AD$55,E541=$AB$56,$AD$56,E541=$AB$57,$AD$57,E541=$AB$58,$AD$58,E541=$AB$59,$AD$59,E541=$AB$60,$AD$60,E541=$AB$61,$AD$61,E541=$AB$62,$AD$62,E541=$AB$63,$AD$63,E541=$AB$64,$AD$64,E541=$AB$65,$AD$65,E541=$AB$66,$AD$66,TRUE,"0")</f>
        <v>IP</v>
      </c>
      <c r="E541" s="163" t="s">
        <v>270</v>
      </c>
      <c r="F541" s="2" t="s">
        <v>149</v>
      </c>
      <c r="G541" s="2" t="s">
        <v>153</v>
      </c>
      <c r="H541" s="3">
        <v>45361.5625</v>
      </c>
      <c r="I541" s="2" t="s">
        <v>205</v>
      </c>
      <c r="J541" s="2" t="s">
        <v>244</v>
      </c>
      <c r="K541" s="2">
        <v>62</v>
      </c>
      <c r="L541" s="2">
        <v>0</v>
      </c>
      <c r="M541" s="2">
        <v>20</v>
      </c>
      <c r="N541" s="2">
        <v>25</v>
      </c>
      <c r="O541" s="2">
        <v>2.87</v>
      </c>
      <c r="P541" s="2"/>
      <c r="Q541" s="2" t="s">
        <v>95</v>
      </c>
      <c r="R541" s="10" t="s">
        <v>221</v>
      </c>
      <c r="S541" s="14" t="s">
        <v>216</v>
      </c>
      <c r="T541" s="188">
        <v>1000</v>
      </c>
      <c r="U541" s="8">
        <f t="shared" si="62"/>
        <v>180</v>
      </c>
      <c r="V541" s="234">
        <f t="shared" si="68"/>
        <v>21324.155246160299</v>
      </c>
      <c r="W541" s="15">
        <v>25</v>
      </c>
      <c r="X541" s="8">
        <f t="shared" si="65"/>
        <v>4.5</v>
      </c>
      <c r="Y541" s="233">
        <f t="shared" si="66"/>
        <v>2399</v>
      </c>
    </row>
    <row r="542" spans="1:25">
      <c r="A542" s="156" t="e" cm="1">
        <f t="array" aca="1" ref="A542" ca="1">_xlfn.IFS(E542=$AB$42,$AC$42,E542=$AB$43,$AC$43,E542=$AB$44,$AC$44,E542=$AB$45,$AC$45,E542=$AB$46,$AC$46,E542=$AB$47,$AC$47,E542=$AB$48,$AC$48,E542=$AB$49,$AC$49,E542=$AB$50,$AC$50,E542=$AB$51,$AC$51,E542=$AB$52,$AC$52,E542=$AB$53,$AC$53,E542=$AB$54,$AC$54,E542=$AB$55,$AC$55,E542=$AB$56,$AC$56,E542=$AB$57,$AC$57,E542=$AB$58,$AC$58,E542=$AB$59,$AC$59,E542=$AB$60,$AC$60,E542=$AB$61,$AC$61,E542=$AB$62,$AC$62,E542=$AB$63,$AC$63,E542=$AB$64,$AC$64,E542=$AB$65,$AC$65,E542=$AB$66,$AC$66,TRUE,"0")</f>
        <v>#NAME?</v>
      </c>
      <c r="C542" s="161" t="str" cm="1">
        <f t="array" ref="C542">_xlfn.IFS(E542=$AB$42,$AF$42,E542=$AB$43,$AF$43,E542=$AB$44,$AF$44,E542=$AB$45,$AF$45,E542=$AB$46,$AF$46,E542=$AB$47,$AF$47,E542=$AB$48,$AF$48,E542=$AB$49,$AF$49,E542=$AB$50,$AF$50,E542=$AB$51,$AF$51,E542=$AB$52,$AF$52,E542=$AB$53,$AF$53,E542=$AB$54,$AF$54,E542=$AB$55,$AF$55,E542=$AB$56,$AF$56,E542=$AB$57,$AF$57,E542=$AB$58,$AF$58,E542=$AB$59,$AF$59,E542=$AB$60,$AF$60,E542=$AB$61,$AF$61,E542=$AB$62,$AF$62,E542=$AB$63,$AF$63,E542=$AB$64,$AF$64,E542=$AB$65,$AF$65,E542=$AB$66,$AF$66,TRUE,"0")</f>
        <v>B4 Match, lay HT 0-0 or BACK H1 +0.5 GOALS</v>
      </c>
      <c r="D542" s="270" t="str" cm="1">
        <f t="array" ref="D542">_xlfn.IFS(E542=$AB$42,$AD$42,E542=$AB$43,$AD$43,E542=$AB$44,$AD$44,E542=$AB$45,$AD$45,E542=$AB$46,$AD$46,E542=$AB$47,$AD$47,E542=$AB$48,$AD$48,E542=$AB$49,$AD$49,E542=$AB$50,$AD$50,E542=$AB$51,$AD$51,E542=$AB$52,$AD$52,E542=$AB$53,$AD$53,E542=$AB$54,$AD$54,E542=$AB$55,$AD$55,E542=$AB$56,$AD$56,E542=$AB$57,$AD$57,E542=$AB$58,$AD$58,E542=$AB$59,$AD$59,E542=$AB$60,$AD$60,E542=$AB$61,$AD$61,E542=$AB$62,$AD$62,E542=$AB$63,$AD$63,E542=$AB$64,$AD$64,E542=$AB$65,$AD$65,E542=$AB$66,$AD$66,TRUE,"0")</f>
        <v xml:space="preserve">BFM </v>
      </c>
      <c r="E542" s="163" t="s">
        <v>448</v>
      </c>
      <c r="F542" s="2" t="s">
        <v>410</v>
      </c>
      <c r="G542" s="2" t="s">
        <v>411</v>
      </c>
      <c r="H542" s="3">
        <v>45361.583333333336</v>
      </c>
      <c r="I542" s="2" t="s">
        <v>459</v>
      </c>
      <c r="J542" s="2" t="s">
        <v>558</v>
      </c>
      <c r="K542" s="2">
        <v>20</v>
      </c>
      <c r="L542" s="2">
        <v>5</v>
      </c>
      <c r="M542" s="2">
        <v>35</v>
      </c>
      <c r="N542" s="2">
        <v>8</v>
      </c>
      <c r="O542" s="2">
        <v>4</v>
      </c>
      <c r="P542" s="2">
        <v>9</v>
      </c>
      <c r="Q542" s="2" t="s">
        <v>95</v>
      </c>
      <c r="R542" s="10" t="s">
        <v>193</v>
      </c>
      <c r="S542" s="14" t="s">
        <v>217</v>
      </c>
      <c r="T542" s="188">
        <v>1000</v>
      </c>
      <c r="U542" s="8">
        <f t="shared" si="62"/>
        <v>180</v>
      </c>
      <c r="V542" s="234">
        <f t="shared" si="68"/>
        <v>21504.155246160299</v>
      </c>
      <c r="W542" s="15">
        <v>25</v>
      </c>
      <c r="X542" s="8">
        <f t="shared" si="65"/>
        <v>4.5</v>
      </c>
      <c r="Y542" s="233">
        <f t="shared" si="66"/>
        <v>2403.5</v>
      </c>
    </row>
    <row r="543" spans="1:25">
      <c r="A543" s="156" t="e" cm="1">
        <f t="array" aca="1" ref="A543" ca="1">_xlfn.IFS(E543=$AB$42,$AC$42,E543=$AB$43,$AC$43,E543=$AB$44,$AC$44,E543=$AB$45,$AC$45,E543=$AB$46,$AC$46,E543=$AB$47,$AC$47,E543=$AB$48,$AC$48,E543=$AB$49,$AC$49,E543=$AB$50,$AC$50,E543=$AB$51,$AC$51,E543=$AB$52,$AC$52,E543=$AB$53,$AC$53,E543=$AB$54,$AC$54,E543=$AB$55,$AC$55,E543=$AB$56,$AC$56,E543=$AB$57,$AC$57,E543=$AB$58,$AC$58,E543=$AB$59,$AC$59,E543=$AB$60,$AC$60,E543=$AB$61,$AC$61,E543=$AB$62,$AC$62,E543=$AB$63,$AC$63,E543=$AB$64,$AC$64,E543=$AB$65,$AC$65,E543=$AB$66,$AC$66,TRUE,"0")</f>
        <v>#NAME?</v>
      </c>
      <c r="C543" s="161" t="str" cm="1">
        <f t="array" ref="C543">_xlfn.IFS(E543=$AB$42,$AF$42,E543=$AB$43,$AF$43,E543=$AB$44,$AF$44,E543=$AB$45,$AF$45,E543=$AB$46,$AF$46,E543=$AB$47,$AF$47,E543=$AB$48,$AF$48,E543=$AB$49,$AF$49,E543=$AB$50,$AF$50,E543=$AB$51,$AF$51,E543=$AB$52,$AF$52,E543=$AB$53,$AF$53,E543=$AB$54,$AF$54,E543=$AB$55,$AF$55,E543=$AB$56,$AF$56,E543=$AB$57,$AF$57,E543=$AB$58,$AF$58,E543=$AB$59,$AF$59,E543=$AB$60,$AF$60,E543=$AB$61,$AF$61,E543=$AB$62,$AF$62,E543=$AB$63,$AF$63,E543=$AB$64,$AF$64,E543=$AB$65,$AF$65,E543=$AB$66,$AF$66,TRUE,"0")</f>
        <v>if 0-0, BACK+ 0.5 GOALS  @ 1.15+odds.  or @ 40 mins</v>
      </c>
      <c r="D543" s="270" t="str" cm="1">
        <f t="array" ref="D543">_xlfn.IFS(E543=$AB$42,$AD$42,E543=$AB$43,$AD$43,E543=$AB$44,$AD$44,E543=$AB$45,$AD$45,E543=$AB$46,$AD$46,E543=$AB$47,$AD$47,E543=$AB$48,$AD$48,E543=$AB$49,$AD$49,E543=$AB$50,$AD$50,E543=$AB$51,$AD$51,E543=$AB$52,$AD$52,E543=$AB$53,$AD$53,E543=$AB$54,$AD$54,E543=$AB$55,$AD$55,E543=$AB$56,$AD$56,E543=$AB$57,$AD$57,E543=$AB$58,$AD$58,E543=$AB$59,$AD$59,E543=$AB$60,$AD$60,E543=$AB$61,$AD$61,E543=$AB$62,$AD$62,E543=$AB$63,$AD$63,E543=$AB$64,$AD$64,E543=$AB$65,$AD$65,E543=$AB$66,$AD$66,TRUE,"0")</f>
        <v>IP</v>
      </c>
      <c r="E543" s="163" t="s">
        <v>270</v>
      </c>
      <c r="F543" s="2" t="s">
        <v>352</v>
      </c>
      <c r="G543" s="2" t="s">
        <v>353</v>
      </c>
      <c r="H543" s="3">
        <v>45361.583333333336</v>
      </c>
      <c r="I543" s="2" t="s">
        <v>557</v>
      </c>
      <c r="J543" s="2" t="s">
        <v>354</v>
      </c>
      <c r="K543" s="2">
        <v>71</v>
      </c>
      <c r="L543" s="2">
        <v>0</v>
      </c>
      <c r="M543" s="2">
        <v>20</v>
      </c>
      <c r="N543" s="2">
        <v>34</v>
      </c>
      <c r="O543" s="2">
        <v>1.02</v>
      </c>
      <c r="P543" s="2"/>
      <c r="Q543" s="2" t="s">
        <v>95</v>
      </c>
      <c r="R543" s="10" t="s">
        <v>220</v>
      </c>
      <c r="S543" s="14" t="s">
        <v>207</v>
      </c>
      <c r="T543" s="188">
        <v>1000</v>
      </c>
      <c r="U543" s="8">
        <f t="shared" si="62"/>
        <v>180</v>
      </c>
      <c r="V543" s="234">
        <f t="shared" si="68"/>
        <v>21684.155246160299</v>
      </c>
      <c r="W543" s="15">
        <v>25</v>
      </c>
      <c r="X543" s="8">
        <f t="shared" si="65"/>
        <v>4.5</v>
      </c>
      <c r="Y543" s="233">
        <f t="shared" si="66"/>
        <v>2408</v>
      </c>
    </row>
    <row r="544" spans="1:25">
      <c r="A544" s="156" t="e" cm="1">
        <f t="array" aca="1" ref="A544" ca="1">_xlfn.IFS(E544=$AB$42,$AC$42,E544=$AB$43,$AC$43,E544=$AB$44,$AC$44,E544=$AB$45,$AC$45,E544=$AB$46,$AC$46,E544=$AB$47,$AC$47,E544=$AB$48,$AC$48,E544=$AB$49,$AC$49,E544=$AB$50,$AC$50,E544=$AB$51,$AC$51,E544=$AB$52,$AC$52,E544=$AB$53,$AC$53,E544=$AB$54,$AC$54,E544=$AB$55,$AC$55,E544=$AB$56,$AC$56,E544=$AB$57,$AC$57,E544=$AB$58,$AC$58,E544=$AB$59,$AC$59,E544=$AB$60,$AC$60,E544=$AB$61,$AC$61,E544=$AB$62,$AC$62,E544=$AB$63,$AC$63,E544=$AB$64,$AC$64,E544=$AB$65,$AC$65,E544=$AB$66,$AC$66,TRUE,"0")</f>
        <v>#NAME?</v>
      </c>
      <c r="C544" s="161" t="str" cm="1">
        <f t="array" ref="C544">_xlfn.IFS(E544=$AB$42,$AF$42,E544=$AB$43,$AF$43,E544=$AB$44,$AF$44,E544=$AB$45,$AF$45,E544=$AB$46,$AF$46,E544=$AB$47,$AF$47,E544=$AB$48,$AF$48,E544=$AB$49,$AF$49,E544=$AB$50,$AF$50,E544=$AB$51,$AF$51,E544=$AB$52,$AF$52,E544=$AB$53,$AF$53,E544=$AB$54,$AF$54,E544=$AB$55,$AF$55,E544=$AB$56,$AF$56,E544=$AB$57,$AF$57,E544=$AB$58,$AF$58,E544=$AB$59,$AF$59,E544=$AB$60,$AF$60,E544=$AB$61,$AF$61,E544=$AB$62,$AF$62,E544=$AB$63,$AF$63,E544=$AB$64,$AF$64,E544=$AB$65,$AF$65,E544=$AB$66,$AF$66,TRUE,"0")</f>
        <v>40 mins Back ANother Goal</v>
      </c>
      <c r="D544" s="270" t="str" cm="1">
        <f t="array" ref="D544">_xlfn.IFS(E544=$AB$42,$AD$42,E544=$AB$43,$AD$43,E544=$AB$44,$AD$44,E544=$AB$45,$AD$45,E544=$AB$46,$AD$46,E544=$AB$47,$AD$47,E544=$AB$48,$AD$48,E544=$AB$49,$AD$49,E544=$AB$50,$AD$50,E544=$AB$51,$AD$51,E544=$AB$52,$AD$52,E544=$AB$53,$AD$53,E544=$AB$54,$AD$54,E544=$AB$55,$AD$55,E544=$AB$56,$AD$56,E544=$AB$57,$AD$57,E544=$AB$58,$AD$58,E544=$AB$59,$AD$59,E544=$AB$60,$AD$60,E544=$AB$61,$AD$61,E544=$AB$62,$AD$62,E544=$AB$63,$AD$63,E544=$AB$64,$AD$64,E544=$AB$65,$AD$65,E544=$AB$66,$AD$66,TRUE,"0")</f>
        <v xml:space="preserve">  BANG</v>
      </c>
      <c r="E544" s="163" t="s">
        <v>515</v>
      </c>
      <c r="F544" s="2" t="s">
        <v>352</v>
      </c>
      <c r="G544" s="2" t="s">
        <v>353</v>
      </c>
      <c r="H544" s="3">
        <v>45361.583333333336</v>
      </c>
      <c r="I544" s="2" t="s">
        <v>557</v>
      </c>
      <c r="J544" s="2" t="s">
        <v>354</v>
      </c>
      <c r="K544" s="2">
        <v>20</v>
      </c>
      <c r="L544" s="2">
        <v>71</v>
      </c>
      <c r="M544" s="2">
        <v>2.2000000000000002</v>
      </c>
      <c r="N544" s="2"/>
      <c r="O544" s="2"/>
      <c r="P544" s="2"/>
      <c r="Q544" s="2" t="s">
        <v>95</v>
      </c>
      <c r="R544" s="10" t="s">
        <v>220</v>
      </c>
      <c r="S544" s="14" t="s">
        <v>207</v>
      </c>
      <c r="T544" s="188">
        <v>1000</v>
      </c>
      <c r="U544" s="8">
        <f t="shared" si="62"/>
        <v>180</v>
      </c>
      <c r="V544" s="234">
        <f t="shared" si="68"/>
        <v>21864.155246160299</v>
      </c>
      <c r="W544" s="15">
        <v>25</v>
      </c>
      <c r="X544" s="8">
        <f t="shared" si="65"/>
        <v>4.5</v>
      </c>
      <c r="Y544" s="233">
        <f t="shared" si="66"/>
        <v>2412.5</v>
      </c>
    </row>
    <row r="545" spans="1:25">
      <c r="A545" s="156" t="e" cm="1">
        <f t="array" aca="1" ref="A545" ca="1">_xlfn.IFS(E545=$AB$42,$AC$42,E545=$AB$43,$AC$43,E545=$AB$44,$AC$44,E545=$AB$45,$AC$45,E545=$AB$46,$AC$46,E545=$AB$47,$AC$47,E545=$AB$48,$AC$48,E545=$AB$49,$AC$49,E545=$AB$50,$AC$50,E545=$AB$51,$AC$51,E545=$AB$52,$AC$52,E545=$AB$53,$AC$53,E545=$AB$54,$AC$54,E545=$AB$55,$AC$55,E545=$AB$56,$AC$56,E545=$AB$57,$AC$57,E545=$AB$58,$AC$58,E545=$AB$59,$AC$59,E545=$AB$60,$AC$60,E545=$AB$61,$AC$61,E545=$AB$62,$AC$62,E545=$AB$63,$AC$63,E545=$AB$64,$AC$64,E545=$AB$65,$AC$65,E545=$AB$66,$AC$66,TRUE,"0")</f>
        <v>#NAME?</v>
      </c>
      <c r="C545" s="161" t="str" cm="1">
        <f t="array" ref="C545">_xlfn.IFS(E545=$AB$42,$AF$42,E545=$AB$43,$AF$43,E545=$AB$44,$AF$44,E545=$AB$45,$AF$45,E545=$AB$46,$AF$46,E545=$AB$47,$AF$47,E545=$AB$48,$AF$48,E545=$AB$49,$AF$49,E545=$AB$50,$AF$50,E545=$AB$51,$AF$51,E545=$AB$52,$AF$52,E545=$AB$53,$AF$53,E545=$AB$54,$AF$54,E545=$AB$55,$AF$55,E545=$AB$56,$AF$56,E545=$AB$57,$AF$57,E545=$AB$58,$AF$58,E545=$AB$59,$AF$59,E545=$AB$60,$AF$60,E545=$AB$61,$AF$61,E545=$AB$62,$AF$62,E545=$AB$63,$AF$63,E545=$AB$64,$AF$64,E545=$AB$65,$AF$65,E545=$AB$66,$AF$66,TRUE,"0")</f>
        <v>10mins if  0-0, BACK over 1.5 goals X after goal OR LET RUN</v>
      </c>
      <c r="D545" s="270" t="str" cm="1">
        <f t="array" ref="D545">_xlfn.IFS(E545=$AB$42,$AD$42,E545=$AB$43,$AD$43,E545=$AB$44,$AD$44,E545=$AB$45,$AD$45,E545=$AB$46,$AD$46,E545=$AB$47,$AD$47,E545=$AB$48,$AD$48,E545=$AB$49,$AD$49,E545=$AB$50,$AD$50,E545=$AB$51,$AD$51,E545=$AB$52,$AD$52,E545=$AB$53,$AD$53,E545=$AB$54,$AD$54,E545=$AB$55,$AD$55,E545=$AB$56,$AD$56,E545=$AB$57,$AD$57,E545=$AB$58,$AD$58,E545=$AB$59,$AD$59,E545=$AB$60,$AD$60,E545=$AB$61,$AD$61,E545=$AB$62,$AD$62,E545=$AB$63,$AD$63,E545=$AB$64,$AD$64,E545=$AB$65,$AD$65,E545=$AB$66,$AD$66,TRUE,"0")</f>
        <v>IP</v>
      </c>
      <c r="E545" s="163" t="s">
        <v>498</v>
      </c>
      <c r="F545" s="2" t="s">
        <v>145</v>
      </c>
      <c r="G545" s="2" t="s">
        <v>190</v>
      </c>
      <c r="H545" s="3">
        <v>45361.583333333336</v>
      </c>
      <c r="I545" s="2" t="s">
        <v>192</v>
      </c>
      <c r="J545" s="2" t="s">
        <v>364</v>
      </c>
      <c r="K545" s="2">
        <v>64</v>
      </c>
      <c r="L545" s="2">
        <v>85</v>
      </c>
      <c r="M545" s="2">
        <v>1.6</v>
      </c>
      <c r="N545" s="2">
        <v>20</v>
      </c>
      <c r="O545" s="2"/>
      <c r="P545" s="2"/>
      <c r="Q545" s="2" t="s">
        <v>95</v>
      </c>
      <c r="R545" s="10" t="s">
        <v>221</v>
      </c>
      <c r="S545" s="14" t="s">
        <v>193</v>
      </c>
      <c r="T545" s="188">
        <v>1000</v>
      </c>
      <c r="U545" s="8">
        <f t="shared" si="62"/>
        <v>180</v>
      </c>
      <c r="V545" s="234">
        <f>SUM(V544,U545)</f>
        <v>22044.155246160299</v>
      </c>
      <c r="W545" s="15">
        <v>25</v>
      </c>
      <c r="X545" s="8">
        <f t="shared" si="65"/>
        <v>4.5</v>
      </c>
      <c r="Y545" s="233">
        <f t="shared" si="66"/>
        <v>2417</v>
      </c>
    </row>
    <row r="546" spans="1:25">
      <c r="A546" s="156" t="e" cm="1">
        <f t="array" aca="1" ref="A546" ca="1">_xlfn.IFS(E546=$AB$42,$AC$42,E546=$AB$43,$AC$43,E546=$AB$44,$AC$44,E546=$AB$45,$AC$45,E546=$AB$46,$AC$46,E546=$AB$47,$AC$47,E546=$AB$48,$AC$48,E546=$AB$49,$AC$49,E546=$AB$50,$AC$50,E546=$AB$51,$AC$51,E546=$AB$52,$AC$52,E546=$AB$53,$AC$53,E546=$AB$54,$AC$54,E546=$AB$55,$AC$55,E546=$AB$56,$AC$56,E546=$AB$57,$AC$57,E546=$AB$58,$AC$58,E546=$AB$59,$AC$59,E546=$AB$60,$AC$60,E546=$AB$61,$AC$61,E546=$AB$62,$AC$62,E546=$AB$63,$AC$63,E546=$AB$64,$AC$64,E546=$AB$65,$AC$65,E546=$AB$66,$AC$66,TRUE,"0")</f>
        <v>#NAME?</v>
      </c>
      <c r="C546" s="161" t="str" cm="1">
        <f t="array" ref="C546">_xlfn.IFS(E546=$AB$42,$AF$42,E546=$AB$43,$AF$43,E546=$AB$44,$AF$44,E546=$AB$45,$AF$45,E546=$AB$46,$AF$46,E546=$AB$47,$AF$47,E546=$AB$48,$AF$48,E546=$AB$49,$AF$49,E546=$AB$50,$AF$50,E546=$AB$51,$AF$51,E546=$AB$52,$AF$52,E546=$AB$53,$AF$53,E546=$AB$54,$AF$54,E546=$AB$55,$AF$55,E546=$AB$56,$AF$56,E546=$AB$57,$AF$57,E546=$AB$58,$AF$58,E546=$AB$59,$AF$59,E546=$AB$60,$AF$60,E546=$AB$61,$AF$61,E546=$AB$62,$AF$62,E546=$AB$63,$AF$63,E546=$AB$64,$AF$64,E546=$AB$65,$AF$65,E546=$AB$66,$AF$66,TRUE,"0")</f>
        <v>B4 match BACK FT +1.5 goals. X AFTER  GOAL</v>
      </c>
      <c r="D546" s="270" t="str" cm="1">
        <f t="array" ref="D546">_xlfn.IFS(E546=$AB$42,$AD$42,E546=$AB$43,$AD$43,E546=$AB$44,$AD$44,E546=$AB$45,$AD$45,E546=$AB$46,$AD$46,E546=$AB$47,$AD$47,E546=$AB$48,$AD$48,E546=$AB$49,$AD$49,E546=$AB$50,$AD$50,E546=$AB$51,$AD$51,E546=$AB$52,$AD$52,E546=$AB$53,$AD$53,E546=$AB$54,$AD$54,E546=$AB$55,$AD$55,E546=$AB$56,$AD$56,E546=$AB$57,$AD$57,E546=$AB$58,$AD$58,E546=$AB$59,$AD$59,E546=$AB$60,$AD$60,E546=$AB$61,$AD$61,E546=$AB$62,$AD$62,E546=$AB$63,$AD$63,E546=$AB$64,$AD$64,E546=$AB$65,$AD$65,E546=$AB$66,$AD$66,TRUE,"0")</f>
        <v xml:space="preserve">BFM </v>
      </c>
      <c r="E546" s="163" t="s">
        <v>512</v>
      </c>
      <c r="F546" s="2" t="s">
        <v>67</v>
      </c>
      <c r="G546" s="2" t="s">
        <v>68</v>
      </c>
      <c r="H546" s="3">
        <v>45361.625</v>
      </c>
      <c r="I546" s="2" t="s">
        <v>265</v>
      </c>
      <c r="J546" s="2" t="s">
        <v>87</v>
      </c>
      <c r="K546" s="2">
        <v>4.4000000000000004</v>
      </c>
      <c r="L546" s="2">
        <v>20</v>
      </c>
      <c r="M546" s="2">
        <v>2.75</v>
      </c>
      <c r="N546" s="2">
        <v>21</v>
      </c>
      <c r="O546" s="2">
        <v>1</v>
      </c>
      <c r="P546" s="2">
        <v>10</v>
      </c>
      <c r="Q546" s="2" t="s">
        <v>95</v>
      </c>
      <c r="R546" s="10" t="s">
        <v>216</v>
      </c>
      <c r="S546" s="14" t="s">
        <v>215</v>
      </c>
      <c r="T546" s="188">
        <v>1000</v>
      </c>
      <c r="U546" s="8">
        <f t="shared" si="62"/>
        <v>180</v>
      </c>
      <c r="V546" s="234">
        <f t="shared" si="68"/>
        <v>22224.155246160299</v>
      </c>
      <c r="W546" s="15">
        <v>25</v>
      </c>
      <c r="X546" s="8">
        <f t="shared" si="65"/>
        <v>4.5</v>
      </c>
      <c r="Y546" s="233">
        <f t="shared" si="66"/>
        <v>2421.5</v>
      </c>
    </row>
    <row r="547" spans="1:25">
      <c r="A547" s="156" t="e" cm="1">
        <f t="array" aca="1" ref="A547" ca="1">_xlfn.IFS(E547=$AB$42,$AC$42,E547=$AB$43,$AC$43,E547=$AB$44,$AC$44,E547=$AB$45,$AC$45,E547=$AB$46,$AC$46,E547=$AB$47,$AC$47,E547=$AB$48,$AC$48,E547=$AB$49,$AC$49,E547=$AB$50,$AC$50,E547=$AB$51,$AC$51,E547=$AB$52,$AC$52,E547=$AB$53,$AC$53,E547=$AB$54,$AC$54,E547=$AB$55,$AC$55,E547=$AB$56,$AC$56,E547=$AB$57,$AC$57,E547=$AB$58,$AC$58,E547=$AB$59,$AC$59,E547=$AB$60,$AC$60,E547=$AB$61,$AC$61,E547=$AB$62,$AC$62,E547=$AB$63,$AC$63,E547=$AB$64,$AC$64,E547=$AB$65,$AC$65,E547=$AB$66,$AC$66,TRUE,"0")</f>
        <v>#NAME?</v>
      </c>
      <c r="C547" s="161" t="str" cm="1">
        <f t="array" ref="C547">_xlfn.IFS(E547=$AB$42,$AF$42,E547=$AB$43,$AF$43,E547=$AB$44,$AF$44,E547=$AB$45,$AF$45,E547=$AB$46,$AF$46,E547=$AB$47,$AF$47,E547=$AB$48,$AF$48,E547=$AB$49,$AF$49,E547=$AB$50,$AF$50,E547=$AB$51,$AF$51,E547=$AB$52,$AF$52,E547=$AB$53,$AF$53,E547=$AB$54,$AF$54,E547=$AB$55,$AF$55,E547=$AB$56,$AF$56,E547=$AB$57,$AF$57,E547=$AB$58,$AF$58,E547=$AB$59,$AF$59,E547=$AB$60,$AF$60,E547=$AB$61,$AF$61,E547=$AB$62,$AF$62,E547=$AB$63,$AF$63,E547=$AB$64,$AF$64,E547=$AB$65,$AF$65,E547=$AB$66,$AF$66,TRUE,"0")</f>
        <v>B4 match BACK FT +1.5 goals. X AFTER  GOAL</v>
      </c>
      <c r="D547" s="270" t="str" cm="1">
        <f t="array" ref="D547">_xlfn.IFS(E547=$AB$42,$AD$42,E547=$AB$43,$AD$43,E547=$AB$44,$AD$44,E547=$AB$45,$AD$45,E547=$AB$46,$AD$46,E547=$AB$47,$AD$47,E547=$AB$48,$AD$48,E547=$AB$49,$AD$49,E547=$AB$50,$AD$50,E547=$AB$51,$AD$51,E547=$AB$52,$AD$52,E547=$AB$53,$AD$53,E547=$AB$54,$AD$54,E547=$AB$55,$AD$55,E547=$AB$56,$AD$56,E547=$AB$57,$AD$57,E547=$AB$58,$AD$58,E547=$AB$59,$AD$59,E547=$AB$60,$AD$60,E547=$AB$61,$AD$61,E547=$AB$62,$AD$62,E547=$AB$63,$AD$63,E547=$AB$64,$AD$64,E547=$AB$65,$AD$65,E547=$AB$66,$AD$66,TRUE,"0")</f>
        <v xml:space="preserve">BFM </v>
      </c>
      <c r="E547" s="163" t="s">
        <v>512</v>
      </c>
      <c r="F547" s="2" t="s">
        <v>434</v>
      </c>
      <c r="G547" s="2" t="s">
        <v>435</v>
      </c>
      <c r="H547" s="3">
        <v>45361.625</v>
      </c>
      <c r="I547" s="2" t="s">
        <v>476</v>
      </c>
      <c r="J547" s="2" t="s">
        <v>556</v>
      </c>
      <c r="K547" s="2">
        <v>4.4000000000000004</v>
      </c>
      <c r="L547" s="2">
        <v>20</v>
      </c>
      <c r="M547" s="2">
        <v>2.7</v>
      </c>
      <c r="N547" s="2">
        <v>31</v>
      </c>
      <c r="O547" s="2">
        <v>2</v>
      </c>
      <c r="P547" s="2">
        <v>10</v>
      </c>
      <c r="Q547" s="2" t="s">
        <v>95</v>
      </c>
      <c r="R547" s="10" t="s">
        <v>207</v>
      </c>
      <c r="S547" s="14" t="s">
        <v>194</v>
      </c>
      <c r="T547" s="188">
        <v>1000</v>
      </c>
      <c r="U547" s="8">
        <f t="shared" si="62"/>
        <v>180</v>
      </c>
      <c r="V547" s="234">
        <f t="shared" si="68"/>
        <v>22404.155246160299</v>
      </c>
      <c r="W547" s="15">
        <v>25</v>
      </c>
      <c r="X547" s="8">
        <f t="shared" si="65"/>
        <v>4.5</v>
      </c>
      <c r="Y547" s="233">
        <f t="shared" si="66"/>
        <v>2426</v>
      </c>
    </row>
    <row r="548" spans="1:25">
      <c r="A548" s="156" t="e" cm="1">
        <f t="array" aca="1" ref="A548" ca="1">_xlfn.IFS(E548=$AB$42,$AC$42,E548=$AB$43,$AC$43,E548=$AB$44,$AC$44,E548=$AB$45,$AC$45,E548=$AB$46,$AC$46,E548=$AB$47,$AC$47,E548=$AB$48,$AC$48,E548=$AB$49,$AC$49,E548=$AB$50,$AC$50,E548=$AB$51,$AC$51,E548=$AB$52,$AC$52,E548=$AB$53,$AC$53,E548=$AB$54,$AC$54,E548=$AB$55,$AC$55,E548=$AB$56,$AC$56,E548=$AB$57,$AC$57,E548=$AB$58,$AC$58,E548=$AB$59,$AC$59,E548=$AB$60,$AC$60,E548=$AB$61,$AC$61,E548=$AB$62,$AC$62,E548=$AB$63,$AC$63,E548=$AB$64,$AC$64,E548=$AB$65,$AC$65,E548=$AB$66,$AC$66,TRUE,"0")</f>
        <v>#NAME?</v>
      </c>
      <c r="C548" s="161" t="str" cm="1">
        <f t="array" ref="C548">_xlfn.IFS(E548=$AB$42,$AF$42,E548=$AB$43,$AF$43,E548=$AB$44,$AF$44,E548=$AB$45,$AF$45,E548=$AB$46,$AF$46,E548=$AB$47,$AF$47,E548=$AB$48,$AF$48,E548=$AB$49,$AF$49,E548=$AB$50,$AF$50,E548=$AB$51,$AF$51,E548=$AB$52,$AF$52,E548=$AB$53,$AF$53,E548=$AB$54,$AF$54,E548=$AB$55,$AF$55,E548=$AB$56,$AF$56,E548=$AB$57,$AF$57,E548=$AB$58,$AF$58,E548=$AB$59,$AF$59,E548=$AB$60,$AF$60,E548=$AB$61,$AF$61,E548=$AB$62,$AF$62,E548=$AB$63,$AF$63,E548=$AB$64,$AF$64,E548=$AB$65,$AF$65,E548=$AB$66,$AF$66,TRUE,"0")</f>
        <v>if 0-0, BACK+ 0.5 GOALS  @ 1.15+odds.  or @ 40 mins</v>
      </c>
      <c r="D548" s="270" t="str" cm="1">
        <f t="array" ref="D548">_xlfn.IFS(E548=$AB$42,$AD$42,E548=$AB$43,$AD$43,E548=$AB$44,$AD$44,E548=$AB$45,$AD$45,E548=$AB$46,$AD$46,E548=$AB$47,$AD$47,E548=$AB$48,$AD$48,E548=$AB$49,$AD$49,E548=$AB$50,$AD$50,E548=$AB$51,$AD$51,E548=$AB$52,$AD$52,E548=$AB$53,$AD$53,E548=$AB$54,$AD$54,E548=$AB$55,$AD$55,E548=$AB$56,$AD$56,E548=$AB$57,$AD$57,E548=$AB$58,$AD$58,E548=$AB$59,$AD$59,E548=$AB$60,$AD$60,E548=$AB$61,$AD$61,E548=$AB$62,$AD$62,E548=$AB$63,$AD$63,E548=$AB$64,$AD$64,E548=$AB$65,$AD$65,E548=$AB$66,$AD$66,TRUE,"0")</f>
        <v>IP</v>
      </c>
      <c r="E548" s="163" t="s">
        <v>270</v>
      </c>
      <c r="F548" s="2" t="s">
        <v>20</v>
      </c>
      <c r="G548" s="2" t="s">
        <v>322</v>
      </c>
      <c r="H548" s="3">
        <v>45361.635416666664</v>
      </c>
      <c r="I548" s="2" t="s">
        <v>340</v>
      </c>
      <c r="J548" s="2" t="s">
        <v>468</v>
      </c>
      <c r="K548" s="2">
        <v>63</v>
      </c>
      <c r="L548" s="2">
        <v>0</v>
      </c>
      <c r="M548" s="2">
        <v>20</v>
      </c>
      <c r="N548" s="2">
        <v>33</v>
      </c>
      <c r="O548" s="2">
        <v>2.56</v>
      </c>
      <c r="P548" s="2"/>
      <c r="Q548" s="2" t="s">
        <v>95</v>
      </c>
      <c r="R548" s="10" t="s">
        <v>222</v>
      </c>
      <c r="S548" s="14" t="s">
        <v>215</v>
      </c>
      <c r="T548" s="188">
        <v>1000</v>
      </c>
      <c r="U548" s="8">
        <f t="shared" si="62"/>
        <v>180</v>
      </c>
      <c r="V548" s="234">
        <f t="shared" si="68"/>
        <v>22584.155246160299</v>
      </c>
      <c r="W548" s="15">
        <v>25</v>
      </c>
      <c r="X548" s="8">
        <f t="shared" si="65"/>
        <v>4.5</v>
      </c>
      <c r="Y548" s="233">
        <f t="shared" si="66"/>
        <v>2430.5</v>
      </c>
    </row>
    <row r="549" spans="1:25">
      <c r="A549" s="156" t="e" cm="1">
        <f t="array" aca="1" ref="A549" ca="1">_xlfn.IFS(E549=$AB$42,$AC$42,E549=$AB$43,$AC$43,E549=$AB$44,$AC$44,E549=$AB$45,$AC$45,E549=$AB$46,$AC$46,E549=$AB$47,$AC$47,E549=$AB$48,$AC$48,E549=$AB$49,$AC$49,E549=$AB$50,$AC$50,E549=$AB$51,$AC$51,E549=$AB$52,$AC$52,E549=$AB$53,$AC$53,E549=$AB$54,$AC$54,E549=$AB$55,$AC$55,E549=$AB$56,$AC$56,E549=$AB$57,$AC$57,E549=$AB$58,$AC$58,E549=$AB$59,$AC$59,E549=$AB$60,$AC$60,E549=$AB$61,$AC$61,E549=$AB$62,$AC$62,E549=$AB$63,$AC$63,E549=$AB$64,$AC$64,E549=$AB$65,$AC$65,E549=$AB$66,$AC$66,TRUE,"0")</f>
        <v>#NAME?</v>
      </c>
      <c r="C549" s="161" t="str" cm="1">
        <f t="array" ref="C549">_xlfn.IFS(E549=$AB$42,$AF$42,E549=$AB$43,$AF$43,E549=$AB$44,$AF$44,E549=$AB$45,$AF$45,E549=$AB$46,$AF$46,E549=$AB$47,$AF$47,E549=$AB$48,$AF$48,E549=$AB$49,$AF$49,E549=$AB$50,$AF$50,E549=$AB$51,$AF$51,E549=$AB$52,$AF$52,E549=$AB$53,$AF$53,E549=$AB$54,$AF$54,E549=$AB$55,$AF$55,E549=$AB$56,$AF$56,E549=$AB$57,$AF$57,E549=$AB$58,$AF$58,E549=$AB$59,$AF$59,E549=$AB$60,$AF$60,E549=$AB$61,$AF$61,E549=$AB$62,$AF$62,E549=$AB$63,$AF$63,E549=$AB$64,$AF$64,E549=$AB$65,$AF$65,E549=$AB$66,$AF$66,TRUE,"0")</f>
        <v>40 mins Back ANother Goal</v>
      </c>
      <c r="D549" s="270" t="str" cm="1">
        <f t="array" ref="D549">_xlfn.IFS(E549=$AB$42,$AD$42,E549=$AB$43,$AD$43,E549=$AB$44,$AD$44,E549=$AB$45,$AD$45,E549=$AB$46,$AD$46,E549=$AB$47,$AD$47,E549=$AB$48,$AD$48,E549=$AB$49,$AD$49,E549=$AB$50,$AD$50,E549=$AB$51,$AD$51,E549=$AB$52,$AD$52,E549=$AB$53,$AD$53,E549=$AB$54,$AD$54,E549=$AB$55,$AD$55,E549=$AB$56,$AD$56,E549=$AB$57,$AD$57,E549=$AB$58,$AD$58,E549=$AB$59,$AD$59,E549=$AB$60,$AD$60,E549=$AB$61,$AD$61,E549=$AB$62,$AD$62,E549=$AB$63,$AD$63,E549=$AB$64,$AD$64,E549=$AB$65,$AD$65,E549=$AB$66,$AD$66,TRUE,"0")</f>
        <v xml:space="preserve">  BANG</v>
      </c>
      <c r="E549" s="163" t="s">
        <v>10</v>
      </c>
      <c r="F549" s="2" t="s">
        <v>6</v>
      </c>
      <c r="G549" s="2" t="s">
        <v>62</v>
      </c>
      <c r="H549" s="3">
        <v>45361.65625</v>
      </c>
      <c r="I549" s="2" t="s">
        <v>285</v>
      </c>
      <c r="J549" s="2" t="s">
        <v>72</v>
      </c>
      <c r="K549" s="2">
        <v>2.1</v>
      </c>
      <c r="L549" s="2">
        <v>85</v>
      </c>
      <c r="M549" s="2">
        <v>70</v>
      </c>
      <c r="N549" s="2">
        <v>30</v>
      </c>
      <c r="O549" s="2">
        <v>63</v>
      </c>
      <c r="P549" s="2">
        <v>20</v>
      </c>
      <c r="Q549" s="2" t="s">
        <v>95</v>
      </c>
      <c r="R549" s="10" t="s">
        <v>193</v>
      </c>
      <c r="S549" s="14" t="s">
        <v>216</v>
      </c>
      <c r="T549" s="188">
        <v>1000</v>
      </c>
      <c r="U549" s="8">
        <f t="shared" si="62"/>
        <v>180</v>
      </c>
      <c r="V549" s="234">
        <f t="shared" si="68"/>
        <v>22764.155246160299</v>
      </c>
      <c r="W549" s="15">
        <v>25</v>
      </c>
      <c r="X549" s="8">
        <f t="shared" si="65"/>
        <v>4.5</v>
      </c>
      <c r="Y549" s="233">
        <f t="shared" si="66"/>
        <v>2435</v>
      </c>
    </row>
    <row r="550" spans="1:25">
      <c r="A550" s="156" t="e" cm="1">
        <f t="array" aca="1" ref="A550" ca="1">_xlfn.IFS(E550=$AB$42,$AC$42,E550=$AB$43,$AC$43,E550=$AB$44,$AC$44,E550=$AB$45,$AC$45,E550=$AB$46,$AC$46,E550=$AB$47,$AC$47,E550=$AB$48,$AC$48,E550=$AB$49,$AC$49,E550=$AB$50,$AC$50,E550=$AB$51,$AC$51,E550=$AB$52,$AC$52,E550=$AB$53,$AC$53,E550=$AB$54,$AC$54,E550=$AB$55,$AC$55,E550=$AB$56,$AC$56,E550=$AB$57,$AC$57,E550=$AB$58,$AC$58,E550=$AB$59,$AC$59,E550=$AB$60,$AC$60,E550=$AB$61,$AC$61,E550=$AB$62,$AC$62,E550=$AB$63,$AC$63,E550=$AB$64,$AC$64,E550=$AB$65,$AC$65,E550=$AB$66,$AC$66,TRUE,"0")</f>
        <v>#NAME?</v>
      </c>
      <c r="C550" s="161" t="str" cm="1">
        <f t="array" ref="C550">_xlfn.IFS(E550=$AB$42,$AF$42,E550=$AB$43,$AF$43,E550=$AB$44,$AF$44,E550=$AB$45,$AF$45,E550=$AB$46,$AF$46,E550=$AB$47,$AF$47,E550=$AB$48,$AF$48,E550=$AB$49,$AF$49,E550=$AB$50,$AF$50,E550=$AB$51,$AF$51,E550=$AB$52,$AF$52,E550=$AB$53,$AF$53,E550=$AB$54,$AF$54,E550=$AB$55,$AF$55,E550=$AB$56,$AF$56,E550=$AB$57,$AF$57,E550=$AB$58,$AF$58,E550=$AB$59,$AF$59,E550=$AB$60,$AF$60,E550=$AB$61,$AF$61,E550=$AB$62,$AF$62,E550=$AB$63,$AF$63,E550=$AB$64,$AF$64,E550=$AB$65,$AF$65,E550=$AB$66,$AF$66,TRUE,"0")</f>
        <v>if 0-0, BACK+ 0.5 GOALS  @ 1.15+odds.  or @ 40 mins</v>
      </c>
      <c r="D550" s="270" t="str" cm="1">
        <f t="array" ref="D550">_xlfn.IFS(E550=$AB$42,$AD$42,E550=$AB$43,$AD$43,E550=$AB$44,$AD$44,E550=$AB$45,$AD$45,E550=$AB$46,$AD$46,E550=$AB$47,$AD$47,E550=$AB$48,$AD$48,E550=$AB$49,$AD$49,E550=$AB$50,$AD$50,E550=$AB$51,$AD$51,E550=$AB$52,$AD$52,E550=$AB$53,$AD$53,E550=$AB$54,$AD$54,E550=$AB$55,$AD$55,E550=$AB$56,$AD$56,E550=$AB$57,$AD$57,E550=$AB$58,$AD$58,E550=$AB$59,$AD$59,E550=$AB$60,$AD$60,E550=$AB$61,$AD$61,E550=$AB$62,$AD$62,E550=$AB$63,$AD$63,E550=$AB$64,$AD$64,E550=$AB$65,$AD$65,E550=$AB$66,$AD$66,TRUE,"0")</f>
        <v>IP</v>
      </c>
      <c r="E550" s="163" t="s">
        <v>270</v>
      </c>
      <c r="F550" s="2" t="s">
        <v>149</v>
      </c>
      <c r="G550" s="2" t="s">
        <v>153</v>
      </c>
      <c r="H550" s="3">
        <v>45361.65625</v>
      </c>
      <c r="I550" s="2" t="s">
        <v>241</v>
      </c>
      <c r="J550" s="2" t="s">
        <v>206</v>
      </c>
      <c r="K550" s="2">
        <v>59</v>
      </c>
      <c r="L550" s="2">
        <v>0</v>
      </c>
      <c r="M550" s="2">
        <v>20</v>
      </c>
      <c r="N550" s="2">
        <v>23</v>
      </c>
      <c r="O550" s="2">
        <v>2.79</v>
      </c>
      <c r="P550" s="2"/>
      <c r="Q550" s="2" t="s">
        <v>95</v>
      </c>
      <c r="R550" s="10" t="s">
        <v>221</v>
      </c>
      <c r="S550" s="14" t="s">
        <v>220</v>
      </c>
      <c r="T550" s="188">
        <v>1000</v>
      </c>
      <c r="U550" s="8">
        <f t="shared" si="62"/>
        <v>180</v>
      </c>
      <c r="V550" s="234">
        <f t="shared" si="68"/>
        <v>22944.155246160299</v>
      </c>
      <c r="W550" s="15">
        <v>25</v>
      </c>
      <c r="X550" s="8">
        <f t="shared" si="65"/>
        <v>4.5</v>
      </c>
      <c r="Y550" s="233">
        <f t="shared" si="66"/>
        <v>2439.5</v>
      </c>
    </row>
    <row r="551" spans="1:25">
      <c r="A551" s="156" t="e" cm="1">
        <f t="array" aca="1" ref="A551" ca="1">_xlfn.IFS(E551=$AB$42,$AC$42,E551=$AB$43,$AC$43,E551=$AB$44,$AC$44,E551=$AB$45,$AC$45,E551=$AB$46,$AC$46,E551=$AB$47,$AC$47,E551=$AB$48,$AC$48,E551=$AB$49,$AC$49,E551=$AB$50,$AC$50,E551=$AB$51,$AC$51,E551=$AB$52,$AC$52,E551=$AB$53,$AC$53,E551=$AB$54,$AC$54,E551=$AB$55,$AC$55,E551=$AB$56,$AC$56,E551=$AB$57,$AC$57,E551=$AB$58,$AC$58,E551=$AB$59,$AC$59,E551=$AB$60,$AC$60,E551=$AB$61,$AC$61,E551=$AB$62,$AC$62,E551=$AB$63,$AC$63,E551=$AB$64,$AC$64,E551=$AB$65,$AC$65,E551=$AB$66,$AC$66,TRUE,"0")</f>
        <v>#NAME?</v>
      </c>
      <c r="C551" s="161" t="str" cm="1">
        <f t="array" ref="C551">_xlfn.IFS(E551=$AB$42,$AF$42,E551=$AB$43,$AF$43,E551=$AB$44,$AF$44,E551=$AB$45,$AF$45,E551=$AB$46,$AF$46,E551=$AB$47,$AF$47,E551=$AB$48,$AF$48,E551=$AB$49,$AF$49,E551=$AB$50,$AF$50,E551=$AB$51,$AF$51,E551=$AB$52,$AF$52,E551=$AB$53,$AF$53,E551=$AB$54,$AF$54,E551=$AB$55,$AF$55,E551=$AB$56,$AF$56,E551=$AB$57,$AF$57,E551=$AB$58,$AF$58,E551=$AB$59,$AF$59,E551=$AB$60,$AF$60,E551=$AB$61,$AF$61,E551=$AB$62,$AF$62,E551=$AB$63,$AF$63,E551=$AB$64,$AF$64,E551=$AB$65,$AF$65,E551=$AB$66,$AF$66,TRUE,"0")</f>
        <v>20mins if  0-0, BACK over 1.5 goals X after goal OR LET RUN</v>
      </c>
      <c r="D551" s="270" t="str" cm="1">
        <f t="array" ref="D551">_xlfn.IFS(E551=$AB$42,$AD$42,E551=$AB$43,$AD$43,E551=$AB$44,$AD$44,E551=$AB$45,$AD$45,E551=$AB$46,$AD$46,E551=$AB$47,$AD$47,E551=$AB$48,$AD$48,E551=$AB$49,$AD$49,E551=$AB$50,$AD$50,E551=$AB$51,$AD$51,E551=$AB$52,$AD$52,E551=$AB$53,$AD$53,E551=$AB$54,$AD$54,E551=$AB$55,$AD$55,E551=$AB$56,$AD$56,E551=$AB$57,$AD$57,E551=$AB$58,$AD$58,E551=$AB$59,$AD$59,E551=$AB$60,$AD$60,E551=$AB$61,$AD$61,E551=$AB$62,$AD$62,E551=$AB$63,$AD$63,E551=$AB$64,$AD$64,E551=$AB$65,$AD$65,E551=$AB$66,$AD$66,TRUE,"0")</f>
        <v>IP</v>
      </c>
      <c r="E551" s="163" t="s">
        <v>474</v>
      </c>
      <c r="F551" s="2" t="s">
        <v>80</v>
      </c>
      <c r="G551" s="2" t="s">
        <v>81</v>
      </c>
      <c r="H551" s="3">
        <v>45361.666666666664</v>
      </c>
      <c r="I551" s="2" t="s">
        <v>314</v>
      </c>
      <c r="J551" s="2" t="s">
        <v>243</v>
      </c>
      <c r="K551" s="2">
        <v>56</v>
      </c>
      <c r="L551" s="2">
        <v>3.8</v>
      </c>
      <c r="M551" s="2">
        <v>20</v>
      </c>
      <c r="N551" s="2">
        <v>70</v>
      </c>
      <c r="O551" s="2">
        <v>95</v>
      </c>
      <c r="P551" s="2"/>
      <c r="Q551" s="2" t="s">
        <v>95</v>
      </c>
      <c r="R551" s="10" t="s">
        <v>193</v>
      </c>
      <c r="S551" s="14" t="s">
        <v>196</v>
      </c>
      <c r="T551" s="188">
        <v>1000</v>
      </c>
      <c r="U551" s="8">
        <f t="shared" si="62"/>
        <v>180</v>
      </c>
      <c r="V551" s="234">
        <f t="shared" si="68"/>
        <v>23124.155246160299</v>
      </c>
      <c r="W551" s="15">
        <v>25</v>
      </c>
      <c r="X551" s="8">
        <f t="shared" si="65"/>
        <v>4.5</v>
      </c>
      <c r="Y551" s="233">
        <f t="shared" si="66"/>
        <v>2444</v>
      </c>
    </row>
    <row r="552" spans="1:25">
      <c r="A552" s="156" t="e" cm="1">
        <f t="array" aca="1" ref="A552" ca="1">_xlfn.IFS(E552=$AB$42,$AC$42,E552=$AB$43,$AC$43,E552=$AB$44,$AC$44,E552=$AB$45,$AC$45,E552=$AB$46,$AC$46,E552=$AB$47,$AC$47,E552=$AB$48,$AC$48,E552=$AB$49,$AC$49,E552=$AB$50,$AC$50,E552=$AB$51,$AC$51,E552=$AB$52,$AC$52,E552=$AB$53,$AC$53,E552=$AB$54,$AC$54,E552=$AB$55,$AC$55,E552=$AB$56,$AC$56,E552=$AB$57,$AC$57,E552=$AB$58,$AC$58,E552=$AB$59,$AC$59,E552=$AB$60,$AC$60,E552=$AB$61,$AC$61,E552=$AB$62,$AC$62,E552=$AB$63,$AC$63,E552=$AB$64,$AC$64,E552=$AB$65,$AC$65,E552=$AB$66,$AC$66,TRUE,"0")</f>
        <v>#NAME?</v>
      </c>
      <c r="C552" s="161" t="str" cm="1">
        <f t="array" ref="C552">_xlfn.IFS(E552=$AB$42,$AF$42,E552=$AB$43,$AF$43,E552=$AB$44,$AF$44,E552=$AB$45,$AF$45,E552=$AB$46,$AF$46,E552=$AB$47,$AF$47,E552=$AB$48,$AF$48,E552=$AB$49,$AF$49,E552=$AB$50,$AF$50,E552=$AB$51,$AF$51,E552=$AB$52,$AF$52,E552=$AB$53,$AF$53,E552=$AB$54,$AF$54,E552=$AB$55,$AF$55,E552=$AB$56,$AF$56,E552=$AB$57,$AF$57,E552=$AB$58,$AF$58,E552=$AB$59,$AF$59,E552=$AB$60,$AF$60,E552=$AB$61,$AF$61,E552=$AB$62,$AF$62,E552=$AB$63,$AF$63,E552=$AB$64,$AF$64,E552=$AB$65,$AF$65,E552=$AB$66,$AF$66,TRUE,"0")</f>
        <v>B4 match BACK FT +1.5 goals. X AFTER  GOAL</v>
      </c>
      <c r="D552" s="270" t="str" cm="1">
        <f t="array" ref="D552">_xlfn.IFS(E552=$AB$42,$AD$42,E552=$AB$43,$AD$43,E552=$AB$44,$AD$44,E552=$AB$45,$AD$45,E552=$AB$46,$AD$46,E552=$AB$47,$AD$47,E552=$AB$48,$AD$48,E552=$AB$49,$AD$49,E552=$AB$50,$AD$50,E552=$AB$51,$AD$51,E552=$AB$52,$AD$52,E552=$AB$53,$AD$53,E552=$AB$54,$AD$54,E552=$AB$55,$AD$55,E552=$AB$56,$AD$56,E552=$AB$57,$AD$57,E552=$AB$58,$AD$58,E552=$AB$59,$AD$59,E552=$AB$60,$AD$60,E552=$AB$61,$AD$61,E552=$AB$62,$AD$62,E552=$AB$63,$AD$63,E552=$AB$64,$AD$64,E552=$AB$65,$AD$65,E552=$AB$66,$AD$66,TRUE,"0")</f>
        <v xml:space="preserve">BFM </v>
      </c>
      <c r="E552" s="163" t="s">
        <v>512</v>
      </c>
      <c r="F552" s="2" t="s">
        <v>145</v>
      </c>
      <c r="G552" s="2" t="s">
        <v>190</v>
      </c>
      <c r="H552" s="3">
        <v>45361.670138888891</v>
      </c>
      <c r="I552" s="2" t="s">
        <v>226</v>
      </c>
      <c r="J552" s="2" t="s">
        <v>339</v>
      </c>
      <c r="K552" s="2">
        <v>3.6</v>
      </c>
      <c r="L552" s="2">
        <v>20</v>
      </c>
      <c r="M552" s="2">
        <v>2.1</v>
      </c>
      <c r="N552" s="2">
        <v>25</v>
      </c>
      <c r="O552" s="2">
        <v>1</v>
      </c>
      <c r="P552" s="2">
        <v>10</v>
      </c>
      <c r="Q552" s="2" t="s">
        <v>95</v>
      </c>
      <c r="R552" s="10" t="s">
        <v>217</v>
      </c>
      <c r="S552" s="14" t="s">
        <v>210</v>
      </c>
      <c r="T552" s="188">
        <v>1000</v>
      </c>
      <c r="U552" s="8">
        <f t="shared" si="62"/>
        <v>180</v>
      </c>
      <c r="V552" s="234">
        <f t="shared" si="68"/>
        <v>23304.155246160299</v>
      </c>
      <c r="W552" s="15">
        <v>25</v>
      </c>
      <c r="X552" s="8">
        <f t="shared" si="65"/>
        <v>4.5</v>
      </c>
      <c r="Y552" s="233">
        <f t="shared" si="66"/>
        <v>2448.5</v>
      </c>
    </row>
    <row r="553" spans="1:25">
      <c r="A553" s="156" t="e" cm="1">
        <f t="array" aca="1" ref="A553" ca="1">_xlfn.IFS(E553=$AB$42,$AC$42,E553=$AB$43,$AC$43,E553=$AB$44,$AC$44,E553=$AB$45,$AC$45,E553=$AB$46,$AC$46,E553=$AB$47,$AC$47,E553=$AB$48,$AC$48,E553=$AB$49,$AC$49,E553=$AB$50,$AC$50,E553=$AB$51,$AC$51,E553=$AB$52,$AC$52,E553=$AB$53,$AC$53,E553=$AB$54,$AC$54,E553=$AB$55,$AC$55,E553=$AB$56,$AC$56,E553=$AB$57,$AC$57,E553=$AB$58,$AC$58,E553=$AB$59,$AC$59,E553=$AB$60,$AC$60,E553=$AB$61,$AC$61,E553=$AB$62,$AC$62,E553=$AB$63,$AC$63,E553=$AB$64,$AC$64,E553=$AB$65,$AC$65,E553=$AB$66,$AC$66,TRUE,"0")</f>
        <v>#NAME?</v>
      </c>
      <c r="C553" s="161" t="str" cm="1">
        <f t="array" ref="C553">_xlfn.IFS(E553=$AB$42,$AF$42,E553=$AB$43,$AF$43,E553=$AB$44,$AF$44,E553=$AB$45,$AF$45,E553=$AB$46,$AF$46,E553=$AB$47,$AF$47,E553=$AB$48,$AF$48,E553=$AB$49,$AF$49,E553=$AB$50,$AF$50,E553=$AB$51,$AF$51,E553=$AB$52,$AF$52,E553=$AB$53,$AF$53,E553=$AB$54,$AF$54,E553=$AB$55,$AF$55,E553=$AB$56,$AF$56,E553=$AB$57,$AF$57,E553=$AB$58,$AF$58,E553=$AB$59,$AF$59,E553=$AB$60,$AF$60,E553=$AB$61,$AF$61,E553=$AB$62,$AF$62,E553=$AB$63,$AF$63,E553=$AB$64,$AF$64,E553=$AB$65,$AF$65,E553=$AB$66,$AF$66,TRUE,"0")</f>
        <v>B4 match BACK FT +1.5 goals. X AFTER  GOAL</v>
      </c>
      <c r="D553" s="270" t="str" cm="1">
        <f t="array" ref="D553">_xlfn.IFS(E553=$AB$42,$AD$42,E553=$AB$43,$AD$43,E553=$AB$44,$AD$44,E553=$AB$45,$AD$45,E553=$AB$46,$AD$46,E553=$AB$47,$AD$47,E553=$AB$48,$AD$48,E553=$AB$49,$AD$49,E553=$AB$50,$AD$50,E553=$AB$51,$AD$51,E553=$AB$52,$AD$52,E553=$AB$53,$AD$53,E553=$AB$54,$AD$54,E553=$AB$55,$AD$55,E553=$AB$56,$AD$56,E553=$AB$57,$AD$57,E553=$AB$58,$AD$58,E553=$AB$59,$AD$59,E553=$AB$60,$AD$60,E553=$AB$61,$AD$61,E553=$AB$62,$AD$62,E553=$AB$63,$AD$63,E553=$AB$64,$AD$64,E553=$AB$65,$AD$65,E553=$AB$66,$AD$66,TRUE,"0")</f>
        <v xml:space="preserve">BFM </v>
      </c>
      <c r="E553" s="163" t="s">
        <v>406</v>
      </c>
      <c r="F553" s="2" t="s">
        <v>119</v>
      </c>
      <c r="G553" s="2" t="s">
        <v>120</v>
      </c>
      <c r="H553" s="3">
        <v>45361.729166666664</v>
      </c>
      <c r="I553" s="2" t="s">
        <v>122</v>
      </c>
      <c r="J553" s="2" t="s">
        <v>479</v>
      </c>
      <c r="K553" s="2">
        <v>1.32</v>
      </c>
      <c r="L553" s="2">
        <v>12</v>
      </c>
      <c r="M553" s="2">
        <v>3</v>
      </c>
      <c r="N553" s="2">
        <v>4.8</v>
      </c>
      <c r="O553" s="2">
        <v>2.84</v>
      </c>
      <c r="P553" s="2"/>
      <c r="Q553" s="2" t="s">
        <v>95</v>
      </c>
      <c r="R553" s="10" t="s">
        <v>214</v>
      </c>
      <c r="S553" s="14" t="s">
        <v>194</v>
      </c>
      <c r="T553" s="188">
        <v>1000</v>
      </c>
      <c r="U553" s="8">
        <f t="shared" si="62"/>
        <v>180</v>
      </c>
      <c r="V553" s="234">
        <f t="shared" si="68"/>
        <v>23484.155246160299</v>
      </c>
      <c r="W553" s="15">
        <v>25</v>
      </c>
      <c r="X553" s="8">
        <f t="shared" si="65"/>
        <v>4.5</v>
      </c>
      <c r="Y553" s="233">
        <f t="shared" si="66"/>
        <v>2453</v>
      </c>
    </row>
    <row r="554" spans="1:25">
      <c r="A554" s="156" t="e" cm="1">
        <f t="array" aca="1" ref="A554" ca="1">_xlfn.IFS(E554=$AB$42,$AC$42,E554=$AB$43,$AC$43,E554=$AB$44,$AC$44,E554=$AB$45,$AC$45,E554=$AB$46,$AC$46,E554=$AB$47,$AC$47,E554=$AB$48,$AC$48,E554=$AB$49,$AC$49,E554=$AB$50,$AC$50,E554=$AB$51,$AC$51,E554=$AB$52,$AC$52,E554=$AB$53,$AC$53,E554=$AB$54,$AC$54,E554=$AB$55,$AC$55,E554=$AB$56,$AC$56,E554=$AB$57,$AC$57,E554=$AB$58,$AC$58,E554=$AB$59,$AC$59,E554=$AB$60,$AC$60,E554=$AB$61,$AC$61,E554=$AB$62,$AC$62,E554=$AB$63,$AC$63,E554=$AB$64,$AC$64,E554=$AB$65,$AC$65,E554=$AB$66,$AC$66,TRUE,"0")</f>
        <v>#NAME?</v>
      </c>
      <c r="C554" s="161" t="str" cm="1">
        <f t="array" ref="C554">_xlfn.IFS(E554=$AB$42,$AF$42,E554=$AB$43,$AF$43,E554=$AB$44,$AF$44,E554=$AB$45,$AF$45,E554=$AB$46,$AF$46,E554=$AB$47,$AF$47,E554=$AB$48,$AF$48,E554=$AB$49,$AF$49,E554=$AB$50,$AF$50,E554=$AB$51,$AF$51,E554=$AB$52,$AF$52,E554=$AB$53,$AF$53,E554=$AB$54,$AF$54,E554=$AB$55,$AF$55,E554=$AB$56,$AF$56,E554=$AB$57,$AF$57,E554=$AB$58,$AF$58,E554=$AB$59,$AF$59,E554=$AB$60,$AF$60,E554=$AB$61,$AF$61,E554=$AB$62,$AF$62,E554=$AB$63,$AF$63,E554=$AB$64,$AF$64,E554=$AB$65,$AF$65,E554=$AB$66,$AF$66,TRUE,"0")</f>
        <v>B4 match BACK FT +1.5 goals. X AFTER  GOAL</v>
      </c>
      <c r="D554" s="270" t="str" cm="1">
        <f t="array" ref="D554">_xlfn.IFS(E554=$AB$42,$AD$42,E554=$AB$43,$AD$43,E554=$AB$44,$AD$44,E554=$AB$45,$AD$45,E554=$AB$46,$AD$46,E554=$AB$47,$AD$47,E554=$AB$48,$AD$48,E554=$AB$49,$AD$49,E554=$AB$50,$AD$50,E554=$AB$51,$AD$51,E554=$AB$52,$AD$52,E554=$AB$53,$AD$53,E554=$AB$54,$AD$54,E554=$AB$55,$AD$55,E554=$AB$56,$AD$56,E554=$AB$57,$AD$57,E554=$AB$58,$AD$58,E554=$AB$59,$AD$59,E554=$AB$60,$AD$60,E554=$AB$61,$AD$61,E554=$AB$62,$AD$62,E554=$AB$63,$AD$63,E554=$AB$64,$AD$64,E554=$AB$65,$AD$65,E554=$AB$66,$AD$66,TRUE,"0")</f>
        <v xml:space="preserve">BFM </v>
      </c>
      <c r="E554" s="163" t="s">
        <v>512</v>
      </c>
      <c r="F554" s="2" t="s">
        <v>119</v>
      </c>
      <c r="G554" s="2" t="s">
        <v>120</v>
      </c>
      <c r="H554" s="3">
        <v>45361.729166666664</v>
      </c>
      <c r="I554" s="2" t="s">
        <v>122</v>
      </c>
      <c r="J554" s="2" t="s">
        <v>479</v>
      </c>
      <c r="K554" s="2">
        <v>4.8</v>
      </c>
      <c r="L554" s="2">
        <v>20</v>
      </c>
      <c r="M554" s="2">
        <v>3</v>
      </c>
      <c r="N554" s="2">
        <v>31</v>
      </c>
      <c r="O554" s="2">
        <v>4</v>
      </c>
      <c r="P554" s="2">
        <v>10</v>
      </c>
      <c r="Q554" s="2" t="s">
        <v>95</v>
      </c>
      <c r="R554" s="10" t="s">
        <v>214</v>
      </c>
      <c r="S554" s="14" t="s">
        <v>194</v>
      </c>
      <c r="T554" s="188">
        <v>1000</v>
      </c>
      <c r="U554" s="8">
        <f t="shared" si="62"/>
        <v>180</v>
      </c>
      <c r="V554" s="234">
        <f t="shared" ref="V554:V600" si="69">SUM(V553,U554)</f>
        <v>23664.155246160299</v>
      </c>
      <c r="W554" s="15">
        <v>25</v>
      </c>
      <c r="X554" s="8">
        <f t="shared" si="65"/>
        <v>4.5</v>
      </c>
      <c r="Y554" s="233">
        <f t="shared" si="66"/>
        <v>2457.5</v>
      </c>
    </row>
    <row r="555" spans="1:25">
      <c r="A555" s="156" t="e" cm="1">
        <f t="array" aca="1" ref="A555" ca="1">_xlfn.IFS(E555=$AB$42,$AC$42,E555=$AB$43,$AC$43,E555=$AB$44,$AC$44,E555=$AB$45,$AC$45,E555=$AB$46,$AC$46,E555=$AB$47,$AC$47,E555=$AB$48,$AC$48,E555=$AB$49,$AC$49,E555=$AB$50,$AC$50,E555=$AB$51,$AC$51,E555=$AB$52,$AC$52,E555=$AB$53,$AC$53,E555=$AB$54,$AC$54,E555=$AB$55,$AC$55,E555=$AB$56,$AC$56,E555=$AB$57,$AC$57,E555=$AB$58,$AC$58,E555=$AB$59,$AC$59,E555=$AB$60,$AC$60,E555=$AB$61,$AC$61,E555=$AB$62,$AC$62,E555=$AB$63,$AC$63,E555=$AB$64,$AC$64,E555=$AB$65,$AC$65,E555=$AB$66,$AC$66,TRUE,"0")</f>
        <v>#NAME?</v>
      </c>
      <c r="C555" s="161" t="str" cm="1">
        <f t="array" ref="C555">_xlfn.IFS(E555=$AB$42,$AF$42,E555=$AB$43,$AF$43,E555=$AB$44,$AF$44,E555=$AB$45,$AF$45,E555=$AB$46,$AF$46,E555=$AB$47,$AF$47,E555=$AB$48,$AF$48,E555=$AB$49,$AF$49,E555=$AB$50,$AF$50,E555=$AB$51,$AF$51,E555=$AB$52,$AF$52,E555=$AB$53,$AF$53,E555=$AB$54,$AF$54,E555=$AB$55,$AF$55,E555=$AB$56,$AF$56,E555=$AB$57,$AF$57,E555=$AB$58,$AF$58,E555=$AB$59,$AF$59,E555=$AB$60,$AF$60,E555=$AB$61,$AF$61,E555=$AB$62,$AF$62,E555=$AB$63,$AF$63,E555=$AB$64,$AF$64,E555=$AB$65,$AF$65,E555=$AB$66,$AF$66,TRUE,"0")</f>
        <v>10mins if  0-0, BACK over 1.5 goals X after goal OR LET RUN</v>
      </c>
      <c r="D555" s="270" t="str" cm="1">
        <f t="array" ref="D555">_xlfn.IFS(E555=$AB$42,$AD$42,E555=$AB$43,$AD$43,E555=$AB$44,$AD$44,E555=$AB$45,$AD$45,E555=$AB$46,$AD$46,E555=$AB$47,$AD$47,E555=$AB$48,$AD$48,E555=$AB$49,$AD$49,E555=$AB$50,$AD$50,E555=$AB$51,$AD$51,E555=$AB$52,$AD$52,E555=$AB$53,$AD$53,E555=$AB$54,$AD$54,E555=$AB$55,$AD$55,E555=$AB$56,$AD$56,E555=$AB$57,$AD$57,E555=$AB$58,$AD$58,E555=$AB$59,$AD$59,E555=$AB$60,$AD$60,E555=$AB$61,$AD$61,E555=$AB$62,$AD$62,E555=$AB$63,$AD$63,E555=$AB$64,$AD$64,E555=$AB$65,$AD$65,E555=$AB$66,$AD$66,TRUE,"0")</f>
        <v>IP</v>
      </c>
      <c r="E555" s="163" t="s">
        <v>498</v>
      </c>
      <c r="F555" s="2" t="s">
        <v>67</v>
      </c>
      <c r="G555" s="2" t="s">
        <v>68</v>
      </c>
      <c r="H555" s="3">
        <v>45361.729166666664</v>
      </c>
      <c r="I555" s="2" t="s">
        <v>465</v>
      </c>
      <c r="J555" s="2" t="s">
        <v>257</v>
      </c>
      <c r="K555" s="2">
        <v>70</v>
      </c>
      <c r="L555" s="2">
        <v>90</v>
      </c>
      <c r="M555" s="2">
        <v>1.65</v>
      </c>
      <c r="N555" s="2">
        <v>20</v>
      </c>
      <c r="O555" s="2"/>
      <c r="Q555" s="2" t="s">
        <v>95</v>
      </c>
      <c r="R555" s="10" t="s">
        <v>221</v>
      </c>
      <c r="S555" s="14" t="s">
        <v>216</v>
      </c>
      <c r="T555" s="188">
        <v>1000</v>
      </c>
      <c r="U555" s="8">
        <f t="shared" si="62"/>
        <v>180</v>
      </c>
      <c r="V555" s="234">
        <f t="shared" si="69"/>
        <v>23844.155246160299</v>
      </c>
      <c r="W555" s="15">
        <v>25</v>
      </c>
      <c r="X555" s="8">
        <f t="shared" si="65"/>
        <v>4.5</v>
      </c>
      <c r="Y555" s="233">
        <f t="shared" si="66"/>
        <v>2462</v>
      </c>
    </row>
    <row r="556" spans="1:25">
      <c r="A556" s="156" t="e" cm="1">
        <f t="array" aca="1" ref="A556" ca="1">_xlfn.IFS(E556=$AB$42,$AC$42,E556=$AB$43,$AC$43,E556=$AB$44,$AC$44,E556=$AB$45,$AC$45,E556=$AB$46,$AC$46,E556=$AB$47,$AC$47,E556=$AB$48,$AC$48,E556=$AB$49,$AC$49,E556=$AB$50,$AC$50,E556=$AB$51,$AC$51,E556=$AB$52,$AC$52,E556=$AB$53,$AC$53,E556=$AB$54,$AC$54,E556=$AB$55,$AC$55,E556=$AB$56,$AC$56,E556=$AB$57,$AC$57,E556=$AB$58,$AC$58,E556=$AB$59,$AC$59,E556=$AB$60,$AC$60,E556=$AB$61,$AC$61,E556=$AB$62,$AC$62,E556=$AB$63,$AC$63,E556=$AB$64,$AC$64,E556=$AB$65,$AC$65,E556=$AB$66,$AC$66,TRUE,"0")</f>
        <v>#NAME?</v>
      </c>
      <c r="C556" s="161" t="str" cm="1">
        <f t="array" ref="C556">_xlfn.IFS(E556=$AB$42,$AF$42,E556=$AB$43,$AF$43,E556=$AB$44,$AF$44,E556=$AB$45,$AF$45,E556=$AB$46,$AF$46,E556=$AB$47,$AF$47,E556=$AB$48,$AF$48,E556=$AB$49,$AF$49,E556=$AB$50,$AF$50,E556=$AB$51,$AF$51,E556=$AB$52,$AF$52,E556=$AB$53,$AF$53,E556=$AB$54,$AF$54,E556=$AB$55,$AF$55,E556=$AB$56,$AF$56,E556=$AB$57,$AF$57,E556=$AB$58,$AF$58,E556=$AB$59,$AF$59,E556=$AB$60,$AF$60,E556=$AB$61,$AF$61,E556=$AB$62,$AF$62,E556=$AB$63,$AF$63,E556=$AB$64,$AF$64,E556=$AB$65,$AF$65,E556=$AB$66,$AF$66,TRUE,"0")</f>
        <v>15mins if  0-0, BACK over 1.5 goals X after goal OR LET RUN</v>
      </c>
      <c r="D556" s="270" t="str" cm="1">
        <f t="array" ref="D556">_xlfn.IFS(E556=$AB$42,$AD$42,E556=$AB$43,$AD$43,E556=$AB$44,$AD$44,E556=$AB$45,$AD$45,E556=$AB$46,$AD$46,E556=$AB$47,$AD$47,E556=$AB$48,$AD$48,E556=$AB$49,$AD$49,E556=$AB$50,$AD$50,E556=$AB$51,$AD$51,E556=$AB$52,$AD$52,E556=$AB$53,$AD$53,E556=$AB$54,$AD$54,E556=$AB$55,$AD$55,E556=$AB$56,$AD$56,E556=$AB$57,$AD$57,E556=$AB$58,$AD$58,E556=$AB$59,$AD$59,E556=$AB$60,$AD$60,E556=$AB$61,$AD$61,E556=$AB$62,$AD$62,E556=$AB$63,$AD$63,E556=$AB$64,$AD$64,E556=$AB$65,$AD$65,E556=$AB$66,$AD$66,TRUE,"0")</f>
        <v>IP</v>
      </c>
      <c r="E556" s="163" t="s">
        <v>473</v>
      </c>
      <c r="F556" s="2" t="s">
        <v>67</v>
      </c>
      <c r="G556" s="2" t="s">
        <v>68</v>
      </c>
      <c r="H556" s="3">
        <v>45361.729166666664</v>
      </c>
      <c r="I556" s="2" t="s">
        <v>465</v>
      </c>
      <c r="J556" s="2" t="s">
        <v>257</v>
      </c>
      <c r="K556" s="2">
        <v>68</v>
      </c>
      <c r="L556" s="2">
        <v>90</v>
      </c>
      <c r="M556" s="2">
        <v>20</v>
      </c>
      <c r="N556" s="2">
        <v>3.2</v>
      </c>
      <c r="O556" s="2"/>
      <c r="Q556" s="2" t="s">
        <v>95</v>
      </c>
      <c r="R556" s="10" t="s">
        <v>221</v>
      </c>
      <c r="S556" s="14" t="s">
        <v>216</v>
      </c>
      <c r="T556" s="188">
        <v>1000</v>
      </c>
      <c r="U556" s="8">
        <f t="shared" si="62"/>
        <v>180</v>
      </c>
      <c r="V556" s="234">
        <f t="shared" si="69"/>
        <v>24024.155246160299</v>
      </c>
      <c r="W556" s="15">
        <v>25</v>
      </c>
      <c r="X556" s="8">
        <f t="shared" si="65"/>
        <v>4.5</v>
      </c>
      <c r="Y556" s="233">
        <f t="shared" si="66"/>
        <v>2466.5</v>
      </c>
    </row>
    <row r="557" spans="1:25">
      <c r="A557" s="156" t="e" cm="1">
        <f t="array" aca="1" ref="A557" ca="1">_xlfn.IFS(E557=$AB$42,$AC$42,E557=$AB$43,$AC$43,E557=$AB$44,$AC$44,E557=$AB$45,$AC$45,E557=$AB$46,$AC$46,E557=$AB$47,$AC$47,E557=$AB$48,$AC$48,E557=$AB$49,$AC$49,E557=$AB$50,$AC$50,E557=$AB$51,$AC$51,E557=$AB$52,$AC$52,E557=$AB$53,$AC$53,E557=$AB$54,$AC$54,E557=$AB$55,$AC$55,E557=$AB$56,$AC$56,E557=$AB$57,$AC$57,E557=$AB$58,$AC$58,E557=$AB$59,$AC$59,E557=$AB$60,$AC$60,E557=$AB$61,$AC$61,E557=$AB$62,$AC$62,E557=$AB$63,$AC$63,E557=$AB$64,$AC$64,E557=$AB$65,$AC$65,E557=$AB$66,$AC$66,TRUE,"0")</f>
        <v>#NAME?</v>
      </c>
      <c r="C557" s="161" t="str" cm="1">
        <f t="array" ref="C557">_xlfn.IFS(E557=$AB$42,$AF$42,E557=$AB$43,$AF$43,E557=$AB$44,$AF$44,E557=$AB$45,$AF$45,E557=$AB$46,$AF$46,E557=$AB$47,$AF$47,E557=$AB$48,$AF$48,E557=$AB$49,$AF$49,E557=$AB$50,$AF$50,E557=$AB$51,$AF$51,E557=$AB$52,$AF$52,E557=$AB$53,$AF$53,E557=$AB$54,$AF$54,E557=$AB$55,$AF$55,E557=$AB$56,$AF$56,E557=$AB$57,$AF$57,E557=$AB$58,$AF$58,E557=$AB$59,$AF$59,E557=$AB$60,$AF$60,E557=$AB$61,$AF$61,E557=$AB$62,$AF$62,E557=$AB$63,$AF$63,E557=$AB$64,$AF$64,E557=$AB$65,$AF$65,E557=$AB$66,$AF$66,TRUE,"0")</f>
        <v>20mins if  0-0, BACK over 1.5 goals X after goal OR LET RUN</v>
      </c>
      <c r="D557" s="270" t="str" cm="1">
        <f t="array" ref="D557">_xlfn.IFS(E557=$AB$42,$AD$42,E557=$AB$43,$AD$43,E557=$AB$44,$AD$44,E557=$AB$45,$AD$45,E557=$AB$46,$AD$46,E557=$AB$47,$AD$47,E557=$AB$48,$AD$48,E557=$AB$49,$AD$49,E557=$AB$50,$AD$50,E557=$AB$51,$AD$51,E557=$AB$52,$AD$52,E557=$AB$53,$AD$53,E557=$AB$54,$AD$54,E557=$AB$55,$AD$55,E557=$AB$56,$AD$56,E557=$AB$57,$AD$57,E557=$AB$58,$AD$58,E557=$AB$59,$AD$59,E557=$AB$60,$AD$60,E557=$AB$61,$AD$61,E557=$AB$62,$AD$62,E557=$AB$63,$AD$63,E557=$AB$64,$AD$64,E557=$AB$65,$AD$65,E557=$AB$66,$AD$66,TRUE,"0")</f>
        <v>IP</v>
      </c>
      <c r="E557" s="163" t="s">
        <v>474</v>
      </c>
      <c r="F557" s="2" t="s">
        <v>67</v>
      </c>
      <c r="G557" s="2" t="s">
        <v>68</v>
      </c>
      <c r="H557" s="3">
        <v>45361.729166666664</v>
      </c>
      <c r="I557" s="2" t="s">
        <v>465</v>
      </c>
      <c r="J557" s="2" t="s">
        <v>257</v>
      </c>
      <c r="K557" s="2">
        <v>55</v>
      </c>
      <c r="L557" s="2">
        <v>3.2</v>
      </c>
      <c r="M557" s="2">
        <v>20</v>
      </c>
      <c r="N557" s="2">
        <v>65</v>
      </c>
      <c r="O557" s="2">
        <v>90</v>
      </c>
      <c r="Q557" s="2" t="s">
        <v>95</v>
      </c>
      <c r="R557" s="10" t="s">
        <v>221</v>
      </c>
      <c r="S557" s="14" t="s">
        <v>216</v>
      </c>
      <c r="T557" s="188">
        <v>1000</v>
      </c>
      <c r="U557" s="8">
        <f t="shared" si="62"/>
        <v>180</v>
      </c>
      <c r="V557" s="234">
        <f t="shared" si="69"/>
        <v>24204.155246160299</v>
      </c>
      <c r="W557" s="15">
        <v>25</v>
      </c>
      <c r="X557" s="8">
        <f t="shared" si="65"/>
        <v>4.5</v>
      </c>
      <c r="Y557" s="233">
        <f t="shared" si="66"/>
        <v>2471</v>
      </c>
    </row>
    <row r="558" spans="1:25">
      <c r="A558" s="156" t="e" cm="1">
        <f t="array" aca="1" ref="A558" ca="1">_xlfn.IFS(E558=$AB$42,$AC$42,E558=$AB$43,$AC$43,E558=$AB$44,$AC$44,E558=$AB$45,$AC$45,E558=$AB$46,$AC$46,E558=$AB$47,$AC$47,E558=$AB$48,$AC$48,E558=$AB$49,$AC$49,E558=$AB$50,$AC$50,E558=$AB$51,$AC$51,E558=$AB$52,$AC$52,E558=$AB$53,$AC$53,E558=$AB$54,$AC$54,E558=$AB$55,$AC$55,E558=$AB$56,$AC$56,E558=$AB$57,$AC$57,E558=$AB$58,$AC$58,E558=$AB$59,$AC$59,E558=$AB$60,$AC$60,E558=$AB$61,$AC$61,E558=$AB$62,$AC$62,E558=$AB$63,$AC$63,E558=$AB$64,$AC$64,E558=$AB$65,$AC$65,E558=$AB$66,$AC$66,TRUE,"0")</f>
        <v>#NAME?</v>
      </c>
      <c r="C558" s="161" t="str" cm="1">
        <f t="array" ref="C558">_xlfn.IFS(E558=$AB$42,$AF$42,E558=$AB$43,$AF$43,E558=$AB$44,$AF$44,E558=$AB$45,$AF$45,E558=$AB$46,$AF$46,E558=$AB$47,$AF$47,E558=$AB$48,$AF$48,E558=$AB$49,$AF$49,E558=$AB$50,$AF$50,E558=$AB$51,$AF$51,E558=$AB$52,$AF$52,E558=$AB$53,$AF$53,E558=$AB$54,$AF$54,E558=$AB$55,$AF$55,E558=$AB$56,$AF$56,E558=$AB$57,$AF$57,E558=$AB$58,$AF$58,E558=$AB$59,$AF$59,E558=$AB$60,$AF$60,E558=$AB$61,$AF$61,E558=$AB$62,$AF$62,E558=$AB$63,$AF$63,E558=$AB$64,$AF$64,E558=$AB$65,$AF$65,E558=$AB$66,$AF$66,TRUE,"0")</f>
        <v>40 mins Back ANother Goal</v>
      </c>
      <c r="D558" s="270" t="str" cm="1">
        <f t="array" ref="D558">_xlfn.IFS(E558=$AB$42,$AD$42,E558=$AB$43,$AD$43,E558=$AB$44,$AD$44,E558=$AB$45,$AD$45,E558=$AB$46,$AD$46,E558=$AB$47,$AD$47,E558=$AB$48,$AD$48,E558=$AB$49,$AD$49,E558=$AB$50,$AD$50,E558=$AB$51,$AD$51,E558=$AB$52,$AD$52,E558=$AB$53,$AD$53,E558=$AB$54,$AD$54,E558=$AB$55,$AD$55,E558=$AB$56,$AD$56,E558=$AB$57,$AD$57,E558=$AB$58,$AD$58,E558=$AB$59,$AD$59,E558=$AB$60,$AD$60,E558=$AB$61,$AD$61,E558=$AB$62,$AD$62,E558=$AB$63,$AD$63,E558=$AB$64,$AD$64,E558=$AB$65,$AD$65,E558=$AB$66,$AD$66,TRUE,"0")</f>
        <v xml:space="preserve">  BANG</v>
      </c>
      <c r="E558" s="163" t="s">
        <v>10</v>
      </c>
      <c r="F558" s="2" t="s">
        <v>58</v>
      </c>
      <c r="G558" s="2" t="s">
        <v>59</v>
      </c>
      <c r="H558" s="3">
        <v>45361.75</v>
      </c>
      <c r="I558" s="2" t="s">
        <v>76</v>
      </c>
      <c r="J558" s="2" t="s">
        <v>125</v>
      </c>
      <c r="K558" s="2">
        <v>1.85</v>
      </c>
      <c r="L558" s="2">
        <v>85</v>
      </c>
      <c r="M558" s="2">
        <v>70</v>
      </c>
      <c r="N558" s="2">
        <v>20</v>
      </c>
      <c r="O558" s="2">
        <v>63</v>
      </c>
      <c r="P558" s="1">
        <v>20</v>
      </c>
      <c r="Q558" s="2" t="s">
        <v>95</v>
      </c>
      <c r="R558" s="10" t="s">
        <v>193</v>
      </c>
      <c r="S558" s="14" t="s">
        <v>218</v>
      </c>
      <c r="T558" s="188">
        <v>1000</v>
      </c>
      <c r="U558" s="8">
        <f t="shared" ref="U558:U621" si="70">IF(Q558="won",T558*0.18,-T558)</f>
        <v>180</v>
      </c>
      <c r="V558" s="234">
        <f t="shared" si="69"/>
        <v>24384.155246160299</v>
      </c>
      <c r="W558" s="15">
        <v>25</v>
      </c>
      <c r="X558" s="8">
        <f t="shared" si="65"/>
        <v>4.5</v>
      </c>
      <c r="Y558" s="233">
        <f t="shared" si="66"/>
        <v>2475.5</v>
      </c>
    </row>
    <row r="559" spans="1:25">
      <c r="A559" s="156" t="e" cm="1">
        <f t="array" aca="1" ref="A559" ca="1">_xlfn.IFS(E559=$AB$42,$AC$42,E559=$AB$43,$AC$43,E559=$AB$44,$AC$44,E559=$AB$45,$AC$45,E559=$AB$46,$AC$46,E559=$AB$47,$AC$47,E559=$AB$48,$AC$48,E559=$AB$49,$AC$49,E559=$AB$50,$AC$50,E559=$AB$51,$AC$51,E559=$AB$52,$AC$52,E559=$AB$53,$AC$53,E559=$AB$54,$AC$54,E559=$AB$55,$AC$55,E559=$AB$56,$AC$56,E559=$AB$57,$AC$57,E559=$AB$58,$AC$58,E559=$AB$59,$AC$59,E559=$AB$60,$AC$60,E559=$AB$61,$AC$61,E559=$AB$62,$AC$62,E559=$AB$63,$AC$63,E559=$AB$64,$AC$64,E559=$AB$65,$AC$65,E559=$AB$66,$AC$66,TRUE,"0")</f>
        <v>#NAME?</v>
      </c>
      <c r="C559" s="161" t="str" cm="1">
        <f t="array" ref="C559">_xlfn.IFS(E559=$AB$42,$AF$42,E559=$AB$43,$AF$43,E559=$AB$44,$AF$44,E559=$AB$45,$AF$45,E559=$AB$46,$AF$46,E559=$AB$47,$AF$47,E559=$AB$48,$AF$48,E559=$AB$49,$AF$49,E559=$AB$50,$AF$50,E559=$AB$51,$AF$51,E559=$AB$52,$AF$52,E559=$AB$53,$AF$53,E559=$AB$54,$AF$54,E559=$AB$55,$AF$55,E559=$AB$56,$AF$56,E559=$AB$57,$AF$57,E559=$AB$58,$AF$58,E559=$AB$59,$AF$59,E559=$AB$60,$AF$60,E559=$AB$61,$AF$61,E559=$AB$62,$AF$62,E559=$AB$63,$AF$63,E559=$AB$64,$AF$64,E559=$AB$65,$AF$65,E559=$AB$66,$AF$66,TRUE,"0")</f>
        <v>40 mins Back ANother Goal</v>
      </c>
      <c r="D559" s="270" t="str" cm="1">
        <f t="array" ref="D559">_xlfn.IFS(E559=$AB$42,$AD$42,E559=$AB$43,$AD$43,E559=$AB$44,$AD$44,E559=$AB$45,$AD$45,E559=$AB$46,$AD$46,E559=$AB$47,$AD$47,E559=$AB$48,$AD$48,E559=$AB$49,$AD$49,E559=$AB$50,$AD$50,E559=$AB$51,$AD$51,E559=$AB$52,$AD$52,E559=$AB$53,$AD$53,E559=$AB$54,$AD$54,E559=$AB$55,$AD$55,E559=$AB$56,$AD$56,E559=$AB$57,$AD$57,E559=$AB$58,$AD$58,E559=$AB$59,$AD$59,E559=$AB$60,$AD$60,E559=$AB$61,$AD$61,E559=$AB$62,$AD$62,E559=$AB$63,$AD$63,E559=$AB$64,$AD$64,E559=$AB$65,$AD$65,E559=$AB$66,$AD$66,TRUE,"0")</f>
        <v xml:space="preserve">  BANG</v>
      </c>
      <c r="E559" s="163" t="s">
        <v>10</v>
      </c>
      <c r="F559" s="2" t="s">
        <v>67</v>
      </c>
      <c r="G559" s="2" t="s">
        <v>68</v>
      </c>
      <c r="H559" s="3">
        <v>45361.760416666664</v>
      </c>
      <c r="I559" s="2" t="s">
        <v>88</v>
      </c>
      <c r="J559" s="2" t="s">
        <v>342</v>
      </c>
      <c r="K559" s="2">
        <v>1.85</v>
      </c>
      <c r="L559" s="2">
        <v>90</v>
      </c>
      <c r="M559" s="2">
        <v>65</v>
      </c>
      <c r="N559" s="2">
        <v>25</v>
      </c>
      <c r="O559" s="2">
        <v>64</v>
      </c>
      <c r="P559" s="1">
        <v>20</v>
      </c>
      <c r="Q559" s="2" t="s">
        <v>96</v>
      </c>
      <c r="R559" s="10" t="s">
        <v>214</v>
      </c>
      <c r="S559" s="14" t="s">
        <v>214</v>
      </c>
      <c r="T559" s="188">
        <v>1000</v>
      </c>
      <c r="U559" s="8">
        <f t="shared" si="70"/>
        <v>-1000</v>
      </c>
      <c r="V559" s="234">
        <f t="shared" si="69"/>
        <v>23384.155246160299</v>
      </c>
      <c r="W559" s="15">
        <v>25</v>
      </c>
      <c r="X559" s="8">
        <f t="shared" si="65"/>
        <v>-25</v>
      </c>
      <c r="Y559" s="233">
        <f t="shared" si="66"/>
        <v>2450.5</v>
      </c>
    </row>
    <row r="560" spans="1:25">
      <c r="A560" s="156" t="e" cm="1">
        <f t="array" aca="1" ref="A560" ca="1">_xlfn.IFS(E560=$AB$42,$AC$42,E560=$AB$43,$AC$43,E560=$AB$44,$AC$44,E560=$AB$45,$AC$45,E560=$AB$46,$AC$46,E560=$AB$47,$AC$47,E560=$AB$48,$AC$48,E560=$AB$49,$AC$49,E560=$AB$50,$AC$50,E560=$AB$51,$AC$51,E560=$AB$52,$AC$52,E560=$AB$53,$AC$53,E560=$AB$54,$AC$54,E560=$AB$55,$AC$55,E560=$AB$56,$AC$56,E560=$AB$57,$AC$57,E560=$AB$58,$AC$58,E560=$AB$59,$AC$59,E560=$AB$60,$AC$60,E560=$AB$61,$AC$61,E560=$AB$62,$AC$62,E560=$AB$63,$AC$63,E560=$AB$64,$AC$64,E560=$AB$65,$AC$65,E560=$AB$66,$AC$66,TRUE,"0")</f>
        <v>#NAME?</v>
      </c>
      <c r="C560" s="161" t="str" cm="1">
        <f t="array" ref="C560">_xlfn.IFS(E560=$AB$42,$AF$42,E560=$AB$43,$AF$43,E560=$AB$44,$AF$44,E560=$AB$45,$AF$45,E560=$AB$46,$AF$46,E560=$AB$47,$AF$47,E560=$AB$48,$AF$48,E560=$AB$49,$AF$49,E560=$AB$50,$AF$50,E560=$AB$51,$AF$51,E560=$AB$52,$AF$52,E560=$AB$53,$AF$53,E560=$AB$54,$AF$54,E560=$AB$55,$AF$55,E560=$AB$56,$AF$56,E560=$AB$57,$AF$57,E560=$AB$58,$AF$58,E560=$AB$59,$AF$59,E560=$AB$60,$AF$60,E560=$AB$61,$AF$61,E560=$AB$62,$AF$62,E560=$AB$63,$AF$63,E560=$AB$64,$AF$64,E560=$AB$65,$AF$65,E560=$AB$66,$AF$66,TRUE,"0")</f>
        <v>if 0-0, BACK+ 0.5 GOALS  @ 1.15+odds.  or @ 40 mins</v>
      </c>
      <c r="D560" s="270" t="str" cm="1">
        <f t="array" ref="D560">_xlfn.IFS(E560=$AB$42,$AD$42,E560=$AB$43,$AD$43,E560=$AB$44,$AD$44,E560=$AB$45,$AD$45,E560=$AB$46,$AD$46,E560=$AB$47,$AD$47,E560=$AB$48,$AD$48,E560=$AB$49,$AD$49,E560=$AB$50,$AD$50,E560=$AB$51,$AD$51,E560=$AB$52,$AD$52,E560=$AB$53,$AD$53,E560=$AB$54,$AD$54,E560=$AB$55,$AD$55,E560=$AB$56,$AD$56,E560=$AB$57,$AD$57,E560=$AB$58,$AD$58,E560=$AB$59,$AD$59,E560=$AB$60,$AD$60,E560=$AB$61,$AD$61,E560=$AB$62,$AD$62,E560=$AB$63,$AD$63,E560=$AB$64,$AD$64,E560=$AB$65,$AD$65,E560=$AB$66,$AD$66,TRUE,"0")</f>
        <v>IP</v>
      </c>
      <c r="E560" s="163" t="s">
        <v>270</v>
      </c>
      <c r="F560" s="2" t="s">
        <v>67</v>
      </c>
      <c r="G560" s="2" t="s">
        <v>68</v>
      </c>
      <c r="H560" s="3">
        <v>45361.760416666664</v>
      </c>
      <c r="I560" s="2" t="s">
        <v>88</v>
      </c>
      <c r="J560" s="2" t="s">
        <v>342</v>
      </c>
      <c r="K560" s="2">
        <v>62</v>
      </c>
      <c r="L560" s="2">
        <v>0</v>
      </c>
      <c r="M560" s="2">
        <v>20</v>
      </c>
      <c r="N560" s="2">
        <v>33</v>
      </c>
      <c r="O560" s="2">
        <v>2.44</v>
      </c>
      <c r="Q560" s="2" t="s">
        <v>95</v>
      </c>
      <c r="R560" s="10" t="s">
        <v>214</v>
      </c>
      <c r="S560" s="14" t="s">
        <v>214</v>
      </c>
      <c r="T560" s="188">
        <v>1000</v>
      </c>
      <c r="U560" s="8">
        <f t="shared" si="70"/>
        <v>180</v>
      </c>
      <c r="V560" s="234">
        <f t="shared" si="69"/>
        <v>23564.155246160299</v>
      </c>
      <c r="W560" s="15">
        <v>25</v>
      </c>
      <c r="X560" s="8">
        <f t="shared" si="65"/>
        <v>4.5</v>
      </c>
      <c r="Y560" s="233">
        <f t="shared" si="66"/>
        <v>2455</v>
      </c>
    </row>
    <row r="561" spans="1:25">
      <c r="A561" s="156" t="e" cm="1">
        <f t="array" aca="1" ref="A561" ca="1">_xlfn.IFS(E561=$AB$42,$AC$42,E561=$AB$43,$AC$43,E561=$AB$44,$AC$44,E561=$AB$45,$AC$45,E561=$AB$46,$AC$46,E561=$AB$47,$AC$47,E561=$AB$48,$AC$48,E561=$AB$49,$AC$49,E561=$AB$50,$AC$50,E561=$AB$51,$AC$51,E561=$AB$52,$AC$52,E561=$AB$53,$AC$53,E561=$AB$54,$AC$54,E561=$AB$55,$AC$55,E561=$AB$56,$AC$56,E561=$AB$57,$AC$57,E561=$AB$58,$AC$58,E561=$AB$59,$AC$59,E561=$AB$60,$AC$60,E561=$AB$61,$AC$61,E561=$AB$62,$AC$62,E561=$AB$63,$AC$63,E561=$AB$64,$AC$64,E561=$AB$65,$AC$65,E561=$AB$66,$AC$66,TRUE,"0")</f>
        <v>#NAME?</v>
      </c>
      <c r="C561" s="161" t="str" cm="1">
        <f t="array" ref="C561">_xlfn.IFS(E561=$AB$42,$AF$42,E561=$AB$43,$AF$43,E561=$AB$44,$AF$44,E561=$AB$45,$AF$45,E561=$AB$46,$AF$46,E561=$AB$47,$AF$47,E561=$AB$48,$AF$48,E561=$AB$49,$AF$49,E561=$AB$50,$AF$50,E561=$AB$51,$AF$51,E561=$AB$52,$AF$52,E561=$AB$53,$AF$53,E561=$AB$54,$AF$54,E561=$AB$55,$AF$55,E561=$AB$56,$AF$56,E561=$AB$57,$AF$57,E561=$AB$58,$AF$58,E561=$AB$59,$AF$59,E561=$AB$60,$AF$60,E561=$AB$61,$AF$61,E561=$AB$62,$AF$62,E561=$AB$63,$AF$63,E561=$AB$64,$AF$64,E561=$AB$65,$AF$65,E561=$AB$66,$AF$66,TRUE,"0")</f>
        <v>if 0-0, BACK+ 0.5 GOALS  @ 1.15+odds.  or @ 40 mins</v>
      </c>
      <c r="D561" s="270" t="str" cm="1">
        <f t="array" ref="D561">_xlfn.IFS(E561=$AB$42,$AD$42,E561=$AB$43,$AD$43,E561=$AB$44,$AD$44,E561=$AB$45,$AD$45,E561=$AB$46,$AD$46,E561=$AB$47,$AD$47,E561=$AB$48,$AD$48,E561=$AB$49,$AD$49,E561=$AB$50,$AD$50,E561=$AB$51,$AD$51,E561=$AB$52,$AD$52,E561=$AB$53,$AD$53,E561=$AB$54,$AD$54,E561=$AB$55,$AD$55,E561=$AB$56,$AD$56,E561=$AB$57,$AD$57,E561=$AB$58,$AD$58,E561=$AB$59,$AD$59,E561=$AB$60,$AD$60,E561=$AB$61,$AD$61,E561=$AB$62,$AD$62,E561=$AB$63,$AD$63,E561=$AB$64,$AD$64,E561=$AB$65,$AD$65,E561=$AB$66,$AD$66,TRUE,"0")</f>
        <v>IP</v>
      </c>
      <c r="E561" s="163" t="s">
        <v>270</v>
      </c>
      <c r="F561" s="2" t="s">
        <v>67</v>
      </c>
      <c r="G561" s="2" t="s">
        <v>169</v>
      </c>
      <c r="H561" s="3">
        <v>45361.760416666664</v>
      </c>
      <c r="I561" s="2" t="s">
        <v>372</v>
      </c>
      <c r="J561" s="2" t="s">
        <v>171</v>
      </c>
      <c r="K561" s="2">
        <v>71</v>
      </c>
      <c r="L561" s="2">
        <v>0</v>
      </c>
      <c r="M561" s="2">
        <v>20</v>
      </c>
      <c r="N561" s="2">
        <v>35</v>
      </c>
      <c r="O561" s="2">
        <v>2.13</v>
      </c>
      <c r="Q561" s="2" t="s">
        <v>95</v>
      </c>
      <c r="R561" s="10" t="s">
        <v>214</v>
      </c>
      <c r="S561" s="14" t="s">
        <v>214</v>
      </c>
      <c r="T561" s="188">
        <v>1000</v>
      </c>
      <c r="U561" s="8">
        <f t="shared" si="70"/>
        <v>180</v>
      </c>
      <c r="V561" s="234">
        <f t="shared" si="69"/>
        <v>23744.155246160299</v>
      </c>
      <c r="W561" s="15">
        <v>25</v>
      </c>
      <c r="X561" s="8">
        <f t="shared" si="65"/>
        <v>4.5</v>
      </c>
      <c r="Y561" s="233">
        <f t="shared" si="66"/>
        <v>2459.5</v>
      </c>
    </row>
    <row r="562" spans="1:25">
      <c r="A562" s="156" t="e" cm="1">
        <f t="array" aca="1" ref="A562" ca="1">_xlfn.IFS(E562=$AB$42,$AC$42,E562=$AB$43,$AC$43,E562=$AB$44,$AC$44,E562=$AB$45,$AC$45,E562=$AB$46,$AC$46,E562=$AB$47,$AC$47,E562=$AB$48,$AC$48,E562=$AB$49,$AC$49,E562=$AB$50,$AC$50,E562=$AB$51,$AC$51,E562=$AB$52,$AC$52,E562=$AB$53,$AC$53,E562=$AB$54,$AC$54,E562=$AB$55,$AC$55,E562=$AB$56,$AC$56,E562=$AB$57,$AC$57,E562=$AB$58,$AC$58,E562=$AB$59,$AC$59,E562=$AB$60,$AC$60,E562=$AB$61,$AC$61,E562=$AB$62,$AC$62,E562=$AB$63,$AC$63,E562=$AB$64,$AC$64,E562=$AB$65,$AC$65,E562=$AB$66,$AC$66,TRUE,"0")</f>
        <v>#NAME?</v>
      </c>
      <c r="C562" s="161" t="str" cm="1">
        <f t="array" ref="C562">_xlfn.IFS(E562=$AB$42,$AF$42,E562=$AB$43,$AF$43,E562=$AB$44,$AF$44,E562=$AB$45,$AF$45,E562=$AB$46,$AF$46,E562=$AB$47,$AF$47,E562=$AB$48,$AF$48,E562=$AB$49,$AF$49,E562=$AB$50,$AF$50,E562=$AB$51,$AF$51,E562=$AB$52,$AF$52,E562=$AB$53,$AF$53,E562=$AB$54,$AF$54,E562=$AB$55,$AF$55,E562=$AB$56,$AF$56,E562=$AB$57,$AF$57,E562=$AB$58,$AF$58,E562=$AB$59,$AF$59,E562=$AB$60,$AF$60,E562=$AB$61,$AF$61,E562=$AB$62,$AF$62,E562=$AB$63,$AF$63,E562=$AB$64,$AF$64,E562=$AB$65,$AF$65,E562=$AB$66,$AF$66,TRUE,"0")</f>
        <v>B4 match BACK FT +1.5 goals. X AFTER  GOAL</v>
      </c>
      <c r="D562" s="270" t="str" cm="1">
        <f t="array" ref="D562">_xlfn.IFS(E562=$AB$42,$AD$42,E562=$AB$43,$AD$43,E562=$AB$44,$AD$44,E562=$AB$45,$AD$45,E562=$AB$46,$AD$46,E562=$AB$47,$AD$47,E562=$AB$48,$AD$48,E562=$AB$49,$AD$49,E562=$AB$50,$AD$50,E562=$AB$51,$AD$51,E562=$AB$52,$AD$52,E562=$AB$53,$AD$53,E562=$AB$54,$AD$54,E562=$AB$55,$AD$55,E562=$AB$56,$AD$56,E562=$AB$57,$AD$57,E562=$AB$58,$AD$58,E562=$AB$59,$AD$59,E562=$AB$60,$AD$60,E562=$AB$61,$AD$61,E562=$AB$62,$AD$62,E562=$AB$63,$AD$63,E562=$AB$64,$AD$64,E562=$AB$65,$AD$65,E562=$AB$66,$AD$66,TRUE,"0")</f>
        <v xml:space="preserve">BFM </v>
      </c>
      <c r="E562" s="163" t="s">
        <v>406</v>
      </c>
      <c r="F562" s="2" t="s">
        <v>77</v>
      </c>
      <c r="G562" s="2" t="s">
        <v>156</v>
      </c>
      <c r="H562" s="3">
        <v>45361.770833333336</v>
      </c>
      <c r="I562" s="2" t="s">
        <v>325</v>
      </c>
      <c r="J562" s="2" t="s">
        <v>161</v>
      </c>
      <c r="K562" s="2">
        <v>1.35</v>
      </c>
      <c r="L562" s="2">
        <v>10.5</v>
      </c>
      <c r="M562" s="2">
        <v>2.9</v>
      </c>
      <c r="N562" s="2">
        <v>4.9000000000000004</v>
      </c>
      <c r="O562" s="2">
        <v>2.65</v>
      </c>
      <c r="Q562" s="2" t="s">
        <v>95</v>
      </c>
      <c r="R562" s="10" t="s">
        <v>214</v>
      </c>
      <c r="S562" s="14" t="s">
        <v>220</v>
      </c>
      <c r="T562" s="188">
        <v>1000</v>
      </c>
      <c r="U562" s="8">
        <f t="shared" si="70"/>
        <v>180</v>
      </c>
      <c r="V562" s="234">
        <f t="shared" si="69"/>
        <v>23924.155246160299</v>
      </c>
      <c r="W562" s="15">
        <v>25</v>
      </c>
      <c r="X562" s="8">
        <f t="shared" si="65"/>
        <v>4.5</v>
      </c>
      <c r="Y562" s="233">
        <f t="shared" si="66"/>
        <v>2464</v>
      </c>
    </row>
    <row r="563" spans="1:25">
      <c r="A563" s="156" t="e" cm="1">
        <f t="array" aca="1" ref="A563" ca="1">_xlfn.IFS(E563=$AB$42,$AC$42,E563=$AB$43,$AC$43,E563=$AB$44,$AC$44,E563=$AB$45,$AC$45,E563=$AB$46,$AC$46,E563=$AB$47,$AC$47,E563=$AB$48,$AC$48,E563=$AB$49,$AC$49,E563=$AB$50,$AC$50,E563=$AB$51,$AC$51,E563=$AB$52,$AC$52,E563=$AB$53,$AC$53,E563=$AB$54,$AC$54,E563=$AB$55,$AC$55,E563=$AB$56,$AC$56,E563=$AB$57,$AC$57,E563=$AB$58,$AC$58,E563=$AB$59,$AC$59,E563=$AB$60,$AC$60,E563=$AB$61,$AC$61,E563=$AB$62,$AC$62,E563=$AB$63,$AC$63,E563=$AB$64,$AC$64,E563=$AB$65,$AC$65,E563=$AB$66,$AC$66,TRUE,"0")</f>
        <v>#NAME?</v>
      </c>
      <c r="C563" s="161" t="str" cm="1">
        <f t="array" ref="C563">_xlfn.IFS(E563=$AB$42,$AF$42,E563=$AB$43,$AF$43,E563=$AB$44,$AF$44,E563=$AB$45,$AF$45,E563=$AB$46,$AF$46,E563=$AB$47,$AF$47,E563=$AB$48,$AF$48,E563=$AB$49,$AF$49,E563=$AB$50,$AF$50,E563=$AB$51,$AF$51,E563=$AB$52,$AF$52,E563=$AB$53,$AF$53,E563=$AB$54,$AF$54,E563=$AB$55,$AF$55,E563=$AB$56,$AF$56,E563=$AB$57,$AF$57,E563=$AB$58,$AF$58,E563=$AB$59,$AF$59,E563=$AB$60,$AF$60,E563=$AB$61,$AF$61,E563=$AB$62,$AF$62,E563=$AB$63,$AF$63,E563=$AB$64,$AF$64,E563=$AB$65,$AF$65,E563=$AB$66,$AF$66,TRUE,"0")</f>
        <v>15mins if  0-0, BACK over 1.5 goals X after goal OR LET RUN</v>
      </c>
      <c r="D563" s="270" t="str" cm="1">
        <f t="array" ref="D563">_xlfn.IFS(E563=$AB$42,$AD$42,E563=$AB$43,$AD$43,E563=$AB$44,$AD$44,E563=$AB$45,$AD$45,E563=$AB$46,$AD$46,E563=$AB$47,$AD$47,E563=$AB$48,$AD$48,E563=$AB$49,$AD$49,E563=$AB$50,$AD$50,E563=$AB$51,$AD$51,E563=$AB$52,$AD$52,E563=$AB$53,$AD$53,E563=$AB$54,$AD$54,E563=$AB$55,$AD$55,E563=$AB$56,$AD$56,E563=$AB$57,$AD$57,E563=$AB$58,$AD$58,E563=$AB$59,$AD$59,E563=$AB$60,$AD$60,E563=$AB$61,$AD$61,E563=$AB$62,$AD$62,E563=$AB$63,$AD$63,E563=$AB$64,$AD$64,E563=$AB$65,$AD$65,E563=$AB$66,$AD$66,TRUE,"0")</f>
        <v>IP</v>
      </c>
      <c r="E563" s="163" t="s">
        <v>473</v>
      </c>
      <c r="F563" s="2" t="s">
        <v>133</v>
      </c>
      <c r="G563" s="2" t="s">
        <v>78</v>
      </c>
      <c r="H563" s="3">
        <v>45361.770833333336</v>
      </c>
      <c r="I563" s="2" t="s">
        <v>488</v>
      </c>
      <c r="J563" s="2" t="s">
        <v>466</v>
      </c>
      <c r="K563" s="2">
        <v>67</v>
      </c>
      <c r="L563" s="2">
        <v>95</v>
      </c>
      <c r="M563" s="2">
        <v>20</v>
      </c>
      <c r="N563" s="2">
        <v>3.4</v>
      </c>
      <c r="O563" s="2"/>
      <c r="Q563" s="2" t="s">
        <v>95</v>
      </c>
      <c r="R563" s="10" t="s">
        <v>223</v>
      </c>
      <c r="S563" s="14" t="s">
        <v>211</v>
      </c>
      <c r="T563" s="188">
        <v>1000</v>
      </c>
      <c r="U563" s="8">
        <f t="shared" si="70"/>
        <v>180</v>
      </c>
      <c r="V563" s="234">
        <f t="shared" si="69"/>
        <v>24104.155246160299</v>
      </c>
      <c r="W563" s="15">
        <v>25</v>
      </c>
      <c r="X563" s="8">
        <f t="shared" si="65"/>
        <v>4.5</v>
      </c>
      <c r="Y563" s="233">
        <f t="shared" si="66"/>
        <v>2468.5</v>
      </c>
    </row>
    <row r="564" spans="1:25">
      <c r="A564" s="156" t="e" cm="1">
        <f t="array" aca="1" ref="A564" ca="1">_xlfn.IFS(E564=$AB$42,$AC$42,E564=$AB$43,$AC$43,E564=$AB$44,$AC$44,E564=$AB$45,$AC$45,E564=$AB$46,$AC$46,E564=$AB$47,$AC$47,E564=$AB$48,$AC$48,E564=$AB$49,$AC$49,E564=$AB$50,$AC$50,E564=$AB$51,$AC$51,E564=$AB$52,$AC$52,E564=$AB$53,$AC$53,E564=$AB$54,$AC$54,E564=$AB$55,$AC$55,E564=$AB$56,$AC$56,E564=$AB$57,$AC$57,E564=$AB$58,$AC$58,E564=$AB$59,$AC$59,E564=$AB$60,$AC$60,E564=$AB$61,$AC$61,E564=$AB$62,$AC$62,E564=$AB$63,$AC$63,E564=$AB$64,$AC$64,E564=$AB$65,$AC$65,E564=$AB$66,$AC$66,TRUE,"0")</f>
        <v>#NAME?</v>
      </c>
      <c r="C564" s="161" t="str" cm="1">
        <f t="array" ref="C564">_xlfn.IFS(E564=$AB$42,$AF$42,E564=$AB$43,$AF$43,E564=$AB$44,$AF$44,E564=$AB$45,$AF$45,E564=$AB$46,$AF$46,E564=$AB$47,$AF$47,E564=$AB$48,$AF$48,E564=$AB$49,$AF$49,E564=$AB$50,$AF$50,E564=$AB$51,$AF$51,E564=$AB$52,$AF$52,E564=$AB$53,$AF$53,E564=$AB$54,$AF$54,E564=$AB$55,$AF$55,E564=$AB$56,$AF$56,E564=$AB$57,$AF$57,E564=$AB$58,$AF$58,E564=$AB$59,$AF$59,E564=$AB$60,$AF$60,E564=$AB$61,$AF$61,E564=$AB$62,$AF$62,E564=$AB$63,$AF$63,E564=$AB$64,$AF$64,E564=$AB$65,$AF$65,E564=$AB$66,$AF$66,TRUE,"0")</f>
        <v>B4 match BACK FT +1.5 goals. X AFTER  GOAL</v>
      </c>
      <c r="D564" s="270" t="str" cm="1">
        <f t="array" ref="D564">_xlfn.IFS(E564=$AB$42,$AD$42,E564=$AB$43,$AD$43,E564=$AB$44,$AD$44,E564=$AB$45,$AD$45,E564=$AB$46,$AD$46,E564=$AB$47,$AD$47,E564=$AB$48,$AD$48,E564=$AB$49,$AD$49,E564=$AB$50,$AD$50,E564=$AB$51,$AD$51,E564=$AB$52,$AD$52,E564=$AB$53,$AD$53,E564=$AB$54,$AD$54,E564=$AB$55,$AD$55,E564=$AB$56,$AD$56,E564=$AB$57,$AD$57,E564=$AB$58,$AD$58,E564=$AB$59,$AD$59,E564=$AB$60,$AD$60,E564=$AB$61,$AD$61,E564=$AB$62,$AD$62,E564=$AB$63,$AD$63,E564=$AB$64,$AD$64,E564=$AB$65,$AD$65,E564=$AB$66,$AD$66,TRUE,"0")</f>
        <v xml:space="preserve">BFM </v>
      </c>
      <c r="E564" s="163" t="s">
        <v>512</v>
      </c>
      <c r="F564" s="2" t="s">
        <v>149</v>
      </c>
      <c r="G564" s="2" t="s">
        <v>153</v>
      </c>
      <c r="H564" s="3">
        <v>45361.791666666664</v>
      </c>
      <c r="I564" s="2" t="s">
        <v>282</v>
      </c>
      <c r="J564" s="2" t="s">
        <v>155</v>
      </c>
      <c r="K564" s="2">
        <v>2.2999999999999998</v>
      </c>
      <c r="L564" s="2">
        <v>20</v>
      </c>
      <c r="M564" s="2">
        <v>3.05</v>
      </c>
      <c r="N564" s="2">
        <v>28</v>
      </c>
      <c r="O564" s="2">
        <v>2</v>
      </c>
      <c r="P564" s="1">
        <v>10</v>
      </c>
      <c r="Q564" s="2" t="s">
        <v>95</v>
      </c>
      <c r="R564" s="10" t="s">
        <v>220</v>
      </c>
      <c r="S564" s="14" t="s">
        <v>207</v>
      </c>
      <c r="T564" s="188">
        <v>1000</v>
      </c>
      <c r="U564" s="8">
        <f t="shared" si="70"/>
        <v>180</v>
      </c>
      <c r="V564" s="234">
        <f t="shared" si="69"/>
        <v>24284.155246160299</v>
      </c>
      <c r="W564" s="15">
        <v>25</v>
      </c>
      <c r="X564" s="8">
        <f t="shared" si="65"/>
        <v>4.5</v>
      </c>
      <c r="Y564" s="233">
        <f t="shared" si="66"/>
        <v>2473</v>
      </c>
    </row>
    <row r="565" spans="1:25">
      <c r="A565" s="156" t="e" cm="1">
        <f t="array" aca="1" ref="A565" ca="1">_xlfn.IFS(E565=$AB$42,$AC$42,E565=$AB$43,$AC$43,E565=$AB$44,$AC$44,E565=$AB$45,$AC$45,E565=$AB$46,$AC$46,E565=$AB$47,$AC$47,E565=$AB$48,$AC$48,E565=$AB$49,$AC$49,E565=$AB$50,$AC$50,E565=$AB$51,$AC$51,E565=$AB$52,$AC$52,E565=$AB$53,$AC$53,E565=$AB$54,$AC$54,E565=$AB$55,$AC$55,E565=$AB$56,$AC$56,E565=$AB$57,$AC$57,E565=$AB$58,$AC$58,E565=$AB$59,$AC$59,E565=$AB$60,$AC$60,E565=$AB$61,$AC$61,E565=$AB$62,$AC$62,E565=$AB$63,$AC$63,E565=$AB$64,$AC$64,E565=$AB$65,$AC$65,E565=$AB$66,$AC$66,TRUE,"0")</f>
        <v>#NAME?</v>
      </c>
      <c r="C565" s="161" t="str" cm="1">
        <f t="array" ref="C565">_xlfn.IFS(E565=$AB$42,$AF$42,E565=$AB$43,$AF$43,E565=$AB$44,$AF$44,E565=$AB$45,$AF$45,E565=$AB$46,$AF$46,E565=$AB$47,$AF$47,E565=$AB$48,$AF$48,E565=$AB$49,$AF$49,E565=$AB$50,$AF$50,E565=$AB$51,$AF$51,E565=$AB$52,$AF$52,E565=$AB$53,$AF$53,E565=$AB$54,$AF$54,E565=$AB$55,$AF$55,E565=$AB$56,$AF$56,E565=$AB$57,$AF$57,E565=$AB$58,$AF$58,E565=$AB$59,$AF$59,E565=$AB$60,$AF$60,E565=$AB$61,$AF$61,E565=$AB$62,$AF$62,E565=$AB$63,$AF$63,E565=$AB$64,$AF$64,E565=$AB$65,$AF$65,E565=$AB$66,$AF$66,TRUE,"0")</f>
        <v>10mins if  0-0, BACK over 1.5 goals X after goal OR LET RUN</v>
      </c>
      <c r="D565" s="270" t="str" cm="1">
        <f t="array" ref="D565">_xlfn.IFS(E565=$AB$42,$AD$42,E565=$AB$43,$AD$43,E565=$AB$44,$AD$44,E565=$AB$45,$AD$45,E565=$AB$46,$AD$46,E565=$AB$47,$AD$47,E565=$AB$48,$AD$48,E565=$AB$49,$AD$49,E565=$AB$50,$AD$50,E565=$AB$51,$AD$51,E565=$AB$52,$AD$52,E565=$AB$53,$AD$53,E565=$AB$54,$AD$54,E565=$AB$55,$AD$55,E565=$AB$56,$AD$56,E565=$AB$57,$AD$57,E565=$AB$58,$AD$58,E565=$AB$59,$AD$59,E565=$AB$60,$AD$60,E565=$AB$61,$AD$61,E565=$AB$62,$AD$62,E565=$AB$63,$AD$63,E565=$AB$64,$AD$64,E565=$AB$65,$AD$65,E565=$AB$66,$AD$66,TRUE,"0")</f>
        <v>IP</v>
      </c>
      <c r="E565" s="163" t="s">
        <v>498</v>
      </c>
      <c r="F565" s="2" t="s">
        <v>133</v>
      </c>
      <c r="G565" s="2" t="s">
        <v>78</v>
      </c>
      <c r="H565" s="3">
        <v>45361.791666666664</v>
      </c>
      <c r="I565" s="2" t="s">
        <v>137</v>
      </c>
      <c r="J565" s="2" t="s">
        <v>136</v>
      </c>
      <c r="K565" s="2">
        <v>64</v>
      </c>
      <c r="L565" s="2">
        <v>85</v>
      </c>
      <c r="M565" s="2">
        <v>1.2</v>
      </c>
      <c r="N565" s="2">
        <v>20</v>
      </c>
      <c r="O565" s="2"/>
      <c r="Q565" s="2" t="s">
        <v>95</v>
      </c>
      <c r="R565" s="10" t="s">
        <v>193</v>
      </c>
      <c r="S565" s="14" t="s">
        <v>193</v>
      </c>
      <c r="T565" s="188">
        <v>1000</v>
      </c>
      <c r="U565" s="8">
        <f t="shared" si="70"/>
        <v>180</v>
      </c>
      <c r="V565" s="234">
        <f t="shared" si="69"/>
        <v>24464.155246160299</v>
      </c>
      <c r="W565" s="15">
        <v>25</v>
      </c>
      <c r="X565" s="8">
        <f t="shared" si="65"/>
        <v>4.5</v>
      </c>
      <c r="Y565" s="233">
        <f t="shared" si="66"/>
        <v>2477.5</v>
      </c>
    </row>
    <row r="566" spans="1:25">
      <c r="A566" s="156" t="e" cm="1">
        <f t="array" aca="1" ref="A566" ca="1">_xlfn.IFS(E566=$AB$42,$AC$42,E566=$AB$43,$AC$43,E566=$AB$44,$AC$44,E566=$AB$45,$AC$45,E566=$AB$46,$AC$46,E566=$AB$47,$AC$47,E566=$AB$48,$AC$48,E566=$AB$49,$AC$49,E566=$AB$50,$AC$50,E566=$AB$51,$AC$51,E566=$AB$52,$AC$52,E566=$AB$53,$AC$53,E566=$AB$54,$AC$54,E566=$AB$55,$AC$55,E566=$AB$56,$AC$56,E566=$AB$57,$AC$57,E566=$AB$58,$AC$58,E566=$AB$59,$AC$59,E566=$AB$60,$AC$60,E566=$AB$61,$AC$61,E566=$AB$62,$AC$62,E566=$AB$63,$AC$63,E566=$AB$64,$AC$64,E566=$AB$65,$AC$65,E566=$AB$66,$AC$66,TRUE,"0")</f>
        <v>#NAME?</v>
      </c>
      <c r="C566" s="161" t="str" cm="1">
        <f t="array" ref="C566">_xlfn.IFS(E566=$AB$42,$AF$42,E566=$AB$43,$AF$43,E566=$AB$44,$AF$44,E566=$AB$45,$AF$45,E566=$AB$46,$AF$46,E566=$AB$47,$AF$47,E566=$AB$48,$AF$48,E566=$AB$49,$AF$49,E566=$AB$50,$AF$50,E566=$AB$51,$AF$51,E566=$AB$52,$AF$52,E566=$AB$53,$AF$53,E566=$AB$54,$AF$54,E566=$AB$55,$AF$55,E566=$AB$56,$AF$56,E566=$AB$57,$AF$57,E566=$AB$58,$AF$58,E566=$AB$59,$AF$59,E566=$AB$60,$AF$60,E566=$AB$61,$AF$61,E566=$AB$62,$AF$62,E566=$AB$63,$AF$63,E566=$AB$64,$AF$64,E566=$AB$65,$AF$65,E566=$AB$66,$AF$66,TRUE,"0")</f>
        <v>15mins if  0-0, BACK over 1.5 goals X after goal OR LET RUN</v>
      </c>
      <c r="D566" s="270" t="str" cm="1">
        <f t="array" ref="D566">_xlfn.IFS(E566=$AB$42,$AD$42,E566=$AB$43,$AD$43,E566=$AB$44,$AD$44,E566=$AB$45,$AD$45,E566=$AB$46,$AD$46,E566=$AB$47,$AD$47,E566=$AB$48,$AD$48,E566=$AB$49,$AD$49,E566=$AB$50,$AD$50,E566=$AB$51,$AD$51,E566=$AB$52,$AD$52,E566=$AB$53,$AD$53,E566=$AB$54,$AD$54,E566=$AB$55,$AD$55,E566=$AB$56,$AD$56,E566=$AB$57,$AD$57,E566=$AB$58,$AD$58,E566=$AB$59,$AD$59,E566=$AB$60,$AD$60,E566=$AB$61,$AD$61,E566=$AB$62,$AD$62,E566=$AB$63,$AD$63,E566=$AB$64,$AD$64,E566=$AB$65,$AD$65,E566=$AB$66,$AD$66,TRUE,"0")</f>
        <v>IP</v>
      </c>
      <c r="E566" s="163" t="s">
        <v>473</v>
      </c>
      <c r="F566" s="2" t="s">
        <v>133</v>
      </c>
      <c r="G566" s="2" t="s">
        <v>78</v>
      </c>
      <c r="H566" s="3">
        <v>45361.791666666664</v>
      </c>
      <c r="I566" s="2" t="s">
        <v>137</v>
      </c>
      <c r="J566" s="2" t="s">
        <v>136</v>
      </c>
      <c r="K566" s="2">
        <v>64</v>
      </c>
      <c r="L566" s="2">
        <v>85</v>
      </c>
      <c r="M566" s="2">
        <v>20</v>
      </c>
      <c r="N566" s="2">
        <v>2.9</v>
      </c>
      <c r="O566" s="2"/>
      <c r="Q566" s="2" t="s">
        <v>95</v>
      </c>
      <c r="R566" s="10" t="s">
        <v>193</v>
      </c>
      <c r="S566" s="14" t="s">
        <v>193</v>
      </c>
      <c r="T566" s="188">
        <v>1000</v>
      </c>
      <c r="U566" s="8">
        <f t="shared" si="70"/>
        <v>180</v>
      </c>
      <c r="V566" s="234">
        <f t="shared" si="69"/>
        <v>24644.155246160299</v>
      </c>
      <c r="W566" s="15">
        <v>25</v>
      </c>
      <c r="X566" s="8">
        <f t="shared" si="65"/>
        <v>4.5</v>
      </c>
      <c r="Y566" s="233">
        <f t="shared" si="66"/>
        <v>2482</v>
      </c>
    </row>
    <row r="567" spans="1:25">
      <c r="A567" s="156" t="e" cm="1">
        <f t="array" aca="1" ref="A567" ca="1">_xlfn.IFS(E567=$AB$42,$AC$42,E567=$AB$43,$AC$43,E567=$AB$44,$AC$44,E567=$AB$45,$AC$45,E567=$AB$46,$AC$46,E567=$AB$47,$AC$47,E567=$AB$48,$AC$48,E567=$AB$49,$AC$49,E567=$AB$50,$AC$50,E567=$AB$51,$AC$51,E567=$AB$52,$AC$52,E567=$AB$53,$AC$53,E567=$AB$54,$AC$54,E567=$AB$55,$AC$55,E567=$AB$56,$AC$56,E567=$AB$57,$AC$57,E567=$AB$58,$AC$58,E567=$AB$59,$AC$59,E567=$AB$60,$AC$60,E567=$AB$61,$AC$61,E567=$AB$62,$AC$62,E567=$AB$63,$AC$63,E567=$AB$64,$AC$64,E567=$AB$65,$AC$65,E567=$AB$66,$AC$66,TRUE,"0")</f>
        <v>#NAME?</v>
      </c>
      <c r="C567" s="161" t="str" cm="1">
        <f t="array" ref="C567">_xlfn.IFS(E567=$AB$42,$AF$42,E567=$AB$43,$AF$43,E567=$AB$44,$AF$44,E567=$AB$45,$AF$45,E567=$AB$46,$AF$46,E567=$AB$47,$AF$47,E567=$AB$48,$AF$48,E567=$AB$49,$AF$49,E567=$AB$50,$AF$50,E567=$AB$51,$AF$51,E567=$AB$52,$AF$52,E567=$AB$53,$AF$53,E567=$AB$54,$AF$54,E567=$AB$55,$AF$55,E567=$AB$56,$AF$56,E567=$AB$57,$AF$57,E567=$AB$58,$AF$58,E567=$AB$59,$AF$59,E567=$AB$60,$AF$60,E567=$AB$61,$AF$61,E567=$AB$62,$AF$62,E567=$AB$63,$AF$63,E567=$AB$64,$AF$64,E567=$AB$65,$AF$65,E567=$AB$66,$AF$66,TRUE,"0")</f>
        <v>40 mins Back ANother Goal</v>
      </c>
      <c r="D567" s="270" t="str" cm="1">
        <f t="array" ref="D567">_xlfn.IFS(E567=$AB$42,$AD$42,E567=$AB$43,$AD$43,E567=$AB$44,$AD$44,E567=$AB$45,$AD$45,E567=$AB$46,$AD$46,E567=$AB$47,$AD$47,E567=$AB$48,$AD$48,E567=$AB$49,$AD$49,E567=$AB$50,$AD$50,E567=$AB$51,$AD$51,E567=$AB$52,$AD$52,E567=$AB$53,$AD$53,E567=$AB$54,$AD$54,E567=$AB$55,$AD$55,E567=$AB$56,$AD$56,E567=$AB$57,$AD$57,E567=$AB$58,$AD$58,E567=$AB$59,$AD$59,E567=$AB$60,$AD$60,E567=$AB$61,$AD$61,E567=$AB$62,$AD$62,E567=$AB$63,$AD$63,E567=$AB$64,$AD$64,E567=$AB$65,$AD$65,E567=$AB$66,$AD$66,TRUE,"0")</f>
        <v xml:space="preserve">  BANG</v>
      </c>
      <c r="E567" s="163" t="s">
        <v>10</v>
      </c>
      <c r="F567" s="2" t="s">
        <v>58</v>
      </c>
      <c r="G567" s="2" t="s">
        <v>59</v>
      </c>
      <c r="H567" s="3">
        <v>45361.854166666664</v>
      </c>
      <c r="I567" s="2" t="s">
        <v>60</v>
      </c>
      <c r="J567" s="2" t="s">
        <v>105</v>
      </c>
      <c r="K567" s="2">
        <v>2.1</v>
      </c>
      <c r="L567" s="2">
        <v>90</v>
      </c>
      <c r="M567" s="2">
        <v>65</v>
      </c>
      <c r="N567" s="2">
        <v>30</v>
      </c>
      <c r="O567" s="2">
        <v>63</v>
      </c>
      <c r="P567" s="1">
        <v>20</v>
      </c>
      <c r="Q567" s="2" t="s">
        <v>95</v>
      </c>
      <c r="R567" s="10" t="s">
        <v>222</v>
      </c>
      <c r="S567" s="14" t="s">
        <v>215</v>
      </c>
      <c r="T567" s="188">
        <v>1000</v>
      </c>
      <c r="U567" s="8">
        <f t="shared" si="70"/>
        <v>180</v>
      </c>
      <c r="V567" s="234">
        <f>SUM(V566,U567)</f>
        <v>24824.155246160299</v>
      </c>
      <c r="W567" s="15">
        <v>25</v>
      </c>
      <c r="X567" s="8">
        <f t="shared" si="65"/>
        <v>4.5</v>
      </c>
      <c r="Y567" s="233">
        <f t="shared" si="66"/>
        <v>2486.5</v>
      </c>
    </row>
    <row r="568" spans="1:25">
      <c r="A568" s="156" t="e" cm="1">
        <f t="array" aca="1" ref="A568" ca="1">_xlfn.IFS(E568=$AB$42,$AC$42,E568=$AB$43,$AC$43,E568=$AB$44,$AC$44,E568=$AB$45,$AC$45,E568=$AB$46,$AC$46,E568=$AB$47,$AC$47,E568=$AB$48,$AC$48,E568=$AB$49,$AC$49,E568=$AB$50,$AC$50,E568=$AB$51,$AC$51,E568=$AB$52,$AC$52,E568=$AB$53,$AC$53,E568=$AB$54,$AC$54,E568=$AB$55,$AC$55,E568=$AB$56,$AC$56,E568=$AB$57,$AC$57,E568=$AB$58,$AC$58,E568=$AB$59,$AC$59,E568=$AB$60,$AC$60,E568=$AB$61,$AC$61,E568=$AB$62,$AC$62,E568=$AB$63,$AC$63,E568=$AB$64,$AC$64,E568=$AB$65,$AC$65,E568=$AB$66,$AC$66,TRUE,"0")</f>
        <v>#NAME?</v>
      </c>
      <c r="C568" s="161" t="str" cm="1">
        <f t="array" ref="C568">_xlfn.IFS(E568=$AB$42,$AF$42,E568=$AB$43,$AF$43,E568=$AB$44,$AF$44,E568=$AB$45,$AF$45,E568=$AB$46,$AF$46,E568=$AB$47,$AF$47,E568=$AB$48,$AF$48,E568=$AB$49,$AF$49,E568=$AB$50,$AF$50,E568=$AB$51,$AF$51,E568=$AB$52,$AF$52,E568=$AB$53,$AF$53,E568=$AB$54,$AF$54,E568=$AB$55,$AF$55,E568=$AB$56,$AF$56,E568=$AB$57,$AF$57,E568=$AB$58,$AF$58,E568=$AB$59,$AF$59,E568=$AB$60,$AF$60,E568=$AB$61,$AF$61,E568=$AB$62,$AF$62,E568=$AB$63,$AF$63,E568=$AB$64,$AF$64,E568=$AB$65,$AF$65,E568=$AB$66,$AF$66,TRUE,"0")</f>
        <v>if 0-0, BACK+ 0.5 GOALS  @ 1.15+odds.  or @ 40 mins</v>
      </c>
      <c r="D568" s="270" t="str" cm="1">
        <f t="array" ref="D568">_xlfn.IFS(E568=$AB$42,$AD$42,E568=$AB$43,$AD$43,E568=$AB$44,$AD$44,E568=$AB$45,$AD$45,E568=$AB$46,$AD$46,E568=$AB$47,$AD$47,E568=$AB$48,$AD$48,E568=$AB$49,$AD$49,E568=$AB$50,$AD$50,E568=$AB$51,$AD$51,E568=$AB$52,$AD$52,E568=$AB$53,$AD$53,E568=$AB$54,$AD$54,E568=$AB$55,$AD$55,E568=$AB$56,$AD$56,E568=$AB$57,$AD$57,E568=$AB$58,$AD$58,E568=$AB$59,$AD$59,E568=$AB$60,$AD$60,E568=$AB$61,$AD$61,E568=$AB$62,$AD$62,E568=$AB$63,$AD$63,E568=$AB$64,$AD$64,E568=$AB$65,$AD$65,E568=$AB$66,$AD$66,TRUE,"0")</f>
        <v>IP</v>
      </c>
      <c r="E568" s="163" t="s">
        <v>270</v>
      </c>
      <c r="F568" s="2" t="s">
        <v>58</v>
      </c>
      <c r="G568" s="2" t="s">
        <v>59</v>
      </c>
      <c r="H568" s="3">
        <v>45361.854166666664</v>
      </c>
      <c r="I568" s="2" t="s">
        <v>60</v>
      </c>
      <c r="J568" s="2" t="s">
        <v>105</v>
      </c>
      <c r="K568" s="2">
        <v>60</v>
      </c>
      <c r="L568" s="2">
        <v>0</v>
      </c>
      <c r="M568" s="2">
        <v>20</v>
      </c>
      <c r="N568" s="2">
        <v>33</v>
      </c>
      <c r="O568" s="2">
        <v>3.22</v>
      </c>
      <c r="Q568" s="2" t="s">
        <v>95</v>
      </c>
      <c r="R568" s="10" t="s">
        <v>222</v>
      </c>
      <c r="S568" s="14" t="s">
        <v>215</v>
      </c>
      <c r="T568" s="188">
        <v>1000</v>
      </c>
      <c r="U568" s="8">
        <f t="shared" si="70"/>
        <v>180</v>
      </c>
      <c r="V568" s="234">
        <f t="shared" si="69"/>
        <v>25004.155246160299</v>
      </c>
      <c r="W568" s="15">
        <v>25</v>
      </c>
      <c r="X568" s="8">
        <f t="shared" si="65"/>
        <v>4.5</v>
      </c>
      <c r="Y568" s="233">
        <f t="shared" si="66"/>
        <v>2491</v>
      </c>
    </row>
    <row r="569" spans="1:25">
      <c r="A569" s="156" t="e" cm="1">
        <f t="array" aca="1" ref="A569" ca="1">_xlfn.IFS(E569=$AB$42,$AC$42,E569=$AB$43,$AC$43,E569=$AB$44,$AC$44,E569=$AB$45,$AC$45,E569=$AB$46,$AC$46,E569=$AB$47,$AC$47,E569=$AB$48,$AC$48,E569=$AB$49,$AC$49,E569=$AB$50,$AC$50,E569=$AB$51,$AC$51,E569=$AB$52,$AC$52,E569=$AB$53,$AC$53,E569=$AB$54,$AC$54,E569=$AB$55,$AC$55,E569=$AB$56,$AC$56,E569=$AB$57,$AC$57,E569=$AB$58,$AC$58,E569=$AB$59,$AC$59,E569=$AB$60,$AC$60,E569=$AB$61,$AC$61,E569=$AB$62,$AC$62,E569=$AB$63,$AC$63,E569=$AB$64,$AC$64,E569=$AB$65,$AC$65,E569=$AB$66,$AC$66,TRUE,"0")</f>
        <v>#NAME?</v>
      </c>
      <c r="C569" s="161" t="str" cm="1">
        <f t="array" ref="C569">_xlfn.IFS(E569=$AB$42,$AF$42,E569=$AB$43,$AF$43,E569=$AB$44,$AF$44,E569=$AB$45,$AF$45,E569=$AB$46,$AF$46,E569=$AB$47,$AF$47,E569=$AB$48,$AF$48,E569=$AB$49,$AF$49,E569=$AB$50,$AF$50,E569=$AB$51,$AF$51,E569=$AB$52,$AF$52,E569=$AB$53,$AF$53,E569=$AB$54,$AF$54,E569=$AB$55,$AF$55,E569=$AB$56,$AF$56,E569=$AB$57,$AF$57,E569=$AB$58,$AF$58,E569=$AB$59,$AF$59,E569=$AB$60,$AF$60,E569=$AB$61,$AF$61,E569=$AB$62,$AF$62,E569=$AB$63,$AF$63,E569=$AB$64,$AF$64,E569=$AB$65,$AF$65,E569=$AB$66,$AF$66,TRUE,"0")</f>
        <v>B4 match BACK FT +1.5 goals. X AFTER  GOAL</v>
      </c>
      <c r="D569" s="270" t="str" cm="1">
        <f t="array" ref="D569">_xlfn.IFS(E569=$AB$42,$AD$42,E569=$AB$43,$AD$43,E569=$AB$44,$AD$44,E569=$AB$45,$AD$45,E569=$AB$46,$AD$46,E569=$AB$47,$AD$47,E569=$AB$48,$AD$48,E569=$AB$49,$AD$49,E569=$AB$50,$AD$50,E569=$AB$51,$AD$51,E569=$AB$52,$AD$52,E569=$AB$53,$AD$53,E569=$AB$54,$AD$54,E569=$AB$55,$AD$55,E569=$AB$56,$AD$56,E569=$AB$57,$AD$57,E569=$AB$58,$AD$58,E569=$AB$59,$AD$59,E569=$AB$60,$AD$60,E569=$AB$61,$AD$61,E569=$AB$62,$AD$62,E569=$AB$63,$AD$63,E569=$AB$64,$AD$64,E569=$AB$65,$AD$65,E569=$AB$66,$AD$66,TRUE,"0")</f>
        <v xml:space="preserve">BFM </v>
      </c>
      <c r="E569" s="163" t="s">
        <v>512</v>
      </c>
      <c r="F569" s="2" t="s">
        <v>149</v>
      </c>
      <c r="G569" s="2" t="s">
        <v>150</v>
      </c>
      <c r="H569" s="3">
        <v>45362.791666666664</v>
      </c>
      <c r="I569" s="2" t="s">
        <v>329</v>
      </c>
      <c r="J569" s="2" t="s">
        <v>562</v>
      </c>
      <c r="K569" s="2">
        <v>5.7</v>
      </c>
      <c r="L569" s="2">
        <v>20</v>
      </c>
      <c r="M569" s="2">
        <v>2.25</v>
      </c>
      <c r="N569" s="2">
        <v>33</v>
      </c>
      <c r="O569" s="2">
        <v>0</v>
      </c>
      <c r="P569" s="1">
        <v>10</v>
      </c>
      <c r="Q569" s="2" t="s">
        <v>95</v>
      </c>
      <c r="R569" s="10" t="s">
        <v>193</v>
      </c>
      <c r="S569" s="14" t="s">
        <v>193</v>
      </c>
      <c r="T569" s="188">
        <v>1000</v>
      </c>
      <c r="U569" s="8">
        <f t="shared" si="70"/>
        <v>180</v>
      </c>
      <c r="V569" s="234">
        <f t="shared" si="69"/>
        <v>25184.155246160299</v>
      </c>
      <c r="W569" s="15">
        <v>25</v>
      </c>
      <c r="X569" s="8">
        <f t="shared" si="65"/>
        <v>4.5</v>
      </c>
      <c r="Y569" s="233">
        <f t="shared" si="66"/>
        <v>2495.5</v>
      </c>
    </row>
    <row r="570" spans="1:25">
      <c r="A570" s="156" t="e" cm="1">
        <f t="array" aca="1" ref="A570" ca="1">_xlfn.IFS(E570=$AB$42,$AC$42,E570=$AB$43,$AC$43,E570=$AB$44,$AC$44,E570=$AB$45,$AC$45,E570=$AB$46,$AC$46,E570=$AB$47,$AC$47,E570=$AB$48,$AC$48,E570=$AB$49,$AC$49,E570=$AB$50,$AC$50,E570=$AB$51,$AC$51,E570=$AB$52,$AC$52,E570=$AB$53,$AC$53,E570=$AB$54,$AC$54,E570=$AB$55,$AC$55,E570=$AB$56,$AC$56,E570=$AB$57,$AC$57,E570=$AB$58,$AC$58,E570=$AB$59,$AC$59,E570=$AB$60,$AC$60,E570=$AB$61,$AC$61,E570=$AB$62,$AC$62,E570=$AB$63,$AC$63,E570=$AB$64,$AC$64,E570=$AB$65,$AC$65,E570=$AB$66,$AC$66,TRUE,"0")</f>
        <v>#NAME?</v>
      </c>
      <c r="C570" s="161" t="str" cm="1">
        <f t="array" ref="C570">_xlfn.IFS(E570=$AB$42,$AF$42,E570=$AB$43,$AF$43,E570=$AB$44,$AF$44,E570=$AB$45,$AF$45,E570=$AB$46,$AF$46,E570=$AB$47,$AF$47,E570=$AB$48,$AF$48,E570=$AB$49,$AF$49,E570=$AB$50,$AF$50,E570=$AB$51,$AF$51,E570=$AB$52,$AF$52,E570=$AB$53,$AF$53,E570=$AB$54,$AF$54,E570=$AB$55,$AF$55,E570=$AB$56,$AF$56,E570=$AB$57,$AF$57,E570=$AB$58,$AF$58,E570=$AB$59,$AF$59,E570=$AB$60,$AF$60,E570=$AB$61,$AF$61,E570=$AB$62,$AF$62,E570=$AB$63,$AF$63,E570=$AB$64,$AF$64,E570=$AB$65,$AF$65,E570=$AB$66,$AF$66,TRUE,"0")</f>
        <v>B4 match BACK FT +1.5 goals. X AFTER  GOAL</v>
      </c>
      <c r="D570" s="270" t="str" cm="1">
        <f t="array" ref="D570">_xlfn.IFS(E570=$AB$42,$AD$42,E570=$AB$43,$AD$43,E570=$AB$44,$AD$44,E570=$AB$45,$AD$45,E570=$AB$46,$AD$46,E570=$AB$47,$AD$47,E570=$AB$48,$AD$48,E570=$AB$49,$AD$49,E570=$AB$50,$AD$50,E570=$AB$51,$AD$51,E570=$AB$52,$AD$52,E570=$AB$53,$AD$53,E570=$AB$54,$AD$54,E570=$AB$55,$AD$55,E570=$AB$56,$AD$56,E570=$AB$57,$AD$57,E570=$AB$58,$AD$58,E570=$AB$59,$AD$59,E570=$AB$60,$AD$60,E570=$AB$61,$AD$61,E570=$AB$62,$AD$62,E570=$AB$63,$AD$63,E570=$AB$64,$AD$64,E570=$AB$65,$AD$65,E570=$AB$66,$AD$66,TRUE,"0")</f>
        <v xml:space="preserve">BFM </v>
      </c>
      <c r="E570" s="163" t="s">
        <v>512</v>
      </c>
      <c r="F570" s="2" t="s">
        <v>149</v>
      </c>
      <c r="G570" s="2" t="s">
        <v>150</v>
      </c>
      <c r="H570" s="3">
        <v>45362.791666666664</v>
      </c>
      <c r="I570" s="2" t="s">
        <v>179</v>
      </c>
      <c r="J570" s="2" t="s">
        <v>237</v>
      </c>
      <c r="K570" s="2">
        <v>4.5999999999999996</v>
      </c>
      <c r="L570" s="2">
        <v>20</v>
      </c>
      <c r="M570" s="2">
        <v>3.1</v>
      </c>
      <c r="N570" s="2">
        <v>22</v>
      </c>
      <c r="O570" s="2">
        <v>1</v>
      </c>
      <c r="P570" s="1">
        <v>10</v>
      </c>
      <c r="Q570" s="2" t="s">
        <v>95</v>
      </c>
      <c r="R570" s="10" t="s">
        <v>221</v>
      </c>
      <c r="S570" s="14" t="s">
        <v>217</v>
      </c>
      <c r="T570" s="188">
        <v>1000</v>
      </c>
      <c r="U570" s="8">
        <f t="shared" si="70"/>
        <v>180</v>
      </c>
      <c r="V570" s="234">
        <f t="shared" si="69"/>
        <v>25364.155246160299</v>
      </c>
      <c r="W570" s="15">
        <v>25</v>
      </c>
      <c r="X570" s="8">
        <f t="shared" si="65"/>
        <v>4.5</v>
      </c>
      <c r="Y570" s="233">
        <f t="shared" si="66"/>
        <v>2500</v>
      </c>
    </row>
    <row r="571" spans="1:25">
      <c r="A571" s="156" t="e" cm="1">
        <f t="array" aca="1" ref="A571" ca="1">_xlfn.IFS(E571=$AB$42,$AC$42,E571=$AB$43,$AC$43,E571=$AB$44,$AC$44,E571=$AB$45,$AC$45,E571=$AB$46,$AC$46,E571=$AB$47,$AC$47,E571=$AB$48,$AC$48,E571=$AB$49,$AC$49,E571=$AB$50,$AC$50,E571=$AB$51,$AC$51,E571=$AB$52,$AC$52,E571=$AB$53,$AC$53,E571=$AB$54,$AC$54,E571=$AB$55,$AC$55,E571=$AB$56,$AC$56,E571=$AB$57,$AC$57,E571=$AB$58,$AC$58,E571=$AB$59,$AC$59,E571=$AB$60,$AC$60,E571=$AB$61,$AC$61,E571=$AB$62,$AC$62,E571=$AB$63,$AC$63,E571=$AB$64,$AC$64,E571=$AB$65,$AC$65,E571=$AB$66,$AC$66,TRUE,"0")</f>
        <v>#NAME?</v>
      </c>
      <c r="C571" s="161" t="str" cm="1">
        <f t="array" ref="C571">_xlfn.IFS(E571=$AB$42,$AF$42,E571=$AB$43,$AF$43,E571=$AB$44,$AF$44,E571=$AB$45,$AF$45,E571=$AB$46,$AF$46,E571=$AB$47,$AF$47,E571=$AB$48,$AF$48,E571=$AB$49,$AF$49,E571=$AB$50,$AF$50,E571=$AB$51,$AF$51,E571=$AB$52,$AF$52,E571=$AB$53,$AF$53,E571=$AB$54,$AF$54,E571=$AB$55,$AF$55,E571=$AB$56,$AF$56,E571=$AB$57,$AF$57,E571=$AB$58,$AF$58,E571=$AB$59,$AF$59,E571=$AB$60,$AF$60,E571=$AB$61,$AF$61,E571=$AB$62,$AF$62,E571=$AB$63,$AF$63,E571=$AB$64,$AF$64,E571=$AB$65,$AF$65,E571=$AB$66,$AF$66,TRUE,"0")</f>
        <v>AT HT IF 0-0 BACK +0.5 GOALS</v>
      </c>
      <c r="D571" s="270" t="str" cm="1">
        <f t="array" ref="D571">_xlfn.IFS(E571=$AB$42,$AD$42,E571=$AB$43,$AD$43,E571=$AB$44,$AD$44,E571=$AB$45,$AD$45,E571=$AB$46,$AD$46,E571=$AB$47,$AD$47,E571=$AB$48,$AD$48,E571=$AB$49,$AD$49,E571=$AB$50,$AD$50,E571=$AB$51,$AD$51,E571=$AB$52,$AD$52,E571=$AB$53,$AD$53,E571=$AB$54,$AD$54,E571=$AB$55,$AD$55,E571=$AB$56,$AD$56,E571=$AB$57,$AD$57,E571=$AB$58,$AD$58,E571=$AB$59,$AD$59,E571=$AB$60,$AD$60,E571=$AB$61,$AD$61,E571=$AB$62,$AD$62,E571=$AB$63,$AD$63,E571=$AB$64,$AD$64,E571=$AB$65,$AD$65,E571=$AB$66,$AD$66,TRUE,"0")</f>
        <v>IP</v>
      </c>
      <c r="E571" s="163" t="s">
        <v>514</v>
      </c>
      <c r="F571" s="2" t="s">
        <v>149</v>
      </c>
      <c r="G571" s="2" t="s">
        <v>150</v>
      </c>
      <c r="H571" s="3">
        <v>45362.791666666664</v>
      </c>
      <c r="I571" s="2" t="s">
        <v>179</v>
      </c>
      <c r="J571" s="2" t="s">
        <v>237</v>
      </c>
      <c r="K571" s="2">
        <v>4.5999999999999996</v>
      </c>
      <c r="L571" s="2">
        <v>30</v>
      </c>
      <c r="M571" s="2">
        <v>0</v>
      </c>
      <c r="N571" s="2">
        <v>20</v>
      </c>
      <c r="O571" s="2">
        <v>10</v>
      </c>
      <c r="P571" s="1">
        <v>22</v>
      </c>
      <c r="Q571" s="2" t="s">
        <v>95</v>
      </c>
      <c r="R571" s="10" t="s">
        <v>221</v>
      </c>
      <c r="S571" s="14" t="s">
        <v>217</v>
      </c>
      <c r="T571" s="188">
        <v>1000</v>
      </c>
      <c r="U571" s="8">
        <f t="shared" si="70"/>
        <v>180</v>
      </c>
      <c r="V571" s="234">
        <f t="shared" si="69"/>
        <v>25544.155246160299</v>
      </c>
      <c r="W571" s="15">
        <v>25</v>
      </c>
      <c r="X571" s="8">
        <f t="shared" si="65"/>
        <v>4.5</v>
      </c>
      <c r="Y571" s="233">
        <f t="shared" si="66"/>
        <v>2504.5</v>
      </c>
    </row>
    <row r="572" spans="1:25">
      <c r="A572" s="156" t="e" cm="1">
        <f t="array" aca="1" ref="A572" ca="1">_xlfn.IFS(E572=$AB$42,$AC$42,E572=$AB$43,$AC$43,E572=$AB$44,$AC$44,E572=$AB$45,$AC$45,E572=$AB$46,$AC$46,E572=$AB$47,$AC$47,E572=$AB$48,$AC$48,E572=$AB$49,$AC$49,E572=$AB$50,$AC$50,E572=$AB$51,$AC$51,E572=$AB$52,$AC$52,E572=$AB$53,$AC$53,E572=$AB$54,$AC$54,E572=$AB$55,$AC$55,E572=$AB$56,$AC$56,E572=$AB$57,$AC$57,E572=$AB$58,$AC$58,E572=$AB$59,$AC$59,E572=$AB$60,$AC$60,E572=$AB$61,$AC$61,E572=$AB$62,$AC$62,E572=$AB$63,$AC$63,E572=$AB$64,$AC$64,E572=$AB$65,$AC$65,E572=$AB$66,$AC$66,TRUE,"0")</f>
        <v>#NAME?</v>
      </c>
      <c r="C572" s="161" t="str" cm="1">
        <f t="array" ref="C572">_xlfn.IFS(E572=$AB$42,$AF$42,E572=$AB$43,$AF$43,E572=$AB$44,$AF$44,E572=$AB$45,$AF$45,E572=$AB$46,$AF$46,E572=$AB$47,$AF$47,E572=$AB$48,$AF$48,E572=$AB$49,$AF$49,E572=$AB$50,$AF$50,E572=$AB$51,$AF$51,E572=$AB$52,$AF$52,E572=$AB$53,$AF$53,E572=$AB$54,$AF$54,E572=$AB$55,$AF$55,E572=$AB$56,$AF$56,E572=$AB$57,$AF$57,E572=$AB$58,$AF$58,E572=$AB$59,$AF$59,E572=$AB$60,$AF$60,E572=$AB$61,$AF$61,E572=$AB$62,$AF$62,E572=$AB$63,$AF$63,E572=$AB$64,$AF$64,E572=$AB$65,$AF$65,E572=$AB$66,$AF$66,TRUE,"0")</f>
        <v>B4 MATCH bet H1 'under 2.5goals'- X at 40 minutes</v>
      </c>
      <c r="D572" s="270" t="str" cm="1">
        <f t="array" ref="D572">_xlfn.IFS(E572=$AB$42,$AD$42,E572=$AB$43,$AD$43,E572=$AB$44,$AD$44,E572=$AB$45,$AD$45,E572=$AB$46,$AD$46,E572=$AB$47,$AD$47,E572=$AB$48,$AD$48,E572=$AB$49,$AD$49,E572=$AB$50,$AD$50,E572=$AB$51,$AD$51,E572=$AB$52,$AD$52,E572=$AB$53,$AD$53,E572=$AB$54,$AD$54,E572=$AB$55,$AD$55,E572=$AB$56,$AD$56,E572=$AB$57,$AD$57,E572=$AB$58,$AD$58,E572=$AB$59,$AD$59,E572=$AB$60,$AD$60,E572=$AB$61,$AD$61,E572=$AB$62,$AD$62,E572=$AB$63,$AD$63,E572=$AB$64,$AD$64,E572=$AB$65,$AD$65,E572=$AB$66,$AD$66,TRUE,"0")</f>
        <v xml:space="preserve">BFM </v>
      </c>
      <c r="E572" s="164" t="s">
        <v>458</v>
      </c>
      <c r="F572" s="2" t="s">
        <v>119</v>
      </c>
      <c r="G572" s="2" t="s">
        <v>166</v>
      </c>
      <c r="H572" s="3">
        <v>45362.8125</v>
      </c>
      <c r="I572" s="2" t="s">
        <v>561</v>
      </c>
      <c r="J572" s="2" t="s">
        <v>326</v>
      </c>
      <c r="K572" s="2">
        <v>20</v>
      </c>
      <c r="L572" s="2">
        <v>80</v>
      </c>
      <c r="M572" s="2">
        <v>100</v>
      </c>
      <c r="N572" s="2">
        <v>35</v>
      </c>
      <c r="O572" s="2">
        <v>1.7</v>
      </c>
      <c r="Q572" s="2" t="s">
        <v>95</v>
      </c>
      <c r="R572" s="10" t="s">
        <v>221</v>
      </c>
      <c r="S572" s="14" t="s">
        <v>193</v>
      </c>
      <c r="T572" s="188">
        <v>1000</v>
      </c>
      <c r="U572" s="8">
        <f t="shared" si="70"/>
        <v>180</v>
      </c>
      <c r="V572" s="234">
        <f t="shared" si="69"/>
        <v>25724.155246160299</v>
      </c>
      <c r="W572" s="15">
        <v>25</v>
      </c>
      <c r="X572" s="8">
        <f t="shared" si="65"/>
        <v>4.5</v>
      </c>
      <c r="Y572" s="233">
        <f t="shared" si="66"/>
        <v>2509</v>
      </c>
    </row>
    <row r="573" spans="1:25">
      <c r="A573" s="156" t="e" cm="1">
        <f t="array" aca="1" ref="A573" ca="1">_xlfn.IFS(E573=$AB$42,$AC$42,E573=$AB$43,$AC$43,E573=$AB$44,$AC$44,E573=$AB$45,$AC$45,E573=$AB$46,$AC$46,E573=$AB$47,$AC$47,E573=$AB$48,$AC$48,E573=$AB$49,$AC$49,E573=$AB$50,$AC$50,E573=$AB$51,$AC$51,E573=$AB$52,$AC$52,E573=$AB$53,$AC$53,E573=$AB$54,$AC$54,E573=$AB$55,$AC$55,E573=$AB$56,$AC$56,E573=$AB$57,$AC$57,E573=$AB$58,$AC$58,E573=$AB$59,$AC$59,E573=$AB$60,$AC$60,E573=$AB$61,$AC$61,E573=$AB$62,$AC$62,E573=$AB$63,$AC$63,E573=$AB$64,$AC$64,E573=$AB$65,$AC$65,E573=$AB$66,$AC$66,TRUE,"0")</f>
        <v>#NAME?</v>
      </c>
      <c r="C573" s="161" t="str" cm="1">
        <f t="array" ref="C573">_xlfn.IFS(E573=$AB$42,$AF$42,E573=$AB$43,$AF$43,E573=$AB$44,$AF$44,E573=$AB$45,$AF$45,E573=$AB$46,$AF$46,E573=$AB$47,$AF$47,E573=$AB$48,$AF$48,E573=$AB$49,$AF$49,E573=$AB$50,$AF$50,E573=$AB$51,$AF$51,E573=$AB$52,$AF$52,E573=$AB$53,$AF$53,E573=$AB$54,$AF$54,E573=$AB$55,$AF$55,E573=$AB$56,$AF$56,E573=$AB$57,$AF$57,E573=$AB$58,$AF$58,E573=$AB$59,$AF$59,E573=$AB$60,$AF$60,E573=$AB$61,$AF$61,E573=$AB$62,$AF$62,E573=$AB$63,$AF$63,E573=$AB$64,$AF$64,E573=$AB$65,$AF$65,E573=$AB$66,$AF$66,TRUE,"0")</f>
        <v>40 mins Back ANother Goal</v>
      </c>
      <c r="D573" s="270" t="str" cm="1">
        <f t="array" ref="D573">_xlfn.IFS(E573=$AB$42,$AD$42,E573=$AB$43,$AD$43,E573=$AB$44,$AD$44,E573=$AB$45,$AD$45,E573=$AB$46,$AD$46,E573=$AB$47,$AD$47,E573=$AB$48,$AD$48,E573=$AB$49,$AD$49,E573=$AB$50,$AD$50,E573=$AB$51,$AD$51,E573=$AB$52,$AD$52,E573=$AB$53,$AD$53,E573=$AB$54,$AD$54,E573=$AB$55,$AD$55,E573=$AB$56,$AD$56,E573=$AB$57,$AD$57,E573=$AB$58,$AD$58,E573=$AB$59,$AD$59,E573=$AB$60,$AD$60,E573=$AB$61,$AD$61,E573=$AB$62,$AD$62,E573=$AB$63,$AD$63,E573=$AB$64,$AD$64,E573=$AB$65,$AD$65,E573=$AB$66,$AD$66,TRUE,"0")</f>
        <v xml:space="preserve">  BANG</v>
      </c>
      <c r="E573" s="163" t="s">
        <v>10</v>
      </c>
      <c r="F573" s="2" t="s">
        <v>6</v>
      </c>
      <c r="G573" s="2" t="s">
        <v>62</v>
      </c>
      <c r="H573" s="3">
        <v>45362.833333333336</v>
      </c>
      <c r="I573" s="2" t="s">
        <v>65</v>
      </c>
      <c r="J573" s="2" t="s">
        <v>164</v>
      </c>
      <c r="K573" s="2">
        <v>2.15</v>
      </c>
      <c r="L573" s="2">
        <v>90</v>
      </c>
      <c r="M573" s="2">
        <v>65</v>
      </c>
      <c r="N573" s="2">
        <v>40</v>
      </c>
      <c r="O573" s="2">
        <v>61</v>
      </c>
      <c r="P573" s="1">
        <v>20</v>
      </c>
      <c r="Q573" s="2" t="s">
        <v>95</v>
      </c>
      <c r="R573" s="10" t="s">
        <v>216</v>
      </c>
      <c r="S573" s="14" t="s">
        <v>209</v>
      </c>
      <c r="T573" s="188">
        <v>1000</v>
      </c>
      <c r="U573" s="8">
        <f t="shared" si="70"/>
        <v>180</v>
      </c>
      <c r="V573" s="234">
        <f t="shared" si="69"/>
        <v>25904.155246160299</v>
      </c>
      <c r="W573" s="15">
        <v>25</v>
      </c>
      <c r="X573" s="8">
        <f t="shared" si="65"/>
        <v>4.5</v>
      </c>
      <c r="Y573" s="233">
        <f t="shared" si="66"/>
        <v>2513.5</v>
      </c>
    </row>
    <row r="574" spans="1:25">
      <c r="A574" s="156" t="e" cm="1">
        <f t="array" aca="1" ref="A574" ca="1">_xlfn.IFS(E574=$AB$42,$AC$42,E574=$AB$43,$AC$43,E574=$AB$44,$AC$44,E574=$AB$45,$AC$45,E574=$AB$46,$AC$46,E574=$AB$47,$AC$47,E574=$AB$48,$AC$48,E574=$AB$49,$AC$49,E574=$AB$50,$AC$50,E574=$AB$51,$AC$51,E574=$AB$52,$AC$52,E574=$AB$53,$AC$53,E574=$AB$54,$AC$54,E574=$AB$55,$AC$55,E574=$AB$56,$AC$56,E574=$AB$57,$AC$57,E574=$AB$58,$AC$58,E574=$AB$59,$AC$59,E574=$AB$60,$AC$60,E574=$AB$61,$AC$61,E574=$AB$62,$AC$62,E574=$AB$63,$AC$63,E574=$AB$64,$AC$64,E574=$AB$65,$AC$65,E574=$AB$66,$AC$66,TRUE,"0")</f>
        <v>#NAME?</v>
      </c>
      <c r="C574" s="161" t="str" cm="1">
        <f t="array" ref="C574">_xlfn.IFS(E574=$AB$42,$AF$42,E574=$AB$43,$AF$43,E574=$AB$44,$AF$44,E574=$AB$45,$AF$45,E574=$AB$46,$AF$46,E574=$AB$47,$AF$47,E574=$AB$48,$AF$48,E574=$AB$49,$AF$49,E574=$AB$50,$AF$50,E574=$AB$51,$AF$51,E574=$AB$52,$AF$52,E574=$AB$53,$AF$53,E574=$AB$54,$AF$54,E574=$AB$55,$AF$55,E574=$AB$56,$AF$56,E574=$AB$57,$AF$57,E574=$AB$58,$AF$58,E574=$AB$59,$AF$59,E574=$AB$60,$AF$60,E574=$AB$61,$AF$61,E574=$AB$62,$AF$62,E574=$AB$63,$AF$63,E574=$AB$64,$AF$64,E574=$AB$65,$AF$65,E574=$AB$66,$AF$66,TRUE,"0")</f>
        <v>if 0-0, BACK+ 0.5 GOALS  @ 1.15+odds.  or @ 40 mins</v>
      </c>
      <c r="D574" s="270" t="str" cm="1">
        <f t="array" ref="D574">_xlfn.IFS(E574=$AB$42,$AD$42,E574=$AB$43,$AD$43,E574=$AB$44,$AD$44,E574=$AB$45,$AD$45,E574=$AB$46,$AD$46,E574=$AB$47,$AD$47,E574=$AB$48,$AD$48,E574=$AB$49,$AD$49,E574=$AB$50,$AD$50,E574=$AB$51,$AD$51,E574=$AB$52,$AD$52,E574=$AB$53,$AD$53,E574=$AB$54,$AD$54,E574=$AB$55,$AD$55,E574=$AB$56,$AD$56,E574=$AB$57,$AD$57,E574=$AB$58,$AD$58,E574=$AB$59,$AD$59,E574=$AB$60,$AD$60,E574=$AB$61,$AD$61,E574=$AB$62,$AD$62,E574=$AB$63,$AD$63,E574=$AB$64,$AD$64,E574=$AB$65,$AD$65,E574=$AB$66,$AD$66,TRUE,"0")</f>
        <v>IP</v>
      </c>
      <c r="E574" s="163" t="s">
        <v>270</v>
      </c>
      <c r="F574" s="2" t="s">
        <v>6</v>
      </c>
      <c r="G574" s="2" t="s">
        <v>62</v>
      </c>
      <c r="H574" s="3">
        <v>45362.833333333336</v>
      </c>
      <c r="I574" s="2" t="s">
        <v>65</v>
      </c>
      <c r="J574" s="2" t="s">
        <v>164</v>
      </c>
      <c r="K574" s="2">
        <v>60</v>
      </c>
      <c r="L574" s="2">
        <v>0</v>
      </c>
      <c r="M574" s="2">
        <v>20</v>
      </c>
      <c r="N574" s="2">
        <v>35</v>
      </c>
      <c r="O574" s="2">
        <v>3.59</v>
      </c>
      <c r="Q574" s="2" t="s">
        <v>95</v>
      </c>
      <c r="R574" s="10" t="s">
        <v>216</v>
      </c>
      <c r="S574" s="14" t="s">
        <v>209</v>
      </c>
      <c r="T574" s="188">
        <v>1000</v>
      </c>
      <c r="U574" s="8">
        <f t="shared" si="70"/>
        <v>180</v>
      </c>
      <c r="V574" s="234">
        <f t="shared" si="69"/>
        <v>26084.155246160299</v>
      </c>
      <c r="W574" s="15">
        <v>25</v>
      </c>
      <c r="X574" s="8">
        <f t="shared" si="65"/>
        <v>4.5</v>
      </c>
      <c r="Y574" s="233">
        <f t="shared" si="66"/>
        <v>2518</v>
      </c>
    </row>
    <row r="575" spans="1:25">
      <c r="A575" s="156" t="e" cm="1">
        <f t="array" aca="1" ref="A575" ca="1">_xlfn.IFS(E575=$AB$42,$AC$42,E575=$AB$43,$AC$43,E575=$AB$44,$AC$44,E575=$AB$45,$AC$45,E575=$AB$46,$AC$46,E575=$AB$47,$AC$47,E575=$AB$48,$AC$48,E575=$AB$49,$AC$49,E575=$AB$50,$AC$50,E575=$AB$51,$AC$51,E575=$AB$52,$AC$52,E575=$AB$53,$AC$53,E575=$AB$54,$AC$54,E575=$AB$55,$AC$55,E575=$AB$56,$AC$56,E575=$AB$57,$AC$57,E575=$AB$58,$AC$58,E575=$AB$59,$AC$59,E575=$AB$60,$AC$60,E575=$AB$61,$AC$61,E575=$AB$62,$AC$62,E575=$AB$63,$AC$63,E575=$AB$64,$AC$64,E575=$AB$65,$AC$65,E575=$AB$66,$AC$66,TRUE,"0")</f>
        <v>#NAME?</v>
      </c>
      <c r="C575" s="161" t="str" cm="1">
        <f t="array" ref="C575">_xlfn.IFS(E575=$AB$42,$AF$42,E575=$AB$43,$AF$43,E575=$AB$44,$AF$44,E575=$AB$45,$AF$45,E575=$AB$46,$AF$46,E575=$AB$47,$AF$47,E575=$AB$48,$AF$48,E575=$AB$49,$AF$49,E575=$AB$50,$AF$50,E575=$AB$51,$AF$51,E575=$AB$52,$AF$52,E575=$AB$53,$AF$53,E575=$AB$54,$AF$54,E575=$AB$55,$AF$55,E575=$AB$56,$AF$56,E575=$AB$57,$AF$57,E575=$AB$58,$AF$58,E575=$AB$59,$AF$59,E575=$AB$60,$AF$60,E575=$AB$61,$AF$61,E575=$AB$62,$AF$62,E575=$AB$63,$AF$63,E575=$AB$64,$AF$64,E575=$AB$65,$AF$65,E575=$AB$66,$AF$66,TRUE,"0")</f>
        <v>if 0-0, BACK+ 0.5 GOALS  @ 1.15+odds.  or @ 40 mins</v>
      </c>
      <c r="D575" s="270" t="str" cm="1">
        <f t="array" ref="D575">_xlfn.IFS(E575=$AB$42,$AD$42,E575=$AB$43,$AD$43,E575=$AB$44,$AD$44,E575=$AB$45,$AD$45,E575=$AB$46,$AD$46,E575=$AB$47,$AD$47,E575=$AB$48,$AD$48,E575=$AB$49,$AD$49,E575=$AB$50,$AD$50,E575=$AB$51,$AD$51,E575=$AB$52,$AD$52,E575=$AB$53,$AD$53,E575=$AB$54,$AD$54,E575=$AB$55,$AD$55,E575=$AB$56,$AD$56,E575=$AB$57,$AD$57,E575=$AB$58,$AD$58,E575=$AB$59,$AD$59,E575=$AB$60,$AD$60,E575=$AB$61,$AD$61,E575=$AB$62,$AD$62,E575=$AB$63,$AD$63,E575=$AB$64,$AD$64,E575=$AB$65,$AD$65,E575=$AB$66,$AD$66,TRUE,"0")</f>
        <v>IP</v>
      </c>
      <c r="E575" s="163" t="s">
        <v>270</v>
      </c>
      <c r="F575" s="2" t="s">
        <v>58</v>
      </c>
      <c r="G575" s="2" t="s">
        <v>59</v>
      </c>
      <c r="H575" s="3">
        <v>45362.84375</v>
      </c>
      <c r="I575" s="2" t="s">
        <v>107</v>
      </c>
      <c r="J575" s="2" t="s">
        <v>165</v>
      </c>
      <c r="K575" s="2">
        <v>61</v>
      </c>
      <c r="L575" s="2">
        <v>0</v>
      </c>
      <c r="M575" s="2">
        <v>20</v>
      </c>
      <c r="N575" s="2">
        <v>34</v>
      </c>
      <c r="O575" s="2">
        <v>2.5</v>
      </c>
      <c r="Q575" s="2" t="s">
        <v>96</v>
      </c>
      <c r="R575" s="10" t="s">
        <v>221</v>
      </c>
      <c r="S575" s="14" t="s">
        <v>221</v>
      </c>
      <c r="T575" s="188">
        <v>1000</v>
      </c>
      <c r="U575" s="8">
        <f t="shared" si="70"/>
        <v>-1000</v>
      </c>
      <c r="V575" s="234">
        <f t="shared" si="69"/>
        <v>25084.155246160299</v>
      </c>
      <c r="W575" s="15">
        <v>25</v>
      </c>
      <c r="X575" s="8">
        <f t="shared" si="65"/>
        <v>-25</v>
      </c>
      <c r="Y575" s="233">
        <f t="shared" si="66"/>
        <v>2493</v>
      </c>
    </row>
    <row r="576" spans="1:25">
      <c r="A576" s="156" t="e" cm="1">
        <f t="array" aca="1" ref="A576" ca="1">_xlfn.IFS(E576=$AB$42,$AC$42,E576=$AB$43,$AC$43,E576=$AB$44,$AC$44,E576=$AB$45,$AC$45,E576=$AB$46,$AC$46,E576=$AB$47,$AC$47,E576=$AB$48,$AC$48,E576=$AB$49,$AC$49,E576=$AB$50,$AC$50,E576=$AB$51,$AC$51,E576=$AB$52,$AC$52,E576=$AB$53,$AC$53,E576=$AB$54,$AC$54,E576=$AB$55,$AC$55,E576=$AB$56,$AC$56,E576=$AB$57,$AC$57,E576=$AB$58,$AC$58,E576=$AB$59,$AC$59,E576=$AB$60,$AC$60,E576=$AB$61,$AC$61,E576=$AB$62,$AC$62,E576=$AB$63,$AC$63,E576=$AB$64,$AC$64,E576=$AB$65,$AC$65,E576=$AB$66,$AC$66,TRUE,"0")</f>
        <v>#NAME?</v>
      </c>
      <c r="C576" s="161" t="str" cm="1">
        <f t="array" ref="C576">_xlfn.IFS(E576=$AB$42,$AF$42,E576=$AB$43,$AF$43,E576=$AB$44,$AF$44,E576=$AB$45,$AF$45,E576=$AB$46,$AF$46,E576=$AB$47,$AF$47,E576=$AB$48,$AF$48,E576=$AB$49,$AF$49,E576=$AB$50,$AF$50,E576=$AB$51,$AF$51,E576=$AB$52,$AF$52,E576=$AB$53,$AF$53,E576=$AB$54,$AF$54,E576=$AB$55,$AF$55,E576=$AB$56,$AF$56,E576=$AB$57,$AF$57,E576=$AB$58,$AF$58,E576=$AB$59,$AF$59,E576=$AB$60,$AF$60,E576=$AB$61,$AF$61,E576=$AB$62,$AF$62,E576=$AB$63,$AF$63,E576=$AB$64,$AF$64,E576=$AB$65,$AF$65,E576=$AB$66,$AF$66,TRUE,"0")</f>
        <v>B4 match BACK FT +1.5 goals. X AFTER  GOAL</v>
      </c>
      <c r="D576" s="270" t="str" cm="1">
        <f t="array" ref="D576">_xlfn.IFS(E576=$AB$42,$AD$42,E576=$AB$43,$AD$43,E576=$AB$44,$AD$44,E576=$AB$45,$AD$45,E576=$AB$46,$AD$46,E576=$AB$47,$AD$47,E576=$AB$48,$AD$48,E576=$AB$49,$AD$49,E576=$AB$50,$AD$50,E576=$AB$51,$AD$51,E576=$AB$52,$AD$52,E576=$AB$53,$AD$53,E576=$AB$54,$AD$54,E576=$AB$55,$AD$55,E576=$AB$56,$AD$56,E576=$AB$57,$AD$57,E576=$AB$58,$AD$58,E576=$AB$59,$AD$59,E576=$AB$60,$AD$60,E576=$AB$61,$AD$61,E576=$AB$62,$AD$62,E576=$AB$63,$AD$63,E576=$AB$64,$AD$64,E576=$AB$65,$AD$65,E576=$AB$66,$AD$66,TRUE,"0")</f>
        <v xml:space="preserve">BFM </v>
      </c>
      <c r="E576" s="165" t="s">
        <v>512</v>
      </c>
      <c r="F576" s="36" t="s">
        <v>6</v>
      </c>
      <c r="G576" s="36" t="s">
        <v>7</v>
      </c>
      <c r="H576" s="37">
        <v>45363.822916666664</v>
      </c>
      <c r="I576" s="36" t="s">
        <v>141</v>
      </c>
      <c r="J576" s="36" t="s">
        <v>84</v>
      </c>
      <c r="K576" s="36">
        <v>4.3</v>
      </c>
      <c r="L576" s="36">
        <v>20</v>
      </c>
      <c r="M576" s="36">
        <v>2.85</v>
      </c>
      <c r="N576" s="36">
        <v>31</v>
      </c>
      <c r="O576" s="36">
        <v>0</v>
      </c>
      <c r="P576" s="268">
        <v>10</v>
      </c>
      <c r="Q576" s="2" t="s">
        <v>95</v>
      </c>
      <c r="R576" s="157" t="s">
        <v>221</v>
      </c>
      <c r="S576" s="38" t="s">
        <v>214</v>
      </c>
      <c r="T576" s="188">
        <v>1000</v>
      </c>
      <c r="U576" s="8">
        <f t="shared" si="70"/>
        <v>180</v>
      </c>
      <c r="V576" s="234">
        <f t="shared" si="69"/>
        <v>25264.155246160299</v>
      </c>
      <c r="W576" s="15">
        <v>25</v>
      </c>
      <c r="X576" s="8">
        <f t="shared" si="65"/>
        <v>4.5</v>
      </c>
      <c r="Y576" s="233">
        <f t="shared" si="66"/>
        <v>2497.5</v>
      </c>
    </row>
    <row r="577" spans="1:25">
      <c r="A577" s="156" t="e" cm="1">
        <f t="array" aca="1" ref="A577" ca="1">_xlfn.IFS(E577=$AB$42,$AC$42,E577=$AB$43,$AC$43,E577=$AB$44,$AC$44,E577=$AB$45,$AC$45,E577=$AB$46,$AC$46,E577=$AB$47,$AC$47,E577=$AB$48,$AC$48,E577=$AB$49,$AC$49,E577=$AB$50,$AC$50,E577=$AB$51,$AC$51,E577=$AB$52,$AC$52,E577=$AB$53,$AC$53,E577=$AB$54,$AC$54,E577=$AB$55,$AC$55,E577=$AB$56,$AC$56,E577=$AB$57,$AC$57,E577=$AB$58,$AC$58,E577=$AB$59,$AC$59,E577=$AB$60,$AC$60,E577=$AB$61,$AC$61,E577=$AB$62,$AC$62,E577=$AB$63,$AC$63,E577=$AB$64,$AC$64,E577=$AB$65,$AC$65,E577=$AB$66,$AC$66,TRUE,"0")</f>
        <v>#NAME?</v>
      </c>
      <c r="C577" s="161" t="str" cm="1">
        <f t="array" ref="C577">_xlfn.IFS(E577=$AB$42,$AF$42,E577=$AB$43,$AF$43,E577=$AB$44,$AF$44,E577=$AB$45,$AF$45,E577=$AB$46,$AF$46,E577=$AB$47,$AF$47,E577=$AB$48,$AF$48,E577=$AB$49,$AF$49,E577=$AB$50,$AF$50,E577=$AB$51,$AF$51,E577=$AB$52,$AF$52,E577=$AB$53,$AF$53,E577=$AB$54,$AF$54,E577=$AB$55,$AF$55,E577=$AB$56,$AF$56,E577=$AB$57,$AF$57,E577=$AB$58,$AF$58,E577=$AB$59,$AF$59,E577=$AB$60,$AF$60,E577=$AB$61,$AF$61,E577=$AB$62,$AF$62,E577=$AB$63,$AF$63,E577=$AB$64,$AF$64,E577=$AB$65,$AF$65,E577=$AB$66,$AF$66,TRUE,"0")</f>
        <v>AT HT IF 0-0 BACK +0.5 GOALS</v>
      </c>
      <c r="D577" s="270" t="str" cm="1">
        <f t="array" ref="D577">_xlfn.IFS(E577=$AB$42,$AD$42,E577=$AB$43,$AD$43,E577=$AB$44,$AD$44,E577=$AB$45,$AD$45,E577=$AB$46,$AD$46,E577=$AB$47,$AD$47,E577=$AB$48,$AD$48,E577=$AB$49,$AD$49,E577=$AB$50,$AD$50,E577=$AB$51,$AD$51,E577=$AB$52,$AD$52,E577=$AB$53,$AD$53,E577=$AB$54,$AD$54,E577=$AB$55,$AD$55,E577=$AB$56,$AD$56,E577=$AB$57,$AD$57,E577=$AB$58,$AD$58,E577=$AB$59,$AD$59,E577=$AB$60,$AD$60,E577=$AB$61,$AD$61,E577=$AB$62,$AD$62,E577=$AB$63,$AD$63,E577=$AB$64,$AD$64,E577=$AB$65,$AD$65,E577=$AB$66,$AD$66,TRUE,"0")</f>
        <v>IP</v>
      </c>
      <c r="E577" s="163" t="s">
        <v>514</v>
      </c>
      <c r="F577" s="2" t="s">
        <v>6</v>
      </c>
      <c r="G577" s="2" t="s">
        <v>7</v>
      </c>
      <c r="H577" s="3">
        <v>45363.822916666664</v>
      </c>
      <c r="I577" s="2" t="s">
        <v>141</v>
      </c>
      <c r="J577" s="2" t="s">
        <v>84</v>
      </c>
      <c r="K577" s="2">
        <v>4.3</v>
      </c>
      <c r="L577" s="2">
        <v>0</v>
      </c>
      <c r="M577" s="2">
        <v>400</v>
      </c>
      <c r="N577" s="2">
        <v>20</v>
      </c>
      <c r="O577" s="2">
        <v>10</v>
      </c>
      <c r="P577" s="1">
        <v>31</v>
      </c>
      <c r="Q577" s="2" t="s">
        <v>95</v>
      </c>
      <c r="R577" s="10" t="s">
        <v>221</v>
      </c>
      <c r="S577" s="14" t="s">
        <v>214</v>
      </c>
      <c r="T577" s="188">
        <v>1000</v>
      </c>
      <c r="U577" s="8">
        <f t="shared" si="70"/>
        <v>180</v>
      </c>
      <c r="V577" s="234">
        <f t="shared" si="69"/>
        <v>25444.155246160299</v>
      </c>
      <c r="W577" s="15">
        <v>25</v>
      </c>
      <c r="X577" s="8">
        <f t="shared" si="65"/>
        <v>4.5</v>
      </c>
      <c r="Y577" s="233">
        <f t="shared" si="66"/>
        <v>2502</v>
      </c>
    </row>
    <row r="578" spans="1:25">
      <c r="A578" s="156" t="e" cm="1">
        <f t="array" aca="1" ref="A578" ca="1">_xlfn.IFS(E578=$AB$42,$AC$42,E578=$AB$43,$AC$43,E578=$AB$44,$AC$44,E578=$AB$45,$AC$45,E578=$AB$46,$AC$46,E578=$AB$47,$AC$47,E578=$AB$48,$AC$48,E578=$AB$49,$AC$49,E578=$AB$50,$AC$50,E578=$AB$51,$AC$51,E578=$AB$52,$AC$52,E578=$AB$53,$AC$53,E578=$AB$54,$AC$54,E578=$AB$55,$AC$55,E578=$AB$56,$AC$56,E578=$AB$57,$AC$57,E578=$AB$58,$AC$58,E578=$AB$59,$AC$59,E578=$AB$60,$AC$60,E578=$AB$61,$AC$61,E578=$AB$62,$AC$62,E578=$AB$63,$AC$63,E578=$AB$64,$AC$64,E578=$AB$65,$AC$65,E578=$AB$66,$AC$66,TRUE,"0")</f>
        <v>#NAME?</v>
      </c>
      <c r="C578" s="161" t="str" cm="1">
        <f t="array" ref="C578">_xlfn.IFS(E578=$AB$42,$AF$42,E578=$AB$43,$AF$43,E578=$AB$44,$AF$44,E578=$AB$45,$AF$45,E578=$AB$46,$AF$46,E578=$AB$47,$AF$47,E578=$AB$48,$AF$48,E578=$AB$49,$AF$49,E578=$AB$50,$AF$50,E578=$AB$51,$AF$51,E578=$AB$52,$AF$52,E578=$AB$53,$AF$53,E578=$AB$54,$AF$54,E578=$AB$55,$AF$55,E578=$AB$56,$AF$56,E578=$AB$57,$AF$57,E578=$AB$58,$AF$58,E578=$AB$59,$AF$59,E578=$AB$60,$AF$60,E578=$AB$61,$AF$61,E578=$AB$62,$AF$62,E578=$AB$63,$AF$63,E578=$AB$64,$AF$64,E578=$AB$65,$AF$65,E578=$AB$66,$AF$66,TRUE,"0")</f>
        <v>40 mins Back ANother Goal</v>
      </c>
      <c r="D578" s="270" t="str" cm="1">
        <f t="array" ref="D578">_xlfn.IFS(E578=$AB$42,$AD$42,E578=$AB$43,$AD$43,E578=$AB$44,$AD$44,E578=$AB$45,$AD$45,E578=$AB$46,$AD$46,E578=$AB$47,$AD$47,E578=$AB$48,$AD$48,E578=$AB$49,$AD$49,E578=$AB$50,$AD$50,E578=$AB$51,$AD$51,E578=$AB$52,$AD$52,E578=$AB$53,$AD$53,E578=$AB$54,$AD$54,E578=$AB$55,$AD$55,E578=$AB$56,$AD$56,E578=$AB$57,$AD$57,E578=$AB$58,$AD$58,E578=$AB$59,$AD$59,E578=$AB$60,$AD$60,E578=$AB$61,$AD$61,E578=$AB$62,$AD$62,E578=$AB$63,$AD$63,E578=$AB$64,$AD$64,E578=$AB$65,$AD$65,E578=$AB$66,$AD$66,TRUE,"0")</f>
        <v xml:space="preserve">  BANG</v>
      </c>
      <c r="E578" s="163" t="s">
        <v>10</v>
      </c>
      <c r="F578" s="2" t="s">
        <v>6</v>
      </c>
      <c r="G578" s="2" t="s">
        <v>7</v>
      </c>
      <c r="H578" s="3">
        <v>45363.822916666664</v>
      </c>
      <c r="I578" s="2" t="s">
        <v>240</v>
      </c>
      <c r="J578" s="2" t="s">
        <v>307</v>
      </c>
      <c r="K578" s="2">
        <v>1.8</v>
      </c>
      <c r="L578" s="2">
        <v>90</v>
      </c>
      <c r="M578" s="2">
        <v>70</v>
      </c>
      <c r="N578" s="2">
        <v>20</v>
      </c>
      <c r="O578" s="2">
        <v>61</v>
      </c>
      <c r="P578" s="1">
        <v>20</v>
      </c>
      <c r="Q578" s="2" t="s">
        <v>95</v>
      </c>
      <c r="R578" s="10" t="s">
        <v>216</v>
      </c>
      <c r="S578" s="14" t="s">
        <v>222</v>
      </c>
      <c r="T578" s="188">
        <v>1000</v>
      </c>
      <c r="U578" s="8">
        <f t="shared" si="70"/>
        <v>180</v>
      </c>
      <c r="V578" s="234">
        <f t="shared" ref="V578" si="71">SUM(V577,U578)</f>
        <v>25624.155246160299</v>
      </c>
      <c r="W578" s="15">
        <v>25</v>
      </c>
      <c r="X578" s="8">
        <f t="shared" si="65"/>
        <v>4.5</v>
      </c>
      <c r="Y578" s="233">
        <f t="shared" si="66"/>
        <v>2506.5</v>
      </c>
    </row>
    <row r="579" spans="1:25">
      <c r="A579" s="156" t="e" cm="1">
        <f t="array" aca="1" ref="A579" ca="1">_xlfn.IFS(E579=$AB$42,$AC$42,E579=$AB$43,$AC$43,E579=$AB$44,$AC$44,E579=$AB$45,$AC$45,E579=$AB$46,$AC$46,E579=$AB$47,$AC$47,E579=$AB$48,$AC$48,E579=$AB$49,$AC$49,E579=$AB$50,$AC$50,E579=$AB$51,$AC$51,E579=$AB$52,$AC$52,E579=$AB$53,$AC$53,E579=$AB$54,$AC$54,E579=$AB$55,$AC$55,E579=$AB$56,$AC$56,E579=$AB$57,$AC$57,E579=$AB$58,$AC$58,E579=$AB$59,$AC$59,E579=$AB$60,$AC$60,E579=$AB$61,$AC$61,E579=$AB$62,$AC$62,E579=$AB$63,$AC$63,E579=$AB$64,$AC$64,E579=$AB$65,$AC$65,E579=$AB$66,$AC$66,TRUE,"0")</f>
        <v>#NAME?</v>
      </c>
      <c r="C579" s="161" t="str" cm="1">
        <f t="array" ref="C579">_xlfn.IFS(E579=$AB$42,$AF$42,E579=$AB$43,$AF$43,E579=$AB$44,$AF$44,E579=$AB$45,$AF$45,E579=$AB$46,$AF$46,E579=$AB$47,$AF$47,E579=$AB$48,$AF$48,E579=$AB$49,$AF$49,E579=$AB$50,$AF$50,E579=$AB$51,$AF$51,E579=$AB$52,$AF$52,E579=$AB$53,$AF$53,E579=$AB$54,$AF$54,E579=$AB$55,$AF$55,E579=$AB$56,$AF$56,E579=$AB$57,$AF$57,E579=$AB$58,$AF$58,E579=$AB$59,$AF$59,E579=$AB$60,$AF$60,E579=$AB$61,$AF$61,E579=$AB$62,$AF$62,E579=$AB$63,$AF$63,E579=$AB$64,$AF$64,E579=$AB$65,$AF$65,E579=$AB$66,$AF$66,TRUE,"0")</f>
        <v>40 mins Back ANother Goal</v>
      </c>
      <c r="D579" s="270" t="str" cm="1">
        <f t="array" ref="D579">_xlfn.IFS(E579=$AB$42,$AD$42,E579=$AB$43,$AD$43,E579=$AB$44,$AD$44,E579=$AB$45,$AD$45,E579=$AB$46,$AD$46,E579=$AB$47,$AD$47,E579=$AB$48,$AD$48,E579=$AB$49,$AD$49,E579=$AB$50,$AD$50,E579=$AB$51,$AD$51,E579=$AB$52,$AD$52,E579=$AB$53,$AD$53,E579=$AB$54,$AD$54,E579=$AB$55,$AD$55,E579=$AB$56,$AD$56,E579=$AB$57,$AD$57,E579=$AB$58,$AD$58,E579=$AB$59,$AD$59,E579=$AB$60,$AD$60,E579=$AB$61,$AD$61,E579=$AB$62,$AD$62,E579=$AB$63,$AD$63,E579=$AB$64,$AD$64,E579=$AB$65,$AD$65,E579=$AB$66,$AD$66,TRUE,"0")</f>
        <v xml:space="preserve">  BANG</v>
      </c>
      <c r="E579" s="163" t="s">
        <v>515</v>
      </c>
      <c r="F579" s="2" t="s">
        <v>410</v>
      </c>
      <c r="G579" s="2" t="s">
        <v>544</v>
      </c>
      <c r="H579" s="3">
        <v>45364.708333333336</v>
      </c>
      <c r="I579" s="2" t="s">
        <v>563</v>
      </c>
      <c r="J579" s="2" t="s">
        <v>545</v>
      </c>
      <c r="K579" s="2">
        <v>20</v>
      </c>
      <c r="L579" s="2">
        <v>78</v>
      </c>
      <c r="M579" s="2">
        <v>2.15</v>
      </c>
      <c r="N579" s="2"/>
      <c r="O579" s="2"/>
      <c r="Q579" s="2" t="s">
        <v>95</v>
      </c>
      <c r="R579" s="10" t="s">
        <v>221</v>
      </c>
      <c r="S579" s="14" t="s">
        <v>214</v>
      </c>
      <c r="T579" s="188">
        <v>1000</v>
      </c>
      <c r="U579" s="8">
        <f t="shared" si="70"/>
        <v>180</v>
      </c>
      <c r="V579" s="234">
        <f t="shared" si="69"/>
        <v>25804.155246160299</v>
      </c>
      <c r="W579" s="15">
        <v>25</v>
      </c>
      <c r="X579" s="8">
        <f t="shared" ref="X579:X642" si="72">IF(Q579="won",W579*0.18,-W579)</f>
        <v>4.5</v>
      </c>
      <c r="Y579" s="233">
        <f t="shared" ref="Y579:Y642" si="73">SUM(Y578,X579)</f>
        <v>2511</v>
      </c>
    </row>
    <row r="580" spans="1:25">
      <c r="A580" s="156" t="e" cm="1">
        <f t="array" aca="1" ref="A580" ca="1">_xlfn.IFS(E580=$AB$42,$AC$42,E580=$AB$43,$AC$43,E580=$AB$44,$AC$44,E580=$AB$45,$AC$45,E580=$AB$46,$AC$46,E580=$AB$47,$AC$47,E580=$AB$48,$AC$48,E580=$AB$49,$AC$49,E580=$AB$50,$AC$50,E580=$AB$51,$AC$51,E580=$AB$52,$AC$52,E580=$AB$53,$AC$53,E580=$AB$54,$AC$54,E580=$AB$55,$AC$55,E580=$AB$56,$AC$56,E580=$AB$57,$AC$57,E580=$AB$58,$AC$58,E580=$AB$59,$AC$59,E580=$AB$60,$AC$60,E580=$AB$61,$AC$61,E580=$AB$62,$AC$62,E580=$AB$63,$AC$63,E580=$AB$64,$AC$64,E580=$AB$65,$AC$65,E580=$AB$66,$AC$66,TRUE,"0")</f>
        <v>#NAME?</v>
      </c>
      <c r="C580" s="161" t="str" cm="1">
        <f t="array" ref="C580">_xlfn.IFS(E580=$AB$42,$AF$42,E580=$AB$43,$AF$43,E580=$AB$44,$AF$44,E580=$AB$45,$AF$45,E580=$AB$46,$AF$46,E580=$AB$47,$AF$47,E580=$AB$48,$AF$48,E580=$AB$49,$AF$49,E580=$AB$50,$AF$50,E580=$AB$51,$AF$51,E580=$AB$52,$AF$52,E580=$AB$53,$AF$53,E580=$AB$54,$AF$54,E580=$AB$55,$AF$55,E580=$AB$56,$AF$56,E580=$AB$57,$AF$57,E580=$AB$58,$AF$58,E580=$AB$59,$AF$59,E580=$AB$60,$AF$60,E580=$AB$61,$AF$61,E580=$AB$62,$AF$62,E580=$AB$63,$AF$63,E580=$AB$64,$AF$64,E580=$AB$65,$AF$65,E580=$AB$66,$AF$66,TRUE,"0")</f>
        <v>40 mins Back ANother Goal</v>
      </c>
      <c r="D580" s="270" t="str" cm="1">
        <f t="array" ref="D580">_xlfn.IFS(E580=$AB$42,$AD$42,E580=$AB$43,$AD$43,E580=$AB$44,$AD$44,E580=$AB$45,$AD$45,E580=$AB$46,$AD$46,E580=$AB$47,$AD$47,E580=$AB$48,$AD$48,E580=$AB$49,$AD$49,E580=$AB$50,$AD$50,E580=$AB$51,$AD$51,E580=$AB$52,$AD$52,E580=$AB$53,$AD$53,E580=$AB$54,$AD$54,E580=$AB$55,$AD$55,E580=$AB$56,$AD$56,E580=$AB$57,$AD$57,E580=$AB$58,$AD$58,E580=$AB$59,$AD$59,E580=$AB$60,$AD$60,E580=$AB$61,$AD$61,E580=$AB$62,$AD$62,E580=$AB$63,$AD$63,E580=$AB$64,$AD$64,E580=$AB$65,$AD$65,E580=$AB$66,$AD$66,TRUE,"0")</f>
        <v xml:space="preserve">  BANG</v>
      </c>
      <c r="E580" s="163" t="s">
        <v>35</v>
      </c>
      <c r="F580" s="2" t="s">
        <v>6</v>
      </c>
      <c r="G580" s="2" t="s">
        <v>62</v>
      </c>
      <c r="H580" s="3">
        <v>45364.8125</v>
      </c>
      <c r="I580" s="2" t="s">
        <v>117</v>
      </c>
      <c r="J580" s="2" t="s">
        <v>86</v>
      </c>
      <c r="K580" s="2">
        <v>68</v>
      </c>
      <c r="L580" s="2">
        <v>90</v>
      </c>
      <c r="M580" s="2">
        <v>60</v>
      </c>
      <c r="N580" s="2">
        <v>40</v>
      </c>
      <c r="O580" s="2">
        <v>20</v>
      </c>
      <c r="P580" s="1">
        <v>1.33</v>
      </c>
      <c r="Q580" s="2" t="s">
        <v>95</v>
      </c>
      <c r="R580" s="10" t="s">
        <v>218</v>
      </c>
      <c r="S580" s="14" t="s">
        <v>212</v>
      </c>
      <c r="T580" s="188">
        <v>1000</v>
      </c>
      <c r="U580" s="8">
        <f t="shared" si="70"/>
        <v>180</v>
      </c>
      <c r="V580" s="234">
        <f t="shared" si="69"/>
        <v>25984.155246160299</v>
      </c>
      <c r="W580" s="15">
        <v>25</v>
      </c>
      <c r="X580" s="8">
        <f t="shared" si="72"/>
        <v>4.5</v>
      </c>
      <c r="Y580" s="233">
        <f t="shared" si="73"/>
        <v>2515.5</v>
      </c>
    </row>
    <row r="581" spans="1:25">
      <c r="A581" s="156" t="e" cm="1">
        <f t="array" aca="1" ref="A581" ca="1">_xlfn.IFS(E581=$AB$42,$AC$42,E581=$AB$43,$AC$43,E581=$AB$44,$AC$44,E581=$AB$45,$AC$45,E581=$AB$46,$AC$46,E581=$AB$47,$AC$47,E581=$AB$48,$AC$48,E581=$AB$49,$AC$49,E581=$AB$50,$AC$50,E581=$AB$51,$AC$51,E581=$AB$52,$AC$52,E581=$AB$53,$AC$53,E581=$AB$54,$AC$54,E581=$AB$55,$AC$55,E581=$AB$56,$AC$56,E581=$AB$57,$AC$57,E581=$AB$58,$AC$58,E581=$AB$59,$AC$59,E581=$AB$60,$AC$60,E581=$AB$61,$AC$61,E581=$AB$62,$AC$62,E581=$AB$63,$AC$63,E581=$AB$64,$AC$64,E581=$AB$65,$AC$65,E581=$AB$66,$AC$66,TRUE,"0")</f>
        <v>#NAME?</v>
      </c>
      <c r="C581" s="161" t="str" cm="1">
        <f t="array" ref="C581">_xlfn.IFS(E581=$AB$42,$AF$42,E581=$AB$43,$AF$43,E581=$AB$44,$AF$44,E581=$AB$45,$AF$45,E581=$AB$46,$AF$46,E581=$AB$47,$AF$47,E581=$AB$48,$AF$48,E581=$AB$49,$AF$49,E581=$AB$50,$AF$50,E581=$AB$51,$AF$51,E581=$AB$52,$AF$52,E581=$AB$53,$AF$53,E581=$AB$54,$AF$54,E581=$AB$55,$AF$55,E581=$AB$56,$AF$56,E581=$AB$57,$AF$57,E581=$AB$58,$AF$58,E581=$AB$59,$AF$59,E581=$AB$60,$AF$60,E581=$AB$61,$AF$61,E581=$AB$62,$AF$62,E581=$AB$63,$AF$63,E581=$AB$64,$AF$64,E581=$AB$65,$AF$65,E581=$AB$66,$AF$66,TRUE,"0")</f>
        <v>B4 match BACK FT +1.5 goals. X AFTER  GOAL</v>
      </c>
      <c r="D581" s="270" t="str" cm="1">
        <f t="array" ref="D581">_xlfn.IFS(E581=$AB$42,$AD$42,E581=$AB$43,$AD$43,E581=$AB$44,$AD$44,E581=$AB$45,$AD$45,E581=$AB$46,$AD$46,E581=$AB$47,$AD$47,E581=$AB$48,$AD$48,E581=$AB$49,$AD$49,E581=$AB$50,$AD$50,E581=$AB$51,$AD$51,E581=$AB$52,$AD$52,E581=$AB$53,$AD$53,E581=$AB$54,$AD$54,E581=$AB$55,$AD$55,E581=$AB$56,$AD$56,E581=$AB$57,$AD$57,E581=$AB$58,$AD$58,E581=$AB$59,$AD$59,E581=$AB$60,$AD$60,E581=$AB$61,$AD$61,E581=$AB$62,$AD$62,E581=$AB$63,$AD$63,E581=$AB$64,$AD$64,E581=$AB$65,$AD$65,E581=$AB$66,$AD$66,TRUE,"0")</f>
        <v xml:space="preserve">BFM </v>
      </c>
      <c r="E581" s="163" t="s">
        <v>512</v>
      </c>
      <c r="F581" s="2" t="s">
        <v>6</v>
      </c>
      <c r="G581" s="2" t="s">
        <v>62</v>
      </c>
      <c r="H581" s="3">
        <v>45364.8125</v>
      </c>
      <c r="I581" s="2" t="s">
        <v>117</v>
      </c>
      <c r="J581" s="2" t="s">
        <v>86</v>
      </c>
      <c r="K581" s="2">
        <v>4.8</v>
      </c>
      <c r="L581" s="2">
        <v>20</v>
      </c>
      <c r="M581" s="2">
        <v>3.25</v>
      </c>
      <c r="N581" s="2">
        <v>25</v>
      </c>
      <c r="O581" s="2">
        <v>1</v>
      </c>
      <c r="P581" s="1">
        <v>10</v>
      </c>
      <c r="Q581" s="2" t="s">
        <v>95</v>
      </c>
      <c r="R581" s="10" t="s">
        <v>218</v>
      </c>
      <c r="S581" s="14" t="s">
        <v>212</v>
      </c>
      <c r="T581" s="188">
        <v>1000</v>
      </c>
      <c r="U581" s="8">
        <f t="shared" si="70"/>
        <v>180</v>
      </c>
      <c r="V581" s="234">
        <f t="shared" si="69"/>
        <v>26164.155246160299</v>
      </c>
      <c r="W581" s="15">
        <v>25</v>
      </c>
      <c r="X581" s="8">
        <f t="shared" si="72"/>
        <v>4.5</v>
      </c>
      <c r="Y581" s="233">
        <f t="shared" si="73"/>
        <v>2520</v>
      </c>
    </row>
    <row r="582" spans="1:25">
      <c r="A582" s="156" t="e" cm="1">
        <f t="array" aca="1" ref="A582" ca="1">_xlfn.IFS(E582=$AB$42,$AC$42,E582=$AB$43,$AC$43,E582=$AB$44,$AC$44,E582=$AB$45,$AC$45,E582=$AB$46,$AC$46,E582=$AB$47,$AC$47,E582=$AB$48,$AC$48,E582=$AB$49,$AC$49,E582=$AB$50,$AC$50,E582=$AB$51,$AC$51,E582=$AB$52,$AC$52,E582=$AB$53,$AC$53,E582=$AB$54,$AC$54,E582=$AB$55,$AC$55,E582=$AB$56,$AC$56,E582=$AB$57,$AC$57,E582=$AB$58,$AC$58,E582=$AB$59,$AC$59,E582=$AB$60,$AC$60,E582=$AB$61,$AC$61,E582=$AB$62,$AC$62,E582=$AB$63,$AC$63,E582=$AB$64,$AC$64,E582=$AB$65,$AC$65,E582=$AB$66,$AC$66,TRUE,"0")</f>
        <v>#NAME?</v>
      </c>
      <c r="C582" s="161" t="str" cm="1">
        <f t="array" ref="C582">_xlfn.IFS(E582=$AB$42,$AF$42,E582=$AB$43,$AF$43,E582=$AB$44,$AF$44,E582=$AB$45,$AF$45,E582=$AB$46,$AF$46,E582=$AB$47,$AF$47,E582=$AB$48,$AF$48,E582=$AB$49,$AF$49,E582=$AB$50,$AF$50,E582=$AB$51,$AF$51,E582=$AB$52,$AF$52,E582=$AB$53,$AF$53,E582=$AB$54,$AF$54,E582=$AB$55,$AF$55,E582=$AB$56,$AF$56,E582=$AB$57,$AF$57,E582=$AB$58,$AF$58,E582=$AB$59,$AF$59,E582=$AB$60,$AF$60,E582=$AB$61,$AF$61,E582=$AB$62,$AF$62,E582=$AB$63,$AF$63,E582=$AB$64,$AF$64,E582=$AB$65,$AF$65,E582=$AB$66,$AF$66,TRUE,"0")</f>
        <v>if 0-0, BACK+ 0.5 GOALS  @ 1.15+odds.  or @ 40 mins</v>
      </c>
      <c r="D582" s="270" t="str" cm="1">
        <f t="array" ref="D582">_xlfn.IFS(E582=$AB$42,$AD$42,E582=$AB$43,$AD$43,E582=$AB$44,$AD$44,E582=$AB$45,$AD$45,E582=$AB$46,$AD$46,E582=$AB$47,$AD$47,E582=$AB$48,$AD$48,E582=$AB$49,$AD$49,E582=$AB$50,$AD$50,E582=$AB$51,$AD$51,E582=$AB$52,$AD$52,E582=$AB$53,$AD$53,E582=$AB$54,$AD$54,E582=$AB$55,$AD$55,E582=$AB$56,$AD$56,E582=$AB$57,$AD$57,E582=$AB$58,$AD$58,E582=$AB$59,$AD$59,E582=$AB$60,$AD$60,E582=$AB$61,$AD$61,E582=$AB$62,$AD$62,E582=$AB$63,$AD$63,E582=$AB$64,$AD$64,E582=$AB$65,$AD$65,E582=$AB$66,$AD$66,TRUE,"0")</f>
        <v>IP</v>
      </c>
      <c r="E582" s="163" t="s">
        <v>270</v>
      </c>
      <c r="F582" s="2" t="s">
        <v>6</v>
      </c>
      <c r="G582" s="2" t="s">
        <v>62</v>
      </c>
      <c r="H582" s="3">
        <v>45364.8125</v>
      </c>
      <c r="I582" s="2" t="s">
        <v>117</v>
      </c>
      <c r="J582" s="2" t="s">
        <v>86</v>
      </c>
      <c r="K582" s="2">
        <v>68</v>
      </c>
      <c r="L582" s="2">
        <v>0</v>
      </c>
      <c r="M582" s="2">
        <v>20</v>
      </c>
      <c r="N582" s="2">
        <v>25</v>
      </c>
      <c r="O582" s="2">
        <v>2.59</v>
      </c>
      <c r="Q582" s="2" t="s">
        <v>95</v>
      </c>
      <c r="R582" s="10" t="s">
        <v>218</v>
      </c>
      <c r="S582" s="14" t="s">
        <v>212</v>
      </c>
      <c r="T582" s="188">
        <v>1000</v>
      </c>
      <c r="U582" s="8">
        <f t="shared" si="70"/>
        <v>180</v>
      </c>
      <c r="V582" s="234">
        <f t="shared" si="69"/>
        <v>26344.155246160299</v>
      </c>
      <c r="W582" s="15">
        <v>25</v>
      </c>
      <c r="X582" s="8">
        <f t="shared" si="72"/>
        <v>4.5</v>
      </c>
      <c r="Y582" s="233">
        <f t="shared" si="73"/>
        <v>2524.5</v>
      </c>
    </row>
    <row r="583" spans="1:25">
      <c r="A583" s="156" t="e" cm="1">
        <f t="array" aca="1" ref="A583" ca="1">_xlfn.IFS(E583=$AB$42,$AC$42,E583=$AB$43,$AC$43,E583=$AB$44,$AC$44,E583=$AB$45,$AC$45,E583=$AB$46,$AC$46,E583=$AB$47,$AC$47,E583=$AB$48,$AC$48,E583=$AB$49,$AC$49,E583=$AB$50,$AC$50,E583=$AB$51,$AC$51,E583=$AB$52,$AC$52,E583=$AB$53,$AC$53,E583=$AB$54,$AC$54,E583=$AB$55,$AC$55,E583=$AB$56,$AC$56,E583=$AB$57,$AC$57,E583=$AB$58,$AC$58,E583=$AB$59,$AC$59,E583=$AB$60,$AC$60,E583=$AB$61,$AC$61,E583=$AB$62,$AC$62,E583=$AB$63,$AC$63,E583=$AB$64,$AC$64,E583=$AB$65,$AC$65,E583=$AB$66,$AC$66,TRUE,"0")</f>
        <v>#NAME?</v>
      </c>
      <c r="C583" s="161" t="str" cm="1">
        <f t="array" ref="C583">_xlfn.IFS(E583=$AB$42,$AF$42,E583=$AB$43,$AF$43,E583=$AB$44,$AF$44,E583=$AB$45,$AF$45,E583=$AB$46,$AF$46,E583=$AB$47,$AF$47,E583=$AB$48,$AF$48,E583=$AB$49,$AF$49,E583=$AB$50,$AF$50,E583=$AB$51,$AF$51,E583=$AB$52,$AF$52,E583=$AB$53,$AF$53,E583=$AB$54,$AF$54,E583=$AB$55,$AF$55,E583=$AB$56,$AF$56,E583=$AB$57,$AF$57,E583=$AB$58,$AF$58,E583=$AB$59,$AF$59,E583=$AB$60,$AF$60,E583=$AB$61,$AF$61,E583=$AB$62,$AF$62,E583=$AB$63,$AF$63,E583=$AB$64,$AF$64,E583=$AB$65,$AF$65,E583=$AB$66,$AF$66,TRUE,"0")</f>
        <v>15mins if  0-0, BACK over 1.5 goals X after goal OR LET RUN</v>
      </c>
      <c r="D583" s="270" t="str" cm="1">
        <f t="array" ref="D583">_xlfn.IFS(E583=$AB$42,$AD$42,E583=$AB$43,$AD$43,E583=$AB$44,$AD$44,E583=$AB$45,$AD$45,E583=$AB$46,$AD$46,E583=$AB$47,$AD$47,E583=$AB$48,$AD$48,E583=$AB$49,$AD$49,E583=$AB$50,$AD$50,E583=$AB$51,$AD$51,E583=$AB$52,$AD$52,E583=$AB$53,$AD$53,E583=$AB$54,$AD$54,E583=$AB$55,$AD$55,E583=$AB$56,$AD$56,E583=$AB$57,$AD$57,E583=$AB$58,$AD$58,E583=$AB$59,$AD$59,E583=$AB$60,$AD$60,E583=$AB$61,$AD$61,E583=$AB$62,$AD$62,E583=$AB$63,$AD$63,E583=$AB$64,$AD$64,E583=$AB$65,$AD$65,E583=$AB$66,$AD$66,TRUE,"0")</f>
        <v>IP</v>
      </c>
      <c r="E583" s="166" t="s">
        <v>473</v>
      </c>
      <c r="F583" s="41" t="s">
        <v>80</v>
      </c>
      <c r="G583" s="41" t="s">
        <v>81</v>
      </c>
      <c r="H583" s="42">
        <v>45366.729166666664</v>
      </c>
      <c r="I583" s="41" t="s">
        <v>551</v>
      </c>
      <c r="J583" s="41" t="s">
        <v>82</v>
      </c>
      <c r="K583" s="41">
        <v>65</v>
      </c>
      <c r="L583" s="41">
        <v>85</v>
      </c>
      <c r="M583" s="41">
        <v>20</v>
      </c>
      <c r="N583" s="41">
        <v>2.6</v>
      </c>
      <c r="O583" s="41"/>
      <c r="Q583" s="2" t="s">
        <v>95</v>
      </c>
      <c r="R583" s="10" t="s">
        <v>216</v>
      </c>
      <c r="S583" s="14" t="s">
        <v>216</v>
      </c>
      <c r="T583" s="188">
        <v>1000</v>
      </c>
      <c r="U583" s="8">
        <f t="shared" si="70"/>
        <v>180</v>
      </c>
      <c r="V583" s="234">
        <f t="shared" ref="V583" si="74">SUM(V582,U583)</f>
        <v>26524.155246160299</v>
      </c>
      <c r="W583" s="15">
        <v>25</v>
      </c>
      <c r="X583" s="8">
        <f t="shared" si="72"/>
        <v>4.5</v>
      </c>
      <c r="Y583" s="233">
        <f t="shared" si="73"/>
        <v>2529</v>
      </c>
    </row>
    <row r="584" spans="1:25">
      <c r="A584" s="156" t="e" cm="1">
        <f t="array" aca="1" ref="A584" ca="1">_xlfn.IFS(E584=$AB$42,$AC$42,E584=$AB$43,$AC$43,E584=$AB$44,$AC$44,E584=$AB$45,$AC$45,E584=$AB$46,$AC$46,E584=$AB$47,$AC$47,E584=$AB$48,$AC$48,E584=$AB$49,$AC$49,E584=$AB$50,$AC$50,E584=$AB$51,$AC$51,E584=$AB$52,$AC$52,E584=$AB$53,$AC$53,E584=$AB$54,$AC$54,E584=$AB$55,$AC$55,E584=$AB$56,$AC$56,E584=$AB$57,$AC$57,E584=$AB$58,$AC$58,E584=$AB$59,$AC$59,E584=$AB$60,$AC$60,E584=$AB$61,$AC$61,E584=$AB$62,$AC$62,E584=$AB$63,$AC$63,E584=$AB$64,$AC$64,E584=$AB$65,$AC$65,E584=$AB$66,$AC$66,TRUE,"0")</f>
        <v>#NAME?</v>
      </c>
      <c r="C584" s="161" t="str" cm="1">
        <f t="array" ref="C584">_xlfn.IFS(E584=$AB$42,$AF$42,E584=$AB$43,$AF$43,E584=$AB$44,$AF$44,E584=$AB$45,$AF$45,E584=$AB$46,$AF$46,E584=$AB$47,$AF$47,E584=$AB$48,$AF$48,E584=$AB$49,$AF$49,E584=$AB$50,$AF$50,E584=$AB$51,$AF$51,E584=$AB$52,$AF$52,E584=$AB$53,$AF$53,E584=$AB$54,$AF$54,E584=$AB$55,$AF$55,E584=$AB$56,$AF$56,E584=$AB$57,$AF$57,E584=$AB$58,$AF$58,E584=$AB$59,$AF$59,E584=$AB$60,$AF$60,E584=$AB$61,$AF$61,E584=$AB$62,$AF$62,E584=$AB$63,$AF$63,E584=$AB$64,$AF$64,E584=$AB$65,$AF$65,E584=$AB$66,$AF$66,TRUE,"0")</f>
        <v>40 mins Back ANother Goal</v>
      </c>
      <c r="D584" s="270" t="str" cm="1">
        <f t="array" ref="D584">_xlfn.IFS(E584=$AB$42,$AD$42,E584=$AB$43,$AD$43,E584=$AB$44,$AD$44,E584=$AB$45,$AD$45,E584=$AB$46,$AD$46,E584=$AB$47,$AD$47,E584=$AB$48,$AD$48,E584=$AB$49,$AD$49,E584=$AB$50,$AD$50,E584=$AB$51,$AD$51,E584=$AB$52,$AD$52,E584=$AB$53,$AD$53,E584=$AB$54,$AD$54,E584=$AB$55,$AD$55,E584=$AB$56,$AD$56,E584=$AB$57,$AD$57,E584=$AB$58,$AD$58,E584=$AB$59,$AD$59,E584=$AB$60,$AD$60,E584=$AB$61,$AD$61,E584=$AB$62,$AD$62,E584=$AB$63,$AD$63,E584=$AB$64,$AD$64,E584=$AB$65,$AD$65,E584=$AB$66,$AD$66,TRUE,"0")</f>
        <v xml:space="preserve">  BANG</v>
      </c>
      <c r="E584" s="163" t="s">
        <v>43</v>
      </c>
      <c r="F584" s="2" t="s">
        <v>67</v>
      </c>
      <c r="G584" s="2" t="s">
        <v>169</v>
      </c>
      <c r="H584" s="3">
        <v>45366.791666666664</v>
      </c>
      <c r="I584" s="2" t="s">
        <v>203</v>
      </c>
      <c r="J584" s="2" t="s">
        <v>393</v>
      </c>
      <c r="K584" s="2">
        <v>73</v>
      </c>
      <c r="L584" s="2">
        <v>100</v>
      </c>
      <c r="M584" s="2">
        <v>64</v>
      </c>
      <c r="N584" s="2">
        <v>1.75</v>
      </c>
      <c r="O584" s="2">
        <v>0.98</v>
      </c>
      <c r="Q584" s="2" t="s">
        <v>95</v>
      </c>
      <c r="R584" s="10" t="s">
        <v>214</v>
      </c>
      <c r="S584" s="14" t="s">
        <v>216</v>
      </c>
      <c r="T584" s="188">
        <v>1000</v>
      </c>
      <c r="U584" s="8">
        <f t="shared" si="70"/>
        <v>180</v>
      </c>
      <c r="V584" s="234">
        <f t="shared" si="69"/>
        <v>26704.155246160299</v>
      </c>
      <c r="W584" s="15">
        <v>25</v>
      </c>
      <c r="X584" s="8">
        <f t="shared" si="72"/>
        <v>4.5</v>
      </c>
      <c r="Y584" s="233">
        <f t="shared" si="73"/>
        <v>2533.5</v>
      </c>
    </row>
    <row r="585" spans="1:25">
      <c r="A585" s="156" t="e" cm="1">
        <f t="array" aca="1" ref="A585" ca="1">_xlfn.IFS(E585=$AB$42,$AC$42,E585=$AB$43,$AC$43,E585=$AB$44,$AC$44,E585=$AB$45,$AC$45,E585=$AB$46,$AC$46,E585=$AB$47,$AC$47,E585=$AB$48,$AC$48,E585=$AB$49,$AC$49,E585=$AB$50,$AC$50,E585=$AB$51,$AC$51,E585=$AB$52,$AC$52,E585=$AB$53,$AC$53,E585=$AB$54,$AC$54,E585=$AB$55,$AC$55,E585=$AB$56,$AC$56,E585=$AB$57,$AC$57,E585=$AB$58,$AC$58,E585=$AB$59,$AC$59,E585=$AB$60,$AC$60,E585=$AB$61,$AC$61,E585=$AB$62,$AC$62,E585=$AB$63,$AC$63,E585=$AB$64,$AC$64,E585=$AB$65,$AC$65,E585=$AB$66,$AC$66,TRUE,"0")</f>
        <v>#NAME?</v>
      </c>
      <c r="C585" s="161" t="str" cm="1">
        <f t="array" ref="C585">_xlfn.IFS(E585=$AB$42,$AF$42,E585=$AB$43,$AF$43,E585=$AB$44,$AF$44,E585=$AB$45,$AF$45,E585=$AB$46,$AF$46,E585=$AB$47,$AF$47,E585=$AB$48,$AF$48,E585=$AB$49,$AF$49,E585=$AB$50,$AF$50,E585=$AB$51,$AF$51,E585=$AB$52,$AF$52,E585=$AB$53,$AF$53,E585=$AB$54,$AF$54,E585=$AB$55,$AF$55,E585=$AB$56,$AF$56,E585=$AB$57,$AF$57,E585=$AB$58,$AF$58,E585=$AB$59,$AF$59,E585=$AB$60,$AF$60,E585=$AB$61,$AF$61,E585=$AB$62,$AF$62,E585=$AB$63,$AF$63,E585=$AB$64,$AF$64,E585=$AB$65,$AF$65,E585=$AB$66,$AF$66,TRUE,"0")</f>
        <v>if 0-0, BACK+ 0.5 GOALS  @ 1.15+odds.  or @ 40 mins</v>
      </c>
      <c r="D585" s="270" t="str" cm="1">
        <f t="array" ref="D585">_xlfn.IFS(E585=$AB$42,$AD$42,E585=$AB$43,$AD$43,E585=$AB$44,$AD$44,E585=$AB$45,$AD$45,E585=$AB$46,$AD$46,E585=$AB$47,$AD$47,E585=$AB$48,$AD$48,E585=$AB$49,$AD$49,E585=$AB$50,$AD$50,E585=$AB$51,$AD$51,E585=$AB$52,$AD$52,E585=$AB$53,$AD$53,E585=$AB$54,$AD$54,E585=$AB$55,$AD$55,E585=$AB$56,$AD$56,E585=$AB$57,$AD$57,E585=$AB$58,$AD$58,E585=$AB$59,$AD$59,E585=$AB$60,$AD$60,E585=$AB$61,$AD$61,E585=$AB$62,$AD$62,E585=$AB$63,$AD$63,E585=$AB$64,$AD$64,E585=$AB$65,$AD$65,E585=$AB$66,$AD$66,TRUE,"0")</f>
        <v>IP</v>
      </c>
      <c r="E585" s="163" t="s">
        <v>270</v>
      </c>
      <c r="F585" s="2" t="s">
        <v>67</v>
      </c>
      <c r="G585" s="2" t="s">
        <v>169</v>
      </c>
      <c r="H585" s="3">
        <v>45366.791666666664</v>
      </c>
      <c r="I585" s="2" t="s">
        <v>373</v>
      </c>
      <c r="J585" s="2" t="s">
        <v>396</v>
      </c>
      <c r="K585" s="2">
        <v>60</v>
      </c>
      <c r="L585" s="2">
        <v>0</v>
      </c>
      <c r="M585" s="2">
        <v>20</v>
      </c>
      <c r="N585" s="2">
        <v>32</v>
      </c>
      <c r="O585" s="2">
        <v>2.19</v>
      </c>
      <c r="Q585" s="2" t="s">
        <v>95</v>
      </c>
      <c r="R585" s="10" t="s">
        <v>221</v>
      </c>
      <c r="S585" s="14" t="s">
        <v>193</v>
      </c>
      <c r="T585" s="188">
        <v>1000</v>
      </c>
      <c r="U585" s="8">
        <f t="shared" si="70"/>
        <v>180</v>
      </c>
      <c r="V585" s="234">
        <f t="shared" si="69"/>
        <v>26884.155246160299</v>
      </c>
      <c r="W585" s="15">
        <v>25</v>
      </c>
      <c r="X585" s="8">
        <f t="shared" si="72"/>
        <v>4.5</v>
      </c>
      <c r="Y585" s="233">
        <f t="shared" si="73"/>
        <v>2538</v>
      </c>
    </row>
    <row r="586" spans="1:25">
      <c r="A586" s="156" t="e" cm="1">
        <f t="array" aca="1" ref="A586" ca="1">_xlfn.IFS(E586=$AB$42,$AC$42,E586=$AB$43,$AC$43,E586=$AB$44,$AC$44,E586=$AB$45,$AC$45,E586=$AB$46,$AC$46,E586=$AB$47,$AC$47,E586=$AB$48,$AC$48,E586=$AB$49,$AC$49,E586=$AB$50,$AC$50,E586=$AB$51,$AC$51,E586=$AB$52,$AC$52,E586=$AB$53,$AC$53,E586=$AB$54,$AC$54,E586=$AB$55,$AC$55,E586=$AB$56,$AC$56,E586=$AB$57,$AC$57,E586=$AB$58,$AC$58,E586=$AB$59,$AC$59,E586=$AB$60,$AC$60,E586=$AB$61,$AC$61,E586=$AB$62,$AC$62,E586=$AB$63,$AC$63,E586=$AB$64,$AC$64,E586=$AB$65,$AC$65,E586=$AB$66,$AC$66,TRUE,"0")</f>
        <v>#NAME?</v>
      </c>
      <c r="C586" s="161" t="str" cm="1">
        <f t="array" ref="C586">_xlfn.IFS(E586=$AB$42,$AF$42,E586=$AB$43,$AF$43,E586=$AB$44,$AF$44,E586=$AB$45,$AF$45,E586=$AB$46,$AF$46,E586=$AB$47,$AF$47,E586=$AB$48,$AF$48,E586=$AB$49,$AF$49,E586=$AB$50,$AF$50,E586=$AB$51,$AF$51,E586=$AB$52,$AF$52,E586=$AB$53,$AF$53,E586=$AB$54,$AF$54,E586=$AB$55,$AF$55,E586=$AB$56,$AF$56,E586=$AB$57,$AF$57,E586=$AB$58,$AF$58,E586=$AB$59,$AF$59,E586=$AB$60,$AF$60,E586=$AB$61,$AF$61,E586=$AB$62,$AF$62,E586=$AB$63,$AF$63,E586=$AB$64,$AF$64,E586=$AB$65,$AF$65,E586=$AB$66,$AF$66,TRUE,"0")</f>
        <v>B4 match BACK FT +1.5 goals. X AFTER  GOAL</v>
      </c>
      <c r="D586" s="270" t="str" cm="1">
        <f t="array" ref="D586">_xlfn.IFS(E586=$AB$42,$AD$42,E586=$AB$43,$AD$43,E586=$AB$44,$AD$44,E586=$AB$45,$AD$45,E586=$AB$46,$AD$46,E586=$AB$47,$AD$47,E586=$AB$48,$AD$48,E586=$AB$49,$AD$49,E586=$AB$50,$AD$50,E586=$AB$51,$AD$51,E586=$AB$52,$AD$52,E586=$AB$53,$AD$53,E586=$AB$54,$AD$54,E586=$AB$55,$AD$55,E586=$AB$56,$AD$56,E586=$AB$57,$AD$57,E586=$AB$58,$AD$58,E586=$AB$59,$AD$59,E586=$AB$60,$AD$60,E586=$AB$61,$AD$61,E586=$AB$62,$AD$62,E586=$AB$63,$AD$63,E586=$AB$64,$AD$64,E586=$AB$65,$AD$65,E586=$AB$66,$AD$66,TRUE,"0")</f>
        <v xml:space="preserve">BFM </v>
      </c>
      <c r="E586" s="163" t="s">
        <v>531</v>
      </c>
      <c r="F586" s="2" t="s">
        <v>77</v>
      </c>
      <c r="G586" s="2" t="s">
        <v>156</v>
      </c>
      <c r="H586" s="3">
        <v>45366.8125</v>
      </c>
      <c r="I586" s="2" t="s">
        <v>438</v>
      </c>
      <c r="J586" s="2" t="s">
        <v>181</v>
      </c>
      <c r="K586" s="2">
        <v>6.2</v>
      </c>
      <c r="L586" s="2">
        <v>24</v>
      </c>
      <c r="M586" s="2">
        <v>2.96</v>
      </c>
      <c r="N586" s="2">
        <v>36</v>
      </c>
      <c r="O586" s="2">
        <v>2</v>
      </c>
      <c r="Q586" s="2" t="s">
        <v>95</v>
      </c>
      <c r="R586" s="10" t="s">
        <v>216</v>
      </c>
      <c r="S586" s="14" t="s">
        <v>287</v>
      </c>
      <c r="T586" s="188">
        <v>1000</v>
      </c>
      <c r="U586" s="8">
        <f t="shared" si="70"/>
        <v>180</v>
      </c>
      <c r="V586" s="234">
        <f t="shared" si="69"/>
        <v>27064.155246160299</v>
      </c>
      <c r="W586" s="15">
        <v>25</v>
      </c>
      <c r="X586" s="8">
        <f t="shared" si="72"/>
        <v>4.5</v>
      </c>
      <c r="Y586" s="233">
        <f t="shared" si="73"/>
        <v>2542.5</v>
      </c>
    </row>
    <row r="587" spans="1:25">
      <c r="A587" s="156" t="e" cm="1">
        <f t="array" aca="1" ref="A587" ca="1">_xlfn.IFS(E587=$AB$42,$AC$42,E587=$AB$43,$AC$43,E587=$AB$44,$AC$44,E587=$AB$45,$AC$45,E587=$AB$46,$AC$46,E587=$AB$47,$AC$47,E587=$AB$48,$AC$48,E587=$AB$49,$AC$49,E587=$AB$50,$AC$50,E587=$AB$51,$AC$51,E587=$AB$52,$AC$52,E587=$AB$53,$AC$53,E587=$AB$54,$AC$54,E587=$AB$55,$AC$55,E587=$AB$56,$AC$56,E587=$AB$57,$AC$57,E587=$AB$58,$AC$58,E587=$AB$59,$AC$59,E587=$AB$60,$AC$60,E587=$AB$61,$AC$61,E587=$AB$62,$AC$62,E587=$AB$63,$AC$63,E587=$AB$64,$AC$64,E587=$AB$65,$AC$65,E587=$AB$66,$AC$66,TRUE,"0")</f>
        <v>#NAME?</v>
      </c>
      <c r="C587" s="161" t="str" cm="1">
        <f t="array" ref="C587">_xlfn.IFS(E587=$AB$42,$AF$42,E587=$AB$43,$AF$43,E587=$AB$44,$AF$44,E587=$AB$45,$AF$45,E587=$AB$46,$AF$46,E587=$AB$47,$AF$47,E587=$AB$48,$AF$48,E587=$AB$49,$AF$49,E587=$AB$50,$AF$50,E587=$AB$51,$AF$51,E587=$AB$52,$AF$52,E587=$AB$53,$AF$53,E587=$AB$54,$AF$54,E587=$AB$55,$AF$55,E587=$AB$56,$AF$56,E587=$AB$57,$AF$57,E587=$AB$58,$AF$58,E587=$AB$59,$AF$59,E587=$AB$60,$AF$60,E587=$AB$61,$AF$61,E587=$AB$62,$AF$62,E587=$AB$63,$AF$63,E587=$AB$64,$AF$64,E587=$AB$65,$AF$65,E587=$AB$66,$AF$66,TRUE,"0")</f>
        <v>B4 match BACK FT +1.5 goals. X AFTER  GOAL</v>
      </c>
      <c r="D587" s="270" t="str" cm="1">
        <f t="array" ref="D587">_xlfn.IFS(E587=$AB$42,$AD$42,E587=$AB$43,$AD$43,E587=$AB$44,$AD$44,E587=$AB$45,$AD$45,E587=$AB$46,$AD$46,E587=$AB$47,$AD$47,E587=$AB$48,$AD$48,E587=$AB$49,$AD$49,E587=$AB$50,$AD$50,E587=$AB$51,$AD$51,E587=$AB$52,$AD$52,E587=$AB$53,$AD$53,E587=$AB$54,$AD$54,E587=$AB$55,$AD$55,E587=$AB$56,$AD$56,E587=$AB$57,$AD$57,E587=$AB$58,$AD$58,E587=$AB$59,$AD$59,E587=$AB$60,$AD$60,E587=$AB$61,$AD$61,E587=$AB$62,$AD$62,E587=$AB$63,$AD$63,E587=$AB$64,$AD$64,E587=$AB$65,$AD$65,E587=$AB$66,$AD$66,TRUE,"0")</f>
        <v xml:space="preserve">BFM </v>
      </c>
      <c r="E587" s="163" t="s">
        <v>531</v>
      </c>
      <c r="F587" s="2" t="s">
        <v>13</v>
      </c>
      <c r="G587" s="2" t="s">
        <v>14</v>
      </c>
      <c r="H587" s="3">
        <v>45366.822916666664</v>
      </c>
      <c r="I587" s="2" t="s">
        <v>130</v>
      </c>
      <c r="J587" s="2" t="s">
        <v>15</v>
      </c>
      <c r="K587" s="2">
        <v>5.5</v>
      </c>
      <c r="L587" s="2">
        <v>28</v>
      </c>
      <c r="M587" s="2">
        <v>2.5</v>
      </c>
      <c r="N587" s="2">
        <v>30</v>
      </c>
      <c r="O587" s="2">
        <v>2</v>
      </c>
      <c r="Q587" s="2" t="s">
        <v>95</v>
      </c>
      <c r="R587" s="10" t="s">
        <v>216</v>
      </c>
      <c r="S587" s="14" t="s">
        <v>287</v>
      </c>
      <c r="T587" s="188">
        <v>1000</v>
      </c>
      <c r="U587" s="8">
        <f t="shared" si="70"/>
        <v>180</v>
      </c>
      <c r="V587" s="234">
        <f t="shared" si="69"/>
        <v>27244.155246160299</v>
      </c>
      <c r="W587" s="15">
        <v>25</v>
      </c>
      <c r="X587" s="8">
        <f t="shared" si="72"/>
        <v>4.5</v>
      </c>
      <c r="Y587" s="233">
        <f t="shared" si="73"/>
        <v>2547</v>
      </c>
    </row>
    <row r="588" spans="1:25">
      <c r="A588" s="156" t="e" cm="1">
        <f t="array" aca="1" ref="A588" ca="1">_xlfn.IFS(E588=$AB$42,$AC$42,E588=$AB$43,$AC$43,E588=$AB$44,$AC$44,E588=$AB$45,$AC$45,E588=$AB$46,$AC$46,E588=$AB$47,$AC$47,E588=$AB$48,$AC$48,E588=$AB$49,$AC$49,E588=$AB$50,$AC$50,E588=$AB$51,$AC$51,E588=$AB$52,$AC$52,E588=$AB$53,$AC$53,E588=$AB$54,$AC$54,E588=$AB$55,$AC$55,E588=$AB$56,$AC$56,E588=$AB$57,$AC$57,E588=$AB$58,$AC$58,E588=$AB$59,$AC$59,E588=$AB$60,$AC$60,E588=$AB$61,$AC$61,E588=$AB$62,$AC$62,E588=$AB$63,$AC$63,E588=$AB$64,$AC$64,E588=$AB$65,$AC$65,E588=$AB$66,$AC$66,TRUE,"0")</f>
        <v>#NAME?</v>
      </c>
      <c r="C588" s="161" t="str" cm="1">
        <f t="array" ref="C588">_xlfn.IFS(E588=$AB$42,$AF$42,E588=$AB$43,$AF$43,E588=$AB$44,$AF$44,E588=$AB$45,$AF$45,E588=$AB$46,$AF$46,E588=$AB$47,$AF$47,E588=$AB$48,$AF$48,E588=$AB$49,$AF$49,E588=$AB$50,$AF$50,E588=$AB$51,$AF$51,E588=$AB$52,$AF$52,E588=$AB$53,$AF$53,E588=$AB$54,$AF$54,E588=$AB$55,$AF$55,E588=$AB$56,$AF$56,E588=$AB$57,$AF$57,E588=$AB$58,$AF$58,E588=$AB$59,$AF$59,E588=$AB$60,$AF$60,E588=$AB$61,$AF$61,E588=$AB$62,$AF$62,E588=$AB$63,$AF$63,E588=$AB$64,$AF$64,E588=$AB$65,$AF$65,E588=$AB$66,$AF$66,TRUE,"0")</f>
        <v>B4 MATCH bet H1 'under 2.5goals'- X at 40 minutes</v>
      </c>
      <c r="D588" s="270" t="str" cm="1">
        <f t="array" ref="D588">_xlfn.IFS(E588=$AB$42,$AD$42,E588=$AB$43,$AD$43,E588=$AB$44,$AD$44,E588=$AB$45,$AD$45,E588=$AB$46,$AD$46,E588=$AB$47,$AD$47,E588=$AB$48,$AD$48,E588=$AB$49,$AD$49,E588=$AB$50,$AD$50,E588=$AB$51,$AD$51,E588=$AB$52,$AD$52,E588=$AB$53,$AD$53,E588=$AB$54,$AD$54,E588=$AB$55,$AD$55,E588=$AB$56,$AD$56,E588=$AB$57,$AD$57,E588=$AB$58,$AD$58,E588=$AB$59,$AD$59,E588=$AB$60,$AD$60,E588=$AB$61,$AD$61,E588=$AB$62,$AD$62,E588=$AB$63,$AD$63,E588=$AB$64,$AD$64,E588=$AB$65,$AD$65,E588=$AB$66,$AD$66,TRUE,"0")</f>
        <v xml:space="preserve">BFM </v>
      </c>
      <c r="E588" s="164" t="s">
        <v>458</v>
      </c>
      <c r="F588" s="2" t="s">
        <v>564</v>
      </c>
      <c r="G588" s="2" t="s">
        <v>565</v>
      </c>
      <c r="H588" s="3">
        <v>45366.822916666664</v>
      </c>
      <c r="I588" s="2" t="s">
        <v>566</v>
      </c>
      <c r="J588" s="2" t="s">
        <v>567</v>
      </c>
      <c r="K588" s="2">
        <v>20</v>
      </c>
      <c r="L588" s="2">
        <v>80</v>
      </c>
      <c r="M588" s="2">
        <v>100</v>
      </c>
      <c r="N588" s="2">
        <v>40</v>
      </c>
      <c r="O588" s="2">
        <v>2.0499999999999998</v>
      </c>
      <c r="Q588" s="2" t="s">
        <v>95</v>
      </c>
      <c r="R588" s="10" t="s">
        <v>220</v>
      </c>
      <c r="S588" s="14" t="s">
        <v>215</v>
      </c>
      <c r="T588" s="188">
        <v>1000</v>
      </c>
      <c r="U588" s="8">
        <f t="shared" si="70"/>
        <v>180</v>
      </c>
      <c r="V588" s="234">
        <f t="shared" si="69"/>
        <v>27424.155246160299</v>
      </c>
      <c r="W588" s="15">
        <v>25</v>
      </c>
      <c r="X588" s="8">
        <f t="shared" si="72"/>
        <v>4.5</v>
      </c>
      <c r="Y588" s="233">
        <f t="shared" si="73"/>
        <v>2551.5</v>
      </c>
    </row>
    <row r="589" spans="1:25">
      <c r="A589" s="156" t="e" cm="1">
        <f t="array" aca="1" ref="A589" ca="1">_xlfn.IFS(E589=$AB$42,$AC$42,E589=$AB$43,$AC$43,E589=$AB$44,$AC$44,E589=$AB$45,$AC$45,E589=$AB$46,$AC$46,E589=$AB$47,$AC$47,E589=$AB$48,$AC$48,E589=$AB$49,$AC$49,E589=$AB$50,$AC$50,E589=$AB$51,$AC$51,E589=$AB$52,$AC$52,E589=$AB$53,$AC$53,E589=$AB$54,$AC$54,E589=$AB$55,$AC$55,E589=$AB$56,$AC$56,E589=$AB$57,$AC$57,E589=$AB$58,$AC$58,E589=$AB$59,$AC$59,E589=$AB$60,$AC$60,E589=$AB$61,$AC$61,E589=$AB$62,$AC$62,E589=$AB$63,$AC$63,E589=$AB$64,$AC$64,E589=$AB$65,$AC$65,E589=$AB$66,$AC$66,TRUE,"0")</f>
        <v>#NAME?</v>
      </c>
      <c r="C589" s="161" t="str" cm="1">
        <f t="array" ref="C589">_xlfn.IFS(E589=$AB$42,$AF$42,E589=$AB$43,$AF$43,E589=$AB$44,$AF$44,E589=$AB$45,$AF$45,E589=$AB$46,$AF$46,E589=$AB$47,$AF$47,E589=$AB$48,$AF$48,E589=$AB$49,$AF$49,E589=$AB$50,$AF$50,E589=$AB$51,$AF$51,E589=$AB$52,$AF$52,E589=$AB$53,$AF$53,E589=$AB$54,$AF$54,E589=$AB$55,$AF$55,E589=$AB$56,$AF$56,E589=$AB$57,$AF$57,E589=$AB$58,$AF$58,E589=$AB$59,$AF$59,E589=$AB$60,$AF$60,E589=$AB$61,$AF$61,E589=$AB$62,$AF$62,E589=$AB$63,$AF$63,E589=$AB$64,$AF$64,E589=$AB$65,$AF$65,E589=$AB$66,$AF$66,TRUE,"0")</f>
        <v>B4 MATCH bet H1 'under 2.5goals'- X at 40 minutes</v>
      </c>
      <c r="D589" s="270" t="str" cm="1">
        <f t="array" ref="D589">_xlfn.IFS(E589=$AB$42,$AD$42,E589=$AB$43,$AD$43,E589=$AB$44,$AD$44,E589=$AB$45,$AD$45,E589=$AB$46,$AD$46,E589=$AB$47,$AD$47,E589=$AB$48,$AD$48,E589=$AB$49,$AD$49,E589=$AB$50,$AD$50,E589=$AB$51,$AD$51,E589=$AB$52,$AD$52,E589=$AB$53,$AD$53,E589=$AB$54,$AD$54,E589=$AB$55,$AD$55,E589=$AB$56,$AD$56,E589=$AB$57,$AD$57,E589=$AB$58,$AD$58,E589=$AB$59,$AD$59,E589=$AB$60,$AD$60,E589=$AB$61,$AD$61,E589=$AB$62,$AD$62,E589=$AB$63,$AD$63,E589=$AB$64,$AD$64,E589=$AB$65,$AD$65,E589=$AB$66,$AD$66,TRUE,"0")</f>
        <v xml:space="preserve">BFM </v>
      </c>
      <c r="E589" s="164" t="s">
        <v>458</v>
      </c>
      <c r="F589" s="2" t="s">
        <v>119</v>
      </c>
      <c r="G589" s="2" t="s">
        <v>120</v>
      </c>
      <c r="H589" s="3">
        <v>45366.833333333336</v>
      </c>
      <c r="I589" s="2" t="s">
        <v>568</v>
      </c>
      <c r="J589" s="2" t="s">
        <v>569</v>
      </c>
      <c r="K589" s="2">
        <v>20</v>
      </c>
      <c r="L589" s="2">
        <v>80</v>
      </c>
      <c r="M589" s="2">
        <v>95</v>
      </c>
      <c r="N589" s="2">
        <v>39</v>
      </c>
      <c r="O589" s="2">
        <v>1.9</v>
      </c>
      <c r="Q589" s="2" t="s">
        <v>95</v>
      </c>
      <c r="R589" s="10" t="s">
        <v>214</v>
      </c>
      <c r="S589" s="14" t="s">
        <v>220</v>
      </c>
      <c r="T589" s="188">
        <v>1000</v>
      </c>
      <c r="U589" s="8">
        <f t="shared" si="70"/>
        <v>180</v>
      </c>
      <c r="V589" s="234">
        <f t="shared" si="69"/>
        <v>27604.155246160299</v>
      </c>
      <c r="W589" s="15">
        <v>25</v>
      </c>
      <c r="X589" s="8">
        <f t="shared" si="72"/>
        <v>4.5</v>
      </c>
      <c r="Y589" s="233">
        <f t="shared" si="73"/>
        <v>2556</v>
      </c>
    </row>
    <row r="590" spans="1:25">
      <c r="A590" s="156" t="e" cm="1">
        <f t="array" aca="1" ref="A590" ca="1">_xlfn.IFS(E590=$AB$42,$AC$42,E590=$AB$43,$AC$43,E590=$AB$44,$AC$44,E590=$AB$45,$AC$45,E590=$AB$46,$AC$46,E590=$AB$47,$AC$47,E590=$AB$48,$AC$48,E590=$AB$49,$AC$49,E590=$AB$50,$AC$50,E590=$AB$51,$AC$51,E590=$AB$52,$AC$52,E590=$AB$53,$AC$53,E590=$AB$54,$AC$54,E590=$AB$55,$AC$55,E590=$AB$56,$AC$56,E590=$AB$57,$AC$57,E590=$AB$58,$AC$58,E590=$AB$59,$AC$59,E590=$AB$60,$AC$60,E590=$AB$61,$AC$61,E590=$AB$62,$AC$62,E590=$AB$63,$AC$63,E590=$AB$64,$AC$64,E590=$AB$65,$AC$65,E590=$AB$66,$AC$66,TRUE,"0")</f>
        <v>#NAME?</v>
      </c>
      <c r="C590" s="161" t="str" cm="1">
        <f t="array" ref="C590">_xlfn.IFS(E590=$AB$42,$AF$42,E590=$AB$43,$AF$43,E590=$AB$44,$AF$44,E590=$AB$45,$AF$45,E590=$AB$46,$AF$46,E590=$AB$47,$AF$47,E590=$AB$48,$AF$48,E590=$AB$49,$AF$49,E590=$AB$50,$AF$50,E590=$AB$51,$AF$51,E590=$AB$52,$AF$52,E590=$AB$53,$AF$53,E590=$AB$54,$AF$54,E590=$AB$55,$AF$55,E590=$AB$56,$AF$56,E590=$AB$57,$AF$57,E590=$AB$58,$AF$58,E590=$AB$59,$AF$59,E590=$AB$60,$AF$60,E590=$AB$61,$AF$61,E590=$AB$62,$AF$62,E590=$AB$63,$AF$63,E590=$AB$64,$AF$64,E590=$AB$65,$AF$65,E590=$AB$66,$AF$66,TRUE,"0")</f>
        <v>40 mins Back ANother Goal</v>
      </c>
      <c r="D590" s="270" t="str" cm="1">
        <f t="array" ref="D590">_xlfn.IFS(E590=$AB$42,$AD$42,E590=$AB$43,$AD$43,E590=$AB$44,$AD$44,E590=$AB$45,$AD$45,E590=$AB$46,$AD$46,E590=$AB$47,$AD$47,E590=$AB$48,$AD$48,E590=$AB$49,$AD$49,E590=$AB$50,$AD$50,E590=$AB$51,$AD$51,E590=$AB$52,$AD$52,E590=$AB$53,$AD$53,E590=$AB$54,$AD$54,E590=$AB$55,$AD$55,E590=$AB$56,$AD$56,E590=$AB$57,$AD$57,E590=$AB$58,$AD$58,E590=$AB$59,$AD$59,E590=$AB$60,$AD$60,E590=$AB$61,$AD$61,E590=$AB$62,$AD$62,E590=$AB$63,$AD$63,E590=$AB$64,$AD$64,E590=$AB$65,$AD$65,E590=$AB$66,$AD$66,TRUE,"0")</f>
        <v xml:space="preserve">  BANG</v>
      </c>
      <c r="E590" s="163" t="s">
        <v>10</v>
      </c>
      <c r="F590" s="2" t="s">
        <v>58</v>
      </c>
      <c r="G590" s="2" t="s">
        <v>59</v>
      </c>
      <c r="H590" s="3">
        <v>45366.84375</v>
      </c>
      <c r="I590" s="2" t="s">
        <v>105</v>
      </c>
      <c r="J590" s="2" t="s">
        <v>128</v>
      </c>
      <c r="K590" s="2">
        <v>2.2000000000000002</v>
      </c>
      <c r="L590" s="2">
        <v>85</v>
      </c>
      <c r="M590" s="2">
        <v>65</v>
      </c>
      <c r="N590" s="2">
        <v>35</v>
      </c>
      <c r="O590" s="2">
        <v>62</v>
      </c>
      <c r="Q590" s="2" t="s">
        <v>95</v>
      </c>
      <c r="R590" s="10" t="s">
        <v>221</v>
      </c>
      <c r="S590" s="14" t="s">
        <v>214</v>
      </c>
      <c r="T590" s="188">
        <v>1000</v>
      </c>
      <c r="U590" s="8">
        <f t="shared" si="70"/>
        <v>180</v>
      </c>
      <c r="V590" s="234">
        <f t="shared" si="69"/>
        <v>27784.155246160299</v>
      </c>
      <c r="W590" s="15">
        <v>25</v>
      </c>
      <c r="X590" s="8">
        <f t="shared" si="72"/>
        <v>4.5</v>
      </c>
      <c r="Y590" s="233">
        <f t="shared" si="73"/>
        <v>2560.5</v>
      </c>
    </row>
    <row r="591" spans="1:25">
      <c r="A591" s="156" t="e" cm="1">
        <f t="array" aca="1" ref="A591" ca="1">_xlfn.IFS(E591=$AB$42,$AC$42,E591=$AB$43,$AC$43,E591=$AB$44,$AC$44,E591=$AB$45,$AC$45,E591=$AB$46,$AC$46,E591=$AB$47,$AC$47,E591=$AB$48,$AC$48,E591=$AB$49,$AC$49,E591=$AB$50,$AC$50,E591=$AB$51,$AC$51,E591=$AB$52,$AC$52,E591=$AB$53,$AC$53,E591=$AB$54,$AC$54,E591=$AB$55,$AC$55,E591=$AB$56,$AC$56,E591=$AB$57,$AC$57,E591=$AB$58,$AC$58,E591=$AB$59,$AC$59,E591=$AB$60,$AC$60,E591=$AB$61,$AC$61,E591=$AB$62,$AC$62,E591=$AB$63,$AC$63,E591=$AB$64,$AC$64,E591=$AB$65,$AC$65,E591=$AB$66,$AC$66,TRUE,"0")</f>
        <v>#NAME?</v>
      </c>
      <c r="C591" s="161" t="str" cm="1">
        <f t="array" ref="C591">_xlfn.IFS(E591=$AB$42,$AF$42,E591=$AB$43,$AF$43,E591=$AB$44,$AF$44,E591=$AB$45,$AF$45,E591=$AB$46,$AF$46,E591=$AB$47,$AF$47,E591=$AB$48,$AF$48,E591=$AB$49,$AF$49,E591=$AB$50,$AF$50,E591=$AB$51,$AF$51,E591=$AB$52,$AF$52,E591=$AB$53,$AF$53,E591=$AB$54,$AF$54,E591=$AB$55,$AF$55,E591=$AB$56,$AF$56,E591=$AB$57,$AF$57,E591=$AB$58,$AF$58,E591=$AB$59,$AF$59,E591=$AB$60,$AF$60,E591=$AB$61,$AF$61,E591=$AB$62,$AF$62,E591=$AB$63,$AF$63,E591=$AB$64,$AF$64,E591=$AB$65,$AF$65,E591=$AB$66,$AF$66,TRUE,"0")</f>
        <v>if 0-0, BACK+ 0.5 GOALS  @ 1.15+odds.  or @ 40 mins</v>
      </c>
      <c r="D591" s="270" t="str" cm="1">
        <f t="array" ref="D591">_xlfn.IFS(E591=$AB$42,$AD$42,E591=$AB$43,$AD$43,E591=$AB$44,$AD$44,E591=$AB$45,$AD$45,E591=$AB$46,$AD$46,E591=$AB$47,$AD$47,E591=$AB$48,$AD$48,E591=$AB$49,$AD$49,E591=$AB$50,$AD$50,E591=$AB$51,$AD$51,E591=$AB$52,$AD$52,E591=$AB$53,$AD$53,E591=$AB$54,$AD$54,E591=$AB$55,$AD$55,E591=$AB$56,$AD$56,E591=$AB$57,$AD$57,E591=$AB$58,$AD$58,E591=$AB$59,$AD$59,E591=$AB$60,$AD$60,E591=$AB$61,$AD$61,E591=$AB$62,$AD$62,E591=$AB$63,$AD$63,E591=$AB$64,$AD$64,E591=$AB$65,$AD$65,E591=$AB$66,$AD$66,TRUE,"0")</f>
        <v>IP</v>
      </c>
      <c r="E591" s="163" t="s">
        <v>270</v>
      </c>
      <c r="F591" s="2" t="s">
        <v>58</v>
      </c>
      <c r="G591" s="2" t="s">
        <v>59</v>
      </c>
      <c r="H591" s="3">
        <v>45366.84375</v>
      </c>
      <c r="I591" s="2" t="s">
        <v>105</v>
      </c>
      <c r="J591" s="2" t="s">
        <v>128</v>
      </c>
      <c r="K591" s="2">
        <v>62</v>
      </c>
      <c r="L591" s="2">
        <v>0</v>
      </c>
      <c r="M591" s="2">
        <v>20</v>
      </c>
      <c r="N591" s="2">
        <v>29</v>
      </c>
      <c r="O591" s="2">
        <v>2.5</v>
      </c>
      <c r="Q591" s="2" t="s">
        <v>95</v>
      </c>
      <c r="R591" s="10" t="s">
        <v>221</v>
      </c>
      <c r="S591" s="14" t="s">
        <v>214</v>
      </c>
      <c r="T591" s="188">
        <v>1000</v>
      </c>
      <c r="U591" s="8">
        <f t="shared" si="70"/>
        <v>180</v>
      </c>
      <c r="V591" s="234">
        <f t="shared" si="69"/>
        <v>27964.155246160299</v>
      </c>
      <c r="W591" s="15">
        <v>25</v>
      </c>
      <c r="X591" s="8">
        <f t="shared" si="72"/>
        <v>4.5</v>
      </c>
      <c r="Y591" s="233">
        <f t="shared" si="73"/>
        <v>2565</v>
      </c>
    </row>
    <row r="592" spans="1:25">
      <c r="A592" s="156" t="e" cm="1">
        <f t="array" aca="1" ref="A592" ca="1">_xlfn.IFS(E592=$AB$42,$AC$42,E592=$AB$43,$AC$43,E592=$AB$44,$AC$44,E592=$AB$45,$AC$45,E592=$AB$46,$AC$46,E592=$AB$47,$AC$47,E592=$AB$48,$AC$48,E592=$AB$49,$AC$49,E592=$AB$50,$AC$50,E592=$AB$51,$AC$51,E592=$AB$52,$AC$52,E592=$AB$53,$AC$53,E592=$AB$54,$AC$54,E592=$AB$55,$AC$55,E592=$AB$56,$AC$56,E592=$AB$57,$AC$57,E592=$AB$58,$AC$58,E592=$AB$59,$AC$59,E592=$AB$60,$AC$60,E592=$AB$61,$AC$61,E592=$AB$62,$AC$62,E592=$AB$63,$AC$63,E592=$AB$64,$AC$64,E592=$AB$65,$AC$65,E592=$AB$66,$AC$66,TRUE,"0")</f>
        <v>#NAME?</v>
      </c>
      <c r="C592" s="161" t="str" cm="1">
        <f t="array" ref="C592">_xlfn.IFS(E592=$AB$42,$AF$42,E592=$AB$43,$AF$43,E592=$AB$44,$AF$44,E592=$AB$45,$AF$45,E592=$AB$46,$AF$46,E592=$AB$47,$AF$47,E592=$AB$48,$AF$48,E592=$AB$49,$AF$49,E592=$AB$50,$AF$50,E592=$AB$51,$AF$51,E592=$AB$52,$AF$52,E592=$AB$53,$AF$53,E592=$AB$54,$AF$54,E592=$AB$55,$AF$55,E592=$AB$56,$AF$56,E592=$AB$57,$AF$57,E592=$AB$58,$AF$58,E592=$AB$59,$AF$59,E592=$AB$60,$AF$60,E592=$AB$61,$AF$61,E592=$AB$62,$AF$62,E592=$AB$63,$AF$63,E592=$AB$64,$AF$64,E592=$AB$65,$AF$65,E592=$AB$66,$AF$66,TRUE,"0")</f>
        <v>if 0-0, BACK+ 0.5 GOALS  @ 1.15+odds.  or @ 40 mins</v>
      </c>
      <c r="D592" s="270" t="str" cm="1">
        <f t="array" ref="D592">_xlfn.IFS(E592=$AB$42,$AD$42,E592=$AB$43,$AD$43,E592=$AB$44,$AD$44,E592=$AB$45,$AD$45,E592=$AB$46,$AD$46,E592=$AB$47,$AD$47,E592=$AB$48,$AD$48,E592=$AB$49,$AD$49,E592=$AB$50,$AD$50,E592=$AB$51,$AD$51,E592=$AB$52,$AD$52,E592=$AB$53,$AD$53,E592=$AB$54,$AD$54,E592=$AB$55,$AD$55,E592=$AB$56,$AD$56,E592=$AB$57,$AD$57,E592=$AB$58,$AD$58,E592=$AB$59,$AD$59,E592=$AB$60,$AD$60,E592=$AB$61,$AD$61,E592=$AB$62,$AD$62,E592=$AB$63,$AD$63,E592=$AB$64,$AD$64,E592=$AB$65,$AD$65,E592=$AB$66,$AD$66,TRUE,"0")</f>
        <v>IP</v>
      </c>
      <c r="E592" s="163" t="s">
        <v>270</v>
      </c>
      <c r="F592" s="2" t="s">
        <v>80</v>
      </c>
      <c r="G592" s="2" t="s">
        <v>81</v>
      </c>
      <c r="H592" s="3">
        <v>45367.4375</v>
      </c>
      <c r="I592" s="2" t="s">
        <v>293</v>
      </c>
      <c r="J592" s="2" t="s">
        <v>83</v>
      </c>
      <c r="K592" s="2">
        <v>61</v>
      </c>
      <c r="L592" s="2">
        <v>0</v>
      </c>
      <c r="M592" s="2">
        <v>20</v>
      </c>
      <c r="N592" s="2">
        <v>35</v>
      </c>
      <c r="O592" s="2">
        <v>2.31</v>
      </c>
      <c r="Q592" s="2" t="s">
        <v>95</v>
      </c>
      <c r="R592" s="10" t="s">
        <v>221</v>
      </c>
      <c r="S592" s="14" t="s">
        <v>214</v>
      </c>
      <c r="T592" s="188">
        <v>1000</v>
      </c>
      <c r="U592" s="8">
        <f t="shared" si="70"/>
        <v>180</v>
      </c>
      <c r="V592" s="234">
        <f t="shared" si="69"/>
        <v>28144.155246160299</v>
      </c>
      <c r="W592" s="15">
        <v>25</v>
      </c>
      <c r="X592" s="8">
        <f t="shared" si="72"/>
        <v>4.5</v>
      </c>
      <c r="Y592" s="233">
        <f t="shared" si="73"/>
        <v>2569.5</v>
      </c>
    </row>
    <row r="593" spans="1:25">
      <c r="A593" s="156" t="e" cm="1">
        <f t="array" aca="1" ref="A593" ca="1">_xlfn.IFS(E593=$AB$42,$AC$42,E593=$AB$43,$AC$43,E593=$AB$44,$AC$44,E593=$AB$45,$AC$45,E593=$AB$46,$AC$46,E593=$AB$47,$AC$47,E593=$AB$48,$AC$48,E593=$AB$49,$AC$49,E593=$AB$50,$AC$50,E593=$AB$51,$AC$51,E593=$AB$52,$AC$52,E593=$AB$53,$AC$53,E593=$AB$54,$AC$54,E593=$AB$55,$AC$55,E593=$AB$56,$AC$56,E593=$AB$57,$AC$57,E593=$AB$58,$AC$58,E593=$AB$59,$AC$59,E593=$AB$60,$AC$60,E593=$AB$61,$AC$61,E593=$AB$62,$AC$62,E593=$AB$63,$AC$63,E593=$AB$64,$AC$64,E593=$AB$65,$AC$65,E593=$AB$66,$AC$66,TRUE,"0")</f>
        <v>#NAME?</v>
      </c>
      <c r="C593" s="161" t="str" cm="1">
        <f t="array" ref="C593">_xlfn.IFS(E593=$AB$42,$AF$42,E593=$AB$43,$AF$43,E593=$AB$44,$AF$44,E593=$AB$45,$AF$45,E593=$AB$46,$AF$46,E593=$AB$47,$AF$47,E593=$AB$48,$AF$48,E593=$AB$49,$AF$49,E593=$AB$50,$AF$50,E593=$AB$51,$AF$51,E593=$AB$52,$AF$52,E593=$AB$53,$AF$53,E593=$AB$54,$AF$54,E593=$AB$55,$AF$55,E593=$AB$56,$AF$56,E593=$AB$57,$AF$57,E593=$AB$58,$AF$58,E593=$AB$59,$AF$59,E593=$AB$60,$AF$60,E593=$AB$61,$AF$61,E593=$AB$62,$AF$62,E593=$AB$63,$AF$63,E593=$AB$64,$AF$64,E593=$AB$65,$AF$65,E593=$AB$66,$AF$66,TRUE,"0")</f>
        <v>40 mins Back ANother Goal</v>
      </c>
      <c r="D593" s="270" t="str" cm="1">
        <f t="array" ref="D593">_xlfn.IFS(E593=$AB$42,$AD$42,E593=$AB$43,$AD$43,E593=$AB$44,$AD$44,E593=$AB$45,$AD$45,E593=$AB$46,$AD$46,E593=$AB$47,$AD$47,E593=$AB$48,$AD$48,E593=$AB$49,$AD$49,E593=$AB$50,$AD$50,E593=$AB$51,$AD$51,E593=$AB$52,$AD$52,E593=$AB$53,$AD$53,E593=$AB$54,$AD$54,E593=$AB$55,$AD$55,E593=$AB$56,$AD$56,E593=$AB$57,$AD$57,E593=$AB$58,$AD$58,E593=$AB$59,$AD$59,E593=$AB$60,$AD$60,E593=$AB$61,$AD$61,E593=$AB$62,$AD$62,E593=$AB$63,$AD$63,E593=$AB$64,$AD$64,E593=$AB$65,$AD$65,E593=$AB$66,$AD$66,TRUE,"0")</f>
        <v xml:space="preserve">  BANG</v>
      </c>
      <c r="E593" s="163" t="s">
        <v>515</v>
      </c>
      <c r="F593" s="2" t="s">
        <v>80</v>
      </c>
      <c r="G593" s="2" t="s">
        <v>573</v>
      </c>
      <c r="H593" s="3">
        <v>45367.458333333336</v>
      </c>
      <c r="I593" s="2" t="s">
        <v>574</v>
      </c>
      <c r="J593" s="2" t="s">
        <v>575</v>
      </c>
      <c r="K593" s="2">
        <v>20</v>
      </c>
      <c r="L593" s="2">
        <v>71</v>
      </c>
      <c r="M593" s="2">
        <v>1.45</v>
      </c>
      <c r="N593" s="2"/>
      <c r="O593" s="2"/>
      <c r="Q593" s="2" t="s">
        <v>95</v>
      </c>
      <c r="R593" s="10" t="s">
        <v>221</v>
      </c>
      <c r="S593" s="14" t="s">
        <v>218</v>
      </c>
      <c r="T593" s="188">
        <v>1000</v>
      </c>
      <c r="U593" s="8">
        <f t="shared" si="70"/>
        <v>180</v>
      </c>
      <c r="V593" s="234">
        <f t="shared" si="69"/>
        <v>28324.155246160299</v>
      </c>
      <c r="W593" s="15">
        <v>25</v>
      </c>
      <c r="X593" s="8">
        <f t="shared" si="72"/>
        <v>4.5</v>
      </c>
      <c r="Y593" s="233">
        <f t="shared" si="73"/>
        <v>2574</v>
      </c>
    </row>
    <row r="594" spans="1:25">
      <c r="A594" s="156" t="e" cm="1">
        <f t="array" aca="1" ref="A594" ca="1">_xlfn.IFS(E594=$AB$42,$AC$42,E594=$AB$43,$AC$43,E594=$AB$44,$AC$44,E594=$AB$45,$AC$45,E594=$AB$46,$AC$46,E594=$AB$47,$AC$47,E594=$AB$48,$AC$48,E594=$AB$49,$AC$49,E594=$AB$50,$AC$50,E594=$AB$51,$AC$51,E594=$AB$52,$AC$52,E594=$AB$53,$AC$53,E594=$AB$54,$AC$54,E594=$AB$55,$AC$55,E594=$AB$56,$AC$56,E594=$AB$57,$AC$57,E594=$AB$58,$AC$58,E594=$AB$59,$AC$59,E594=$AB$60,$AC$60,E594=$AB$61,$AC$61,E594=$AB$62,$AC$62,E594=$AB$63,$AC$63,E594=$AB$64,$AC$64,E594=$AB$65,$AC$65,E594=$AB$66,$AC$66,TRUE,"0")</f>
        <v>#NAME?</v>
      </c>
      <c r="C594" s="161" t="str" cm="1">
        <f t="array" ref="C594">_xlfn.IFS(E594=$AB$42,$AF$42,E594=$AB$43,$AF$43,E594=$AB$44,$AF$44,E594=$AB$45,$AF$45,E594=$AB$46,$AF$46,E594=$AB$47,$AF$47,E594=$AB$48,$AF$48,E594=$AB$49,$AF$49,E594=$AB$50,$AF$50,E594=$AB$51,$AF$51,E594=$AB$52,$AF$52,E594=$AB$53,$AF$53,E594=$AB$54,$AF$54,E594=$AB$55,$AF$55,E594=$AB$56,$AF$56,E594=$AB$57,$AF$57,E594=$AB$58,$AF$58,E594=$AB$59,$AF$59,E594=$AB$60,$AF$60,E594=$AB$61,$AF$61,E594=$AB$62,$AF$62,E594=$AB$63,$AF$63,E594=$AB$64,$AF$64,E594=$AB$65,$AF$65,E594=$AB$66,$AF$66,TRUE,"0")</f>
        <v>40 mins Back ANother Goal</v>
      </c>
      <c r="D594" s="270" t="str" cm="1">
        <f t="array" ref="D594">_xlfn.IFS(E594=$AB$42,$AD$42,E594=$AB$43,$AD$43,E594=$AB$44,$AD$44,E594=$AB$45,$AD$45,E594=$AB$46,$AD$46,E594=$AB$47,$AD$47,E594=$AB$48,$AD$48,E594=$AB$49,$AD$49,E594=$AB$50,$AD$50,E594=$AB$51,$AD$51,E594=$AB$52,$AD$52,E594=$AB$53,$AD$53,E594=$AB$54,$AD$54,E594=$AB$55,$AD$55,E594=$AB$56,$AD$56,E594=$AB$57,$AD$57,E594=$AB$58,$AD$58,E594=$AB$59,$AD$59,E594=$AB$60,$AD$60,E594=$AB$61,$AD$61,E594=$AB$62,$AD$62,E594=$AB$63,$AD$63,E594=$AB$64,$AD$64,E594=$AB$65,$AD$65,E594=$AB$66,$AD$66,TRUE,"0")</f>
        <v xml:space="preserve">  BANG</v>
      </c>
      <c r="E594" s="163" t="s">
        <v>515</v>
      </c>
      <c r="F594" s="2" t="s">
        <v>434</v>
      </c>
      <c r="G594" s="2" t="s">
        <v>576</v>
      </c>
      <c r="H594" s="3">
        <v>45367.5</v>
      </c>
      <c r="I594" s="2" t="s">
        <v>577</v>
      </c>
      <c r="J594" s="2" t="s">
        <v>578</v>
      </c>
      <c r="K594" s="2">
        <v>20</v>
      </c>
      <c r="L594" s="2">
        <v>70</v>
      </c>
      <c r="M594" s="2">
        <v>1.95</v>
      </c>
      <c r="N594" s="2"/>
      <c r="O594" s="2"/>
      <c r="Q594" s="2" t="s">
        <v>95</v>
      </c>
      <c r="R594" s="10" t="s">
        <v>216</v>
      </c>
      <c r="S594" s="14" t="s">
        <v>215</v>
      </c>
      <c r="T594" s="188">
        <v>1000</v>
      </c>
      <c r="U594" s="8">
        <f t="shared" si="70"/>
        <v>180</v>
      </c>
      <c r="V594" s="234">
        <f t="shared" ref="V594" si="75">SUM(V593,U594)</f>
        <v>28504.155246160299</v>
      </c>
      <c r="W594" s="15">
        <v>25</v>
      </c>
      <c r="X594" s="8">
        <f t="shared" si="72"/>
        <v>4.5</v>
      </c>
      <c r="Y594" s="233">
        <f t="shared" si="73"/>
        <v>2578.5</v>
      </c>
    </row>
    <row r="595" spans="1:25">
      <c r="A595" s="156" t="e" cm="1">
        <f t="array" aca="1" ref="A595" ca="1">_xlfn.IFS(E595=$AB$42,$AC$42,E595=$AB$43,$AC$43,E595=$AB$44,$AC$44,E595=$AB$45,$AC$45,E595=$AB$46,$AC$46,E595=$AB$47,$AC$47,E595=$AB$48,$AC$48,E595=$AB$49,$AC$49,E595=$AB$50,$AC$50,E595=$AB$51,$AC$51,E595=$AB$52,$AC$52,E595=$AB$53,$AC$53,E595=$AB$54,$AC$54,E595=$AB$55,$AC$55,E595=$AB$56,$AC$56,E595=$AB$57,$AC$57,E595=$AB$58,$AC$58,E595=$AB$59,$AC$59,E595=$AB$60,$AC$60,E595=$AB$61,$AC$61,E595=$AB$62,$AC$62,E595=$AB$63,$AC$63,E595=$AB$64,$AC$64,E595=$AB$65,$AC$65,E595=$AB$66,$AC$66,TRUE,"0")</f>
        <v>#NAME?</v>
      </c>
      <c r="C595" s="161" t="str" cm="1">
        <f t="array" ref="C595">_xlfn.IFS(E595=$AB$42,$AF$42,E595=$AB$43,$AF$43,E595=$AB$44,$AF$44,E595=$AB$45,$AF$45,E595=$AB$46,$AF$46,E595=$AB$47,$AF$47,E595=$AB$48,$AF$48,E595=$AB$49,$AF$49,E595=$AB$50,$AF$50,E595=$AB$51,$AF$51,E595=$AB$52,$AF$52,E595=$AB$53,$AF$53,E595=$AB$54,$AF$54,E595=$AB$55,$AF$55,E595=$AB$56,$AF$56,E595=$AB$57,$AF$57,E595=$AB$58,$AF$58,E595=$AB$59,$AF$59,E595=$AB$60,$AF$60,E595=$AB$61,$AF$61,E595=$AB$62,$AF$62,E595=$AB$63,$AF$63,E595=$AB$64,$AF$64,E595=$AB$65,$AF$65,E595=$AB$66,$AF$66,TRUE,"0")</f>
        <v>10mins if  0-0, BACK over 1.5 goals X after goal OR LET RUN</v>
      </c>
      <c r="D595" s="270" t="str" cm="1">
        <f t="array" ref="D595">_xlfn.IFS(E595=$AB$42,$AD$42,E595=$AB$43,$AD$43,E595=$AB$44,$AD$44,E595=$AB$45,$AD$45,E595=$AB$46,$AD$46,E595=$AB$47,$AD$47,E595=$AB$48,$AD$48,E595=$AB$49,$AD$49,E595=$AB$50,$AD$50,E595=$AB$51,$AD$51,E595=$AB$52,$AD$52,E595=$AB$53,$AD$53,E595=$AB$54,$AD$54,E595=$AB$55,$AD$55,E595=$AB$56,$AD$56,E595=$AB$57,$AD$57,E595=$AB$58,$AD$58,E595=$AB$59,$AD$59,E595=$AB$60,$AD$60,E595=$AB$61,$AD$61,E595=$AB$62,$AD$62,E595=$AB$63,$AD$63,E595=$AB$64,$AD$64,E595=$AB$65,$AD$65,E595=$AB$66,$AD$66,TRUE,"0")</f>
        <v>IP</v>
      </c>
      <c r="E595" s="163" t="s">
        <v>498</v>
      </c>
      <c r="F595" s="2" t="s">
        <v>77</v>
      </c>
      <c r="G595" s="2" t="s">
        <v>234</v>
      </c>
      <c r="H595" s="3">
        <v>45367.5</v>
      </c>
      <c r="I595" s="2" t="s">
        <v>499</v>
      </c>
      <c r="J595" s="2" t="s">
        <v>235</v>
      </c>
      <c r="K595" s="2">
        <v>69</v>
      </c>
      <c r="L595" s="2">
        <v>90</v>
      </c>
      <c r="M595" s="2">
        <v>1.55</v>
      </c>
      <c r="N595" s="2">
        <v>20</v>
      </c>
      <c r="O595" s="2"/>
      <c r="Q595" s="2" t="s">
        <v>95</v>
      </c>
      <c r="R595" s="10" t="s">
        <v>193</v>
      </c>
      <c r="S595" s="14" t="s">
        <v>217</v>
      </c>
      <c r="T595" s="188">
        <v>1000</v>
      </c>
      <c r="U595" s="8">
        <f t="shared" si="70"/>
        <v>180</v>
      </c>
      <c r="V595" s="234">
        <f t="shared" si="69"/>
        <v>28684.155246160299</v>
      </c>
      <c r="W595" s="15">
        <v>25</v>
      </c>
      <c r="X595" s="8">
        <f t="shared" si="72"/>
        <v>4.5</v>
      </c>
      <c r="Y595" s="233">
        <f t="shared" si="73"/>
        <v>2583</v>
      </c>
    </row>
    <row r="596" spans="1:25">
      <c r="A596" s="156" t="e" cm="1">
        <f t="array" aca="1" ref="A596" ca="1">_xlfn.IFS(E596=$AB$42,$AC$42,E596=$AB$43,$AC$43,E596=$AB$44,$AC$44,E596=$AB$45,$AC$45,E596=$AB$46,$AC$46,E596=$AB$47,$AC$47,E596=$AB$48,$AC$48,E596=$AB$49,$AC$49,E596=$AB$50,$AC$50,E596=$AB$51,$AC$51,E596=$AB$52,$AC$52,E596=$AB$53,$AC$53,E596=$AB$54,$AC$54,E596=$AB$55,$AC$55,E596=$AB$56,$AC$56,E596=$AB$57,$AC$57,E596=$AB$58,$AC$58,E596=$AB$59,$AC$59,E596=$AB$60,$AC$60,E596=$AB$61,$AC$61,E596=$AB$62,$AC$62,E596=$AB$63,$AC$63,E596=$AB$64,$AC$64,E596=$AB$65,$AC$65,E596=$AB$66,$AC$66,TRUE,"0")</f>
        <v>#NAME?</v>
      </c>
      <c r="C596" s="161" t="str" cm="1">
        <f t="array" ref="C596">_xlfn.IFS(E596=$AB$42,$AF$42,E596=$AB$43,$AF$43,E596=$AB$44,$AF$44,E596=$AB$45,$AF$45,E596=$AB$46,$AF$46,E596=$AB$47,$AF$47,E596=$AB$48,$AF$48,E596=$AB$49,$AF$49,E596=$AB$50,$AF$50,E596=$AB$51,$AF$51,E596=$AB$52,$AF$52,E596=$AB$53,$AF$53,E596=$AB$54,$AF$54,E596=$AB$55,$AF$55,E596=$AB$56,$AF$56,E596=$AB$57,$AF$57,E596=$AB$58,$AF$58,E596=$AB$59,$AF$59,E596=$AB$60,$AF$60,E596=$AB$61,$AF$61,E596=$AB$62,$AF$62,E596=$AB$63,$AF$63,E596=$AB$64,$AF$64,E596=$AB$65,$AF$65,E596=$AB$66,$AF$66,TRUE,"0")</f>
        <v>20mins if  0-0, BACK over 1.5 goals X after goal OR LET RUN</v>
      </c>
      <c r="D596" s="270" t="str" cm="1">
        <f t="array" ref="D596">_xlfn.IFS(E596=$AB$42,$AD$42,E596=$AB$43,$AD$43,E596=$AB$44,$AD$44,E596=$AB$45,$AD$45,E596=$AB$46,$AD$46,E596=$AB$47,$AD$47,E596=$AB$48,$AD$48,E596=$AB$49,$AD$49,E596=$AB$50,$AD$50,E596=$AB$51,$AD$51,E596=$AB$52,$AD$52,E596=$AB$53,$AD$53,E596=$AB$54,$AD$54,E596=$AB$55,$AD$55,E596=$AB$56,$AD$56,E596=$AB$57,$AD$57,E596=$AB$58,$AD$58,E596=$AB$59,$AD$59,E596=$AB$60,$AD$60,E596=$AB$61,$AD$61,E596=$AB$62,$AD$62,E596=$AB$63,$AD$63,E596=$AB$64,$AD$64,E596=$AB$65,$AD$65,E596=$AB$66,$AD$66,TRUE,"0")</f>
        <v>IP</v>
      </c>
      <c r="E596" s="163" t="s">
        <v>474</v>
      </c>
      <c r="F596" s="2" t="s">
        <v>77</v>
      </c>
      <c r="G596" s="2" t="s">
        <v>234</v>
      </c>
      <c r="H596" s="3">
        <v>45367.5</v>
      </c>
      <c r="I596" s="2" t="s">
        <v>499</v>
      </c>
      <c r="J596" s="2" t="s">
        <v>235</v>
      </c>
      <c r="K596" s="2">
        <v>52</v>
      </c>
      <c r="L596" s="2">
        <v>3.05</v>
      </c>
      <c r="M596" s="2">
        <v>20</v>
      </c>
      <c r="N596" s="2">
        <v>65</v>
      </c>
      <c r="O596" s="2">
        <v>90</v>
      </c>
      <c r="Q596" s="2" t="s">
        <v>95</v>
      </c>
      <c r="R596" s="10" t="s">
        <v>193</v>
      </c>
      <c r="S596" s="14" t="s">
        <v>217</v>
      </c>
      <c r="T596" s="188">
        <v>1000</v>
      </c>
      <c r="U596" s="8">
        <f t="shared" si="70"/>
        <v>180</v>
      </c>
      <c r="V596" s="234">
        <f t="shared" si="69"/>
        <v>28864.155246160299</v>
      </c>
      <c r="W596" s="15">
        <v>25</v>
      </c>
      <c r="X596" s="8">
        <f t="shared" si="72"/>
        <v>4.5</v>
      </c>
      <c r="Y596" s="233">
        <f t="shared" si="73"/>
        <v>2587.5</v>
      </c>
    </row>
    <row r="597" spans="1:25">
      <c r="A597" s="156" t="e" cm="1">
        <f t="array" aca="1" ref="A597" ca="1">_xlfn.IFS(E597=$AB$42,$AC$42,E597=$AB$43,$AC$43,E597=$AB$44,$AC$44,E597=$AB$45,$AC$45,E597=$AB$46,$AC$46,E597=$AB$47,$AC$47,E597=$AB$48,$AC$48,E597=$AB$49,$AC$49,E597=$AB$50,$AC$50,E597=$AB$51,$AC$51,E597=$AB$52,$AC$52,E597=$AB$53,$AC$53,E597=$AB$54,$AC$54,E597=$AB$55,$AC$55,E597=$AB$56,$AC$56,E597=$AB$57,$AC$57,E597=$AB$58,$AC$58,E597=$AB$59,$AC$59,E597=$AB$60,$AC$60,E597=$AB$61,$AC$61,E597=$AB$62,$AC$62,E597=$AB$63,$AC$63,E597=$AB$64,$AC$64,E597=$AB$65,$AC$65,E597=$AB$66,$AC$66,TRUE,"0")</f>
        <v>#NAME?</v>
      </c>
      <c r="C597" s="161" t="str" cm="1">
        <f t="array" ref="C597">_xlfn.IFS(E597=$AB$42,$AF$42,E597=$AB$43,$AF$43,E597=$AB$44,$AF$44,E597=$AB$45,$AF$45,E597=$AB$46,$AF$46,E597=$AB$47,$AF$47,E597=$AB$48,$AF$48,E597=$AB$49,$AF$49,E597=$AB$50,$AF$50,E597=$AB$51,$AF$51,E597=$AB$52,$AF$52,E597=$AB$53,$AF$53,E597=$AB$54,$AF$54,E597=$AB$55,$AF$55,E597=$AB$56,$AF$56,E597=$AB$57,$AF$57,E597=$AB$58,$AF$58,E597=$AB$59,$AF$59,E597=$AB$60,$AF$60,E597=$AB$61,$AF$61,E597=$AB$62,$AF$62,E597=$AB$63,$AF$63,E597=$AB$64,$AF$64,E597=$AB$65,$AF$65,E597=$AB$66,$AF$66,TRUE,"0")</f>
        <v>40 mins Back ANother Goal</v>
      </c>
      <c r="D597" s="270" t="str" cm="1">
        <f t="array" ref="D597">_xlfn.IFS(E597=$AB$42,$AD$42,E597=$AB$43,$AD$43,E597=$AB$44,$AD$44,E597=$AB$45,$AD$45,E597=$AB$46,$AD$46,E597=$AB$47,$AD$47,E597=$AB$48,$AD$48,E597=$AB$49,$AD$49,E597=$AB$50,$AD$50,E597=$AB$51,$AD$51,E597=$AB$52,$AD$52,E597=$AB$53,$AD$53,E597=$AB$54,$AD$54,E597=$AB$55,$AD$55,E597=$AB$56,$AD$56,E597=$AB$57,$AD$57,E597=$AB$58,$AD$58,E597=$AB$59,$AD$59,E597=$AB$60,$AD$60,E597=$AB$61,$AD$61,E597=$AB$62,$AD$62,E597=$AB$63,$AD$63,E597=$AB$64,$AD$64,E597=$AB$65,$AD$65,E597=$AB$66,$AD$66,TRUE,"0")</f>
        <v xml:space="preserve">  BANG</v>
      </c>
      <c r="E597" s="163" t="s">
        <v>10</v>
      </c>
      <c r="F597" s="2" t="s">
        <v>77</v>
      </c>
      <c r="G597" s="2" t="s">
        <v>251</v>
      </c>
      <c r="H597" s="3">
        <v>45367.541666666664</v>
      </c>
      <c r="I597" s="2" t="s">
        <v>605</v>
      </c>
      <c r="J597" s="2" t="s">
        <v>295</v>
      </c>
      <c r="K597" s="2">
        <v>1.75</v>
      </c>
      <c r="L597" s="2">
        <v>85</v>
      </c>
      <c r="M597" s="2">
        <v>65</v>
      </c>
      <c r="N597" s="2">
        <v>20</v>
      </c>
      <c r="O597" s="2">
        <v>63</v>
      </c>
      <c r="P597" s="1">
        <v>20</v>
      </c>
      <c r="Q597" s="2" t="s">
        <v>95</v>
      </c>
      <c r="R597" s="10" t="s">
        <v>193</v>
      </c>
      <c r="S597" s="14" t="s">
        <v>222</v>
      </c>
      <c r="T597" s="188">
        <v>1000</v>
      </c>
      <c r="U597" s="8">
        <f t="shared" si="70"/>
        <v>180</v>
      </c>
      <c r="V597" s="234">
        <f t="shared" si="69"/>
        <v>29044.155246160299</v>
      </c>
      <c r="W597" s="15">
        <v>25</v>
      </c>
      <c r="X597" s="8">
        <f t="shared" si="72"/>
        <v>4.5</v>
      </c>
      <c r="Y597" s="233">
        <f t="shared" si="73"/>
        <v>2592</v>
      </c>
    </row>
    <row r="598" spans="1:25">
      <c r="A598" s="156" t="e" cm="1">
        <f t="array" aca="1" ref="A598" ca="1">_xlfn.IFS(E598=$AB$42,$AC$42,E598=$AB$43,$AC$43,E598=$AB$44,$AC$44,E598=$AB$45,$AC$45,E598=$AB$46,$AC$46,E598=$AB$47,$AC$47,E598=$AB$48,$AC$48,E598=$AB$49,$AC$49,E598=$AB$50,$AC$50,E598=$AB$51,$AC$51,E598=$AB$52,$AC$52,E598=$AB$53,$AC$53,E598=$AB$54,$AC$54,E598=$AB$55,$AC$55,E598=$AB$56,$AC$56,E598=$AB$57,$AC$57,E598=$AB$58,$AC$58,E598=$AB$59,$AC$59,E598=$AB$60,$AC$60,E598=$AB$61,$AC$61,E598=$AB$62,$AC$62,E598=$AB$63,$AC$63,E598=$AB$64,$AC$64,E598=$AB$65,$AC$65,E598=$AB$66,$AC$66,TRUE,"0")</f>
        <v>#NAME?</v>
      </c>
      <c r="C598" s="161" t="str" cm="1">
        <f t="array" ref="C598">_xlfn.IFS(E598=$AB$42,$AF$42,E598=$AB$43,$AF$43,E598=$AB$44,$AF$44,E598=$AB$45,$AF$45,E598=$AB$46,$AF$46,E598=$AB$47,$AF$47,E598=$AB$48,$AF$48,E598=$AB$49,$AF$49,E598=$AB$50,$AF$50,E598=$AB$51,$AF$51,E598=$AB$52,$AF$52,E598=$AB$53,$AF$53,E598=$AB$54,$AF$54,E598=$AB$55,$AF$55,E598=$AB$56,$AF$56,E598=$AB$57,$AF$57,E598=$AB$58,$AF$58,E598=$AB$59,$AF$59,E598=$AB$60,$AF$60,E598=$AB$61,$AF$61,E598=$AB$62,$AF$62,E598=$AB$63,$AF$63,E598=$AB$64,$AF$64,E598=$AB$65,$AF$65,E598=$AB$66,$AF$66,TRUE,"0")</f>
        <v>B4 MATCH bet H1 'under 2.5goals'- X at 40 minutes</v>
      </c>
      <c r="D598" s="270" t="str" cm="1">
        <f t="array" ref="D598">_xlfn.IFS(E598=$AB$42,$AD$42,E598=$AB$43,$AD$43,E598=$AB$44,$AD$44,E598=$AB$45,$AD$45,E598=$AB$46,$AD$46,E598=$AB$47,$AD$47,E598=$AB$48,$AD$48,E598=$AB$49,$AD$49,E598=$AB$50,$AD$50,E598=$AB$51,$AD$51,E598=$AB$52,$AD$52,E598=$AB$53,$AD$53,E598=$AB$54,$AD$54,E598=$AB$55,$AD$55,E598=$AB$56,$AD$56,E598=$AB$57,$AD$57,E598=$AB$58,$AD$58,E598=$AB$59,$AD$59,E598=$AB$60,$AD$60,E598=$AB$61,$AD$61,E598=$AB$62,$AD$62,E598=$AB$63,$AD$63,E598=$AB$64,$AD$64,E598=$AB$65,$AD$65,E598=$AB$66,$AD$66,TRUE,"0")</f>
        <v xml:space="preserve">BFM </v>
      </c>
      <c r="E598" s="164" t="s">
        <v>458</v>
      </c>
      <c r="F598" s="2" t="s">
        <v>20</v>
      </c>
      <c r="G598" s="2" t="s">
        <v>322</v>
      </c>
      <c r="H598" s="3">
        <v>45367.541666666664</v>
      </c>
      <c r="I598" s="2" t="s">
        <v>341</v>
      </c>
      <c r="J598" s="2" t="s">
        <v>579</v>
      </c>
      <c r="K598" s="2">
        <v>20</v>
      </c>
      <c r="L598" s="2">
        <v>80</v>
      </c>
      <c r="M598" s="2">
        <v>100</v>
      </c>
      <c r="N598" s="2">
        <v>39</v>
      </c>
      <c r="O598" s="2">
        <v>1.8</v>
      </c>
      <c r="Q598" s="2" t="s">
        <v>95</v>
      </c>
      <c r="R598" s="10" t="s">
        <v>221</v>
      </c>
      <c r="S598" s="14" t="s">
        <v>214</v>
      </c>
      <c r="T598" s="188">
        <v>1000</v>
      </c>
      <c r="U598" s="8">
        <f t="shared" si="70"/>
        <v>180</v>
      </c>
      <c r="V598" s="234">
        <f t="shared" si="69"/>
        <v>29224.155246160299</v>
      </c>
      <c r="W598" s="15">
        <v>25</v>
      </c>
      <c r="X598" s="8">
        <f t="shared" si="72"/>
        <v>4.5</v>
      </c>
      <c r="Y598" s="233">
        <f t="shared" si="73"/>
        <v>2596.5</v>
      </c>
    </row>
    <row r="599" spans="1:25">
      <c r="A599" s="156" t="e" cm="1">
        <f t="array" aca="1" ref="A599" ca="1">_xlfn.IFS(E599=$AB$42,$AC$42,E599=$AB$43,$AC$43,E599=$AB$44,$AC$44,E599=$AB$45,$AC$45,E599=$AB$46,$AC$46,E599=$AB$47,$AC$47,E599=$AB$48,$AC$48,E599=$AB$49,$AC$49,E599=$AB$50,$AC$50,E599=$AB$51,$AC$51,E599=$AB$52,$AC$52,E599=$AB$53,$AC$53,E599=$AB$54,$AC$54,E599=$AB$55,$AC$55,E599=$AB$56,$AC$56,E599=$AB$57,$AC$57,E599=$AB$58,$AC$58,E599=$AB$59,$AC$59,E599=$AB$60,$AC$60,E599=$AB$61,$AC$61,E599=$AB$62,$AC$62,E599=$AB$63,$AC$63,E599=$AB$64,$AC$64,E599=$AB$65,$AC$65,E599=$AB$66,$AC$66,TRUE,"0")</f>
        <v>#NAME?</v>
      </c>
      <c r="C599" s="161" t="str" cm="1">
        <f t="array" ref="C599">_xlfn.IFS(E599=$AB$42,$AF$42,E599=$AB$43,$AF$43,E599=$AB$44,$AF$44,E599=$AB$45,$AF$45,E599=$AB$46,$AF$46,E599=$AB$47,$AF$47,E599=$AB$48,$AF$48,E599=$AB$49,$AF$49,E599=$AB$50,$AF$50,E599=$AB$51,$AF$51,E599=$AB$52,$AF$52,E599=$AB$53,$AF$53,E599=$AB$54,$AF$54,E599=$AB$55,$AF$55,E599=$AB$56,$AF$56,E599=$AB$57,$AF$57,E599=$AB$58,$AF$58,E599=$AB$59,$AF$59,E599=$AB$60,$AF$60,E599=$AB$61,$AF$61,E599=$AB$62,$AF$62,E599=$AB$63,$AF$63,E599=$AB$64,$AF$64,E599=$AB$65,$AF$65,E599=$AB$66,$AF$66,TRUE,"0")</f>
        <v>40 mins Back ANother Goal</v>
      </c>
      <c r="D599" s="270" t="str" cm="1">
        <f t="array" ref="D599">_xlfn.IFS(E599=$AB$42,$AD$42,E599=$AB$43,$AD$43,E599=$AB$44,$AD$44,E599=$AB$45,$AD$45,E599=$AB$46,$AD$46,E599=$AB$47,$AD$47,E599=$AB$48,$AD$48,E599=$AB$49,$AD$49,E599=$AB$50,$AD$50,E599=$AB$51,$AD$51,E599=$AB$52,$AD$52,E599=$AB$53,$AD$53,E599=$AB$54,$AD$54,E599=$AB$55,$AD$55,E599=$AB$56,$AD$56,E599=$AB$57,$AD$57,E599=$AB$58,$AD$58,E599=$AB$59,$AD$59,E599=$AB$60,$AD$60,E599=$AB$61,$AD$61,E599=$AB$62,$AD$62,E599=$AB$63,$AD$63,E599=$AB$64,$AD$64,E599=$AB$65,$AD$65,E599=$AB$66,$AD$66,TRUE,"0")</f>
        <v xml:space="preserve">  BANG</v>
      </c>
      <c r="E599" s="163" t="s">
        <v>519</v>
      </c>
      <c r="F599" s="2" t="s">
        <v>581</v>
      </c>
      <c r="G599" s="2" t="s">
        <v>62</v>
      </c>
      <c r="H599" s="3">
        <v>45367.604166666664</v>
      </c>
      <c r="I599" s="2" t="s">
        <v>582</v>
      </c>
      <c r="J599" s="2" t="s">
        <v>583</v>
      </c>
      <c r="K599" s="2">
        <v>20</v>
      </c>
      <c r="L599" s="2">
        <v>90</v>
      </c>
      <c r="M599" s="2">
        <v>90</v>
      </c>
      <c r="N599" s="2"/>
      <c r="O599" s="2"/>
      <c r="Q599" s="2" t="s">
        <v>95</v>
      </c>
      <c r="R599" s="10" t="s">
        <v>193</v>
      </c>
      <c r="S599" s="14" t="s">
        <v>216</v>
      </c>
      <c r="T599" s="188">
        <v>1000</v>
      </c>
      <c r="U599" s="8">
        <f t="shared" si="70"/>
        <v>180</v>
      </c>
      <c r="V599" s="234">
        <f t="shared" si="69"/>
        <v>29404.155246160299</v>
      </c>
      <c r="W599" s="15">
        <v>25</v>
      </c>
      <c r="X599" s="8">
        <f t="shared" si="72"/>
        <v>4.5</v>
      </c>
      <c r="Y599" s="233">
        <f t="shared" si="73"/>
        <v>2601</v>
      </c>
    </row>
    <row r="600" spans="1:25">
      <c r="A600" s="156" t="e" cm="1">
        <f t="array" aca="1" ref="A600" ca="1">_xlfn.IFS(E600=$AB$42,$AC$42,E600=$AB$43,$AC$43,E600=$AB$44,$AC$44,E600=$AB$45,$AC$45,E600=$AB$46,$AC$46,E600=$AB$47,$AC$47,E600=$AB$48,$AC$48,E600=$AB$49,$AC$49,E600=$AB$50,$AC$50,E600=$AB$51,$AC$51,E600=$AB$52,$AC$52,E600=$AB$53,$AC$53,E600=$AB$54,$AC$54,E600=$AB$55,$AC$55,E600=$AB$56,$AC$56,E600=$AB$57,$AC$57,E600=$AB$58,$AC$58,E600=$AB$59,$AC$59,E600=$AB$60,$AC$60,E600=$AB$61,$AC$61,E600=$AB$62,$AC$62,E600=$AB$63,$AC$63,E600=$AB$64,$AC$64,E600=$AB$65,$AC$65,E600=$AB$66,$AC$66,TRUE,"0")</f>
        <v>#NAME?</v>
      </c>
      <c r="C600" s="161" t="str" cm="1">
        <f t="array" ref="C600">_xlfn.IFS(E600=$AB$42,$AF$42,E600=$AB$43,$AF$43,E600=$AB$44,$AF$44,E600=$AB$45,$AF$45,E600=$AB$46,$AF$46,E600=$AB$47,$AF$47,E600=$AB$48,$AF$48,E600=$AB$49,$AF$49,E600=$AB$50,$AF$50,E600=$AB$51,$AF$51,E600=$AB$52,$AF$52,E600=$AB$53,$AF$53,E600=$AB$54,$AF$54,E600=$AB$55,$AF$55,E600=$AB$56,$AF$56,E600=$AB$57,$AF$57,E600=$AB$58,$AF$58,E600=$AB$59,$AF$59,E600=$AB$60,$AF$60,E600=$AB$61,$AF$61,E600=$AB$62,$AF$62,E600=$AB$63,$AF$63,E600=$AB$64,$AF$64,E600=$AB$65,$AF$65,E600=$AB$66,$AF$66,TRUE,"0")</f>
        <v>40 mins Back ANother Goal</v>
      </c>
      <c r="D600" s="270" t="str" cm="1">
        <f t="array" ref="D600">_xlfn.IFS(E600=$AB$42,$AD$42,E600=$AB$43,$AD$43,E600=$AB$44,$AD$44,E600=$AB$45,$AD$45,E600=$AB$46,$AD$46,E600=$AB$47,$AD$47,E600=$AB$48,$AD$48,E600=$AB$49,$AD$49,E600=$AB$50,$AD$50,E600=$AB$51,$AD$51,E600=$AB$52,$AD$52,E600=$AB$53,$AD$53,E600=$AB$54,$AD$54,E600=$AB$55,$AD$55,E600=$AB$56,$AD$56,E600=$AB$57,$AD$57,E600=$AB$58,$AD$58,E600=$AB$59,$AD$59,E600=$AB$60,$AD$60,E600=$AB$61,$AD$61,E600=$AB$62,$AD$62,E600=$AB$63,$AD$63,E600=$AB$64,$AD$64,E600=$AB$65,$AD$65,E600=$AB$66,$AD$66,TRUE,"0")</f>
        <v xml:space="preserve">  BANG</v>
      </c>
      <c r="E600" s="163" t="s">
        <v>515</v>
      </c>
      <c r="F600" s="2" t="s">
        <v>581</v>
      </c>
      <c r="G600" s="2" t="s">
        <v>62</v>
      </c>
      <c r="H600" s="3">
        <v>45367.604166666664</v>
      </c>
      <c r="I600" s="2" t="s">
        <v>582</v>
      </c>
      <c r="J600" s="2" t="s">
        <v>583</v>
      </c>
      <c r="K600" s="2">
        <v>20</v>
      </c>
      <c r="L600" s="2">
        <v>72</v>
      </c>
      <c r="M600" s="2">
        <v>1.55</v>
      </c>
      <c r="N600" s="2"/>
      <c r="O600" s="2"/>
      <c r="Q600" s="2" t="s">
        <v>95</v>
      </c>
      <c r="R600" s="10" t="s">
        <v>193</v>
      </c>
      <c r="S600" s="14" t="s">
        <v>216</v>
      </c>
      <c r="T600" s="188">
        <v>1000</v>
      </c>
      <c r="U600" s="8">
        <f t="shared" si="70"/>
        <v>180</v>
      </c>
      <c r="V600" s="234">
        <f t="shared" si="69"/>
        <v>29584.155246160299</v>
      </c>
      <c r="W600" s="15">
        <v>25</v>
      </c>
      <c r="X600" s="8">
        <f t="shared" si="72"/>
        <v>4.5</v>
      </c>
      <c r="Y600" s="233">
        <f t="shared" si="73"/>
        <v>2605.5</v>
      </c>
    </row>
    <row r="601" spans="1:25">
      <c r="A601" s="156" t="e" cm="1">
        <f t="array" aca="1" ref="A601" ca="1">_xlfn.IFS(E601=$AB$42,$AC$42,E601=$AB$43,$AC$43,E601=$AB$44,$AC$44,E601=$AB$45,$AC$45,E601=$AB$46,$AC$46,E601=$AB$47,$AC$47,E601=$AB$48,$AC$48,E601=$AB$49,$AC$49,E601=$AB$50,$AC$50,E601=$AB$51,$AC$51,E601=$AB$52,$AC$52,E601=$AB$53,$AC$53,E601=$AB$54,$AC$54,E601=$AB$55,$AC$55,E601=$AB$56,$AC$56,E601=$AB$57,$AC$57,E601=$AB$58,$AC$58,E601=$AB$59,$AC$59,E601=$AB$60,$AC$60,E601=$AB$61,$AC$61,E601=$AB$62,$AC$62,E601=$AB$63,$AC$63,E601=$AB$64,$AC$64,E601=$AB$65,$AC$65,E601=$AB$66,$AC$66,TRUE,"0")</f>
        <v>#NAME?</v>
      </c>
      <c r="C601" s="161" t="str" cm="1">
        <f t="array" ref="C601">_xlfn.IFS(E601=$AB$42,$AF$42,E601=$AB$43,$AF$43,E601=$AB$44,$AF$44,E601=$AB$45,$AF$45,E601=$AB$46,$AF$46,E601=$AB$47,$AF$47,E601=$AB$48,$AF$48,E601=$AB$49,$AF$49,E601=$AB$50,$AF$50,E601=$AB$51,$AF$51,E601=$AB$52,$AF$52,E601=$AB$53,$AF$53,E601=$AB$54,$AF$54,E601=$AB$55,$AF$55,E601=$AB$56,$AF$56,E601=$AB$57,$AF$57,E601=$AB$58,$AF$58,E601=$AB$59,$AF$59,E601=$AB$60,$AF$60,E601=$AB$61,$AF$61,E601=$AB$62,$AF$62,E601=$AB$63,$AF$63,E601=$AB$64,$AF$64,E601=$AB$65,$AF$65,E601=$AB$66,$AF$66,TRUE,"0")</f>
        <v>B4 match BACK FT +1.5 goals. X AFTER  GOAL</v>
      </c>
      <c r="D601" s="270" t="str" cm="1">
        <f t="array" ref="D601">_xlfn.IFS(E601=$AB$42,$AD$42,E601=$AB$43,$AD$43,E601=$AB$44,$AD$44,E601=$AB$45,$AD$45,E601=$AB$46,$AD$46,E601=$AB$47,$AD$47,E601=$AB$48,$AD$48,E601=$AB$49,$AD$49,E601=$AB$50,$AD$50,E601=$AB$51,$AD$51,E601=$AB$52,$AD$52,E601=$AB$53,$AD$53,E601=$AB$54,$AD$54,E601=$AB$55,$AD$55,E601=$AB$56,$AD$56,E601=$AB$57,$AD$57,E601=$AB$58,$AD$58,E601=$AB$59,$AD$59,E601=$AB$60,$AD$60,E601=$AB$61,$AD$61,E601=$AB$62,$AD$62,E601=$AB$63,$AD$63,E601=$AB$64,$AD$64,E601=$AB$65,$AD$65,E601=$AB$66,$AD$66,TRUE,"0")</f>
        <v xml:space="preserve">BFM </v>
      </c>
      <c r="E601" s="163" t="s">
        <v>531</v>
      </c>
      <c r="F601" s="2" t="s">
        <v>77</v>
      </c>
      <c r="G601" s="2" t="s">
        <v>156</v>
      </c>
      <c r="H601" s="3">
        <v>45367.604166666664</v>
      </c>
      <c r="I601" s="2" t="s">
        <v>345</v>
      </c>
      <c r="J601" s="2" t="s">
        <v>157</v>
      </c>
      <c r="K601" s="2">
        <v>2.36</v>
      </c>
      <c r="L601" s="2">
        <v>25</v>
      </c>
      <c r="M601" s="2">
        <v>3.6</v>
      </c>
      <c r="N601" s="2">
        <v>20</v>
      </c>
      <c r="O601" s="2">
        <v>3</v>
      </c>
      <c r="P601" s="2">
        <v>12</v>
      </c>
      <c r="Q601" s="2" t="s">
        <v>95</v>
      </c>
      <c r="R601" s="10" t="s">
        <v>223</v>
      </c>
      <c r="S601" s="14" t="s">
        <v>482</v>
      </c>
      <c r="T601" s="188">
        <v>1000</v>
      </c>
      <c r="U601" s="8">
        <f t="shared" si="70"/>
        <v>180</v>
      </c>
      <c r="V601" s="234">
        <f>SUM(V600,U601)</f>
        <v>29764.155246160299</v>
      </c>
      <c r="W601" s="15">
        <v>25</v>
      </c>
      <c r="X601" s="8">
        <f t="shared" si="72"/>
        <v>4.5</v>
      </c>
      <c r="Y601" s="233">
        <f t="shared" si="73"/>
        <v>2610</v>
      </c>
    </row>
    <row r="602" spans="1:25">
      <c r="A602" s="156" t="e" cm="1">
        <f t="array" aca="1" ref="A602" ca="1">_xlfn.IFS(E602=$AB$42,$AC$42,E602=$AB$43,$AC$43,E602=$AB$44,$AC$44,E602=$AB$45,$AC$45,E602=$AB$46,$AC$46,E602=$AB$47,$AC$47,E602=$AB$48,$AC$48,E602=$AB$49,$AC$49,E602=$AB$50,$AC$50,E602=$AB$51,$AC$51,E602=$AB$52,$AC$52,E602=$AB$53,$AC$53,E602=$AB$54,$AC$54,E602=$AB$55,$AC$55,E602=$AB$56,$AC$56,E602=$AB$57,$AC$57,E602=$AB$58,$AC$58,E602=$AB$59,$AC$59,E602=$AB$60,$AC$60,E602=$AB$61,$AC$61,E602=$AB$62,$AC$62,E602=$AB$63,$AC$63,E602=$AB$64,$AC$64,E602=$AB$65,$AC$65,E602=$AB$66,$AC$66,TRUE,"0")</f>
        <v>#NAME?</v>
      </c>
      <c r="C602" s="161" t="str" cm="1">
        <f t="array" ref="C602">_xlfn.IFS(E602=$AB$42,$AF$42,E602=$AB$43,$AF$43,E602=$AB$44,$AF$44,E602=$AB$45,$AF$45,E602=$AB$46,$AF$46,E602=$AB$47,$AF$47,E602=$AB$48,$AF$48,E602=$AB$49,$AF$49,E602=$AB$50,$AF$50,E602=$AB$51,$AF$51,E602=$AB$52,$AF$52,E602=$AB$53,$AF$53,E602=$AB$54,$AF$54,E602=$AB$55,$AF$55,E602=$AB$56,$AF$56,E602=$AB$57,$AF$57,E602=$AB$58,$AF$58,E602=$AB$59,$AF$59,E602=$AB$60,$AF$60,E602=$AB$61,$AF$61,E602=$AB$62,$AF$62,E602=$AB$63,$AF$63,E602=$AB$64,$AF$64,E602=$AB$65,$AF$65,E602=$AB$66,$AF$66,TRUE,"0")</f>
        <v>10mins if  0-0, BACK over 1.5 goals X after goal OR LET RUN</v>
      </c>
      <c r="D602" s="270" t="str" cm="1">
        <f t="array" ref="D602">_xlfn.IFS(E602=$AB$42,$AD$42,E602=$AB$43,$AD$43,E602=$AB$44,$AD$44,E602=$AB$45,$AD$45,E602=$AB$46,$AD$46,E602=$AB$47,$AD$47,E602=$AB$48,$AD$48,E602=$AB$49,$AD$49,E602=$AB$50,$AD$50,E602=$AB$51,$AD$51,E602=$AB$52,$AD$52,E602=$AB$53,$AD$53,E602=$AB$54,$AD$54,E602=$AB$55,$AD$55,E602=$AB$56,$AD$56,E602=$AB$57,$AD$57,E602=$AB$58,$AD$58,E602=$AB$59,$AD$59,E602=$AB$60,$AD$60,E602=$AB$61,$AD$61,E602=$AB$62,$AD$62,E602=$AB$63,$AD$63,E602=$AB$64,$AD$64,E602=$AB$65,$AD$65,E602=$AB$66,$AD$66,TRUE,"0")</f>
        <v>IP</v>
      </c>
      <c r="E602" s="163" t="s">
        <v>498</v>
      </c>
      <c r="F602" s="2" t="s">
        <v>77</v>
      </c>
      <c r="G602" s="2" t="s">
        <v>156</v>
      </c>
      <c r="H602" s="3">
        <v>45367.604166666664</v>
      </c>
      <c r="I602" s="2" t="s">
        <v>345</v>
      </c>
      <c r="J602" s="2" t="s">
        <v>157</v>
      </c>
      <c r="K602" s="2">
        <v>68</v>
      </c>
      <c r="L602" s="2">
        <v>80</v>
      </c>
      <c r="M602" s="2">
        <v>1.85</v>
      </c>
      <c r="N602" s="2">
        <v>20</v>
      </c>
      <c r="O602" s="2"/>
      <c r="P602" s="2"/>
      <c r="Q602" s="2" t="s">
        <v>95</v>
      </c>
      <c r="R602" s="10" t="s">
        <v>223</v>
      </c>
      <c r="S602" s="14" t="s">
        <v>482</v>
      </c>
      <c r="T602" s="188">
        <v>1000</v>
      </c>
      <c r="U602" s="8">
        <f t="shared" si="70"/>
        <v>180</v>
      </c>
      <c r="V602" s="234">
        <f t="shared" ref="V602:V618" si="76">SUM(V601,U602)</f>
        <v>29944.155246160299</v>
      </c>
      <c r="W602" s="15">
        <v>25</v>
      </c>
      <c r="X602" s="8">
        <f t="shared" si="72"/>
        <v>4.5</v>
      </c>
      <c r="Y602" s="233">
        <f t="shared" si="73"/>
        <v>2614.5</v>
      </c>
    </row>
    <row r="603" spans="1:25">
      <c r="A603" s="156" t="e" cm="1">
        <f t="array" aca="1" ref="A603" ca="1">_xlfn.IFS(E603=$AB$42,$AC$42,E603=$AB$43,$AC$43,E603=$AB$44,$AC$44,E603=$AB$45,$AC$45,E603=$AB$46,$AC$46,E603=$AB$47,$AC$47,E603=$AB$48,$AC$48,E603=$AB$49,$AC$49,E603=$AB$50,$AC$50,E603=$AB$51,$AC$51,E603=$AB$52,$AC$52,E603=$AB$53,$AC$53,E603=$AB$54,$AC$54,E603=$AB$55,$AC$55,E603=$AB$56,$AC$56,E603=$AB$57,$AC$57,E603=$AB$58,$AC$58,E603=$AB$59,$AC$59,E603=$AB$60,$AC$60,E603=$AB$61,$AC$61,E603=$AB$62,$AC$62,E603=$AB$63,$AC$63,E603=$AB$64,$AC$64,E603=$AB$65,$AC$65,E603=$AB$66,$AC$66,TRUE,"0")</f>
        <v>#NAME?</v>
      </c>
      <c r="C603" s="161" t="str" cm="1">
        <f t="array" ref="C603">_xlfn.IFS(E603=$AB$42,$AF$42,E603=$AB$43,$AF$43,E603=$AB$44,$AF$44,E603=$AB$45,$AF$45,E603=$AB$46,$AF$46,E603=$AB$47,$AF$47,E603=$AB$48,$AF$48,E603=$AB$49,$AF$49,E603=$AB$50,$AF$50,E603=$AB$51,$AF$51,E603=$AB$52,$AF$52,E603=$AB$53,$AF$53,E603=$AB$54,$AF$54,E603=$AB$55,$AF$55,E603=$AB$56,$AF$56,E603=$AB$57,$AF$57,E603=$AB$58,$AF$58,E603=$AB$59,$AF$59,E603=$AB$60,$AF$60,E603=$AB$61,$AF$61,E603=$AB$62,$AF$62,E603=$AB$63,$AF$63,E603=$AB$64,$AF$64,E603=$AB$65,$AF$65,E603=$AB$66,$AF$66,TRUE,"0")</f>
        <v>B4 Match, lay HT 0-0 or BACK H1 +0.5 GOALS</v>
      </c>
      <c r="D603" s="270" t="str" cm="1">
        <f t="array" ref="D603">_xlfn.IFS(E603=$AB$42,$AD$42,E603=$AB$43,$AD$43,E603=$AB$44,$AD$44,E603=$AB$45,$AD$45,E603=$AB$46,$AD$46,E603=$AB$47,$AD$47,E603=$AB$48,$AD$48,E603=$AB$49,$AD$49,E603=$AB$50,$AD$50,E603=$AB$51,$AD$51,E603=$AB$52,$AD$52,E603=$AB$53,$AD$53,E603=$AB$54,$AD$54,E603=$AB$55,$AD$55,E603=$AB$56,$AD$56,E603=$AB$57,$AD$57,E603=$AB$58,$AD$58,E603=$AB$59,$AD$59,E603=$AB$60,$AD$60,E603=$AB$61,$AD$61,E603=$AB$62,$AD$62,E603=$AB$63,$AD$63,E603=$AB$64,$AD$64,E603=$AB$65,$AD$65,E603=$AB$66,$AD$66,TRUE,"0")</f>
        <v xml:space="preserve">BFM </v>
      </c>
      <c r="E603" s="163" t="s">
        <v>432</v>
      </c>
      <c r="F603" s="2" t="s">
        <v>77</v>
      </c>
      <c r="G603" s="2" t="s">
        <v>156</v>
      </c>
      <c r="H603" s="3">
        <v>45367.604166666664</v>
      </c>
      <c r="I603" s="2" t="s">
        <v>161</v>
      </c>
      <c r="J603" s="2" t="s">
        <v>284</v>
      </c>
      <c r="K603" s="2">
        <v>5</v>
      </c>
      <c r="L603" s="2">
        <v>20</v>
      </c>
      <c r="M603" s="2">
        <v>13</v>
      </c>
      <c r="N603" s="2">
        <v>20</v>
      </c>
      <c r="O603" s="2">
        <v>24</v>
      </c>
      <c r="P603" s="2">
        <v>1.7</v>
      </c>
      <c r="Q603" s="2" t="s">
        <v>95</v>
      </c>
      <c r="R603" s="10" t="s">
        <v>216</v>
      </c>
      <c r="S603" s="14" t="s">
        <v>211</v>
      </c>
      <c r="T603" s="188">
        <v>1000</v>
      </c>
      <c r="U603" s="8">
        <f t="shared" si="70"/>
        <v>180</v>
      </c>
      <c r="V603" s="234">
        <f>SUM(V602,U603)</f>
        <v>30124.155246160299</v>
      </c>
      <c r="W603" s="15">
        <v>25</v>
      </c>
      <c r="X603" s="8">
        <f t="shared" si="72"/>
        <v>4.5</v>
      </c>
      <c r="Y603" s="233">
        <f t="shared" si="73"/>
        <v>2619</v>
      </c>
    </row>
    <row r="604" spans="1:25">
      <c r="A604" s="156" t="e" cm="1">
        <f t="array" aca="1" ref="A604" ca="1">_xlfn.IFS(E604=$AB$42,$AC$42,E604=$AB$43,$AC$43,E604=$AB$44,$AC$44,E604=$AB$45,$AC$45,E604=$AB$46,$AC$46,E604=$AB$47,$AC$47,E604=$AB$48,$AC$48,E604=$AB$49,$AC$49,E604=$AB$50,$AC$50,E604=$AB$51,$AC$51,E604=$AB$52,$AC$52,E604=$AB$53,$AC$53,E604=$AB$54,$AC$54,E604=$AB$55,$AC$55,E604=$AB$56,$AC$56,E604=$AB$57,$AC$57,E604=$AB$58,$AC$58,E604=$AB$59,$AC$59,E604=$AB$60,$AC$60,E604=$AB$61,$AC$61,E604=$AB$62,$AC$62,E604=$AB$63,$AC$63,E604=$AB$64,$AC$64,E604=$AB$65,$AC$65,E604=$AB$66,$AC$66,TRUE,"0")</f>
        <v>#NAME?</v>
      </c>
      <c r="C604" s="161" t="str" cm="1">
        <f t="array" ref="C604">_xlfn.IFS(E604=$AB$42,$AF$42,E604=$AB$43,$AF$43,E604=$AB$44,$AF$44,E604=$AB$45,$AF$45,E604=$AB$46,$AF$46,E604=$AB$47,$AF$47,E604=$AB$48,$AF$48,E604=$AB$49,$AF$49,E604=$AB$50,$AF$50,E604=$AB$51,$AF$51,E604=$AB$52,$AF$52,E604=$AB$53,$AF$53,E604=$AB$54,$AF$54,E604=$AB$55,$AF$55,E604=$AB$56,$AF$56,E604=$AB$57,$AF$57,E604=$AB$58,$AF$58,E604=$AB$59,$AF$59,E604=$AB$60,$AF$60,E604=$AB$61,$AF$61,E604=$AB$62,$AF$62,E604=$AB$63,$AF$63,E604=$AB$64,$AF$64,E604=$AB$65,$AF$65,E604=$AB$66,$AF$66,TRUE,"0")</f>
        <v>B4 Match, lay HT 0-0 or BACK H1 +0.5 GOALS</v>
      </c>
      <c r="D604" s="270" t="str" cm="1">
        <f t="array" ref="D604">_xlfn.IFS(E604=$AB$42,$AD$42,E604=$AB$43,$AD$43,E604=$AB$44,$AD$44,E604=$AB$45,$AD$45,E604=$AB$46,$AD$46,E604=$AB$47,$AD$47,E604=$AB$48,$AD$48,E604=$AB$49,$AD$49,E604=$AB$50,$AD$50,E604=$AB$51,$AD$51,E604=$AB$52,$AD$52,E604=$AB$53,$AD$53,E604=$AB$54,$AD$54,E604=$AB$55,$AD$55,E604=$AB$56,$AD$56,E604=$AB$57,$AD$57,E604=$AB$58,$AD$58,E604=$AB$59,$AD$59,E604=$AB$60,$AD$60,E604=$AB$61,$AD$61,E604=$AB$62,$AD$62,E604=$AB$63,$AD$63,E604=$AB$64,$AD$64,E604=$AB$65,$AD$65,E604=$AB$66,$AD$66,TRUE,"0")</f>
        <v xml:space="preserve">BFM </v>
      </c>
      <c r="E604" s="163" t="s">
        <v>448</v>
      </c>
      <c r="F604" s="2" t="s">
        <v>77</v>
      </c>
      <c r="G604" s="2" t="s">
        <v>156</v>
      </c>
      <c r="H604" s="3">
        <v>45367.604166666664</v>
      </c>
      <c r="I604" s="2" t="s">
        <v>161</v>
      </c>
      <c r="J604" s="2" t="s">
        <v>284</v>
      </c>
      <c r="K604" s="2">
        <v>20</v>
      </c>
      <c r="L604" s="2">
        <v>5</v>
      </c>
      <c r="M604" s="2">
        <v>34</v>
      </c>
      <c r="N604" s="2">
        <v>6</v>
      </c>
      <c r="O604" s="2">
        <v>8</v>
      </c>
      <c r="P604" s="2">
        <v>5</v>
      </c>
      <c r="Q604" s="2" t="s">
        <v>95</v>
      </c>
      <c r="R604" s="10" t="s">
        <v>216</v>
      </c>
      <c r="S604" s="14" t="s">
        <v>211</v>
      </c>
      <c r="T604" s="188">
        <v>1000</v>
      </c>
      <c r="U604" s="8">
        <f t="shared" si="70"/>
        <v>180</v>
      </c>
      <c r="V604" s="234">
        <f t="shared" si="76"/>
        <v>30304.155246160299</v>
      </c>
      <c r="W604" s="15">
        <v>25</v>
      </c>
      <c r="X604" s="8">
        <f t="shared" si="72"/>
        <v>4.5</v>
      </c>
      <c r="Y604" s="233">
        <f t="shared" si="73"/>
        <v>2623.5</v>
      </c>
    </row>
    <row r="605" spans="1:25">
      <c r="A605" s="156" t="e" cm="1">
        <f t="array" aca="1" ref="A605" ca="1">_xlfn.IFS(E605=$AB$42,$AC$42,E605=$AB$43,$AC$43,E605=$AB$44,$AC$44,E605=$AB$45,$AC$45,E605=$AB$46,$AC$46,E605=$AB$47,$AC$47,E605=$AB$48,$AC$48,E605=$AB$49,$AC$49,E605=$AB$50,$AC$50,E605=$AB$51,$AC$51,E605=$AB$52,$AC$52,E605=$AB$53,$AC$53,E605=$AB$54,$AC$54,E605=$AB$55,$AC$55,E605=$AB$56,$AC$56,E605=$AB$57,$AC$57,E605=$AB$58,$AC$58,E605=$AB$59,$AC$59,E605=$AB$60,$AC$60,E605=$AB$61,$AC$61,E605=$AB$62,$AC$62,E605=$AB$63,$AC$63,E605=$AB$64,$AC$64,E605=$AB$65,$AC$65,E605=$AB$66,$AC$66,TRUE,"0")</f>
        <v>#NAME?</v>
      </c>
      <c r="C605" s="161" t="str" cm="1">
        <f t="array" ref="C605">_xlfn.IFS(E605=$AB$42,$AF$42,E605=$AB$43,$AF$43,E605=$AB$44,$AF$44,E605=$AB$45,$AF$45,E605=$AB$46,$AF$46,E605=$AB$47,$AF$47,E605=$AB$48,$AF$48,E605=$AB$49,$AF$49,E605=$AB$50,$AF$50,E605=$AB$51,$AF$51,E605=$AB$52,$AF$52,E605=$AB$53,$AF$53,E605=$AB$54,$AF$54,E605=$AB$55,$AF$55,E605=$AB$56,$AF$56,E605=$AB$57,$AF$57,E605=$AB$58,$AF$58,E605=$AB$59,$AF$59,E605=$AB$60,$AF$60,E605=$AB$61,$AF$61,E605=$AB$62,$AF$62,E605=$AB$63,$AF$63,E605=$AB$64,$AF$64,E605=$AB$65,$AF$65,E605=$AB$66,$AF$66,TRUE,"0")</f>
        <v>B4 match BACK FT +1.5 goals. X AFTER  GOAL</v>
      </c>
      <c r="D605" s="270" t="str" cm="1">
        <f t="array" ref="D605">_xlfn.IFS(E605=$AB$42,$AD$42,E605=$AB$43,$AD$43,E605=$AB$44,$AD$44,E605=$AB$45,$AD$45,E605=$AB$46,$AD$46,E605=$AB$47,$AD$47,E605=$AB$48,$AD$48,E605=$AB$49,$AD$49,E605=$AB$50,$AD$50,E605=$AB$51,$AD$51,E605=$AB$52,$AD$52,E605=$AB$53,$AD$53,E605=$AB$54,$AD$54,E605=$AB$55,$AD$55,E605=$AB$56,$AD$56,E605=$AB$57,$AD$57,E605=$AB$58,$AD$58,E605=$AB$59,$AD$59,E605=$AB$60,$AD$60,E605=$AB$61,$AD$61,E605=$AB$62,$AD$62,E605=$AB$63,$AD$63,E605=$AB$64,$AD$64,E605=$AB$65,$AD$65,E605=$AB$66,$AD$66,TRUE,"0")</f>
        <v xml:space="preserve">BFM </v>
      </c>
      <c r="E605" s="163" t="s">
        <v>512</v>
      </c>
      <c r="F605" s="2" t="s">
        <v>13</v>
      </c>
      <c r="G605" s="2" t="s">
        <v>37</v>
      </c>
      <c r="H605" s="3">
        <v>45367.625</v>
      </c>
      <c r="I605" s="2" t="s">
        <v>99</v>
      </c>
      <c r="J605" s="2" t="s">
        <v>318</v>
      </c>
      <c r="K605" s="2">
        <v>2.98</v>
      </c>
      <c r="L605" s="2">
        <v>20</v>
      </c>
      <c r="M605" s="2">
        <v>2.7</v>
      </c>
      <c r="N605" s="2">
        <v>28</v>
      </c>
      <c r="O605" s="2">
        <v>3</v>
      </c>
      <c r="P605" s="2">
        <v>10</v>
      </c>
      <c r="Q605" s="2" t="s">
        <v>95</v>
      </c>
      <c r="R605" s="10" t="s">
        <v>214</v>
      </c>
      <c r="S605" s="14" t="s">
        <v>215</v>
      </c>
      <c r="T605" s="188">
        <v>1000</v>
      </c>
      <c r="U605" s="8">
        <f t="shared" si="70"/>
        <v>180</v>
      </c>
      <c r="V605" s="234">
        <f t="shared" si="76"/>
        <v>30484.155246160299</v>
      </c>
      <c r="W605" s="15">
        <v>25</v>
      </c>
      <c r="X605" s="8">
        <f t="shared" si="72"/>
        <v>4.5</v>
      </c>
      <c r="Y605" s="233">
        <f t="shared" si="73"/>
        <v>2628</v>
      </c>
    </row>
    <row r="606" spans="1:25">
      <c r="A606" s="156" t="e" cm="1">
        <f t="array" aca="1" ref="A606" ca="1">_xlfn.IFS(E606=$AB$42,$AC$42,E606=$AB$43,$AC$43,E606=$AB$44,$AC$44,E606=$AB$45,$AC$45,E606=$AB$46,$AC$46,E606=$AB$47,$AC$47,E606=$AB$48,$AC$48,E606=$AB$49,$AC$49,E606=$AB$50,$AC$50,E606=$AB$51,$AC$51,E606=$AB$52,$AC$52,E606=$AB$53,$AC$53,E606=$AB$54,$AC$54,E606=$AB$55,$AC$55,E606=$AB$56,$AC$56,E606=$AB$57,$AC$57,E606=$AB$58,$AC$58,E606=$AB$59,$AC$59,E606=$AB$60,$AC$60,E606=$AB$61,$AC$61,E606=$AB$62,$AC$62,E606=$AB$63,$AC$63,E606=$AB$64,$AC$64,E606=$AB$65,$AC$65,E606=$AB$66,$AC$66,TRUE,"0")</f>
        <v>#NAME?</v>
      </c>
      <c r="C606" s="161" t="str" cm="1">
        <f t="array" ref="C606">_xlfn.IFS(E606=$AB$42,$AF$42,E606=$AB$43,$AF$43,E606=$AB$44,$AF$44,E606=$AB$45,$AF$45,E606=$AB$46,$AF$46,E606=$AB$47,$AF$47,E606=$AB$48,$AF$48,E606=$AB$49,$AF$49,E606=$AB$50,$AF$50,E606=$AB$51,$AF$51,E606=$AB$52,$AF$52,E606=$AB$53,$AF$53,E606=$AB$54,$AF$54,E606=$AB$55,$AF$55,E606=$AB$56,$AF$56,E606=$AB$57,$AF$57,E606=$AB$58,$AF$58,E606=$AB$59,$AF$59,E606=$AB$60,$AF$60,E606=$AB$61,$AF$61,E606=$AB$62,$AF$62,E606=$AB$63,$AF$63,E606=$AB$64,$AF$64,E606=$AB$65,$AF$65,E606=$AB$66,$AF$66,TRUE,"0")</f>
        <v>40 mins Back ANother Goal</v>
      </c>
      <c r="D606" s="270" t="str" cm="1">
        <f t="array" ref="D606">_xlfn.IFS(E606=$AB$42,$AD$42,E606=$AB$43,$AD$43,E606=$AB$44,$AD$44,E606=$AB$45,$AD$45,E606=$AB$46,$AD$46,E606=$AB$47,$AD$47,E606=$AB$48,$AD$48,E606=$AB$49,$AD$49,E606=$AB$50,$AD$50,E606=$AB$51,$AD$51,E606=$AB$52,$AD$52,E606=$AB$53,$AD$53,E606=$AB$54,$AD$54,E606=$AB$55,$AD$55,E606=$AB$56,$AD$56,E606=$AB$57,$AD$57,E606=$AB$58,$AD$58,E606=$AB$59,$AD$59,E606=$AB$60,$AD$60,E606=$AB$61,$AD$61,E606=$AB$62,$AD$62,E606=$AB$63,$AD$63,E606=$AB$64,$AD$64,E606=$AB$65,$AD$65,E606=$AB$66,$AD$66,TRUE,"0")</f>
        <v xml:space="preserve">  BANG</v>
      </c>
      <c r="E606" s="163" t="s">
        <v>10</v>
      </c>
      <c r="F606" s="2" t="s">
        <v>6</v>
      </c>
      <c r="G606" s="2" t="s">
        <v>7</v>
      </c>
      <c r="H606" s="3">
        <v>45367.625</v>
      </c>
      <c r="I606" s="2" t="s">
        <v>27</v>
      </c>
      <c r="J606" s="2" t="s">
        <v>114</v>
      </c>
      <c r="K606" s="2">
        <v>2.1</v>
      </c>
      <c r="L606" s="2">
        <v>100</v>
      </c>
      <c r="M606" s="2">
        <v>70</v>
      </c>
      <c r="N606" s="2">
        <v>25</v>
      </c>
      <c r="O606" s="2">
        <v>62</v>
      </c>
      <c r="P606" s="2">
        <v>20</v>
      </c>
      <c r="Q606" s="2" t="s">
        <v>95</v>
      </c>
      <c r="R606" s="10" t="s">
        <v>193</v>
      </c>
      <c r="S606" s="14" t="s">
        <v>216</v>
      </c>
      <c r="T606" s="188">
        <v>1000</v>
      </c>
      <c r="U606" s="8">
        <f t="shared" si="70"/>
        <v>180</v>
      </c>
      <c r="V606" s="234">
        <f t="shared" ref="V606:V608" si="77">SUM(V605,U606)</f>
        <v>30664.155246160299</v>
      </c>
      <c r="W606" s="15">
        <v>25</v>
      </c>
      <c r="X606" s="8">
        <f t="shared" si="72"/>
        <v>4.5</v>
      </c>
      <c r="Y606" s="233">
        <f t="shared" si="73"/>
        <v>2632.5</v>
      </c>
    </row>
    <row r="607" spans="1:25">
      <c r="A607" s="156" t="e" cm="1">
        <f t="array" aca="1" ref="A607" ca="1">_xlfn.IFS(E607=$AB$42,$AC$42,E607=$AB$43,$AC$43,E607=$AB$44,$AC$44,E607=$AB$45,$AC$45,E607=$AB$46,$AC$46,E607=$AB$47,$AC$47,E607=$AB$48,$AC$48,E607=$AB$49,$AC$49,E607=$AB$50,$AC$50,E607=$AB$51,$AC$51,E607=$AB$52,$AC$52,E607=$AB$53,$AC$53,E607=$AB$54,$AC$54,E607=$AB$55,$AC$55,E607=$AB$56,$AC$56,E607=$AB$57,$AC$57,E607=$AB$58,$AC$58,E607=$AB$59,$AC$59,E607=$AB$60,$AC$60,E607=$AB$61,$AC$61,E607=$AB$62,$AC$62,E607=$AB$63,$AC$63,E607=$AB$64,$AC$64,E607=$AB$65,$AC$65,E607=$AB$66,$AC$66,TRUE,"0")</f>
        <v>#NAME?</v>
      </c>
      <c r="C607" s="161" t="str" cm="1">
        <f t="array" ref="C607">_xlfn.IFS(E607=$AB$42,$AF$42,E607=$AB$43,$AF$43,E607=$AB$44,$AF$44,E607=$AB$45,$AF$45,E607=$AB$46,$AF$46,E607=$AB$47,$AF$47,E607=$AB$48,$AF$48,E607=$AB$49,$AF$49,E607=$AB$50,$AF$50,E607=$AB$51,$AF$51,E607=$AB$52,$AF$52,E607=$AB$53,$AF$53,E607=$AB$54,$AF$54,E607=$AB$55,$AF$55,E607=$AB$56,$AF$56,E607=$AB$57,$AF$57,E607=$AB$58,$AF$58,E607=$AB$59,$AF$59,E607=$AB$60,$AF$60,E607=$AB$61,$AF$61,E607=$AB$62,$AF$62,E607=$AB$63,$AF$63,E607=$AB$64,$AF$64,E607=$AB$65,$AF$65,E607=$AB$66,$AF$66,TRUE,"0")</f>
        <v>if 0-0, BACK+ 0.5 GOALS  @ 1.15+odds.  or @ 40 mins</v>
      </c>
      <c r="D607" s="270" t="str" cm="1">
        <f t="array" ref="D607">_xlfn.IFS(E607=$AB$42,$AD$42,E607=$AB$43,$AD$43,E607=$AB$44,$AD$44,E607=$AB$45,$AD$45,E607=$AB$46,$AD$46,E607=$AB$47,$AD$47,E607=$AB$48,$AD$48,E607=$AB$49,$AD$49,E607=$AB$50,$AD$50,E607=$AB$51,$AD$51,E607=$AB$52,$AD$52,E607=$AB$53,$AD$53,E607=$AB$54,$AD$54,E607=$AB$55,$AD$55,E607=$AB$56,$AD$56,E607=$AB$57,$AD$57,E607=$AB$58,$AD$58,E607=$AB$59,$AD$59,E607=$AB$60,$AD$60,E607=$AB$61,$AD$61,E607=$AB$62,$AD$62,E607=$AB$63,$AD$63,E607=$AB$64,$AD$64,E607=$AB$65,$AD$65,E607=$AB$66,$AD$66,TRUE,"0")</f>
        <v>IP</v>
      </c>
      <c r="E607" s="163" t="s">
        <v>270</v>
      </c>
      <c r="F607" s="2" t="s">
        <v>6</v>
      </c>
      <c r="G607" s="2" t="s">
        <v>7</v>
      </c>
      <c r="H607" s="3">
        <v>45367.625</v>
      </c>
      <c r="I607" s="2" t="s">
        <v>27</v>
      </c>
      <c r="J607" s="2" t="s">
        <v>114</v>
      </c>
      <c r="K607" s="2">
        <v>69</v>
      </c>
      <c r="L607" s="2">
        <v>0</v>
      </c>
      <c r="M607" s="2">
        <v>20</v>
      </c>
      <c r="N607" s="2">
        <v>36</v>
      </c>
      <c r="O607" s="2">
        <v>2.74</v>
      </c>
      <c r="P607" s="2"/>
      <c r="Q607" s="2" t="s">
        <v>95</v>
      </c>
      <c r="R607" s="10" t="s">
        <v>193</v>
      </c>
      <c r="S607" s="14" t="s">
        <v>216</v>
      </c>
      <c r="T607" s="188">
        <v>1000</v>
      </c>
      <c r="U607" s="8">
        <f t="shared" si="70"/>
        <v>180</v>
      </c>
      <c r="V607" s="234">
        <f t="shared" si="77"/>
        <v>30844.155246160299</v>
      </c>
      <c r="W607" s="15">
        <v>25</v>
      </c>
      <c r="X607" s="8">
        <f t="shared" si="72"/>
        <v>4.5</v>
      </c>
      <c r="Y607" s="233">
        <f t="shared" si="73"/>
        <v>2637</v>
      </c>
    </row>
    <row r="608" spans="1:25">
      <c r="A608" s="156" t="e" cm="1">
        <f t="array" aca="1" ref="A608" ca="1">_xlfn.IFS(E608=$AB$42,$AC$42,E608=$AB$43,$AC$43,E608=$AB$44,$AC$44,E608=$AB$45,$AC$45,E608=$AB$46,$AC$46,E608=$AB$47,$AC$47,E608=$AB$48,$AC$48,E608=$AB$49,$AC$49,E608=$AB$50,$AC$50,E608=$AB$51,$AC$51,E608=$AB$52,$AC$52,E608=$AB$53,$AC$53,E608=$AB$54,$AC$54,E608=$AB$55,$AC$55,E608=$AB$56,$AC$56,E608=$AB$57,$AC$57,E608=$AB$58,$AC$58,E608=$AB$59,$AC$59,E608=$AB$60,$AC$60,E608=$AB$61,$AC$61,E608=$AB$62,$AC$62,E608=$AB$63,$AC$63,E608=$AB$64,$AC$64,E608=$AB$65,$AC$65,E608=$AB$66,$AC$66,TRUE,"0")</f>
        <v>#NAME?</v>
      </c>
      <c r="C608" s="161" t="str" cm="1">
        <f t="array" ref="C608">_xlfn.IFS(E608=$AB$42,$AF$42,E608=$AB$43,$AF$43,E608=$AB$44,$AF$44,E608=$AB$45,$AF$45,E608=$AB$46,$AF$46,E608=$AB$47,$AF$47,E608=$AB$48,$AF$48,E608=$AB$49,$AF$49,E608=$AB$50,$AF$50,E608=$AB$51,$AF$51,E608=$AB$52,$AF$52,E608=$AB$53,$AF$53,E608=$AB$54,$AF$54,E608=$AB$55,$AF$55,E608=$AB$56,$AF$56,E608=$AB$57,$AF$57,E608=$AB$58,$AF$58,E608=$AB$59,$AF$59,E608=$AB$60,$AF$60,E608=$AB$61,$AF$61,E608=$AB$62,$AF$62,E608=$AB$63,$AF$63,E608=$AB$64,$AF$64,E608=$AB$65,$AF$65,E608=$AB$66,$AF$66,TRUE,"0")</f>
        <v>B4 MATCH bet H1 'under 2.5goals'- X at 40 minutes</v>
      </c>
      <c r="D608" s="270" t="str" cm="1">
        <f t="array" ref="D608">_xlfn.IFS(E608=$AB$42,$AD$42,E608=$AB$43,$AD$43,E608=$AB$44,$AD$44,E608=$AB$45,$AD$45,E608=$AB$46,$AD$46,E608=$AB$47,$AD$47,E608=$AB$48,$AD$48,E608=$AB$49,$AD$49,E608=$AB$50,$AD$50,E608=$AB$51,$AD$51,E608=$AB$52,$AD$52,E608=$AB$53,$AD$53,E608=$AB$54,$AD$54,E608=$AB$55,$AD$55,E608=$AB$56,$AD$56,E608=$AB$57,$AD$57,E608=$AB$58,$AD$58,E608=$AB$59,$AD$59,E608=$AB$60,$AD$60,E608=$AB$61,$AD$61,E608=$AB$62,$AD$62,E608=$AB$63,$AD$63,E608=$AB$64,$AD$64,E608=$AB$65,$AD$65,E608=$AB$66,$AD$66,TRUE,"0")</f>
        <v xml:space="preserve">BFM </v>
      </c>
      <c r="E608" s="164" t="s">
        <v>458</v>
      </c>
      <c r="F608" s="2" t="s">
        <v>6</v>
      </c>
      <c r="G608" s="2" t="s">
        <v>7</v>
      </c>
      <c r="H608" s="3">
        <v>45367.625</v>
      </c>
      <c r="I608" s="2" t="s">
        <v>429</v>
      </c>
      <c r="J608" s="2" t="s">
        <v>113</v>
      </c>
      <c r="K608" s="2">
        <v>20</v>
      </c>
      <c r="L608" s="2">
        <v>85</v>
      </c>
      <c r="M608" s="2">
        <v>100</v>
      </c>
      <c r="N608" s="2">
        <v>43</v>
      </c>
      <c r="O608" s="2">
        <v>1.75</v>
      </c>
      <c r="P608" s="2"/>
      <c r="Q608" s="2" t="s">
        <v>95</v>
      </c>
      <c r="R608" s="10" t="s">
        <v>216</v>
      </c>
      <c r="S608" s="14" t="s">
        <v>216</v>
      </c>
      <c r="T608" s="188">
        <v>1000</v>
      </c>
      <c r="U608" s="8">
        <f t="shared" si="70"/>
        <v>180</v>
      </c>
      <c r="V608" s="234">
        <f t="shared" si="77"/>
        <v>31024.155246160299</v>
      </c>
      <c r="W608" s="15">
        <v>25</v>
      </c>
      <c r="X608" s="8">
        <f t="shared" si="72"/>
        <v>4.5</v>
      </c>
      <c r="Y608" s="233">
        <f t="shared" si="73"/>
        <v>2641.5</v>
      </c>
    </row>
    <row r="609" spans="1:25">
      <c r="A609" s="156" t="e" cm="1">
        <f t="array" aca="1" ref="A609" ca="1">_xlfn.IFS(E609=$AB$42,$AC$42,E609=$AB$43,$AC$43,E609=$AB$44,$AC$44,E609=$AB$45,$AC$45,E609=$AB$46,$AC$46,E609=$AB$47,$AC$47,E609=$AB$48,$AC$48,E609=$AB$49,$AC$49,E609=$AB$50,$AC$50,E609=$AB$51,$AC$51,E609=$AB$52,$AC$52,E609=$AB$53,$AC$53,E609=$AB$54,$AC$54,E609=$AB$55,$AC$55,E609=$AB$56,$AC$56,E609=$AB$57,$AC$57,E609=$AB$58,$AC$58,E609=$AB$59,$AC$59,E609=$AB$60,$AC$60,E609=$AB$61,$AC$61,E609=$AB$62,$AC$62,E609=$AB$63,$AC$63,E609=$AB$64,$AC$64,E609=$AB$65,$AC$65,E609=$AB$66,$AC$66,TRUE,"0")</f>
        <v>#NAME?</v>
      </c>
      <c r="C609" s="161" t="str" cm="1">
        <f t="array" ref="C609">_xlfn.IFS(E609=$AB$42,$AF$42,E609=$AB$43,$AF$43,E609=$AB$44,$AF$44,E609=$AB$45,$AF$45,E609=$AB$46,$AF$46,E609=$AB$47,$AF$47,E609=$AB$48,$AF$48,E609=$AB$49,$AF$49,E609=$AB$50,$AF$50,E609=$AB$51,$AF$51,E609=$AB$52,$AF$52,E609=$AB$53,$AF$53,E609=$AB$54,$AF$54,E609=$AB$55,$AF$55,E609=$AB$56,$AF$56,E609=$AB$57,$AF$57,E609=$AB$58,$AF$58,E609=$AB$59,$AF$59,E609=$AB$60,$AF$60,E609=$AB$61,$AF$61,E609=$AB$62,$AF$62,E609=$AB$63,$AF$63,E609=$AB$64,$AF$64,E609=$AB$65,$AF$65,E609=$AB$66,$AF$66,TRUE,"0")</f>
        <v>B4 match BACK FT +1.5 goals. X AFTER  GOAL</v>
      </c>
      <c r="D609" s="270" t="str" cm="1">
        <f t="array" ref="D609">_xlfn.IFS(E609=$AB$42,$AD$42,E609=$AB$43,$AD$43,E609=$AB$44,$AD$44,E609=$AB$45,$AD$45,E609=$AB$46,$AD$46,E609=$AB$47,$AD$47,E609=$AB$48,$AD$48,E609=$AB$49,$AD$49,E609=$AB$50,$AD$50,E609=$AB$51,$AD$51,E609=$AB$52,$AD$52,E609=$AB$53,$AD$53,E609=$AB$54,$AD$54,E609=$AB$55,$AD$55,E609=$AB$56,$AD$56,E609=$AB$57,$AD$57,E609=$AB$58,$AD$58,E609=$AB$59,$AD$59,E609=$AB$60,$AD$60,E609=$AB$61,$AD$61,E609=$AB$62,$AD$62,E609=$AB$63,$AD$63,E609=$AB$64,$AD$64,E609=$AB$65,$AD$65,E609=$AB$66,$AD$66,TRUE,"0")</f>
        <v xml:space="preserve">BFM </v>
      </c>
      <c r="E609" s="163" t="s">
        <v>512</v>
      </c>
      <c r="F609" s="2" t="s">
        <v>13</v>
      </c>
      <c r="G609" s="2" t="s">
        <v>11</v>
      </c>
      <c r="H609" s="3">
        <v>45367.625</v>
      </c>
      <c r="I609" s="2" t="s">
        <v>543</v>
      </c>
      <c r="J609" s="2" t="s">
        <v>604</v>
      </c>
      <c r="K609" s="2">
        <v>5.6</v>
      </c>
      <c r="L609" s="2">
        <v>20</v>
      </c>
      <c r="M609" s="2">
        <v>3</v>
      </c>
      <c r="N609" s="2">
        <v>33</v>
      </c>
      <c r="O609" s="2">
        <v>2</v>
      </c>
      <c r="P609" s="2">
        <v>10</v>
      </c>
      <c r="Q609" s="2" t="s">
        <v>95</v>
      </c>
      <c r="R609" s="10" t="s">
        <v>214</v>
      </c>
      <c r="S609" s="14" t="s">
        <v>207</v>
      </c>
      <c r="T609" s="188">
        <v>1000</v>
      </c>
      <c r="U609" s="8">
        <f t="shared" si="70"/>
        <v>180</v>
      </c>
      <c r="V609" s="234">
        <f t="shared" si="76"/>
        <v>31204.155246160299</v>
      </c>
      <c r="W609" s="15">
        <v>25</v>
      </c>
      <c r="X609" s="8">
        <f t="shared" si="72"/>
        <v>4.5</v>
      </c>
      <c r="Y609" s="233">
        <f t="shared" si="73"/>
        <v>2646</v>
      </c>
    </row>
    <row r="610" spans="1:25">
      <c r="A610" s="156" t="e" cm="1">
        <f t="array" aca="1" ref="A610" ca="1">_xlfn.IFS(E610=$AB$42,$AC$42,E610=$AB$43,$AC$43,E610=$AB$44,$AC$44,E610=$AB$45,$AC$45,E610=$AB$46,$AC$46,E610=$AB$47,$AC$47,E610=$AB$48,$AC$48,E610=$AB$49,$AC$49,E610=$AB$50,$AC$50,E610=$AB$51,$AC$51,E610=$AB$52,$AC$52,E610=$AB$53,$AC$53,E610=$AB$54,$AC$54,E610=$AB$55,$AC$55,E610=$AB$56,$AC$56,E610=$AB$57,$AC$57,E610=$AB$58,$AC$58,E610=$AB$59,$AC$59,E610=$AB$60,$AC$60,E610=$AB$61,$AC$61,E610=$AB$62,$AC$62,E610=$AB$63,$AC$63,E610=$AB$64,$AC$64,E610=$AB$65,$AC$65,E610=$AB$66,$AC$66,TRUE,"0")</f>
        <v>#NAME?</v>
      </c>
      <c r="C610" s="161" t="str" cm="1">
        <f t="array" ref="C610">_xlfn.IFS(E610=$AB$42,$AF$42,E610=$AB$43,$AF$43,E610=$AB$44,$AF$44,E610=$AB$45,$AF$45,E610=$AB$46,$AF$46,E610=$AB$47,$AF$47,E610=$AB$48,$AF$48,E610=$AB$49,$AF$49,E610=$AB$50,$AF$50,E610=$AB$51,$AF$51,E610=$AB$52,$AF$52,E610=$AB$53,$AF$53,E610=$AB$54,$AF$54,E610=$AB$55,$AF$55,E610=$AB$56,$AF$56,E610=$AB$57,$AF$57,E610=$AB$58,$AF$58,E610=$AB$59,$AF$59,E610=$AB$60,$AF$60,E610=$AB$61,$AF$61,E610=$AB$62,$AF$62,E610=$AB$63,$AF$63,E610=$AB$64,$AF$64,E610=$AB$65,$AF$65,E610=$AB$66,$AF$66,TRUE,"0")</f>
        <v>40 mins Back ANother Goal</v>
      </c>
      <c r="D610" s="270" t="str" cm="1">
        <f t="array" ref="D610">_xlfn.IFS(E610=$AB$42,$AD$42,E610=$AB$43,$AD$43,E610=$AB$44,$AD$44,E610=$AB$45,$AD$45,E610=$AB$46,$AD$46,E610=$AB$47,$AD$47,E610=$AB$48,$AD$48,E610=$AB$49,$AD$49,E610=$AB$50,$AD$50,E610=$AB$51,$AD$51,E610=$AB$52,$AD$52,E610=$AB$53,$AD$53,E610=$AB$54,$AD$54,E610=$AB$55,$AD$55,E610=$AB$56,$AD$56,E610=$AB$57,$AD$57,E610=$AB$58,$AD$58,E610=$AB$59,$AD$59,E610=$AB$60,$AD$60,E610=$AB$61,$AD$61,E610=$AB$62,$AD$62,E610=$AB$63,$AD$63,E610=$AB$64,$AD$64,E610=$AB$65,$AD$65,E610=$AB$66,$AD$66,TRUE,"0")</f>
        <v xml:space="preserve">  BANG</v>
      </c>
      <c r="E610" s="163" t="s">
        <v>10</v>
      </c>
      <c r="F610" s="2" t="s">
        <v>31</v>
      </c>
      <c r="G610" s="2" t="s">
        <v>32</v>
      </c>
      <c r="H610" s="3">
        <v>45367.625</v>
      </c>
      <c r="I610" s="2" t="s">
        <v>440</v>
      </c>
      <c r="J610" s="2" t="s">
        <v>419</v>
      </c>
      <c r="K610" s="2">
        <v>2.25</v>
      </c>
      <c r="L610" s="2">
        <v>95</v>
      </c>
      <c r="M610" s="2">
        <v>70</v>
      </c>
      <c r="N610" s="2">
        <v>50</v>
      </c>
      <c r="O610" s="2">
        <v>61</v>
      </c>
      <c r="P610" s="2">
        <v>20</v>
      </c>
      <c r="Q610" s="2" t="s">
        <v>95</v>
      </c>
      <c r="R610" s="10" t="s">
        <v>216</v>
      </c>
      <c r="S610" s="14" t="s">
        <v>213</v>
      </c>
      <c r="T610" s="188">
        <v>1000</v>
      </c>
      <c r="U610" s="8">
        <f t="shared" si="70"/>
        <v>180</v>
      </c>
      <c r="V610" s="234">
        <f t="shared" si="76"/>
        <v>31384.155246160299</v>
      </c>
      <c r="W610" s="15">
        <v>25</v>
      </c>
      <c r="X610" s="8">
        <f t="shared" si="72"/>
        <v>4.5</v>
      </c>
      <c r="Y610" s="233">
        <f t="shared" si="73"/>
        <v>2650.5</v>
      </c>
    </row>
    <row r="611" spans="1:25">
      <c r="A611" s="156" t="e" cm="1">
        <f t="array" aca="1" ref="A611" ca="1">_xlfn.IFS(E611=$AB$42,$AC$42,E611=$AB$43,$AC$43,E611=$AB$44,$AC$44,E611=$AB$45,$AC$45,E611=$AB$46,$AC$46,E611=$AB$47,$AC$47,E611=$AB$48,$AC$48,E611=$AB$49,$AC$49,E611=$AB$50,$AC$50,E611=$AB$51,$AC$51,E611=$AB$52,$AC$52,E611=$AB$53,$AC$53,E611=$AB$54,$AC$54,E611=$AB$55,$AC$55,E611=$AB$56,$AC$56,E611=$AB$57,$AC$57,E611=$AB$58,$AC$58,E611=$AB$59,$AC$59,E611=$AB$60,$AC$60,E611=$AB$61,$AC$61,E611=$AB$62,$AC$62,E611=$AB$63,$AC$63,E611=$AB$64,$AC$64,E611=$AB$65,$AC$65,E611=$AB$66,$AC$66,TRUE,"0")</f>
        <v>#NAME?</v>
      </c>
      <c r="C611" s="161" t="str" cm="1">
        <f t="array" ref="C611">_xlfn.IFS(E611=$AB$42,$AF$42,E611=$AB$43,$AF$43,E611=$AB$44,$AF$44,E611=$AB$45,$AF$45,E611=$AB$46,$AF$46,E611=$AB$47,$AF$47,E611=$AB$48,$AF$48,E611=$AB$49,$AF$49,E611=$AB$50,$AF$50,E611=$AB$51,$AF$51,E611=$AB$52,$AF$52,E611=$AB$53,$AF$53,E611=$AB$54,$AF$54,E611=$AB$55,$AF$55,E611=$AB$56,$AF$56,E611=$AB$57,$AF$57,E611=$AB$58,$AF$58,E611=$AB$59,$AF$59,E611=$AB$60,$AF$60,E611=$AB$61,$AF$61,E611=$AB$62,$AF$62,E611=$AB$63,$AF$63,E611=$AB$64,$AF$64,E611=$AB$65,$AF$65,E611=$AB$66,$AF$66,TRUE,"0")</f>
        <v>if 0-0, BACK+ 0.5 GOALS  @ 1.15+odds.  or @ 40 mins</v>
      </c>
      <c r="D611" s="270" t="str" cm="1">
        <f t="array" ref="D611">_xlfn.IFS(E611=$AB$42,$AD$42,E611=$AB$43,$AD$43,E611=$AB$44,$AD$44,E611=$AB$45,$AD$45,E611=$AB$46,$AD$46,E611=$AB$47,$AD$47,E611=$AB$48,$AD$48,E611=$AB$49,$AD$49,E611=$AB$50,$AD$50,E611=$AB$51,$AD$51,E611=$AB$52,$AD$52,E611=$AB$53,$AD$53,E611=$AB$54,$AD$54,E611=$AB$55,$AD$55,E611=$AB$56,$AD$56,E611=$AB$57,$AD$57,E611=$AB$58,$AD$58,E611=$AB$59,$AD$59,E611=$AB$60,$AD$60,E611=$AB$61,$AD$61,E611=$AB$62,$AD$62,E611=$AB$63,$AD$63,E611=$AB$64,$AD$64,E611=$AB$65,$AD$65,E611=$AB$66,$AD$66,TRUE,"0")</f>
        <v>IP</v>
      </c>
      <c r="E611" s="163" t="s">
        <v>270</v>
      </c>
      <c r="F611" s="2" t="s">
        <v>13</v>
      </c>
      <c r="G611" s="2" t="s">
        <v>37</v>
      </c>
      <c r="H611" s="3">
        <v>45367.625</v>
      </c>
      <c r="I611" s="2" t="s">
        <v>38</v>
      </c>
      <c r="J611" s="2" t="s">
        <v>319</v>
      </c>
      <c r="K611" s="2">
        <v>59</v>
      </c>
      <c r="L611" s="2">
        <v>0</v>
      </c>
      <c r="M611" s="2">
        <v>20</v>
      </c>
      <c r="N611" s="2">
        <v>29</v>
      </c>
      <c r="O611" s="2">
        <v>2.9</v>
      </c>
      <c r="P611" s="2"/>
      <c r="Q611" s="2" t="s">
        <v>95</v>
      </c>
      <c r="R611" s="10" t="s">
        <v>193</v>
      </c>
      <c r="S611" s="14" t="s">
        <v>193</v>
      </c>
      <c r="T611" s="188">
        <v>1000</v>
      </c>
      <c r="U611" s="8">
        <f t="shared" si="70"/>
        <v>180</v>
      </c>
      <c r="V611" s="234">
        <f t="shared" si="76"/>
        <v>31564.155246160299</v>
      </c>
      <c r="W611" s="15">
        <v>25</v>
      </c>
      <c r="X611" s="8">
        <f t="shared" si="72"/>
        <v>4.5</v>
      </c>
      <c r="Y611" s="233">
        <f t="shared" si="73"/>
        <v>2655</v>
      </c>
    </row>
    <row r="612" spans="1:25">
      <c r="A612" s="156" t="e" cm="1">
        <f t="array" aca="1" ref="A612" ca="1">_xlfn.IFS(E612=$AB$42,$AC$42,E612=$AB$43,$AC$43,E612=$AB$44,$AC$44,E612=$AB$45,$AC$45,E612=$AB$46,$AC$46,E612=$AB$47,$AC$47,E612=$AB$48,$AC$48,E612=$AB$49,$AC$49,E612=$AB$50,$AC$50,E612=$AB$51,$AC$51,E612=$AB$52,$AC$52,E612=$AB$53,$AC$53,E612=$AB$54,$AC$54,E612=$AB$55,$AC$55,E612=$AB$56,$AC$56,E612=$AB$57,$AC$57,E612=$AB$58,$AC$58,E612=$AB$59,$AC$59,E612=$AB$60,$AC$60,E612=$AB$61,$AC$61,E612=$AB$62,$AC$62,E612=$AB$63,$AC$63,E612=$AB$64,$AC$64,E612=$AB$65,$AC$65,E612=$AB$66,$AC$66,TRUE,"0")</f>
        <v>#NAME?</v>
      </c>
      <c r="C612" s="161" t="str" cm="1">
        <f t="array" ref="C612">_xlfn.IFS(E612=$AB$42,$AF$42,E612=$AB$43,$AF$43,E612=$AB$44,$AF$44,E612=$AB$45,$AF$45,E612=$AB$46,$AF$46,E612=$AB$47,$AF$47,E612=$AB$48,$AF$48,E612=$AB$49,$AF$49,E612=$AB$50,$AF$50,E612=$AB$51,$AF$51,E612=$AB$52,$AF$52,E612=$AB$53,$AF$53,E612=$AB$54,$AF$54,E612=$AB$55,$AF$55,E612=$AB$56,$AF$56,E612=$AB$57,$AF$57,E612=$AB$58,$AF$58,E612=$AB$59,$AF$59,E612=$AB$60,$AF$60,E612=$AB$61,$AF$61,E612=$AB$62,$AF$62,E612=$AB$63,$AF$63,E612=$AB$64,$AF$64,E612=$AB$65,$AF$65,E612=$AB$66,$AF$66,TRUE,"0")</f>
        <v>if 0-0, BACK+ 0.5 GOALS  @ 1.15+odds.  or @ 40 mins</v>
      </c>
      <c r="D612" s="270" t="str" cm="1">
        <f t="array" ref="D612">_xlfn.IFS(E612=$AB$42,$AD$42,E612=$AB$43,$AD$43,E612=$AB$44,$AD$44,E612=$AB$45,$AD$45,E612=$AB$46,$AD$46,E612=$AB$47,$AD$47,E612=$AB$48,$AD$48,E612=$AB$49,$AD$49,E612=$AB$50,$AD$50,E612=$AB$51,$AD$51,E612=$AB$52,$AD$52,E612=$AB$53,$AD$53,E612=$AB$54,$AD$54,E612=$AB$55,$AD$55,E612=$AB$56,$AD$56,E612=$AB$57,$AD$57,E612=$AB$58,$AD$58,E612=$AB$59,$AD$59,E612=$AB$60,$AD$60,E612=$AB$61,$AD$61,E612=$AB$62,$AD$62,E612=$AB$63,$AD$63,E612=$AB$64,$AD$64,E612=$AB$65,$AD$65,E612=$AB$66,$AD$66,TRUE,"0")</f>
        <v>IP</v>
      </c>
      <c r="E612" s="163" t="s">
        <v>270</v>
      </c>
      <c r="F612" s="2" t="s">
        <v>6</v>
      </c>
      <c r="G612" s="2" t="s">
        <v>14</v>
      </c>
      <c r="H612" s="3">
        <v>45367.625</v>
      </c>
      <c r="I612" s="2" t="s">
        <v>262</v>
      </c>
      <c r="J612" s="2" t="s">
        <v>421</v>
      </c>
      <c r="K612" s="2">
        <v>67</v>
      </c>
      <c r="L612" s="2">
        <v>0</v>
      </c>
      <c r="M612" s="2">
        <v>20</v>
      </c>
      <c r="N612" s="2">
        <v>40</v>
      </c>
      <c r="O612" s="2">
        <v>1.96</v>
      </c>
      <c r="P612" s="2"/>
      <c r="Q612" s="2" t="s">
        <v>96</v>
      </c>
      <c r="R612" s="10" t="s">
        <v>221</v>
      </c>
      <c r="S612" s="14" t="s">
        <v>221</v>
      </c>
      <c r="T612" s="188">
        <v>1000</v>
      </c>
      <c r="U612" s="8">
        <f t="shared" si="70"/>
        <v>-1000</v>
      </c>
      <c r="V612" s="234">
        <f t="shared" si="76"/>
        <v>30564.155246160299</v>
      </c>
      <c r="W612" s="15">
        <v>25</v>
      </c>
      <c r="X612" s="8">
        <f t="shared" si="72"/>
        <v>-25</v>
      </c>
      <c r="Y612" s="233">
        <f t="shared" si="73"/>
        <v>2630</v>
      </c>
    </row>
    <row r="613" spans="1:25">
      <c r="A613" s="156" t="e" cm="1">
        <f t="array" aca="1" ref="A613" ca="1">_xlfn.IFS(E613=$AB$42,$AC$42,E613=$AB$43,$AC$43,E613=$AB$44,$AC$44,E613=$AB$45,$AC$45,E613=$AB$46,$AC$46,E613=$AB$47,$AC$47,E613=$AB$48,$AC$48,E613=$AB$49,$AC$49,E613=$AB$50,$AC$50,E613=$AB$51,$AC$51,E613=$AB$52,$AC$52,E613=$AB$53,$AC$53,E613=$AB$54,$AC$54,E613=$AB$55,$AC$55,E613=$AB$56,$AC$56,E613=$AB$57,$AC$57,E613=$AB$58,$AC$58,E613=$AB$59,$AC$59,E613=$AB$60,$AC$60,E613=$AB$61,$AC$61,E613=$AB$62,$AC$62,E613=$AB$63,$AC$63,E613=$AB$64,$AC$64,E613=$AB$65,$AC$65,E613=$AB$66,$AC$66,TRUE,"0")</f>
        <v>#NAME?</v>
      </c>
      <c r="C613" s="161" t="str" cm="1">
        <f t="array" ref="C613">_xlfn.IFS(E613=$AB$42,$AF$42,E613=$AB$43,$AF$43,E613=$AB$44,$AF$44,E613=$AB$45,$AF$45,E613=$AB$46,$AF$46,E613=$AB$47,$AF$47,E613=$AB$48,$AF$48,E613=$AB$49,$AF$49,E613=$AB$50,$AF$50,E613=$AB$51,$AF$51,E613=$AB$52,$AF$52,E613=$AB$53,$AF$53,E613=$AB$54,$AF$54,E613=$AB$55,$AF$55,E613=$AB$56,$AF$56,E613=$AB$57,$AF$57,E613=$AB$58,$AF$58,E613=$AB$59,$AF$59,E613=$AB$60,$AF$60,E613=$AB$61,$AF$61,E613=$AB$62,$AF$62,E613=$AB$63,$AF$63,E613=$AB$64,$AF$64,E613=$AB$65,$AF$65,E613=$AB$66,$AF$66,TRUE,"0")</f>
        <v>10mins if  0-0, BACK over 1.5 goals X after goal OR LET RUN</v>
      </c>
      <c r="D613" s="270" t="str" cm="1">
        <f t="array" ref="D613">_xlfn.IFS(E613=$AB$42,$AD$42,E613=$AB$43,$AD$43,E613=$AB$44,$AD$44,E613=$AB$45,$AD$45,E613=$AB$46,$AD$46,E613=$AB$47,$AD$47,E613=$AB$48,$AD$48,E613=$AB$49,$AD$49,E613=$AB$50,$AD$50,E613=$AB$51,$AD$51,E613=$AB$52,$AD$52,E613=$AB$53,$AD$53,E613=$AB$54,$AD$54,E613=$AB$55,$AD$55,E613=$AB$56,$AD$56,E613=$AB$57,$AD$57,E613=$AB$58,$AD$58,E613=$AB$59,$AD$59,E613=$AB$60,$AD$60,E613=$AB$61,$AD$61,E613=$AB$62,$AD$62,E613=$AB$63,$AD$63,E613=$AB$64,$AD$64,E613=$AB$65,$AD$65,E613=$AB$66,$AD$66,TRUE,"0")</f>
        <v>IP</v>
      </c>
      <c r="E613" s="163" t="s">
        <v>498</v>
      </c>
      <c r="F613" s="2" t="s">
        <v>6</v>
      </c>
      <c r="G613" s="2" t="s">
        <v>11</v>
      </c>
      <c r="H613" s="3">
        <v>45367.625</v>
      </c>
      <c r="I613" s="2" t="s">
        <v>263</v>
      </c>
      <c r="J613" s="2" t="s">
        <v>585</v>
      </c>
      <c r="K613" s="2">
        <v>64</v>
      </c>
      <c r="L613" s="2">
        <v>85</v>
      </c>
      <c r="M613" s="2">
        <v>1.45</v>
      </c>
      <c r="N613" s="2">
        <v>20</v>
      </c>
      <c r="O613" s="2"/>
      <c r="P613" s="2"/>
      <c r="Q613" s="2" t="s">
        <v>95</v>
      </c>
      <c r="R613" s="10" t="s">
        <v>214</v>
      </c>
      <c r="S613" s="14" t="s">
        <v>214</v>
      </c>
      <c r="T613" s="188">
        <v>1000</v>
      </c>
      <c r="U613" s="8">
        <f t="shared" si="70"/>
        <v>180</v>
      </c>
      <c r="V613" s="234">
        <f t="shared" si="76"/>
        <v>30744.155246160299</v>
      </c>
      <c r="W613" s="15">
        <v>25</v>
      </c>
      <c r="X613" s="8">
        <f t="shared" si="72"/>
        <v>4.5</v>
      </c>
      <c r="Y613" s="233">
        <f t="shared" si="73"/>
        <v>2634.5</v>
      </c>
    </row>
    <row r="614" spans="1:25">
      <c r="A614" s="156" t="e" cm="1">
        <f t="array" aca="1" ref="A614" ca="1">_xlfn.IFS(E614=$AB$42,$AC$42,E614=$AB$43,$AC$43,E614=$AB$44,$AC$44,E614=$AB$45,$AC$45,E614=$AB$46,$AC$46,E614=$AB$47,$AC$47,E614=$AB$48,$AC$48,E614=$AB$49,$AC$49,E614=$AB$50,$AC$50,E614=$AB$51,$AC$51,E614=$AB$52,$AC$52,E614=$AB$53,$AC$53,E614=$AB$54,$AC$54,E614=$AB$55,$AC$55,E614=$AB$56,$AC$56,E614=$AB$57,$AC$57,E614=$AB$58,$AC$58,E614=$AB$59,$AC$59,E614=$AB$60,$AC$60,E614=$AB$61,$AC$61,E614=$AB$62,$AC$62,E614=$AB$63,$AC$63,E614=$AB$64,$AC$64,E614=$AB$65,$AC$65,E614=$AB$66,$AC$66,TRUE,"0")</f>
        <v>#NAME?</v>
      </c>
      <c r="C614" s="161" t="str" cm="1">
        <f t="array" ref="C614">_xlfn.IFS(E614=$AB$42,$AF$42,E614=$AB$43,$AF$43,E614=$AB$44,$AF$44,E614=$AB$45,$AF$45,E614=$AB$46,$AF$46,E614=$AB$47,$AF$47,E614=$AB$48,$AF$48,E614=$AB$49,$AF$49,E614=$AB$50,$AF$50,E614=$AB$51,$AF$51,E614=$AB$52,$AF$52,E614=$AB$53,$AF$53,E614=$AB$54,$AF$54,E614=$AB$55,$AF$55,E614=$AB$56,$AF$56,E614=$AB$57,$AF$57,E614=$AB$58,$AF$58,E614=$AB$59,$AF$59,E614=$AB$60,$AF$60,E614=$AB$61,$AF$61,E614=$AB$62,$AF$62,E614=$AB$63,$AF$63,E614=$AB$64,$AF$64,E614=$AB$65,$AF$65,E614=$AB$66,$AF$66,TRUE,"0")</f>
        <v>15mins if  0-0, BACK over 1.5 goals X after goal OR LET RUN</v>
      </c>
      <c r="D614" s="270" t="str" cm="1">
        <f t="array" ref="D614">_xlfn.IFS(E614=$AB$42,$AD$42,E614=$AB$43,$AD$43,E614=$AB$44,$AD$44,E614=$AB$45,$AD$45,E614=$AB$46,$AD$46,E614=$AB$47,$AD$47,E614=$AB$48,$AD$48,E614=$AB$49,$AD$49,E614=$AB$50,$AD$50,E614=$AB$51,$AD$51,E614=$AB$52,$AD$52,E614=$AB$53,$AD$53,E614=$AB$54,$AD$54,E614=$AB$55,$AD$55,E614=$AB$56,$AD$56,E614=$AB$57,$AD$57,E614=$AB$58,$AD$58,E614=$AB$59,$AD$59,E614=$AB$60,$AD$60,E614=$AB$61,$AD$61,E614=$AB$62,$AD$62,E614=$AB$63,$AD$63,E614=$AB$64,$AD$64,E614=$AB$65,$AD$65,E614=$AB$66,$AD$66,TRUE,"0")</f>
        <v>IP</v>
      </c>
      <c r="E614" s="163" t="s">
        <v>473</v>
      </c>
      <c r="F614" s="2" t="s">
        <v>6</v>
      </c>
      <c r="G614" s="2" t="s">
        <v>11</v>
      </c>
      <c r="H614" s="3">
        <v>45367.625</v>
      </c>
      <c r="I614" s="2" t="s">
        <v>263</v>
      </c>
      <c r="J614" s="2" t="s">
        <v>585</v>
      </c>
      <c r="K614" s="2">
        <v>64</v>
      </c>
      <c r="L614" s="2">
        <v>85</v>
      </c>
      <c r="M614" s="2">
        <v>20</v>
      </c>
      <c r="N614" s="2">
        <v>2.9</v>
      </c>
      <c r="O614" s="2"/>
      <c r="P614" s="2"/>
      <c r="Q614" s="2" t="s">
        <v>95</v>
      </c>
      <c r="R614" s="10" t="s">
        <v>214</v>
      </c>
      <c r="S614" s="14" t="s">
        <v>214</v>
      </c>
      <c r="T614" s="188">
        <v>1000</v>
      </c>
      <c r="U614" s="8">
        <f t="shared" si="70"/>
        <v>180</v>
      </c>
      <c r="V614" s="234">
        <f t="shared" si="76"/>
        <v>30924.155246160299</v>
      </c>
      <c r="W614" s="15">
        <v>25</v>
      </c>
      <c r="X614" s="8">
        <f t="shared" si="72"/>
        <v>4.5</v>
      </c>
      <c r="Y614" s="233">
        <f t="shared" si="73"/>
        <v>2639</v>
      </c>
    </row>
    <row r="615" spans="1:25">
      <c r="A615" s="156" t="e" cm="1">
        <f t="array" aca="1" ref="A615" ca="1">_xlfn.IFS(E615=$AB$42,$AC$42,E615=$AB$43,$AC$43,E615=$AB$44,$AC$44,E615=$AB$45,$AC$45,E615=$AB$46,$AC$46,E615=$AB$47,$AC$47,E615=$AB$48,$AC$48,E615=$AB$49,$AC$49,E615=$AB$50,$AC$50,E615=$AB$51,$AC$51,E615=$AB$52,$AC$52,E615=$AB$53,$AC$53,E615=$AB$54,$AC$54,E615=$AB$55,$AC$55,E615=$AB$56,$AC$56,E615=$AB$57,$AC$57,E615=$AB$58,$AC$58,E615=$AB$59,$AC$59,E615=$AB$60,$AC$60,E615=$AB$61,$AC$61,E615=$AB$62,$AC$62,E615=$AB$63,$AC$63,E615=$AB$64,$AC$64,E615=$AB$65,$AC$65,E615=$AB$66,$AC$66,TRUE,"0")</f>
        <v>#NAME?</v>
      </c>
      <c r="C615" s="161" t="str" cm="1">
        <f t="array" ref="C615">_xlfn.IFS(E615=$AB$42,$AF$42,E615=$AB$43,$AF$43,E615=$AB$44,$AF$44,E615=$AB$45,$AF$45,E615=$AB$46,$AF$46,E615=$AB$47,$AF$47,E615=$AB$48,$AF$48,E615=$AB$49,$AF$49,E615=$AB$50,$AF$50,E615=$AB$51,$AF$51,E615=$AB$52,$AF$52,E615=$AB$53,$AF$53,E615=$AB$54,$AF$54,E615=$AB$55,$AF$55,E615=$AB$56,$AF$56,E615=$AB$57,$AF$57,E615=$AB$58,$AF$58,E615=$AB$59,$AF$59,E615=$AB$60,$AF$60,E615=$AB$61,$AF$61,E615=$AB$62,$AF$62,E615=$AB$63,$AF$63,E615=$AB$64,$AF$64,E615=$AB$65,$AF$65,E615=$AB$66,$AF$66,TRUE,"0")</f>
        <v>20mins if  0-0, BACK over 1.5 goals X after goal OR LET RUN</v>
      </c>
      <c r="D615" s="270" t="str" cm="1">
        <f t="array" ref="D615">_xlfn.IFS(E615=$AB$42,$AD$42,E615=$AB$43,$AD$43,E615=$AB$44,$AD$44,E615=$AB$45,$AD$45,E615=$AB$46,$AD$46,E615=$AB$47,$AD$47,E615=$AB$48,$AD$48,E615=$AB$49,$AD$49,E615=$AB$50,$AD$50,E615=$AB$51,$AD$51,E615=$AB$52,$AD$52,E615=$AB$53,$AD$53,E615=$AB$54,$AD$54,E615=$AB$55,$AD$55,E615=$AB$56,$AD$56,E615=$AB$57,$AD$57,E615=$AB$58,$AD$58,E615=$AB$59,$AD$59,E615=$AB$60,$AD$60,E615=$AB$61,$AD$61,E615=$AB$62,$AD$62,E615=$AB$63,$AD$63,E615=$AB$64,$AD$64,E615=$AB$65,$AD$65,E615=$AB$66,$AD$66,TRUE,"0")</f>
        <v>IP</v>
      </c>
      <c r="E615" s="163" t="s">
        <v>474</v>
      </c>
      <c r="F615" s="2" t="s">
        <v>6</v>
      </c>
      <c r="G615" s="2" t="s">
        <v>11</v>
      </c>
      <c r="H615" s="3">
        <v>45367.625</v>
      </c>
      <c r="I615" s="2" t="s">
        <v>263</v>
      </c>
      <c r="J615" s="2" t="s">
        <v>585</v>
      </c>
      <c r="K615" s="2">
        <v>52</v>
      </c>
      <c r="L615" s="2">
        <v>2.9</v>
      </c>
      <c r="M615" s="2">
        <v>20</v>
      </c>
      <c r="N615" s="2">
        <v>65</v>
      </c>
      <c r="O615" s="2">
        <v>85</v>
      </c>
      <c r="P615" s="2"/>
      <c r="Q615" s="2" t="s">
        <v>95</v>
      </c>
      <c r="R615" s="10" t="s">
        <v>214</v>
      </c>
      <c r="S615" s="14" t="s">
        <v>214</v>
      </c>
      <c r="T615" s="188">
        <v>1000</v>
      </c>
      <c r="U615" s="8">
        <f t="shared" si="70"/>
        <v>180</v>
      </c>
      <c r="V615" s="234">
        <f t="shared" si="76"/>
        <v>31104.155246160299</v>
      </c>
      <c r="W615" s="15">
        <v>25</v>
      </c>
      <c r="X615" s="8">
        <f t="shared" si="72"/>
        <v>4.5</v>
      </c>
      <c r="Y615" s="233">
        <f t="shared" si="73"/>
        <v>2643.5</v>
      </c>
    </row>
    <row r="616" spans="1:25">
      <c r="A616" s="156" t="e" cm="1">
        <f t="array" aca="1" ref="A616" ca="1">_xlfn.IFS(E616=$AB$42,$AC$42,E616=$AB$43,$AC$43,E616=$AB$44,$AC$44,E616=$AB$45,$AC$45,E616=$AB$46,$AC$46,E616=$AB$47,$AC$47,E616=$AB$48,$AC$48,E616=$AB$49,$AC$49,E616=$AB$50,$AC$50,E616=$AB$51,$AC$51,E616=$AB$52,$AC$52,E616=$AB$53,$AC$53,E616=$AB$54,$AC$54,E616=$AB$55,$AC$55,E616=$AB$56,$AC$56,E616=$AB$57,$AC$57,E616=$AB$58,$AC$58,E616=$AB$59,$AC$59,E616=$AB$60,$AC$60,E616=$AB$61,$AC$61,E616=$AB$62,$AC$62,E616=$AB$63,$AC$63,E616=$AB$64,$AC$64,E616=$AB$65,$AC$65,E616=$AB$66,$AC$66,TRUE,"0")</f>
        <v>#NAME?</v>
      </c>
      <c r="C616" s="161" t="str" cm="1">
        <f t="array" ref="C616">_xlfn.IFS(E616=$AB$42,$AF$42,E616=$AB$43,$AF$43,E616=$AB$44,$AF$44,E616=$AB$45,$AF$45,E616=$AB$46,$AF$46,E616=$AB$47,$AF$47,E616=$AB$48,$AF$48,E616=$AB$49,$AF$49,E616=$AB$50,$AF$50,E616=$AB$51,$AF$51,E616=$AB$52,$AF$52,E616=$AB$53,$AF$53,E616=$AB$54,$AF$54,E616=$AB$55,$AF$55,E616=$AB$56,$AF$56,E616=$AB$57,$AF$57,E616=$AB$58,$AF$58,E616=$AB$59,$AF$59,E616=$AB$60,$AF$60,E616=$AB$61,$AF$61,E616=$AB$62,$AF$62,E616=$AB$63,$AF$63,E616=$AB$64,$AF$64,E616=$AB$65,$AF$65,E616=$AB$66,$AF$66,TRUE,"0")</f>
        <v>if 0-0, BACK+ 0.5 GOALS  @ 1.15+odds.  or @ 40 mins</v>
      </c>
      <c r="D616" s="270" t="str" cm="1">
        <f t="array" ref="D616">_xlfn.IFS(E616=$AB$42,$AD$42,E616=$AB$43,$AD$43,E616=$AB$44,$AD$44,E616=$AB$45,$AD$45,E616=$AB$46,$AD$46,E616=$AB$47,$AD$47,E616=$AB$48,$AD$48,E616=$AB$49,$AD$49,E616=$AB$50,$AD$50,E616=$AB$51,$AD$51,E616=$AB$52,$AD$52,E616=$AB$53,$AD$53,E616=$AB$54,$AD$54,E616=$AB$55,$AD$55,E616=$AB$56,$AD$56,E616=$AB$57,$AD$57,E616=$AB$58,$AD$58,E616=$AB$59,$AD$59,E616=$AB$60,$AD$60,E616=$AB$61,$AD$61,E616=$AB$62,$AD$62,E616=$AB$63,$AD$63,E616=$AB$64,$AD$64,E616=$AB$65,$AD$65,E616=$AB$66,$AD$66,TRUE,"0")</f>
        <v>IP</v>
      </c>
      <c r="E616" s="163" t="s">
        <v>270</v>
      </c>
      <c r="F616" s="2" t="s">
        <v>119</v>
      </c>
      <c r="G616" s="2" t="s">
        <v>120</v>
      </c>
      <c r="H616" s="3">
        <v>45367.635416666664</v>
      </c>
      <c r="I616" s="2" t="s">
        <v>348</v>
      </c>
      <c r="J616" s="2" t="s">
        <v>122</v>
      </c>
      <c r="K616" s="2">
        <v>60</v>
      </c>
      <c r="L616" s="2">
        <v>0</v>
      </c>
      <c r="M616" s="2">
        <v>20</v>
      </c>
      <c r="N616" s="2">
        <v>37</v>
      </c>
      <c r="O616" s="2">
        <v>2.14</v>
      </c>
      <c r="P616" s="2"/>
      <c r="Q616" s="2" t="s">
        <v>95</v>
      </c>
      <c r="R616" s="10" t="s">
        <v>223</v>
      </c>
      <c r="S616" s="14" t="s">
        <v>365</v>
      </c>
      <c r="T616" s="188">
        <v>1000</v>
      </c>
      <c r="U616" s="8">
        <f t="shared" si="70"/>
        <v>180</v>
      </c>
      <c r="V616" s="234">
        <f t="shared" si="76"/>
        <v>31284.155246160299</v>
      </c>
      <c r="W616" s="15">
        <v>25</v>
      </c>
      <c r="X616" s="8">
        <f t="shared" si="72"/>
        <v>4.5</v>
      </c>
      <c r="Y616" s="233">
        <f t="shared" si="73"/>
        <v>2648</v>
      </c>
    </row>
    <row r="617" spans="1:25">
      <c r="A617" s="156" t="e" cm="1">
        <f t="array" aca="1" ref="A617" ca="1">_xlfn.IFS(E617=$AB$42,$AC$42,E617=$AB$43,$AC$43,E617=$AB$44,$AC$44,E617=$AB$45,$AC$45,E617=$AB$46,$AC$46,E617=$AB$47,$AC$47,E617=$AB$48,$AC$48,E617=$AB$49,$AC$49,E617=$AB$50,$AC$50,E617=$AB$51,$AC$51,E617=$AB$52,$AC$52,E617=$AB$53,$AC$53,E617=$AB$54,$AC$54,E617=$AB$55,$AC$55,E617=$AB$56,$AC$56,E617=$AB$57,$AC$57,E617=$AB$58,$AC$58,E617=$AB$59,$AC$59,E617=$AB$60,$AC$60,E617=$AB$61,$AC$61,E617=$AB$62,$AC$62,E617=$AB$63,$AC$63,E617=$AB$64,$AC$64,E617=$AB$65,$AC$65,E617=$AB$66,$AC$66,TRUE,"0")</f>
        <v>#NAME?</v>
      </c>
      <c r="C617" s="161" t="str" cm="1">
        <f t="array" ref="C617">_xlfn.IFS(E617=$AB$42,$AF$42,E617=$AB$43,$AF$43,E617=$AB$44,$AF$44,E617=$AB$45,$AF$45,E617=$AB$46,$AF$46,E617=$AB$47,$AF$47,E617=$AB$48,$AF$48,E617=$AB$49,$AF$49,E617=$AB$50,$AF$50,E617=$AB$51,$AF$51,E617=$AB$52,$AF$52,E617=$AB$53,$AF$53,E617=$AB$54,$AF$54,E617=$AB$55,$AF$55,E617=$AB$56,$AF$56,E617=$AB$57,$AF$57,E617=$AB$58,$AF$58,E617=$AB$59,$AF$59,E617=$AB$60,$AF$60,E617=$AB$61,$AF$61,E617=$AB$62,$AF$62,E617=$AB$63,$AF$63,E617=$AB$64,$AF$64,E617=$AB$65,$AF$65,E617=$AB$66,$AF$66,TRUE,"0")</f>
        <v>B4 MATCH bet H1 'under 2.5goals'- X at 40 minutes</v>
      </c>
      <c r="D617" s="270" t="str" cm="1">
        <f t="array" ref="D617">_xlfn.IFS(E617=$AB$42,$AD$42,E617=$AB$43,$AD$43,E617=$AB$44,$AD$44,E617=$AB$45,$AD$45,E617=$AB$46,$AD$46,E617=$AB$47,$AD$47,E617=$AB$48,$AD$48,E617=$AB$49,$AD$49,E617=$AB$50,$AD$50,E617=$AB$51,$AD$51,E617=$AB$52,$AD$52,E617=$AB$53,$AD$53,E617=$AB$54,$AD$54,E617=$AB$55,$AD$55,E617=$AB$56,$AD$56,E617=$AB$57,$AD$57,E617=$AB$58,$AD$58,E617=$AB$59,$AD$59,E617=$AB$60,$AD$60,E617=$AB$61,$AD$61,E617=$AB$62,$AD$62,E617=$AB$63,$AD$63,E617=$AB$64,$AD$64,E617=$AB$65,$AD$65,E617=$AB$66,$AD$66,TRUE,"0")</f>
        <v xml:space="preserve">BFM </v>
      </c>
      <c r="E617" s="164" t="s">
        <v>458</v>
      </c>
      <c r="F617" s="2" t="s">
        <v>586</v>
      </c>
      <c r="G617" s="2" t="s">
        <v>62</v>
      </c>
      <c r="H617" s="3">
        <v>45367.635416666664</v>
      </c>
      <c r="I617" s="2" t="s">
        <v>587</v>
      </c>
      <c r="J617" s="2" t="s">
        <v>588</v>
      </c>
      <c r="K617" s="2">
        <v>20</v>
      </c>
      <c r="L617" s="2">
        <v>80</v>
      </c>
      <c r="M617" s="2">
        <v>95</v>
      </c>
      <c r="N617" s="2">
        <v>38</v>
      </c>
      <c r="O617" s="2">
        <v>1.7</v>
      </c>
      <c r="P617" s="2"/>
      <c r="Q617" s="2" t="s">
        <v>95</v>
      </c>
      <c r="R617" s="10" t="s">
        <v>214</v>
      </c>
      <c r="S617" s="14" t="s">
        <v>220</v>
      </c>
      <c r="T617" s="188">
        <v>1000</v>
      </c>
      <c r="U617" s="8">
        <f t="shared" si="70"/>
        <v>180</v>
      </c>
      <c r="V617" s="234">
        <f t="shared" si="76"/>
        <v>31464.155246160299</v>
      </c>
      <c r="W617" s="15">
        <v>25</v>
      </c>
      <c r="X617" s="8">
        <f t="shared" si="72"/>
        <v>4.5</v>
      </c>
      <c r="Y617" s="233">
        <f t="shared" si="73"/>
        <v>2652.5</v>
      </c>
    </row>
    <row r="618" spans="1:25">
      <c r="A618" s="156" t="e" cm="1">
        <f t="array" aca="1" ref="A618" ca="1">_xlfn.IFS(E618=$AB$42,$AC$42,E618=$AB$43,$AC$43,E618=$AB$44,$AC$44,E618=$AB$45,$AC$45,E618=$AB$46,$AC$46,E618=$AB$47,$AC$47,E618=$AB$48,$AC$48,E618=$AB$49,$AC$49,E618=$AB$50,$AC$50,E618=$AB$51,$AC$51,E618=$AB$52,$AC$52,E618=$AB$53,$AC$53,E618=$AB$54,$AC$54,E618=$AB$55,$AC$55,E618=$AB$56,$AC$56,E618=$AB$57,$AC$57,E618=$AB$58,$AC$58,E618=$AB$59,$AC$59,E618=$AB$60,$AC$60,E618=$AB$61,$AC$61,E618=$AB$62,$AC$62,E618=$AB$63,$AC$63,E618=$AB$64,$AC$64,E618=$AB$65,$AC$65,E618=$AB$66,$AC$66,TRUE,"0")</f>
        <v>#NAME?</v>
      </c>
      <c r="C618" s="161" t="str" cm="1">
        <f t="array" ref="C618">_xlfn.IFS(E618=$AB$42,$AF$42,E618=$AB$43,$AF$43,E618=$AB$44,$AF$44,E618=$AB$45,$AF$45,E618=$AB$46,$AF$46,E618=$AB$47,$AF$47,E618=$AB$48,$AF$48,E618=$AB$49,$AF$49,E618=$AB$50,$AF$50,E618=$AB$51,$AF$51,E618=$AB$52,$AF$52,E618=$AB$53,$AF$53,E618=$AB$54,$AF$54,E618=$AB$55,$AF$55,E618=$AB$56,$AF$56,E618=$AB$57,$AF$57,E618=$AB$58,$AF$58,E618=$AB$59,$AF$59,E618=$AB$60,$AF$60,E618=$AB$61,$AF$61,E618=$AB$62,$AF$62,E618=$AB$63,$AF$63,E618=$AB$64,$AF$64,E618=$AB$65,$AF$65,E618=$AB$66,$AF$66,TRUE,"0")</f>
        <v>10mins if  0-0, BACK over 1.5 goals X after goal OR LET RUN</v>
      </c>
      <c r="D618" s="270" t="str" cm="1">
        <f t="array" ref="D618">_xlfn.IFS(E618=$AB$42,$AD$42,E618=$AB$43,$AD$43,E618=$AB$44,$AD$44,E618=$AB$45,$AD$45,E618=$AB$46,$AD$46,E618=$AB$47,$AD$47,E618=$AB$48,$AD$48,E618=$AB$49,$AD$49,E618=$AB$50,$AD$50,E618=$AB$51,$AD$51,E618=$AB$52,$AD$52,E618=$AB$53,$AD$53,E618=$AB$54,$AD$54,E618=$AB$55,$AD$55,E618=$AB$56,$AD$56,E618=$AB$57,$AD$57,E618=$AB$58,$AD$58,E618=$AB$59,$AD$59,E618=$AB$60,$AD$60,E618=$AB$61,$AD$61,E618=$AB$62,$AD$62,E618=$AB$63,$AD$63,E618=$AB$64,$AD$64,E618=$AB$65,$AD$65,E618=$AB$66,$AD$66,TRUE,"0")</f>
        <v>IP</v>
      </c>
      <c r="E618" s="163" t="s">
        <v>498</v>
      </c>
      <c r="F618" s="2" t="s">
        <v>296</v>
      </c>
      <c r="G618" s="2" t="s">
        <v>525</v>
      </c>
      <c r="H618" s="3">
        <v>45367.708333333336</v>
      </c>
      <c r="I618" s="2" t="s">
        <v>527</v>
      </c>
      <c r="J618" s="2" t="s">
        <v>589</v>
      </c>
      <c r="K618" s="2">
        <v>65</v>
      </c>
      <c r="L618" s="2">
        <v>85</v>
      </c>
      <c r="M618" s="2">
        <v>1.55</v>
      </c>
      <c r="N618" s="2">
        <v>20</v>
      </c>
      <c r="O618" s="2"/>
      <c r="P618" s="2"/>
      <c r="Q618" s="2" t="s">
        <v>95</v>
      </c>
      <c r="R618" s="10" t="s">
        <v>221</v>
      </c>
      <c r="S618" s="14" t="s">
        <v>220</v>
      </c>
      <c r="T618" s="188">
        <v>1000</v>
      </c>
      <c r="U618" s="8">
        <f t="shared" si="70"/>
        <v>180</v>
      </c>
      <c r="V618" s="234">
        <f t="shared" si="76"/>
        <v>31644.155246160299</v>
      </c>
      <c r="W618" s="15">
        <v>25</v>
      </c>
      <c r="X618" s="8">
        <f t="shared" si="72"/>
        <v>4.5</v>
      </c>
      <c r="Y618" s="233">
        <f t="shared" si="73"/>
        <v>2657</v>
      </c>
    </row>
    <row r="619" spans="1:25">
      <c r="A619" s="156" t="e" cm="1">
        <f t="array" aca="1" ref="A619" ca="1">_xlfn.IFS(E619=$AB$42,$AC$42,E619=$AB$43,$AC$43,E619=$AB$44,$AC$44,E619=$AB$45,$AC$45,E619=$AB$46,$AC$46,E619=$AB$47,$AC$47,E619=$AB$48,$AC$48,E619=$AB$49,$AC$49,E619=$AB$50,$AC$50,E619=$AB$51,$AC$51,E619=$AB$52,$AC$52,E619=$AB$53,$AC$53,E619=$AB$54,$AC$54,E619=$AB$55,$AC$55,E619=$AB$56,$AC$56,E619=$AB$57,$AC$57,E619=$AB$58,$AC$58,E619=$AB$59,$AC$59,E619=$AB$60,$AC$60,E619=$AB$61,$AC$61,E619=$AB$62,$AC$62,E619=$AB$63,$AC$63,E619=$AB$64,$AC$64,E619=$AB$65,$AC$65,E619=$AB$66,$AC$66,TRUE,"0")</f>
        <v>#NAME?</v>
      </c>
      <c r="C619" s="161" t="str" cm="1">
        <f t="array" ref="C619">_xlfn.IFS(E619=$AB$42,$AF$42,E619=$AB$43,$AF$43,E619=$AB$44,$AF$44,E619=$AB$45,$AF$45,E619=$AB$46,$AF$46,E619=$AB$47,$AF$47,E619=$AB$48,$AF$48,E619=$AB$49,$AF$49,E619=$AB$50,$AF$50,E619=$AB$51,$AF$51,E619=$AB$52,$AF$52,E619=$AB$53,$AF$53,E619=$AB$54,$AF$54,E619=$AB$55,$AF$55,E619=$AB$56,$AF$56,E619=$AB$57,$AF$57,E619=$AB$58,$AF$58,E619=$AB$59,$AF$59,E619=$AB$60,$AF$60,E619=$AB$61,$AF$61,E619=$AB$62,$AF$62,E619=$AB$63,$AF$63,E619=$AB$64,$AF$64,E619=$AB$65,$AF$65,E619=$AB$66,$AF$66,TRUE,"0")</f>
        <v>40 mins Back ANother Goal</v>
      </c>
      <c r="D619" s="270" t="str" cm="1">
        <f t="array" ref="D619">_xlfn.IFS(E619=$AB$42,$AD$42,E619=$AB$43,$AD$43,E619=$AB$44,$AD$44,E619=$AB$45,$AD$45,E619=$AB$46,$AD$46,E619=$AB$47,$AD$47,E619=$AB$48,$AD$48,E619=$AB$49,$AD$49,E619=$AB$50,$AD$50,E619=$AB$51,$AD$51,E619=$AB$52,$AD$52,E619=$AB$53,$AD$53,E619=$AB$54,$AD$54,E619=$AB$55,$AD$55,E619=$AB$56,$AD$56,E619=$AB$57,$AD$57,E619=$AB$58,$AD$58,E619=$AB$59,$AD$59,E619=$AB$60,$AD$60,E619=$AB$61,$AD$61,E619=$AB$62,$AD$62,E619=$AB$63,$AD$63,E619=$AB$64,$AD$64,E619=$AB$65,$AD$65,E619=$AB$66,$AD$66,TRUE,"0")</f>
        <v xml:space="preserve">  BANG</v>
      </c>
      <c r="E619" s="163" t="s">
        <v>10</v>
      </c>
      <c r="F619" s="2" t="s">
        <v>20</v>
      </c>
      <c r="G619" s="2" t="s">
        <v>21</v>
      </c>
      <c r="H619" s="3">
        <v>45367.708333333336</v>
      </c>
      <c r="I619" s="2" t="s">
        <v>110</v>
      </c>
      <c r="J619" s="2" t="s">
        <v>98</v>
      </c>
      <c r="K619" s="2">
        <v>1.9</v>
      </c>
      <c r="L619" s="2">
        <v>100</v>
      </c>
      <c r="M619" s="2">
        <v>65</v>
      </c>
      <c r="N619" s="2">
        <v>20</v>
      </c>
      <c r="O619" s="2">
        <v>65</v>
      </c>
      <c r="P619" s="2">
        <v>20</v>
      </c>
      <c r="Q619" s="2" t="s">
        <v>96</v>
      </c>
      <c r="R619" s="10" t="s">
        <v>193</v>
      </c>
      <c r="S619" s="14" t="s">
        <v>193</v>
      </c>
      <c r="T619" s="188">
        <v>1000</v>
      </c>
      <c r="U619" s="8">
        <f t="shared" si="70"/>
        <v>-1000</v>
      </c>
      <c r="V619" s="234">
        <f t="shared" ref="V619:V649" si="78">SUM(V618,U619)</f>
        <v>30644.155246160299</v>
      </c>
      <c r="W619" s="15">
        <v>25</v>
      </c>
      <c r="X619" s="8">
        <f t="shared" si="72"/>
        <v>-25</v>
      </c>
      <c r="Y619" s="233">
        <f t="shared" si="73"/>
        <v>2632</v>
      </c>
    </row>
    <row r="620" spans="1:25">
      <c r="A620" s="156" t="e" cm="1">
        <f t="array" aca="1" ref="A620" ca="1">_xlfn.IFS(E620=$AB$42,$AC$42,E620=$AB$43,$AC$43,E620=$AB$44,$AC$44,E620=$AB$45,$AC$45,E620=$AB$46,$AC$46,E620=$AB$47,$AC$47,E620=$AB$48,$AC$48,E620=$AB$49,$AC$49,E620=$AB$50,$AC$50,E620=$AB$51,$AC$51,E620=$AB$52,$AC$52,E620=$AB$53,$AC$53,E620=$AB$54,$AC$54,E620=$AB$55,$AC$55,E620=$AB$56,$AC$56,E620=$AB$57,$AC$57,E620=$AB$58,$AC$58,E620=$AB$59,$AC$59,E620=$AB$60,$AC$60,E620=$AB$61,$AC$61,E620=$AB$62,$AC$62,E620=$AB$63,$AC$63,E620=$AB$64,$AC$64,E620=$AB$65,$AC$65,E620=$AB$66,$AC$66,TRUE,"0")</f>
        <v>#NAME?</v>
      </c>
      <c r="C620" s="161" t="str" cm="1">
        <f t="array" ref="C620">_xlfn.IFS(E620=$AB$42,$AF$42,E620=$AB$43,$AF$43,E620=$AB$44,$AF$44,E620=$AB$45,$AF$45,E620=$AB$46,$AF$46,E620=$AB$47,$AF$47,E620=$AB$48,$AF$48,E620=$AB$49,$AF$49,E620=$AB$50,$AF$50,E620=$AB$51,$AF$51,E620=$AB$52,$AF$52,E620=$AB$53,$AF$53,E620=$AB$54,$AF$54,E620=$AB$55,$AF$55,E620=$AB$56,$AF$56,E620=$AB$57,$AF$57,E620=$AB$58,$AF$58,E620=$AB$59,$AF$59,E620=$AB$60,$AF$60,E620=$AB$61,$AF$61,E620=$AB$62,$AF$62,E620=$AB$63,$AF$63,E620=$AB$64,$AF$64,E620=$AB$65,$AF$65,E620=$AB$66,$AF$66,TRUE,"0")</f>
        <v>40 mins Back ANother Goal</v>
      </c>
      <c r="D620" s="270" t="str" cm="1">
        <f t="array" ref="D620">_xlfn.IFS(E620=$AB$42,$AD$42,E620=$AB$43,$AD$43,E620=$AB$44,$AD$44,E620=$AB$45,$AD$45,E620=$AB$46,$AD$46,E620=$AB$47,$AD$47,E620=$AB$48,$AD$48,E620=$AB$49,$AD$49,E620=$AB$50,$AD$50,E620=$AB$51,$AD$51,E620=$AB$52,$AD$52,E620=$AB$53,$AD$53,E620=$AB$54,$AD$54,E620=$AB$55,$AD$55,E620=$AB$56,$AD$56,E620=$AB$57,$AD$57,E620=$AB$58,$AD$58,E620=$AB$59,$AD$59,E620=$AB$60,$AD$60,E620=$AB$61,$AD$61,E620=$AB$62,$AD$62,E620=$AB$63,$AD$63,E620=$AB$64,$AD$64,E620=$AB$65,$AD$65,E620=$AB$66,$AD$66,TRUE,"0")</f>
        <v xml:space="preserve">  BANG</v>
      </c>
      <c r="E620" s="163" t="s">
        <v>43</v>
      </c>
      <c r="F620" s="2" t="s">
        <v>20</v>
      </c>
      <c r="G620" s="2" t="s">
        <v>21</v>
      </c>
      <c r="H620" s="3">
        <v>45367.708333333336</v>
      </c>
      <c r="I620" s="2" t="s">
        <v>110</v>
      </c>
      <c r="J620" s="2" t="s">
        <v>98</v>
      </c>
      <c r="K620" s="2">
        <v>73</v>
      </c>
      <c r="L620" s="2">
        <v>67</v>
      </c>
      <c r="M620" s="2">
        <v>65</v>
      </c>
      <c r="N620" s="2">
        <v>1.9</v>
      </c>
      <c r="O620" s="2">
        <v>1.5</v>
      </c>
      <c r="P620" s="2"/>
      <c r="Q620" s="2" t="s">
        <v>96</v>
      </c>
      <c r="R620" s="10" t="s">
        <v>193</v>
      </c>
      <c r="S620" s="14" t="s">
        <v>193</v>
      </c>
      <c r="T620" s="188">
        <v>1000</v>
      </c>
      <c r="U620" s="8">
        <f t="shared" si="70"/>
        <v>-1000</v>
      </c>
      <c r="V620" s="234">
        <f t="shared" si="78"/>
        <v>29644.155246160299</v>
      </c>
      <c r="W620" s="15">
        <v>25</v>
      </c>
      <c r="X620" s="8">
        <f t="shared" si="72"/>
        <v>-25</v>
      </c>
      <c r="Y620" s="233">
        <f t="shared" si="73"/>
        <v>2607</v>
      </c>
    </row>
    <row r="621" spans="1:25">
      <c r="A621" s="156" t="e" cm="1">
        <f t="array" aca="1" ref="A621" ca="1">_xlfn.IFS(E621=$AB$42,$AC$42,E621=$AB$43,$AC$43,E621=$AB$44,$AC$44,E621=$AB$45,$AC$45,E621=$AB$46,$AC$46,E621=$AB$47,$AC$47,E621=$AB$48,$AC$48,E621=$AB$49,$AC$49,E621=$AB$50,$AC$50,E621=$AB$51,$AC$51,E621=$AB$52,$AC$52,E621=$AB$53,$AC$53,E621=$AB$54,$AC$54,E621=$AB$55,$AC$55,E621=$AB$56,$AC$56,E621=$AB$57,$AC$57,E621=$AB$58,$AC$58,E621=$AB$59,$AC$59,E621=$AB$60,$AC$60,E621=$AB$61,$AC$61,E621=$AB$62,$AC$62,E621=$AB$63,$AC$63,E621=$AB$64,$AC$64,E621=$AB$65,$AC$65,E621=$AB$66,$AC$66,TRUE,"0")</f>
        <v>#NAME?</v>
      </c>
      <c r="C621" s="161" t="str" cm="1">
        <f t="array" ref="C621">_xlfn.IFS(E621=$AB$42,$AF$42,E621=$AB$43,$AF$43,E621=$AB$44,$AF$44,E621=$AB$45,$AF$45,E621=$AB$46,$AF$46,E621=$AB$47,$AF$47,E621=$AB$48,$AF$48,E621=$AB$49,$AF$49,E621=$AB$50,$AF$50,E621=$AB$51,$AF$51,E621=$AB$52,$AF$52,E621=$AB$53,$AF$53,E621=$AB$54,$AF$54,E621=$AB$55,$AF$55,E621=$AB$56,$AF$56,E621=$AB$57,$AF$57,E621=$AB$58,$AF$58,E621=$AB$59,$AF$59,E621=$AB$60,$AF$60,E621=$AB$61,$AF$61,E621=$AB$62,$AF$62,E621=$AB$63,$AF$63,E621=$AB$64,$AF$64,E621=$AB$65,$AF$65,E621=$AB$66,$AF$66,TRUE,"0")</f>
        <v>if 0-0, BACK+ 0.5 GOALS  @ 1.15+odds.  or @ 40 mins</v>
      </c>
      <c r="D621" s="270" t="str" cm="1">
        <f t="array" ref="D621">_xlfn.IFS(E621=$AB$42,$AD$42,E621=$AB$43,$AD$43,E621=$AB$44,$AD$44,E621=$AB$45,$AD$45,E621=$AB$46,$AD$46,E621=$AB$47,$AD$47,E621=$AB$48,$AD$48,E621=$AB$49,$AD$49,E621=$AB$50,$AD$50,E621=$AB$51,$AD$51,E621=$AB$52,$AD$52,E621=$AB$53,$AD$53,E621=$AB$54,$AD$54,E621=$AB$55,$AD$55,E621=$AB$56,$AD$56,E621=$AB$57,$AD$57,E621=$AB$58,$AD$58,E621=$AB$59,$AD$59,E621=$AB$60,$AD$60,E621=$AB$61,$AD$61,E621=$AB$62,$AD$62,E621=$AB$63,$AD$63,E621=$AB$64,$AD$64,E621=$AB$65,$AD$65,E621=$AB$66,$AD$66,TRUE,"0")</f>
        <v>IP</v>
      </c>
      <c r="E621" s="163" t="s">
        <v>270</v>
      </c>
      <c r="F621" s="2" t="s">
        <v>20</v>
      </c>
      <c r="G621" s="2" t="s">
        <v>21</v>
      </c>
      <c r="H621" s="3">
        <v>45367.708333333336</v>
      </c>
      <c r="I621" s="2" t="s">
        <v>110</v>
      </c>
      <c r="J621" s="2" t="s">
        <v>98</v>
      </c>
      <c r="K621" s="2">
        <v>69</v>
      </c>
      <c r="L621" s="2">
        <v>0</v>
      </c>
      <c r="M621" s="2">
        <v>20</v>
      </c>
      <c r="N621" s="2">
        <v>40</v>
      </c>
      <c r="O621" s="2">
        <v>2.58</v>
      </c>
      <c r="P621" s="2"/>
      <c r="Q621" s="2" t="s">
        <v>95</v>
      </c>
      <c r="R621" s="10" t="s">
        <v>193</v>
      </c>
      <c r="S621" s="14" t="s">
        <v>193</v>
      </c>
      <c r="T621" s="188">
        <v>1000</v>
      </c>
      <c r="U621" s="8">
        <f t="shared" si="70"/>
        <v>180</v>
      </c>
      <c r="V621" s="234">
        <f t="shared" si="78"/>
        <v>29824.155246160299</v>
      </c>
      <c r="W621" s="15">
        <v>25</v>
      </c>
      <c r="X621" s="8">
        <f t="shared" si="72"/>
        <v>4.5</v>
      </c>
      <c r="Y621" s="233">
        <f t="shared" si="73"/>
        <v>2611.5</v>
      </c>
    </row>
    <row r="622" spans="1:25">
      <c r="A622" s="156" t="e" cm="1">
        <f t="array" aca="1" ref="A622" ca="1">_xlfn.IFS(E622=$AB$42,$AC$42,E622=$AB$43,$AC$43,E622=$AB$44,$AC$44,E622=$AB$45,$AC$45,E622=$AB$46,$AC$46,E622=$AB$47,$AC$47,E622=$AB$48,$AC$48,E622=$AB$49,$AC$49,E622=$AB$50,$AC$50,E622=$AB$51,$AC$51,E622=$AB$52,$AC$52,E622=$AB$53,$AC$53,E622=$AB$54,$AC$54,E622=$AB$55,$AC$55,E622=$AB$56,$AC$56,E622=$AB$57,$AC$57,E622=$AB$58,$AC$58,E622=$AB$59,$AC$59,E622=$AB$60,$AC$60,E622=$AB$61,$AC$61,E622=$AB$62,$AC$62,E622=$AB$63,$AC$63,E622=$AB$64,$AC$64,E622=$AB$65,$AC$65,E622=$AB$66,$AC$66,TRUE,"0")</f>
        <v>#NAME?</v>
      </c>
      <c r="C622" s="161" t="str" cm="1">
        <f t="array" ref="C622">_xlfn.IFS(E622=$AB$42,$AF$42,E622=$AB$43,$AF$43,E622=$AB$44,$AF$44,E622=$AB$45,$AF$45,E622=$AB$46,$AF$46,E622=$AB$47,$AF$47,E622=$AB$48,$AF$48,E622=$AB$49,$AF$49,E622=$AB$50,$AF$50,E622=$AB$51,$AF$51,E622=$AB$52,$AF$52,E622=$AB$53,$AF$53,E622=$AB$54,$AF$54,E622=$AB$55,$AF$55,E622=$AB$56,$AF$56,E622=$AB$57,$AF$57,E622=$AB$58,$AF$58,E622=$AB$59,$AF$59,E622=$AB$60,$AF$60,E622=$AB$61,$AF$61,E622=$AB$62,$AF$62,E622=$AB$63,$AF$63,E622=$AB$64,$AF$64,E622=$AB$65,$AF$65,E622=$AB$66,$AF$66,TRUE,"0")</f>
        <v>B4 match BACK FT +1.5 goals. X AFTER  GOAL</v>
      </c>
      <c r="D622" s="270" t="str" cm="1">
        <f t="array" ref="D622">_xlfn.IFS(E622=$AB$42,$AD$42,E622=$AB$43,$AD$43,E622=$AB$44,$AD$44,E622=$AB$45,$AD$45,E622=$AB$46,$AD$46,E622=$AB$47,$AD$47,E622=$AB$48,$AD$48,E622=$AB$49,$AD$49,E622=$AB$50,$AD$50,E622=$AB$51,$AD$51,E622=$AB$52,$AD$52,E622=$AB$53,$AD$53,E622=$AB$54,$AD$54,E622=$AB$55,$AD$55,E622=$AB$56,$AD$56,E622=$AB$57,$AD$57,E622=$AB$58,$AD$58,E622=$AB$59,$AD$59,E622=$AB$60,$AD$60,E622=$AB$61,$AD$61,E622=$AB$62,$AD$62,E622=$AB$63,$AD$63,E622=$AB$64,$AD$64,E622=$AB$65,$AD$65,E622=$AB$66,$AD$66,TRUE,"0")</f>
        <v xml:space="preserve">BFM </v>
      </c>
      <c r="E622" s="163" t="s">
        <v>531</v>
      </c>
      <c r="F622" s="2" t="s">
        <v>77</v>
      </c>
      <c r="G622" s="2" t="s">
        <v>156</v>
      </c>
      <c r="H622" s="3">
        <v>45367.729166666664</v>
      </c>
      <c r="I622" s="2" t="s">
        <v>158</v>
      </c>
      <c r="J622" s="2" t="s">
        <v>168</v>
      </c>
      <c r="K622" s="2">
        <v>6.4</v>
      </c>
      <c r="L622" s="2">
        <v>24</v>
      </c>
      <c r="M622" s="2">
        <v>3.33</v>
      </c>
      <c r="N622" s="2">
        <v>30</v>
      </c>
      <c r="O622" s="2">
        <v>1</v>
      </c>
      <c r="P622" s="2">
        <v>12</v>
      </c>
      <c r="Q622" s="2" t="s">
        <v>95</v>
      </c>
      <c r="R622" s="10" t="s">
        <v>217</v>
      </c>
      <c r="S622" s="14" t="s">
        <v>218</v>
      </c>
      <c r="T622" s="188">
        <v>1000</v>
      </c>
      <c r="U622" s="8">
        <f t="shared" ref="U622:U685" si="79">IF(Q622="won",T622*0.18,-T622)</f>
        <v>180</v>
      </c>
      <c r="V622" s="234">
        <f t="shared" si="78"/>
        <v>30004.155246160299</v>
      </c>
      <c r="W622" s="15">
        <v>25</v>
      </c>
      <c r="X622" s="8">
        <f t="shared" si="72"/>
        <v>4.5</v>
      </c>
      <c r="Y622" s="233">
        <f t="shared" si="73"/>
        <v>2616</v>
      </c>
    </row>
    <row r="623" spans="1:25">
      <c r="A623" s="156" t="e" cm="1">
        <f t="array" aca="1" ref="A623" ca="1">_xlfn.IFS(E623=$AB$42,$AC$42,E623=$AB$43,$AC$43,E623=$AB$44,$AC$44,E623=$AB$45,$AC$45,E623=$AB$46,$AC$46,E623=$AB$47,$AC$47,E623=$AB$48,$AC$48,E623=$AB$49,$AC$49,E623=$AB$50,$AC$50,E623=$AB$51,$AC$51,E623=$AB$52,$AC$52,E623=$AB$53,$AC$53,E623=$AB$54,$AC$54,E623=$AB$55,$AC$55,E623=$AB$56,$AC$56,E623=$AB$57,$AC$57,E623=$AB$58,$AC$58,E623=$AB$59,$AC$59,E623=$AB$60,$AC$60,E623=$AB$61,$AC$61,E623=$AB$62,$AC$62,E623=$AB$63,$AC$63,E623=$AB$64,$AC$64,E623=$AB$65,$AC$65,E623=$AB$66,$AC$66,TRUE,"0")</f>
        <v>#NAME?</v>
      </c>
      <c r="C623" s="161" t="str" cm="1">
        <f t="array" ref="C623">_xlfn.IFS(E623=$AB$42,$AF$42,E623=$AB$43,$AF$43,E623=$AB$44,$AF$44,E623=$AB$45,$AF$45,E623=$AB$46,$AF$46,E623=$AB$47,$AF$47,E623=$AB$48,$AF$48,E623=$AB$49,$AF$49,E623=$AB$50,$AF$50,E623=$AB$51,$AF$51,E623=$AB$52,$AF$52,E623=$AB$53,$AF$53,E623=$AB$54,$AF$54,E623=$AB$55,$AF$55,E623=$AB$56,$AF$56,E623=$AB$57,$AF$57,E623=$AB$58,$AF$58,E623=$AB$59,$AF$59,E623=$AB$60,$AF$60,E623=$AB$61,$AF$61,E623=$AB$62,$AF$62,E623=$AB$63,$AF$63,E623=$AB$64,$AF$64,E623=$AB$65,$AF$65,E623=$AB$66,$AF$66,TRUE,"0")</f>
        <v>40 mins Back ANother Goal</v>
      </c>
      <c r="D623" s="270" t="str" cm="1">
        <f t="array" ref="D623">_xlfn.IFS(E623=$AB$42,$AD$42,E623=$AB$43,$AD$43,E623=$AB$44,$AD$44,E623=$AB$45,$AD$45,E623=$AB$46,$AD$46,E623=$AB$47,$AD$47,E623=$AB$48,$AD$48,E623=$AB$49,$AD$49,E623=$AB$50,$AD$50,E623=$AB$51,$AD$51,E623=$AB$52,$AD$52,E623=$AB$53,$AD$53,E623=$AB$54,$AD$54,E623=$AB$55,$AD$55,E623=$AB$56,$AD$56,E623=$AB$57,$AD$57,E623=$AB$58,$AD$58,E623=$AB$59,$AD$59,E623=$AB$60,$AD$60,E623=$AB$61,$AD$61,E623=$AB$62,$AD$62,E623=$AB$63,$AD$63,E623=$AB$64,$AD$64,E623=$AB$65,$AD$65,E623=$AB$66,$AD$66,TRUE,"0")</f>
        <v xml:space="preserve">  BANG</v>
      </c>
      <c r="E623" s="163" t="s">
        <v>10</v>
      </c>
      <c r="F623" s="2" t="s">
        <v>58</v>
      </c>
      <c r="G623" s="2" t="s">
        <v>59</v>
      </c>
      <c r="H623" s="3">
        <v>45367.75</v>
      </c>
      <c r="I623" s="2" t="s">
        <v>112</v>
      </c>
      <c r="J623" s="2" t="s">
        <v>107</v>
      </c>
      <c r="K623" s="2">
        <v>1.95</v>
      </c>
      <c r="L623" s="2">
        <v>85</v>
      </c>
      <c r="M623" s="2">
        <v>65</v>
      </c>
      <c r="N623" s="2">
        <v>25</v>
      </c>
      <c r="O623" s="2">
        <v>62</v>
      </c>
      <c r="P623" s="2">
        <v>20</v>
      </c>
      <c r="Q623" s="2" t="s">
        <v>95</v>
      </c>
      <c r="R623" s="10" t="s">
        <v>214</v>
      </c>
      <c r="S623" s="14" t="s">
        <v>222</v>
      </c>
      <c r="T623" s="188">
        <v>1000</v>
      </c>
      <c r="U623" s="8">
        <f t="shared" si="79"/>
        <v>180</v>
      </c>
      <c r="V623" s="234">
        <f t="shared" si="78"/>
        <v>30184.155246160299</v>
      </c>
      <c r="W623" s="15">
        <v>25</v>
      </c>
      <c r="X623" s="8">
        <f t="shared" si="72"/>
        <v>4.5</v>
      </c>
      <c r="Y623" s="233">
        <f t="shared" si="73"/>
        <v>2620.5</v>
      </c>
    </row>
    <row r="624" spans="1:25">
      <c r="A624" s="156" t="e" cm="1">
        <f t="array" aca="1" ref="A624" ca="1">_xlfn.IFS(E624=$AB$42,$AC$42,E624=$AB$43,$AC$43,E624=$AB$44,$AC$44,E624=$AB$45,$AC$45,E624=$AB$46,$AC$46,E624=$AB$47,$AC$47,E624=$AB$48,$AC$48,E624=$AB$49,$AC$49,E624=$AB$50,$AC$50,E624=$AB$51,$AC$51,E624=$AB$52,$AC$52,E624=$AB$53,$AC$53,E624=$AB$54,$AC$54,E624=$AB$55,$AC$55,E624=$AB$56,$AC$56,E624=$AB$57,$AC$57,E624=$AB$58,$AC$58,E624=$AB$59,$AC$59,E624=$AB$60,$AC$60,E624=$AB$61,$AC$61,E624=$AB$62,$AC$62,E624=$AB$63,$AC$63,E624=$AB$64,$AC$64,E624=$AB$65,$AC$65,E624=$AB$66,$AC$66,TRUE,"0")</f>
        <v>#NAME?</v>
      </c>
      <c r="C624" s="161" t="str" cm="1">
        <f t="array" ref="C624">_xlfn.IFS(E624=$AB$42,$AF$42,E624=$AB$43,$AF$43,E624=$AB$44,$AF$44,E624=$AB$45,$AF$45,E624=$AB$46,$AF$46,E624=$AB$47,$AF$47,E624=$AB$48,$AF$48,E624=$AB$49,$AF$49,E624=$AB$50,$AF$50,E624=$AB$51,$AF$51,E624=$AB$52,$AF$52,E624=$AB$53,$AF$53,E624=$AB$54,$AF$54,E624=$AB$55,$AF$55,E624=$AB$56,$AF$56,E624=$AB$57,$AF$57,E624=$AB$58,$AF$58,E624=$AB$59,$AF$59,E624=$AB$60,$AF$60,E624=$AB$61,$AF$61,E624=$AB$62,$AF$62,E624=$AB$63,$AF$63,E624=$AB$64,$AF$64,E624=$AB$65,$AF$65,E624=$AB$66,$AF$66,TRUE,"0")</f>
        <v>B4 match BACK FT +1.5 goals. X AFTER  GOAL</v>
      </c>
      <c r="D624" s="270" t="str" cm="1">
        <f t="array" ref="D624">_xlfn.IFS(E624=$AB$42,$AD$42,E624=$AB$43,$AD$43,E624=$AB$44,$AD$44,E624=$AB$45,$AD$45,E624=$AB$46,$AD$46,E624=$AB$47,$AD$47,E624=$AB$48,$AD$48,E624=$AB$49,$AD$49,E624=$AB$50,$AD$50,E624=$AB$51,$AD$51,E624=$AB$52,$AD$52,E624=$AB$53,$AD$53,E624=$AB$54,$AD$54,E624=$AB$55,$AD$55,E624=$AB$56,$AD$56,E624=$AB$57,$AD$57,E624=$AB$58,$AD$58,E624=$AB$59,$AD$59,E624=$AB$60,$AD$60,E624=$AB$61,$AD$61,E624=$AB$62,$AD$62,E624=$AB$63,$AD$63,E624=$AB$64,$AD$64,E624=$AB$65,$AD$65,E624=$AB$66,$AD$66,TRUE,"0")</f>
        <v xml:space="preserve">BFM </v>
      </c>
      <c r="E624" s="163" t="s">
        <v>406</v>
      </c>
      <c r="F624" s="2" t="s">
        <v>67</v>
      </c>
      <c r="G624" s="2" t="s">
        <v>68</v>
      </c>
      <c r="H624" s="3">
        <v>45367.822916666664</v>
      </c>
      <c r="I624" s="2" t="s">
        <v>375</v>
      </c>
      <c r="J624" s="2" t="s">
        <v>408</v>
      </c>
      <c r="K624" s="2">
        <v>1.25</v>
      </c>
      <c r="L624" s="2">
        <v>13</v>
      </c>
      <c r="M624" s="2">
        <v>2.95</v>
      </c>
      <c r="N624" s="2">
        <v>3.35</v>
      </c>
      <c r="O624" s="2">
        <v>2.7</v>
      </c>
      <c r="P624" s="2"/>
      <c r="Q624" s="2" t="s">
        <v>95</v>
      </c>
      <c r="R624" s="10" t="s">
        <v>221</v>
      </c>
      <c r="S624" s="14" t="s">
        <v>193</v>
      </c>
      <c r="T624" s="188">
        <v>1000</v>
      </c>
      <c r="U624" s="8">
        <f t="shared" si="79"/>
        <v>180</v>
      </c>
      <c r="V624" s="234">
        <f t="shared" si="78"/>
        <v>30364.155246160299</v>
      </c>
      <c r="W624" s="15">
        <v>25</v>
      </c>
      <c r="X624" s="8">
        <f t="shared" si="72"/>
        <v>4.5</v>
      </c>
      <c r="Y624" s="233">
        <f t="shared" si="73"/>
        <v>2625</v>
      </c>
    </row>
    <row r="625" spans="1:25">
      <c r="A625" s="156" t="e" cm="1">
        <f t="array" aca="1" ref="A625" ca="1">_xlfn.IFS(E625=$AB$42,$AC$42,E625=$AB$43,$AC$43,E625=$AB$44,$AC$44,E625=$AB$45,$AC$45,E625=$AB$46,$AC$46,E625=$AB$47,$AC$47,E625=$AB$48,$AC$48,E625=$AB$49,$AC$49,E625=$AB$50,$AC$50,E625=$AB$51,$AC$51,E625=$AB$52,$AC$52,E625=$AB$53,$AC$53,E625=$AB$54,$AC$54,E625=$AB$55,$AC$55,E625=$AB$56,$AC$56,E625=$AB$57,$AC$57,E625=$AB$58,$AC$58,E625=$AB$59,$AC$59,E625=$AB$60,$AC$60,E625=$AB$61,$AC$61,E625=$AB$62,$AC$62,E625=$AB$63,$AC$63,E625=$AB$64,$AC$64,E625=$AB$65,$AC$65,E625=$AB$66,$AC$66,TRUE,"0")</f>
        <v>#NAME?</v>
      </c>
      <c r="C625" s="161" t="str" cm="1">
        <f t="array" ref="C625">_xlfn.IFS(E625=$AB$42,$AF$42,E625=$AB$43,$AF$43,E625=$AB$44,$AF$44,E625=$AB$45,$AF$45,E625=$AB$46,$AF$46,E625=$AB$47,$AF$47,E625=$AB$48,$AF$48,E625=$AB$49,$AF$49,E625=$AB$50,$AF$50,E625=$AB$51,$AF$51,E625=$AB$52,$AF$52,E625=$AB$53,$AF$53,E625=$AB$54,$AF$54,E625=$AB$55,$AF$55,E625=$AB$56,$AF$56,E625=$AB$57,$AF$57,E625=$AB$58,$AF$58,E625=$AB$59,$AF$59,E625=$AB$60,$AF$60,E625=$AB$61,$AF$61,E625=$AB$62,$AF$62,E625=$AB$63,$AF$63,E625=$AB$64,$AF$64,E625=$AB$65,$AF$65,E625=$AB$66,$AF$66,TRUE,"0")</f>
        <v>B4 match BACK FT +1.5 goals. X AFTER  GOAL</v>
      </c>
      <c r="D625" s="270" t="str" cm="1">
        <f t="array" ref="D625">_xlfn.IFS(E625=$AB$42,$AD$42,E625=$AB$43,$AD$43,E625=$AB$44,$AD$44,E625=$AB$45,$AD$45,E625=$AB$46,$AD$46,E625=$AB$47,$AD$47,E625=$AB$48,$AD$48,E625=$AB$49,$AD$49,E625=$AB$50,$AD$50,E625=$AB$51,$AD$51,E625=$AB$52,$AD$52,E625=$AB$53,$AD$53,E625=$AB$54,$AD$54,E625=$AB$55,$AD$55,E625=$AB$56,$AD$56,E625=$AB$57,$AD$57,E625=$AB$58,$AD$58,E625=$AB$59,$AD$59,E625=$AB$60,$AD$60,E625=$AB$61,$AD$61,E625=$AB$62,$AD$62,E625=$AB$63,$AD$63,E625=$AB$64,$AD$64,E625=$AB$65,$AD$65,E625=$AB$66,$AD$66,TRUE,"0")</f>
        <v xml:space="preserve">BFM </v>
      </c>
      <c r="E625" s="163" t="s">
        <v>512</v>
      </c>
      <c r="F625" s="2" t="s">
        <v>67</v>
      </c>
      <c r="G625" s="2" t="s">
        <v>68</v>
      </c>
      <c r="H625" s="3">
        <v>45367.822916666664</v>
      </c>
      <c r="I625" s="2" t="s">
        <v>375</v>
      </c>
      <c r="J625" s="2" t="s">
        <v>408</v>
      </c>
      <c r="K625" s="2">
        <v>3.35</v>
      </c>
      <c r="L625" s="2">
        <v>20</v>
      </c>
      <c r="M625" s="2">
        <v>2.95</v>
      </c>
      <c r="N625" s="2">
        <v>29</v>
      </c>
      <c r="O625" s="2">
        <v>2</v>
      </c>
      <c r="P625" s="2">
        <v>10</v>
      </c>
      <c r="Q625" s="2" t="s">
        <v>95</v>
      </c>
      <c r="R625" s="10" t="s">
        <v>221</v>
      </c>
      <c r="S625" s="14" t="s">
        <v>193</v>
      </c>
      <c r="T625" s="188">
        <v>1000</v>
      </c>
      <c r="U625" s="8">
        <f t="shared" si="79"/>
        <v>180</v>
      </c>
      <c r="V625" s="234">
        <f t="shared" si="78"/>
        <v>30544.155246160299</v>
      </c>
      <c r="W625" s="15">
        <v>25</v>
      </c>
      <c r="X625" s="8">
        <f t="shared" si="72"/>
        <v>4.5</v>
      </c>
      <c r="Y625" s="233">
        <f t="shared" si="73"/>
        <v>2629.5</v>
      </c>
    </row>
    <row r="626" spans="1:25">
      <c r="A626" s="156" t="e" cm="1">
        <f t="array" aca="1" ref="A626" ca="1">_xlfn.IFS(E626=$AB$42,$AC$42,E626=$AB$43,$AC$43,E626=$AB$44,$AC$44,E626=$AB$45,$AC$45,E626=$AB$46,$AC$46,E626=$AB$47,$AC$47,E626=$AB$48,$AC$48,E626=$AB$49,$AC$49,E626=$AB$50,$AC$50,E626=$AB$51,$AC$51,E626=$AB$52,$AC$52,E626=$AB$53,$AC$53,E626=$AB$54,$AC$54,E626=$AB$55,$AC$55,E626=$AB$56,$AC$56,E626=$AB$57,$AC$57,E626=$AB$58,$AC$58,E626=$AB$59,$AC$59,E626=$AB$60,$AC$60,E626=$AB$61,$AC$61,E626=$AB$62,$AC$62,E626=$AB$63,$AC$63,E626=$AB$64,$AC$64,E626=$AB$65,$AC$65,E626=$AB$66,$AC$66,TRUE,"0")</f>
        <v>#NAME?</v>
      </c>
      <c r="C626" s="161" t="str" cm="1">
        <f t="array" ref="C626">_xlfn.IFS(E626=$AB$42,$AF$42,E626=$AB$43,$AF$43,E626=$AB$44,$AF$44,E626=$AB$45,$AF$45,E626=$AB$46,$AF$46,E626=$AB$47,$AF$47,E626=$AB$48,$AF$48,E626=$AB$49,$AF$49,E626=$AB$50,$AF$50,E626=$AB$51,$AF$51,E626=$AB$52,$AF$52,E626=$AB$53,$AF$53,E626=$AB$54,$AF$54,E626=$AB$55,$AF$55,E626=$AB$56,$AF$56,E626=$AB$57,$AF$57,E626=$AB$58,$AF$58,E626=$AB$59,$AF$59,E626=$AB$60,$AF$60,E626=$AB$61,$AF$61,E626=$AB$62,$AF$62,E626=$AB$63,$AF$63,E626=$AB$64,$AF$64,E626=$AB$65,$AF$65,E626=$AB$66,$AF$66,TRUE,"0")</f>
        <v>40 mins Back ANother Goal</v>
      </c>
      <c r="D626" s="270" t="str" cm="1">
        <f t="array" ref="D626">_xlfn.IFS(E626=$AB$42,$AD$42,E626=$AB$43,$AD$43,E626=$AB$44,$AD$44,E626=$AB$45,$AD$45,E626=$AB$46,$AD$46,E626=$AB$47,$AD$47,E626=$AB$48,$AD$48,E626=$AB$49,$AD$49,E626=$AB$50,$AD$50,E626=$AB$51,$AD$51,E626=$AB$52,$AD$52,E626=$AB$53,$AD$53,E626=$AB$54,$AD$54,E626=$AB$55,$AD$55,E626=$AB$56,$AD$56,E626=$AB$57,$AD$57,E626=$AB$58,$AD$58,E626=$AB$59,$AD$59,E626=$AB$60,$AD$60,E626=$AB$61,$AD$61,E626=$AB$62,$AD$62,E626=$AB$63,$AD$63,E626=$AB$64,$AD$64,E626=$AB$65,$AD$65,E626=$AB$66,$AD$66,TRUE,"0")</f>
        <v xml:space="preserve">  BANG</v>
      </c>
      <c r="E626" s="163" t="s">
        <v>10</v>
      </c>
      <c r="F626" s="2" t="s">
        <v>20</v>
      </c>
      <c r="G626" s="2" t="s">
        <v>21</v>
      </c>
      <c r="H626" s="3">
        <v>45367.822916666664</v>
      </c>
      <c r="I626" s="2" t="s">
        <v>402</v>
      </c>
      <c r="J626" s="2" t="s">
        <v>590</v>
      </c>
      <c r="K626" s="2">
        <v>1.8</v>
      </c>
      <c r="L626" s="2">
        <v>90</v>
      </c>
      <c r="M626" s="2">
        <v>65</v>
      </c>
      <c r="N626" s="2">
        <v>25</v>
      </c>
      <c r="O626" s="2">
        <v>62</v>
      </c>
      <c r="P626" s="2">
        <v>20</v>
      </c>
      <c r="Q626" s="2" t="s">
        <v>95</v>
      </c>
      <c r="R626" s="10" t="s">
        <v>216</v>
      </c>
      <c r="S626" s="14" t="s">
        <v>213</v>
      </c>
      <c r="T626" s="188">
        <v>1000</v>
      </c>
      <c r="U626" s="8">
        <f t="shared" si="79"/>
        <v>180</v>
      </c>
      <c r="V626" s="234">
        <f t="shared" si="78"/>
        <v>30724.155246160299</v>
      </c>
      <c r="W626" s="15">
        <v>25</v>
      </c>
      <c r="X626" s="8">
        <f t="shared" si="72"/>
        <v>4.5</v>
      </c>
      <c r="Y626" s="233">
        <f t="shared" si="73"/>
        <v>2634</v>
      </c>
    </row>
    <row r="627" spans="1:25">
      <c r="A627" s="156" t="e" cm="1">
        <f t="array" aca="1" ref="A627" ca="1">_xlfn.IFS(E627=$AB$42,$AC$42,E627=$AB$43,$AC$43,E627=$AB$44,$AC$44,E627=$AB$45,$AC$45,E627=$AB$46,$AC$46,E627=$AB$47,$AC$47,E627=$AB$48,$AC$48,E627=$AB$49,$AC$49,E627=$AB$50,$AC$50,E627=$AB$51,$AC$51,E627=$AB$52,$AC$52,E627=$AB$53,$AC$53,E627=$AB$54,$AC$54,E627=$AB$55,$AC$55,E627=$AB$56,$AC$56,E627=$AB$57,$AC$57,E627=$AB$58,$AC$58,E627=$AB$59,$AC$59,E627=$AB$60,$AC$60,E627=$AB$61,$AC$61,E627=$AB$62,$AC$62,E627=$AB$63,$AC$63,E627=$AB$64,$AC$64,E627=$AB$65,$AC$65,E627=$AB$66,$AC$66,TRUE,"0")</f>
        <v>#NAME?</v>
      </c>
      <c r="C627" s="161" t="str" cm="1">
        <f t="array" ref="C627">_xlfn.IFS(E627=$AB$42,$AF$42,E627=$AB$43,$AF$43,E627=$AB$44,$AF$44,E627=$AB$45,$AF$45,E627=$AB$46,$AF$46,E627=$AB$47,$AF$47,E627=$AB$48,$AF$48,E627=$AB$49,$AF$49,E627=$AB$50,$AF$50,E627=$AB$51,$AF$51,E627=$AB$52,$AF$52,E627=$AB$53,$AF$53,E627=$AB$54,$AF$54,E627=$AB$55,$AF$55,E627=$AB$56,$AF$56,E627=$AB$57,$AF$57,E627=$AB$58,$AF$58,E627=$AB$59,$AF$59,E627=$AB$60,$AF$60,E627=$AB$61,$AF$61,E627=$AB$62,$AF$62,E627=$AB$63,$AF$63,E627=$AB$64,$AF$64,E627=$AB$65,$AF$65,E627=$AB$66,$AF$66,TRUE,"0")</f>
        <v>40 mins Back ANother Goal</v>
      </c>
      <c r="D627" s="270" t="str" cm="1">
        <f t="array" ref="D627">_xlfn.IFS(E627=$AB$42,$AD$42,E627=$AB$43,$AD$43,E627=$AB$44,$AD$44,E627=$AB$45,$AD$45,E627=$AB$46,$AD$46,E627=$AB$47,$AD$47,E627=$AB$48,$AD$48,E627=$AB$49,$AD$49,E627=$AB$50,$AD$50,E627=$AB$51,$AD$51,E627=$AB$52,$AD$52,E627=$AB$53,$AD$53,E627=$AB$54,$AD$54,E627=$AB$55,$AD$55,E627=$AB$56,$AD$56,E627=$AB$57,$AD$57,E627=$AB$58,$AD$58,E627=$AB$59,$AD$59,E627=$AB$60,$AD$60,E627=$AB$61,$AD$61,E627=$AB$62,$AD$62,E627=$AB$63,$AD$63,E627=$AB$64,$AD$64,E627=$AB$65,$AD$65,E627=$AB$66,$AD$66,TRUE,"0")</f>
        <v xml:space="preserve">  BANG</v>
      </c>
      <c r="E627" s="163" t="s">
        <v>515</v>
      </c>
      <c r="F627" s="2" t="s">
        <v>410</v>
      </c>
      <c r="G627" s="2" t="s">
        <v>544</v>
      </c>
      <c r="H627" s="3">
        <v>45368.458333333336</v>
      </c>
      <c r="I627" s="2" t="s">
        <v>563</v>
      </c>
      <c r="J627" s="2" t="s">
        <v>591</v>
      </c>
      <c r="K627" s="2">
        <v>20</v>
      </c>
      <c r="L627" s="2">
        <v>77</v>
      </c>
      <c r="M627" s="2">
        <v>1.85</v>
      </c>
      <c r="N627" s="2"/>
      <c r="O627" s="2"/>
      <c r="P627" s="2"/>
      <c r="Q627" s="2" t="s">
        <v>95</v>
      </c>
      <c r="R627" s="10" t="s">
        <v>207</v>
      </c>
      <c r="S627" s="14" t="s">
        <v>279</v>
      </c>
      <c r="T627" s="188">
        <v>1000</v>
      </c>
      <c r="U627" s="8">
        <f t="shared" si="79"/>
        <v>180</v>
      </c>
      <c r="V627" s="234">
        <f t="shared" si="78"/>
        <v>30904.155246160299</v>
      </c>
      <c r="W627" s="15">
        <v>25</v>
      </c>
      <c r="X627" s="8">
        <f t="shared" si="72"/>
        <v>4.5</v>
      </c>
      <c r="Y627" s="233">
        <f t="shared" si="73"/>
        <v>2638.5</v>
      </c>
    </row>
    <row r="628" spans="1:25">
      <c r="A628" s="156" t="e" cm="1">
        <f t="array" aca="1" ref="A628" ca="1">_xlfn.IFS(E628=$AB$42,$AC$42,E628=$AB$43,$AC$43,E628=$AB$44,$AC$44,E628=$AB$45,$AC$45,E628=$AB$46,$AC$46,E628=$AB$47,$AC$47,E628=$AB$48,$AC$48,E628=$AB$49,$AC$49,E628=$AB$50,$AC$50,E628=$AB$51,$AC$51,E628=$AB$52,$AC$52,E628=$AB$53,$AC$53,E628=$AB$54,$AC$54,E628=$AB$55,$AC$55,E628=$AB$56,$AC$56,E628=$AB$57,$AC$57,E628=$AB$58,$AC$58,E628=$AB$59,$AC$59,E628=$AB$60,$AC$60,E628=$AB$61,$AC$61,E628=$AB$62,$AC$62,E628=$AB$63,$AC$63,E628=$AB$64,$AC$64,E628=$AB$65,$AC$65,E628=$AB$66,$AC$66,TRUE,"0")</f>
        <v>#NAME?</v>
      </c>
      <c r="C628" s="161" t="str" cm="1">
        <f t="array" ref="C628">_xlfn.IFS(E628=$AB$42,$AF$42,E628=$AB$43,$AF$43,E628=$AB$44,$AF$44,E628=$AB$45,$AF$45,E628=$AB$46,$AF$46,E628=$AB$47,$AF$47,E628=$AB$48,$AF$48,E628=$AB$49,$AF$49,E628=$AB$50,$AF$50,E628=$AB$51,$AF$51,E628=$AB$52,$AF$52,E628=$AB$53,$AF$53,E628=$AB$54,$AF$54,E628=$AB$55,$AF$55,E628=$AB$56,$AF$56,E628=$AB$57,$AF$57,E628=$AB$58,$AF$58,E628=$AB$59,$AF$59,E628=$AB$60,$AF$60,E628=$AB$61,$AF$61,E628=$AB$62,$AF$62,E628=$AB$63,$AF$63,E628=$AB$64,$AF$64,E628=$AB$65,$AF$65,E628=$AB$66,$AF$66,TRUE,"0")</f>
        <v>B4 match BACK FT +1.5 goals. X AFTER  GOAL</v>
      </c>
      <c r="D628" s="270" t="str" cm="1">
        <f t="array" ref="D628">_xlfn.IFS(E628=$AB$42,$AD$42,E628=$AB$43,$AD$43,E628=$AB$44,$AD$44,E628=$AB$45,$AD$45,E628=$AB$46,$AD$46,E628=$AB$47,$AD$47,E628=$AB$48,$AD$48,E628=$AB$49,$AD$49,E628=$AB$50,$AD$50,E628=$AB$51,$AD$51,E628=$AB$52,$AD$52,E628=$AB$53,$AD$53,E628=$AB$54,$AD$54,E628=$AB$55,$AD$55,E628=$AB$56,$AD$56,E628=$AB$57,$AD$57,E628=$AB$58,$AD$58,E628=$AB$59,$AD$59,E628=$AB$60,$AD$60,E628=$AB$61,$AD$61,E628=$AB$62,$AD$62,E628=$AB$63,$AD$63,E628=$AB$64,$AD$64,E628=$AB$65,$AD$65,E628=$AB$66,$AD$66,TRUE,"0")</f>
        <v xml:space="preserve">BFM </v>
      </c>
      <c r="E628" s="163" t="s">
        <v>531</v>
      </c>
      <c r="F628" s="2" t="s">
        <v>149</v>
      </c>
      <c r="G628" s="2" t="s">
        <v>153</v>
      </c>
      <c r="H628" s="3">
        <v>45368.46875</v>
      </c>
      <c r="I628" s="2" t="s">
        <v>244</v>
      </c>
      <c r="J628" s="2" t="s">
        <v>245</v>
      </c>
      <c r="K628" s="2">
        <v>3.2</v>
      </c>
      <c r="L628" s="2">
        <v>24</v>
      </c>
      <c r="M628" s="2">
        <v>3</v>
      </c>
      <c r="N628" s="2">
        <v>30</v>
      </c>
      <c r="O628" s="2">
        <v>0</v>
      </c>
      <c r="P628" s="2">
        <v>12</v>
      </c>
      <c r="Q628" s="2" t="s">
        <v>95</v>
      </c>
      <c r="R628" s="10" t="s">
        <v>217</v>
      </c>
      <c r="S628" s="14" t="s">
        <v>288</v>
      </c>
      <c r="T628" s="188">
        <v>1000</v>
      </c>
      <c r="U628" s="8">
        <f t="shared" si="79"/>
        <v>180</v>
      </c>
      <c r="V628" s="234">
        <f t="shared" si="78"/>
        <v>31084.155246160299</v>
      </c>
      <c r="W628" s="15">
        <v>25</v>
      </c>
      <c r="X628" s="8">
        <f t="shared" si="72"/>
        <v>4.5</v>
      </c>
      <c r="Y628" s="233">
        <f t="shared" si="73"/>
        <v>2643</v>
      </c>
    </row>
    <row r="629" spans="1:25">
      <c r="A629" s="156" t="e" cm="1">
        <f t="array" aca="1" ref="A629" ca="1">_xlfn.IFS(E629=$AB$42,$AC$42,E629=$AB$43,$AC$43,E629=$AB$44,$AC$44,E629=$AB$45,$AC$45,E629=$AB$46,$AC$46,E629=$AB$47,$AC$47,E629=$AB$48,$AC$48,E629=$AB$49,$AC$49,E629=$AB$50,$AC$50,E629=$AB$51,$AC$51,E629=$AB$52,$AC$52,E629=$AB$53,$AC$53,E629=$AB$54,$AC$54,E629=$AB$55,$AC$55,E629=$AB$56,$AC$56,E629=$AB$57,$AC$57,E629=$AB$58,$AC$58,E629=$AB$59,$AC$59,E629=$AB$60,$AC$60,E629=$AB$61,$AC$61,E629=$AB$62,$AC$62,E629=$AB$63,$AC$63,E629=$AB$64,$AC$64,E629=$AB$65,$AC$65,E629=$AB$66,$AC$66,TRUE,"0")</f>
        <v>#NAME?</v>
      </c>
      <c r="C629" s="161" t="str" cm="1">
        <f t="array" ref="C629">_xlfn.IFS(E629=$AB$42,$AF$42,E629=$AB$43,$AF$43,E629=$AB$44,$AF$44,E629=$AB$45,$AF$45,E629=$AB$46,$AF$46,E629=$AB$47,$AF$47,E629=$AB$48,$AF$48,E629=$AB$49,$AF$49,E629=$AB$50,$AF$50,E629=$AB$51,$AF$51,E629=$AB$52,$AF$52,E629=$AB$53,$AF$53,E629=$AB$54,$AF$54,E629=$AB$55,$AF$55,E629=$AB$56,$AF$56,E629=$AB$57,$AF$57,E629=$AB$58,$AF$58,E629=$AB$59,$AF$59,E629=$AB$60,$AF$60,E629=$AB$61,$AF$61,E629=$AB$62,$AF$62,E629=$AB$63,$AF$63,E629=$AB$64,$AF$64,E629=$AB$65,$AF$65,E629=$AB$66,$AF$66,TRUE,"0")</f>
        <v>40 mins Back ANother Goal</v>
      </c>
      <c r="D629" s="270" t="str" cm="1">
        <f t="array" ref="D629">_xlfn.IFS(E629=$AB$42,$AD$42,E629=$AB$43,$AD$43,E629=$AB$44,$AD$44,E629=$AB$45,$AD$45,E629=$AB$46,$AD$46,E629=$AB$47,$AD$47,E629=$AB$48,$AD$48,E629=$AB$49,$AD$49,E629=$AB$50,$AD$50,E629=$AB$51,$AD$51,E629=$AB$52,$AD$52,E629=$AB$53,$AD$53,E629=$AB$54,$AD$54,E629=$AB$55,$AD$55,E629=$AB$56,$AD$56,E629=$AB$57,$AD$57,E629=$AB$58,$AD$58,E629=$AB$59,$AD$59,E629=$AB$60,$AD$60,E629=$AB$61,$AD$61,E629=$AB$62,$AD$62,E629=$AB$63,$AD$63,E629=$AB$64,$AD$64,E629=$AB$65,$AD$65,E629=$AB$66,$AD$66,TRUE,"0")</f>
        <v xml:space="preserve">  BANG</v>
      </c>
      <c r="E629" s="163" t="s">
        <v>515</v>
      </c>
      <c r="F629" s="2" t="s">
        <v>592</v>
      </c>
      <c r="G629" s="2" t="s">
        <v>593</v>
      </c>
      <c r="H629" s="3">
        <v>45368.479166666664</v>
      </c>
      <c r="I629" s="2" t="s">
        <v>594</v>
      </c>
      <c r="J629" s="2" t="s">
        <v>595</v>
      </c>
      <c r="K629" s="2">
        <v>20</v>
      </c>
      <c r="L629" s="2">
        <v>71</v>
      </c>
      <c r="M629" s="2">
        <v>2.1</v>
      </c>
      <c r="N629" s="2"/>
      <c r="O629" s="2"/>
      <c r="P629" s="2"/>
      <c r="Q629" s="2" t="s">
        <v>95</v>
      </c>
      <c r="R629" s="10" t="s">
        <v>194</v>
      </c>
      <c r="S629" s="14" t="s">
        <v>197</v>
      </c>
      <c r="T629" s="188">
        <v>1000</v>
      </c>
      <c r="U629" s="8">
        <f t="shared" si="79"/>
        <v>180</v>
      </c>
      <c r="V629" s="234">
        <f t="shared" si="78"/>
        <v>31264.155246160299</v>
      </c>
      <c r="W629" s="15">
        <v>25</v>
      </c>
      <c r="X629" s="8">
        <f t="shared" si="72"/>
        <v>4.5</v>
      </c>
      <c r="Y629" s="233">
        <f t="shared" si="73"/>
        <v>2647.5</v>
      </c>
    </row>
    <row r="630" spans="1:25">
      <c r="A630" s="156" t="e" cm="1">
        <f t="array" aca="1" ref="A630" ca="1">_xlfn.IFS(E630=$AB$42,$AC$42,E630=$AB$43,$AC$43,E630=$AB$44,$AC$44,E630=$AB$45,$AC$45,E630=$AB$46,$AC$46,E630=$AB$47,$AC$47,E630=$AB$48,$AC$48,E630=$AB$49,$AC$49,E630=$AB$50,$AC$50,E630=$AB$51,$AC$51,E630=$AB$52,$AC$52,E630=$AB$53,$AC$53,E630=$AB$54,$AC$54,E630=$AB$55,$AC$55,E630=$AB$56,$AC$56,E630=$AB$57,$AC$57,E630=$AB$58,$AC$58,E630=$AB$59,$AC$59,E630=$AB$60,$AC$60,E630=$AB$61,$AC$61,E630=$AB$62,$AC$62,E630=$AB$63,$AC$63,E630=$AB$64,$AC$64,E630=$AB$65,$AC$65,E630=$AB$66,$AC$66,TRUE,"0")</f>
        <v>#NAME?</v>
      </c>
      <c r="C630" s="161" t="str" cm="1">
        <f t="array" ref="C630">_xlfn.IFS(E630=$AB$42,$AF$42,E630=$AB$43,$AF$43,E630=$AB$44,$AF$44,E630=$AB$45,$AF$45,E630=$AB$46,$AF$46,E630=$AB$47,$AF$47,E630=$AB$48,$AF$48,E630=$AB$49,$AF$49,E630=$AB$50,$AF$50,E630=$AB$51,$AF$51,E630=$AB$52,$AF$52,E630=$AB$53,$AF$53,E630=$AB$54,$AF$54,E630=$AB$55,$AF$55,E630=$AB$56,$AF$56,E630=$AB$57,$AF$57,E630=$AB$58,$AF$58,E630=$AB$59,$AF$59,E630=$AB$60,$AF$60,E630=$AB$61,$AF$61,E630=$AB$62,$AF$62,E630=$AB$63,$AF$63,E630=$AB$64,$AF$64,E630=$AB$65,$AF$65,E630=$AB$66,$AF$66,TRUE,"0")</f>
        <v>B4 match BACK FT +1.5 goals. X AFTER  GOAL</v>
      </c>
      <c r="D630" s="270" t="str" cm="1">
        <f t="array" ref="D630">_xlfn.IFS(E630=$AB$42,$AD$42,E630=$AB$43,$AD$43,E630=$AB$44,$AD$44,E630=$AB$45,$AD$45,E630=$AB$46,$AD$46,E630=$AB$47,$AD$47,E630=$AB$48,$AD$48,E630=$AB$49,$AD$49,E630=$AB$50,$AD$50,E630=$AB$51,$AD$51,E630=$AB$52,$AD$52,E630=$AB$53,$AD$53,E630=$AB$54,$AD$54,E630=$AB$55,$AD$55,E630=$AB$56,$AD$56,E630=$AB$57,$AD$57,E630=$AB$58,$AD$58,E630=$AB$59,$AD$59,E630=$AB$60,$AD$60,E630=$AB$61,$AD$61,E630=$AB$62,$AD$62,E630=$AB$63,$AD$63,E630=$AB$64,$AD$64,E630=$AB$65,$AD$65,E630=$AB$66,$AD$66,TRUE,"0")</f>
        <v xml:space="preserve">BFM </v>
      </c>
      <c r="E630" s="163" t="s">
        <v>531</v>
      </c>
      <c r="F630" s="2" t="s">
        <v>13</v>
      </c>
      <c r="G630" s="2" t="s">
        <v>37</v>
      </c>
      <c r="H630" s="3">
        <v>45368.5</v>
      </c>
      <c r="I630" s="2" t="s">
        <v>306</v>
      </c>
      <c r="J630" s="2" t="s">
        <v>79</v>
      </c>
      <c r="K630" s="2">
        <v>4.3</v>
      </c>
      <c r="L630" s="2">
        <v>28</v>
      </c>
      <c r="M630" s="2">
        <v>2.54</v>
      </c>
      <c r="N630" s="2">
        <v>28</v>
      </c>
      <c r="O630" s="2">
        <v>1</v>
      </c>
      <c r="P630" s="2">
        <v>14</v>
      </c>
      <c r="Q630" s="2" t="s">
        <v>95</v>
      </c>
      <c r="R630" s="10" t="s">
        <v>221</v>
      </c>
      <c r="S630" s="14" t="s">
        <v>214</v>
      </c>
      <c r="T630" s="188">
        <v>1000</v>
      </c>
      <c r="U630" s="8">
        <f t="shared" si="79"/>
        <v>180</v>
      </c>
      <c r="V630" s="234">
        <f t="shared" si="78"/>
        <v>31444.155246160299</v>
      </c>
      <c r="W630" s="15">
        <v>25</v>
      </c>
      <c r="X630" s="8">
        <f t="shared" si="72"/>
        <v>4.5</v>
      </c>
      <c r="Y630" s="233">
        <f t="shared" si="73"/>
        <v>2652</v>
      </c>
    </row>
    <row r="631" spans="1:25">
      <c r="A631" s="156" t="e" cm="1">
        <f t="array" aca="1" ref="A631" ca="1">_xlfn.IFS(E631=$AB$42,$AC$42,E631=$AB$43,$AC$43,E631=$AB$44,$AC$44,E631=$AB$45,$AC$45,E631=$AB$46,$AC$46,E631=$AB$47,$AC$47,E631=$AB$48,$AC$48,E631=$AB$49,$AC$49,E631=$AB$50,$AC$50,E631=$AB$51,$AC$51,E631=$AB$52,$AC$52,E631=$AB$53,$AC$53,E631=$AB$54,$AC$54,E631=$AB$55,$AC$55,E631=$AB$56,$AC$56,E631=$AB$57,$AC$57,E631=$AB$58,$AC$58,E631=$AB$59,$AC$59,E631=$AB$60,$AC$60,E631=$AB$61,$AC$61,E631=$AB$62,$AC$62,E631=$AB$63,$AC$63,E631=$AB$64,$AC$64,E631=$AB$65,$AC$65,E631=$AB$66,$AC$66,TRUE,"0")</f>
        <v>#NAME?</v>
      </c>
      <c r="C631" s="161" t="str" cm="1">
        <f t="array" ref="C631">_xlfn.IFS(E631=$AB$42,$AF$42,E631=$AB$43,$AF$43,E631=$AB$44,$AF$44,E631=$AB$45,$AF$45,E631=$AB$46,$AF$46,E631=$AB$47,$AF$47,E631=$AB$48,$AF$48,E631=$AB$49,$AF$49,E631=$AB$50,$AF$50,E631=$AB$51,$AF$51,E631=$AB$52,$AF$52,E631=$AB$53,$AF$53,E631=$AB$54,$AF$54,E631=$AB$55,$AF$55,E631=$AB$56,$AF$56,E631=$AB$57,$AF$57,E631=$AB$58,$AF$58,E631=$AB$59,$AF$59,E631=$AB$60,$AF$60,E631=$AB$61,$AF$61,E631=$AB$62,$AF$62,E631=$AB$63,$AF$63,E631=$AB$64,$AF$64,E631=$AB$65,$AF$65,E631=$AB$66,$AF$66,TRUE,"0")</f>
        <v>AT HT IF 0-0 BACK +0.5 GOALS</v>
      </c>
      <c r="D631" s="270" t="str" cm="1">
        <f t="array" ref="D631">_xlfn.IFS(E631=$AB$42,$AD$42,E631=$AB$43,$AD$43,E631=$AB$44,$AD$44,E631=$AB$45,$AD$45,E631=$AB$46,$AD$46,E631=$AB$47,$AD$47,E631=$AB$48,$AD$48,E631=$AB$49,$AD$49,E631=$AB$50,$AD$50,E631=$AB$51,$AD$51,E631=$AB$52,$AD$52,E631=$AB$53,$AD$53,E631=$AB$54,$AD$54,E631=$AB$55,$AD$55,E631=$AB$56,$AD$56,E631=$AB$57,$AD$57,E631=$AB$58,$AD$58,E631=$AB$59,$AD$59,E631=$AB$60,$AD$60,E631=$AB$61,$AD$61,E631=$AB$62,$AD$62,E631=$AB$63,$AD$63,E631=$AB$64,$AD$64,E631=$AB$65,$AD$65,E631=$AB$66,$AD$66,TRUE,"0")</f>
        <v>IP</v>
      </c>
      <c r="E631" s="163" t="s">
        <v>514</v>
      </c>
      <c r="F631" s="2" t="s">
        <v>13</v>
      </c>
      <c r="G631" s="2" t="s">
        <v>37</v>
      </c>
      <c r="H631" s="3">
        <v>45368.5</v>
      </c>
      <c r="I631" s="2" t="s">
        <v>306</v>
      </c>
      <c r="J631" s="2" t="s">
        <v>79</v>
      </c>
      <c r="K631" s="2">
        <v>180</v>
      </c>
      <c r="L631" s="2">
        <v>4.3</v>
      </c>
      <c r="M631" s="2">
        <v>980</v>
      </c>
      <c r="N631" s="2">
        <v>20</v>
      </c>
      <c r="O631" s="2">
        <v>15</v>
      </c>
      <c r="P631" s="2">
        <v>25</v>
      </c>
      <c r="Q631" s="2" t="s">
        <v>95</v>
      </c>
      <c r="R631" s="10" t="s">
        <v>221</v>
      </c>
      <c r="S631" s="14" t="s">
        <v>214</v>
      </c>
      <c r="T631" s="188">
        <v>1000</v>
      </c>
      <c r="U631" s="8">
        <f t="shared" si="79"/>
        <v>180</v>
      </c>
      <c r="V631" s="234">
        <f t="shared" si="78"/>
        <v>31624.155246160299</v>
      </c>
      <c r="W631" s="15">
        <v>25</v>
      </c>
      <c r="X631" s="8">
        <f t="shared" si="72"/>
        <v>4.5</v>
      </c>
      <c r="Y631" s="233">
        <f t="shared" si="73"/>
        <v>2656.5</v>
      </c>
    </row>
    <row r="632" spans="1:25">
      <c r="A632" s="156" t="e" cm="1">
        <f t="array" aca="1" ref="A632" ca="1">_xlfn.IFS(E632=$AB$42,$AC$42,E632=$AB$43,$AC$43,E632=$AB$44,$AC$44,E632=$AB$45,$AC$45,E632=$AB$46,$AC$46,E632=$AB$47,$AC$47,E632=$AB$48,$AC$48,E632=$AB$49,$AC$49,E632=$AB$50,$AC$50,E632=$AB$51,$AC$51,E632=$AB$52,$AC$52,E632=$AB$53,$AC$53,E632=$AB$54,$AC$54,E632=$AB$55,$AC$55,E632=$AB$56,$AC$56,E632=$AB$57,$AC$57,E632=$AB$58,$AC$58,E632=$AB$59,$AC$59,E632=$AB$60,$AC$60,E632=$AB$61,$AC$61,E632=$AB$62,$AC$62,E632=$AB$63,$AC$63,E632=$AB$64,$AC$64,E632=$AB$65,$AC$65,E632=$AB$66,$AC$66,TRUE,"0")</f>
        <v>#NAME?</v>
      </c>
      <c r="C632" s="161" t="str" cm="1">
        <f t="array" ref="C632">_xlfn.IFS(E632=$AB$42,$AF$42,E632=$AB$43,$AF$43,E632=$AB$44,$AF$44,E632=$AB$45,$AF$45,E632=$AB$46,$AF$46,E632=$AB$47,$AF$47,E632=$AB$48,$AF$48,E632=$AB$49,$AF$49,E632=$AB$50,$AF$50,E632=$AB$51,$AF$51,E632=$AB$52,$AF$52,E632=$AB$53,$AF$53,E632=$AB$54,$AF$54,E632=$AB$55,$AF$55,E632=$AB$56,$AF$56,E632=$AB$57,$AF$57,E632=$AB$58,$AF$58,E632=$AB$59,$AF$59,E632=$AB$60,$AF$60,E632=$AB$61,$AF$61,E632=$AB$62,$AF$62,E632=$AB$63,$AF$63,E632=$AB$64,$AF$64,E632=$AB$65,$AF$65,E632=$AB$66,$AF$66,TRUE,"0")</f>
        <v>if 0-0, BACK+ 0.5 GOALS  @ 1.15+odds.  or @ 40 mins</v>
      </c>
      <c r="D632" s="270" t="str" cm="1">
        <f t="array" ref="D632">_xlfn.IFS(E632=$AB$42,$AD$42,E632=$AB$43,$AD$43,E632=$AB$44,$AD$44,E632=$AB$45,$AD$45,E632=$AB$46,$AD$46,E632=$AB$47,$AD$47,E632=$AB$48,$AD$48,E632=$AB$49,$AD$49,E632=$AB$50,$AD$50,E632=$AB$51,$AD$51,E632=$AB$52,$AD$52,E632=$AB$53,$AD$53,E632=$AB$54,$AD$54,E632=$AB$55,$AD$55,E632=$AB$56,$AD$56,E632=$AB$57,$AD$57,E632=$AB$58,$AD$58,E632=$AB$59,$AD$59,E632=$AB$60,$AD$60,E632=$AB$61,$AD$61,E632=$AB$62,$AD$62,E632=$AB$63,$AD$63,E632=$AB$64,$AD$64,E632=$AB$65,$AD$65,E632=$AB$66,$AD$66,TRUE,"0")</f>
        <v>IP</v>
      </c>
      <c r="E632" s="163" t="s">
        <v>270</v>
      </c>
      <c r="F632" s="2" t="s">
        <v>13</v>
      </c>
      <c r="G632" s="2" t="s">
        <v>37</v>
      </c>
      <c r="H632" s="3">
        <v>45368.5</v>
      </c>
      <c r="I632" s="2" t="s">
        <v>306</v>
      </c>
      <c r="J632" s="2" t="s">
        <v>79</v>
      </c>
      <c r="K632" s="2">
        <v>63</v>
      </c>
      <c r="L632" s="2">
        <v>0</v>
      </c>
      <c r="M632" s="2">
        <v>20</v>
      </c>
      <c r="N632" s="2">
        <v>25</v>
      </c>
      <c r="O632" s="2">
        <v>2.99</v>
      </c>
      <c r="P632" s="2"/>
      <c r="Q632" s="2" t="s">
        <v>95</v>
      </c>
      <c r="R632" s="10" t="s">
        <v>221</v>
      </c>
      <c r="S632" s="14" t="s">
        <v>214</v>
      </c>
      <c r="T632" s="188">
        <v>1000</v>
      </c>
      <c r="U632" s="8">
        <f t="shared" si="79"/>
        <v>180</v>
      </c>
      <c r="V632" s="234">
        <f t="shared" si="78"/>
        <v>31804.155246160299</v>
      </c>
      <c r="W632" s="15">
        <v>25</v>
      </c>
      <c r="X632" s="8">
        <f t="shared" si="72"/>
        <v>4.5</v>
      </c>
      <c r="Y632" s="233">
        <f t="shared" si="73"/>
        <v>2661</v>
      </c>
    </row>
    <row r="633" spans="1:25">
      <c r="A633" s="156" t="e" cm="1">
        <f t="array" aca="1" ref="A633" ca="1">_xlfn.IFS(E633=$AB$42,$AC$42,E633=$AB$43,$AC$43,E633=$AB$44,$AC$44,E633=$AB$45,$AC$45,E633=$AB$46,$AC$46,E633=$AB$47,$AC$47,E633=$AB$48,$AC$48,E633=$AB$49,$AC$49,E633=$AB$50,$AC$50,E633=$AB$51,$AC$51,E633=$AB$52,$AC$52,E633=$AB$53,$AC$53,E633=$AB$54,$AC$54,E633=$AB$55,$AC$55,E633=$AB$56,$AC$56,E633=$AB$57,$AC$57,E633=$AB$58,$AC$58,E633=$AB$59,$AC$59,E633=$AB$60,$AC$60,E633=$AB$61,$AC$61,E633=$AB$62,$AC$62,E633=$AB$63,$AC$63,E633=$AB$64,$AC$64,E633=$AB$65,$AC$65,E633=$AB$66,$AC$66,TRUE,"0")</f>
        <v>#NAME?</v>
      </c>
      <c r="C633" s="161" t="str" cm="1">
        <f t="array" ref="C633">_xlfn.IFS(E633=$AB$42,$AF$42,E633=$AB$43,$AF$43,E633=$AB$44,$AF$44,E633=$AB$45,$AF$45,E633=$AB$46,$AF$46,E633=$AB$47,$AF$47,E633=$AB$48,$AF$48,E633=$AB$49,$AF$49,E633=$AB$50,$AF$50,E633=$AB$51,$AF$51,E633=$AB$52,$AF$52,E633=$AB$53,$AF$53,E633=$AB$54,$AF$54,E633=$AB$55,$AF$55,E633=$AB$56,$AF$56,E633=$AB$57,$AF$57,E633=$AB$58,$AF$58,E633=$AB$59,$AF$59,E633=$AB$60,$AF$60,E633=$AB$61,$AF$61,E633=$AB$62,$AF$62,E633=$AB$63,$AF$63,E633=$AB$64,$AF$64,E633=$AB$65,$AF$65,E633=$AB$66,$AF$66,TRUE,"0")</f>
        <v>B4 match BACK FT +1.5 goals. X AFTER  GOAL</v>
      </c>
      <c r="D633" s="270" t="str" cm="1">
        <f t="array" ref="D633">_xlfn.IFS(E633=$AB$42,$AD$42,E633=$AB$43,$AD$43,E633=$AB$44,$AD$44,E633=$AB$45,$AD$45,E633=$AB$46,$AD$46,E633=$AB$47,$AD$47,E633=$AB$48,$AD$48,E633=$AB$49,$AD$49,E633=$AB$50,$AD$50,E633=$AB$51,$AD$51,E633=$AB$52,$AD$52,E633=$AB$53,$AD$53,E633=$AB$54,$AD$54,E633=$AB$55,$AD$55,E633=$AB$56,$AD$56,E633=$AB$57,$AD$57,E633=$AB$58,$AD$58,E633=$AB$59,$AD$59,E633=$AB$60,$AD$60,E633=$AB$61,$AD$61,E633=$AB$62,$AD$62,E633=$AB$63,$AD$63,E633=$AB$64,$AD$64,E633=$AB$65,$AD$65,E633=$AB$66,$AD$66,TRUE,"0")</f>
        <v xml:space="preserve">BFM </v>
      </c>
      <c r="E633" s="163" t="s">
        <v>512</v>
      </c>
      <c r="F633" s="2" t="s">
        <v>77</v>
      </c>
      <c r="G633" s="2" t="s">
        <v>234</v>
      </c>
      <c r="H633" s="3">
        <v>45368.520833333336</v>
      </c>
      <c r="I633" s="2" t="s">
        <v>247</v>
      </c>
      <c r="J633" s="2" t="s">
        <v>407</v>
      </c>
      <c r="K633" s="2">
        <v>4.7</v>
      </c>
      <c r="L633" s="2">
        <v>20</v>
      </c>
      <c r="M633" s="2">
        <v>2.85</v>
      </c>
      <c r="N633" s="2">
        <v>30</v>
      </c>
      <c r="O633" s="2">
        <v>2</v>
      </c>
      <c r="P633" s="2">
        <v>10</v>
      </c>
      <c r="Q633" s="2" t="s">
        <v>95</v>
      </c>
      <c r="R633" s="10" t="s">
        <v>214</v>
      </c>
      <c r="S633" s="14" t="s">
        <v>207</v>
      </c>
      <c r="T633" s="188">
        <v>1000</v>
      </c>
      <c r="U633" s="8">
        <f t="shared" si="79"/>
        <v>180</v>
      </c>
      <c r="V633" s="234">
        <f t="shared" si="78"/>
        <v>31984.155246160299</v>
      </c>
      <c r="W633" s="15">
        <v>25</v>
      </c>
      <c r="X633" s="8">
        <f t="shared" si="72"/>
        <v>4.5</v>
      </c>
      <c r="Y633" s="233">
        <f t="shared" si="73"/>
        <v>2665.5</v>
      </c>
    </row>
    <row r="634" spans="1:25">
      <c r="A634" s="156" t="e" cm="1">
        <f t="array" aca="1" ref="A634" ca="1">_xlfn.IFS(E634=$AB$42,$AC$42,E634=$AB$43,$AC$43,E634=$AB$44,$AC$44,E634=$AB$45,$AC$45,E634=$AB$46,$AC$46,E634=$AB$47,$AC$47,E634=$AB$48,$AC$48,E634=$AB$49,$AC$49,E634=$AB$50,$AC$50,E634=$AB$51,$AC$51,E634=$AB$52,$AC$52,E634=$AB$53,$AC$53,E634=$AB$54,$AC$54,E634=$AB$55,$AC$55,E634=$AB$56,$AC$56,E634=$AB$57,$AC$57,E634=$AB$58,$AC$58,E634=$AB$59,$AC$59,E634=$AB$60,$AC$60,E634=$AB$61,$AC$61,E634=$AB$62,$AC$62,E634=$AB$63,$AC$63,E634=$AB$64,$AC$64,E634=$AB$65,$AC$65,E634=$AB$66,$AC$66,TRUE,"0")</f>
        <v>#NAME?</v>
      </c>
      <c r="C634" s="161" t="str" cm="1">
        <f t="array" ref="C634">_xlfn.IFS(E634=$AB$42,$AF$42,E634=$AB$43,$AF$43,E634=$AB$44,$AF$44,E634=$AB$45,$AF$45,E634=$AB$46,$AF$46,E634=$AB$47,$AF$47,E634=$AB$48,$AF$48,E634=$AB$49,$AF$49,E634=$AB$50,$AF$50,E634=$AB$51,$AF$51,E634=$AB$52,$AF$52,E634=$AB$53,$AF$53,E634=$AB$54,$AF$54,E634=$AB$55,$AF$55,E634=$AB$56,$AF$56,E634=$AB$57,$AF$57,E634=$AB$58,$AF$58,E634=$AB$59,$AF$59,E634=$AB$60,$AF$60,E634=$AB$61,$AF$61,E634=$AB$62,$AF$62,E634=$AB$63,$AF$63,E634=$AB$64,$AF$64,E634=$AB$65,$AF$65,E634=$AB$66,$AF$66,TRUE,"0")</f>
        <v>20mins if  0-0, BACK over 1.5 goals X after goal OR LET RUN</v>
      </c>
      <c r="D634" s="270" t="str" cm="1">
        <f t="array" ref="D634">_xlfn.IFS(E634=$AB$42,$AD$42,E634=$AB$43,$AD$43,E634=$AB$44,$AD$44,E634=$AB$45,$AD$45,E634=$AB$46,$AD$46,E634=$AB$47,$AD$47,E634=$AB$48,$AD$48,E634=$AB$49,$AD$49,E634=$AB$50,$AD$50,E634=$AB$51,$AD$51,E634=$AB$52,$AD$52,E634=$AB$53,$AD$53,E634=$AB$54,$AD$54,E634=$AB$55,$AD$55,E634=$AB$56,$AD$56,E634=$AB$57,$AD$57,E634=$AB$58,$AD$58,E634=$AB$59,$AD$59,E634=$AB$60,$AD$60,E634=$AB$61,$AD$61,E634=$AB$62,$AD$62,E634=$AB$63,$AD$63,E634=$AB$64,$AD$64,E634=$AB$65,$AD$65,E634=$AB$66,$AD$66,TRUE,"0")</f>
        <v>IP</v>
      </c>
      <c r="E634" s="163" t="s">
        <v>474</v>
      </c>
      <c r="F634" s="2" t="s">
        <v>77</v>
      </c>
      <c r="G634" s="2" t="s">
        <v>251</v>
      </c>
      <c r="H634" s="3">
        <v>45368.520833333336</v>
      </c>
      <c r="I634" s="2" t="s">
        <v>294</v>
      </c>
      <c r="J634" s="2" t="s">
        <v>608</v>
      </c>
      <c r="K634" s="2">
        <v>53</v>
      </c>
      <c r="L634" s="2">
        <v>3.25</v>
      </c>
      <c r="M634" s="2">
        <v>20</v>
      </c>
      <c r="N634" s="2">
        <v>65</v>
      </c>
      <c r="O634" s="2">
        <v>90</v>
      </c>
      <c r="P634" s="2"/>
      <c r="Q634" s="2" t="s">
        <v>95</v>
      </c>
      <c r="R634" s="10" t="s">
        <v>214</v>
      </c>
      <c r="S634" s="14" t="s">
        <v>194</v>
      </c>
      <c r="T634" s="188">
        <v>1000</v>
      </c>
      <c r="U634" s="8">
        <f t="shared" si="79"/>
        <v>180</v>
      </c>
      <c r="V634" s="234">
        <f t="shared" si="78"/>
        <v>32164.155246160299</v>
      </c>
      <c r="W634" s="15">
        <v>25</v>
      </c>
      <c r="X634" s="8">
        <f t="shared" si="72"/>
        <v>4.5</v>
      </c>
      <c r="Y634" s="233">
        <f t="shared" si="73"/>
        <v>2670</v>
      </c>
    </row>
    <row r="635" spans="1:25">
      <c r="A635" s="156" t="e" cm="1">
        <f t="array" aca="1" ref="A635" ca="1">_xlfn.IFS(E635=$AB$42,$AC$42,E635=$AB$43,$AC$43,E635=$AB$44,$AC$44,E635=$AB$45,$AC$45,E635=$AB$46,$AC$46,E635=$AB$47,$AC$47,E635=$AB$48,$AC$48,E635=$AB$49,$AC$49,E635=$AB$50,$AC$50,E635=$AB$51,$AC$51,E635=$AB$52,$AC$52,E635=$AB$53,$AC$53,E635=$AB$54,$AC$54,E635=$AB$55,$AC$55,E635=$AB$56,$AC$56,E635=$AB$57,$AC$57,E635=$AB$58,$AC$58,E635=$AB$59,$AC$59,E635=$AB$60,$AC$60,E635=$AB$61,$AC$61,E635=$AB$62,$AC$62,E635=$AB$63,$AC$63,E635=$AB$64,$AC$64,E635=$AB$65,$AC$65,E635=$AB$66,$AC$66,TRUE,"0")</f>
        <v>#NAME?</v>
      </c>
      <c r="C635" s="161" t="str" cm="1">
        <f t="array" ref="C635">_xlfn.IFS(E635=$AB$42,$AF$42,E635=$AB$43,$AF$43,E635=$AB$44,$AF$44,E635=$AB$45,$AF$45,E635=$AB$46,$AF$46,E635=$AB$47,$AF$47,E635=$AB$48,$AF$48,E635=$AB$49,$AF$49,E635=$AB$50,$AF$50,E635=$AB$51,$AF$51,E635=$AB$52,$AF$52,E635=$AB$53,$AF$53,E635=$AB$54,$AF$54,E635=$AB$55,$AF$55,E635=$AB$56,$AF$56,E635=$AB$57,$AF$57,E635=$AB$58,$AF$58,E635=$AB$59,$AF$59,E635=$AB$60,$AF$60,E635=$AB$61,$AF$61,E635=$AB$62,$AF$62,E635=$AB$63,$AF$63,E635=$AB$64,$AF$64,E635=$AB$65,$AF$65,E635=$AB$66,$AF$66,TRUE,"0")</f>
        <v>40 mins Back ANother Goal</v>
      </c>
      <c r="D635" s="270" t="str" cm="1">
        <f t="array" ref="D635">_xlfn.IFS(E635=$AB$42,$AD$42,E635=$AB$43,$AD$43,E635=$AB$44,$AD$44,E635=$AB$45,$AD$45,E635=$AB$46,$AD$46,E635=$AB$47,$AD$47,E635=$AB$48,$AD$48,E635=$AB$49,$AD$49,E635=$AB$50,$AD$50,E635=$AB$51,$AD$51,E635=$AB$52,$AD$52,E635=$AB$53,$AD$53,E635=$AB$54,$AD$54,E635=$AB$55,$AD$55,E635=$AB$56,$AD$56,E635=$AB$57,$AD$57,E635=$AB$58,$AD$58,E635=$AB$59,$AD$59,E635=$AB$60,$AD$60,E635=$AB$61,$AD$61,E635=$AB$62,$AD$62,E635=$AB$63,$AD$63,E635=$AB$64,$AD$64,E635=$AB$65,$AD$65,E635=$AB$66,$AD$66,TRUE,"0")</f>
        <v xml:space="preserve">  BANG</v>
      </c>
      <c r="E635" s="163" t="s">
        <v>43</v>
      </c>
      <c r="F635" s="2" t="s">
        <v>80</v>
      </c>
      <c r="G635" s="2" t="s">
        <v>81</v>
      </c>
      <c r="H635" s="3">
        <v>45368.541666666664</v>
      </c>
      <c r="I635" s="2" t="s">
        <v>292</v>
      </c>
      <c r="J635" s="2" t="s">
        <v>320</v>
      </c>
      <c r="K635" s="2">
        <v>69</v>
      </c>
      <c r="L635" s="2">
        <v>75</v>
      </c>
      <c r="M635" s="2">
        <v>64</v>
      </c>
      <c r="N635" s="2">
        <v>1.55</v>
      </c>
      <c r="O635" s="2">
        <v>1.07</v>
      </c>
      <c r="P635" s="2"/>
      <c r="Q635" s="2" t="s">
        <v>95</v>
      </c>
      <c r="R635" s="10" t="s">
        <v>214</v>
      </c>
      <c r="S635" s="14" t="s">
        <v>207</v>
      </c>
      <c r="T635" s="188">
        <v>1000</v>
      </c>
      <c r="U635" s="8">
        <f t="shared" si="79"/>
        <v>180</v>
      </c>
      <c r="V635" s="234">
        <f t="shared" si="78"/>
        <v>32344.155246160299</v>
      </c>
      <c r="W635" s="15">
        <v>25</v>
      </c>
      <c r="X635" s="8">
        <f t="shared" si="72"/>
        <v>4.5</v>
      </c>
      <c r="Y635" s="233">
        <f t="shared" si="73"/>
        <v>2674.5</v>
      </c>
    </row>
    <row r="636" spans="1:25">
      <c r="A636" s="156" t="e" cm="1">
        <f t="array" aca="1" ref="A636" ca="1">_xlfn.IFS(E636=$AB$42,$AC$42,E636=$AB$43,$AC$43,E636=$AB$44,$AC$44,E636=$AB$45,$AC$45,E636=$AB$46,$AC$46,E636=$AB$47,$AC$47,E636=$AB$48,$AC$48,E636=$AB$49,$AC$49,E636=$AB$50,$AC$50,E636=$AB$51,$AC$51,E636=$AB$52,$AC$52,E636=$AB$53,$AC$53,E636=$AB$54,$AC$54,E636=$AB$55,$AC$55,E636=$AB$56,$AC$56,E636=$AB$57,$AC$57,E636=$AB$58,$AC$58,E636=$AB$59,$AC$59,E636=$AB$60,$AC$60,E636=$AB$61,$AC$61,E636=$AB$62,$AC$62,E636=$AB$63,$AC$63,E636=$AB$64,$AC$64,E636=$AB$65,$AC$65,E636=$AB$66,$AC$66,TRUE,"0")</f>
        <v>#NAME?</v>
      </c>
      <c r="C636" s="161" t="str" cm="1">
        <f t="array" ref="C636">_xlfn.IFS(E636=$AB$42,$AF$42,E636=$AB$43,$AF$43,E636=$AB$44,$AF$44,E636=$AB$45,$AF$45,E636=$AB$46,$AF$46,E636=$AB$47,$AF$47,E636=$AB$48,$AF$48,E636=$AB$49,$AF$49,E636=$AB$50,$AF$50,E636=$AB$51,$AF$51,E636=$AB$52,$AF$52,E636=$AB$53,$AF$53,E636=$AB$54,$AF$54,E636=$AB$55,$AF$55,E636=$AB$56,$AF$56,E636=$AB$57,$AF$57,E636=$AB$58,$AF$58,E636=$AB$59,$AF$59,E636=$AB$60,$AF$60,E636=$AB$61,$AF$61,E636=$AB$62,$AF$62,E636=$AB$63,$AF$63,E636=$AB$64,$AF$64,E636=$AB$65,$AF$65,E636=$AB$66,$AF$66,TRUE,"0")</f>
        <v>B4 match BACK FT +1.5 goals. X AFTER  GOAL</v>
      </c>
      <c r="D636" s="270" t="str" cm="1">
        <f t="array" ref="D636">_xlfn.IFS(E636=$AB$42,$AD$42,E636=$AB$43,$AD$43,E636=$AB$44,$AD$44,E636=$AB$45,$AD$45,E636=$AB$46,$AD$46,E636=$AB$47,$AD$47,E636=$AB$48,$AD$48,E636=$AB$49,$AD$49,E636=$AB$50,$AD$50,E636=$AB$51,$AD$51,E636=$AB$52,$AD$52,E636=$AB$53,$AD$53,E636=$AB$54,$AD$54,E636=$AB$55,$AD$55,E636=$AB$56,$AD$56,E636=$AB$57,$AD$57,E636=$AB$58,$AD$58,E636=$AB$59,$AD$59,E636=$AB$60,$AD$60,E636=$AB$61,$AD$61,E636=$AB$62,$AD$62,E636=$AB$63,$AD$63,E636=$AB$64,$AD$64,E636=$AB$65,$AD$65,E636=$AB$66,$AD$66,TRUE,"0")</f>
        <v xml:space="preserve">BFM </v>
      </c>
      <c r="E636" s="163" t="s">
        <v>531</v>
      </c>
      <c r="F636" s="2" t="s">
        <v>80</v>
      </c>
      <c r="G636" s="2" t="s">
        <v>81</v>
      </c>
      <c r="H636" s="3">
        <v>45368.541666666664</v>
      </c>
      <c r="I636" s="2" t="s">
        <v>609</v>
      </c>
      <c r="J636" s="2" t="s">
        <v>144</v>
      </c>
      <c r="K636" s="2">
        <v>4.5</v>
      </c>
      <c r="L636" s="2">
        <v>28</v>
      </c>
      <c r="M636" s="2">
        <v>2.82</v>
      </c>
      <c r="N636" s="2">
        <v>28</v>
      </c>
      <c r="O636" s="2">
        <v>1</v>
      </c>
      <c r="P636" s="2">
        <v>14</v>
      </c>
      <c r="Q636" s="2" t="s">
        <v>95</v>
      </c>
      <c r="R636" s="10" t="s">
        <v>193</v>
      </c>
      <c r="S636" s="14" t="s">
        <v>613</v>
      </c>
      <c r="T636" s="188">
        <v>1000</v>
      </c>
      <c r="U636" s="8">
        <f t="shared" si="79"/>
        <v>180</v>
      </c>
      <c r="V636" s="234">
        <f t="shared" si="78"/>
        <v>32524.155246160299</v>
      </c>
      <c r="W636" s="15">
        <v>25</v>
      </c>
      <c r="X636" s="8">
        <f t="shared" si="72"/>
        <v>4.5</v>
      </c>
      <c r="Y636" s="233">
        <f t="shared" si="73"/>
        <v>2679</v>
      </c>
    </row>
    <row r="637" spans="1:25">
      <c r="A637" s="156" t="e" cm="1">
        <f t="array" aca="1" ref="A637" ca="1">_xlfn.IFS(E637=$AB$42,$AC$42,E637=$AB$43,$AC$43,E637=$AB$44,$AC$44,E637=$AB$45,$AC$45,E637=$AB$46,$AC$46,E637=$AB$47,$AC$47,E637=$AB$48,$AC$48,E637=$AB$49,$AC$49,E637=$AB$50,$AC$50,E637=$AB$51,$AC$51,E637=$AB$52,$AC$52,E637=$AB$53,$AC$53,E637=$AB$54,$AC$54,E637=$AB$55,$AC$55,E637=$AB$56,$AC$56,E637=$AB$57,$AC$57,E637=$AB$58,$AC$58,E637=$AB$59,$AC$59,E637=$AB$60,$AC$60,E637=$AB$61,$AC$61,E637=$AB$62,$AC$62,E637=$AB$63,$AC$63,E637=$AB$64,$AC$64,E637=$AB$65,$AC$65,E637=$AB$66,$AC$66,TRUE,"0")</f>
        <v>#NAME?</v>
      </c>
      <c r="C637" s="161" t="str" cm="1">
        <f t="array" ref="C637">_xlfn.IFS(E637=$AB$42,$AF$42,E637=$AB$43,$AF$43,E637=$AB$44,$AF$44,E637=$AB$45,$AF$45,E637=$AB$46,$AF$46,E637=$AB$47,$AF$47,E637=$AB$48,$AF$48,E637=$AB$49,$AF$49,E637=$AB$50,$AF$50,E637=$AB$51,$AF$51,E637=$AB$52,$AF$52,E637=$AB$53,$AF$53,E637=$AB$54,$AF$54,E637=$AB$55,$AF$55,E637=$AB$56,$AF$56,E637=$AB$57,$AF$57,E637=$AB$58,$AF$58,E637=$AB$59,$AF$59,E637=$AB$60,$AF$60,E637=$AB$61,$AF$61,E637=$AB$62,$AF$62,E637=$AB$63,$AF$63,E637=$AB$64,$AF$64,E637=$AB$65,$AF$65,E637=$AB$66,$AF$66,TRUE,"0")</f>
        <v>40 mins Back ANother Goal</v>
      </c>
      <c r="D637" s="270" t="str" cm="1">
        <f t="array" ref="D637">_xlfn.IFS(E637=$AB$42,$AD$42,E637=$AB$43,$AD$43,E637=$AB$44,$AD$44,E637=$AB$45,$AD$45,E637=$AB$46,$AD$46,E637=$AB$47,$AD$47,E637=$AB$48,$AD$48,E637=$AB$49,$AD$49,E637=$AB$50,$AD$50,E637=$AB$51,$AD$51,E637=$AB$52,$AD$52,E637=$AB$53,$AD$53,E637=$AB$54,$AD$54,E637=$AB$55,$AD$55,E637=$AB$56,$AD$56,E637=$AB$57,$AD$57,E637=$AB$58,$AD$58,E637=$AB$59,$AD$59,E637=$AB$60,$AD$60,E637=$AB$61,$AD$61,E637=$AB$62,$AD$62,E637=$AB$63,$AD$63,E637=$AB$64,$AD$64,E637=$AB$65,$AD$65,E637=$AB$66,$AD$66,TRUE,"0")</f>
        <v xml:space="preserve">  BANG</v>
      </c>
      <c r="E637" s="163" t="s">
        <v>522</v>
      </c>
      <c r="F637" s="2" t="s">
        <v>296</v>
      </c>
      <c r="G637" s="2" t="s">
        <v>525</v>
      </c>
      <c r="H637" s="3">
        <v>45368.552083333336</v>
      </c>
      <c r="I637" s="2" t="s">
        <v>596</v>
      </c>
      <c r="J637" s="2" t="s">
        <v>597</v>
      </c>
      <c r="K637" s="2">
        <v>70</v>
      </c>
      <c r="L637" s="2">
        <v>20</v>
      </c>
      <c r="M637" s="2">
        <v>95</v>
      </c>
      <c r="N637" s="2">
        <v>65</v>
      </c>
      <c r="O637" s="2">
        <v>2.5499999999999998</v>
      </c>
      <c r="P637" s="2"/>
      <c r="Q637" s="2" t="s">
        <v>95</v>
      </c>
      <c r="R637" s="10" t="s">
        <v>221</v>
      </c>
      <c r="S637" s="14" t="s">
        <v>211</v>
      </c>
      <c r="T637" s="188">
        <v>1000</v>
      </c>
      <c r="U637" s="8">
        <f t="shared" si="79"/>
        <v>180</v>
      </c>
      <c r="V637" s="234">
        <f t="shared" si="78"/>
        <v>32704.155246160299</v>
      </c>
      <c r="W637" s="15">
        <v>25</v>
      </c>
      <c r="X637" s="8">
        <f t="shared" si="72"/>
        <v>4.5</v>
      </c>
      <c r="Y637" s="233">
        <f t="shared" si="73"/>
        <v>2683.5</v>
      </c>
    </row>
    <row r="638" spans="1:25">
      <c r="A638" s="156" t="e" cm="1">
        <f t="array" aca="1" ref="A638" ca="1">_xlfn.IFS(E638=$AB$42,$AC$42,E638=$AB$43,$AC$43,E638=$AB$44,$AC$44,E638=$AB$45,$AC$45,E638=$AB$46,$AC$46,E638=$AB$47,$AC$47,E638=$AB$48,$AC$48,E638=$AB$49,$AC$49,E638=$AB$50,$AC$50,E638=$AB$51,$AC$51,E638=$AB$52,$AC$52,E638=$AB$53,$AC$53,E638=$AB$54,$AC$54,E638=$AB$55,$AC$55,E638=$AB$56,$AC$56,E638=$AB$57,$AC$57,E638=$AB$58,$AC$58,E638=$AB$59,$AC$59,E638=$AB$60,$AC$60,E638=$AB$61,$AC$61,E638=$AB$62,$AC$62,E638=$AB$63,$AC$63,E638=$AB$64,$AC$64,E638=$AB$65,$AC$65,E638=$AB$66,$AC$66,TRUE,"0")</f>
        <v>#NAME?</v>
      </c>
      <c r="C638" s="161" t="str" cm="1">
        <f t="array" ref="C638">_xlfn.IFS(E638=$AB$42,$AF$42,E638=$AB$43,$AF$43,E638=$AB$44,$AF$44,E638=$AB$45,$AF$45,E638=$AB$46,$AF$46,E638=$AB$47,$AF$47,E638=$AB$48,$AF$48,E638=$AB$49,$AF$49,E638=$AB$50,$AF$50,E638=$AB$51,$AF$51,E638=$AB$52,$AF$52,E638=$AB$53,$AF$53,E638=$AB$54,$AF$54,E638=$AB$55,$AF$55,E638=$AB$56,$AF$56,E638=$AB$57,$AF$57,E638=$AB$58,$AF$58,E638=$AB$59,$AF$59,E638=$AB$60,$AF$60,E638=$AB$61,$AF$61,E638=$AB$62,$AF$62,E638=$AB$63,$AF$63,E638=$AB$64,$AF$64,E638=$AB$65,$AF$65,E638=$AB$66,$AF$66,TRUE,"0")</f>
        <v>B4 match BACK FT +1.5 goals. X AFTER  GOAL</v>
      </c>
      <c r="D638" s="270" t="str" cm="1">
        <f t="array" ref="D638">_xlfn.IFS(E638=$AB$42,$AD$42,E638=$AB$43,$AD$43,E638=$AB$44,$AD$44,E638=$AB$45,$AD$45,E638=$AB$46,$AD$46,E638=$AB$47,$AD$47,E638=$AB$48,$AD$48,E638=$AB$49,$AD$49,E638=$AB$50,$AD$50,E638=$AB$51,$AD$51,E638=$AB$52,$AD$52,E638=$AB$53,$AD$53,E638=$AB$54,$AD$54,E638=$AB$55,$AD$55,E638=$AB$56,$AD$56,E638=$AB$57,$AD$57,E638=$AB$58,$AD$58,E638=$AB$59,$AD$59,E638=$AB$60,$AD$60,E638=$AB$61,$AD$61,E638=$AB$62,$AD$62,E638=$AB$63,$AD$63,E638=$AB$64,$AD$64,E638=$AB$65,$AD$65,E638=$AB$66,$AD$66,TRUE,"0")</f>
        <v xml:space="preserve">BFM </v>
      </c>
      <c r="E638" s="163" t="s">
        <v>531</v>
      </c>
      <c r="F638" s="2" t="s">
        <v>149</v>
      </c>
      <c r="G638" s="2" t="s">
        <v>153</v>
      </c>
      <c r="H638" s="3">
        <v>45368.5625</v>
      </c>
      <c r="I638" s="2" t="s">
        <v>206</v>
      </c>
      <c r="J638" s="2" t="s">
        <v>282</v>
      </c>
      <c r="K638" s="2">
        <v>5.5</v>
      </c>
      <c r="L638" s="2">
        <v>24</v>
      </c>
      <c r="M638" s="2">
        <v>3.33</v>
      </c>
      <c r="N638" s="2">
        <v>23</v>
      </c>
      <c r="O638" s="2">
        <v>4</v>
      </c>
      <c r="P638" s="2">
        <v>12</v>
      </c>
      <c r="Q638" s="2" t="s">
        <v>95</v>
      </c>
      <c r="R638" s="10" t="s">
        <v>216</v>
      </c>
      <c r="S638" s="14" t="s">
        <v>213</v>
      </c>
      <c r="T638" s="188">
        <v>1000</v>
      </c>
      <c r="U638" s="8">
        <f t="shared" si="79"/>
        <v>180</v>
      </c>
      <c r="V638" s="234">
        <f t="shared" si="78"/>
        <v>32884.155246160299</v>
      </c>
      <c r="W638" s="15">
        <v>25</v>
      </c>
      <c r="X638" s="8">
        <f t="shared" si="72"/>
        <v>4.5</v>
      </c>
      <c r="Y638" s="233">
        <f t="shared" si="73"/>
        <v>2688</v>
      </c>
    </row>
    <row r="639" spans="1:25">
      <c r="A639" s="156" t="e" cm="1">
        <f t="array" aca="1" ref="A639" ca="1">_xlfn.IFS(E639=$AB$42,$AC$42,E639=$AB$43,$AC$43,E639=$AB$44,$AC$44,E639=$AB$45,$AC$45,E639=$AB$46,$AC$46,E639=$AB$47,$AC$47,E639=$AB$48,$AC$48,E639=$AB$49,$AC$49,E639=$AB$50,$AC$50,E639=$AB$51,$AC$51,E639=$AB$52,$AC$52,E639=$AB$53,$AC$53,E639=$AB$54,$AC$54,E639=$AB$55,$AC$55,E639=$AB$56,$AC$56,E639=$AB$57,$AC$57,E639=$AB$58,$AC$58,E639=$AB$59,$AC$59,E639=$AB$60,$AC$60,E639=$AB$61,$AC$61,E639=$AB$62,$AC$62,E639=$AB$63,$AC$63,E639=$AB$64,$AC$64,E639=$AB$65,$AC$65,E639=$AB$66,$AC$66,TRUE,"0")</f>
        <v>#NAME?</v>
      </c>
      <c r="C639" s="161" t="str" cm="1">
        <f t="array" ref="C639">_xlfn.IFS(E639=$AB$42,$AF$42,E639=$AB$43,$AF$43,E639=$AB$44,$AF$44,E639=$AB$45,$AF$45,E639=$AB$46,$AF$46,E639=$AB$47,$AF$47,E639=$AB$48,$AF$48,E639=$AB$49,$AF$49,E639=$AB$50,$AF$50,E639=$AB$51,$AF$51,E639=$AB$52,$AF$52,E639=$AB$53,$AF$53,E639=$AB$54,$AF$54,E639=$AB$55,$AF$55,E639=$AB$56,$AF$56,E639=$AB$57,$AF$57,E639=$AB$58,$AF$58,E639=$AB$59,$AF$59,E639=$AB$60,$AF$60,E639=$AB$61,$AF$61,E639=$AB$62,$AF$62,E639=$AB$63,$AF$63,E639=$AB$64,$AF$64,E639=$AB$65,$AF$65,E639=$AB$66,$AF$66,TRUE,"0")</f>
        <v>if 0-0, BACK+ 0.5 GOALS  @ 1.15+odds.  or @ 40 mins</v>
      </c>
      <c r="D639" s="270" t="str" cm="1">
        <f t="array" ref="D639">_xlfn.IFS(E639=$AB$42,$AD$42,E639=$AB$43,$AD$43,E639=$AB$44,$AD$44,E639=$AB$45,$AD$45,E639=$AB$46,$AD$46,E639=$AB$47,$AD$47,E639=$AB$48,$AD$48,E639=$AB$49,$AD$49,E639=$AB$50,$AD$50,E639=$AB$51,$AD$51,E639=$AB$52,$AD$52,E639=$AB$53,$AD$53,E639=$AB$54,$AD$54,E639=$AB$55,$AD$55,E639=$AB$56,$AD$56,E639=$AB$57,$AD$57,E639=$AB$58,$AD$58,E639=$AB$59,$AD$59,E639=$AB$60,$AD$60,E639=$AB$61,$AD$61,E639=$AB$62,$AD$62,E639=$AB$63,$AD$63,E639=$AB$64,$AD$64,E639=$AB$65,$AD$65,E639=$AB$66,$AD$66,TRUE,"0")</f>
        <v>IP</v>
      </c>
      <c r="E639" s="163" t="s">
        <v>270</v>
      </c>
      <c r="F639" s="2" t="s">
        <v>149</v>
      </c>
      <c r="G639" s="2" t="s">
        <v>153</v>
      </c>
      <c r="H639" s="3">
        <v>45368.5625</v>
      </c>
      <c r="I639" s="2" t="s">
        <v>250</v>
      </c>
      <c r="J639" s="2" t="s">
        <v>241</v>
      </c>
      <c r="K639" s="2">
        <v>59</v>
      </c>
      <c r="L639" s="2">
        <v>0</v>
      </c>
      <c r="M639" s="2">
        <v>20</v>
      </c>
      <c r="N639" s="2">
        <v>29</v>
      </c>
      <c r="O639" s="2">
        <v>3.14</v>
      </c>
      <c r="P639" s="2"/>
      <c r="Q639" s="2" t="s">
        <v>95</v>
      </c>
      <c r="R639" s="10" t="s">
        <v>221</v>
      </c>
      <c r="S639" s="14" t="s">
        <v>214</v>
      </c>
      <c r="T639" s="188">
        <v>1000</v>
      </c>
      <c r="U639" s="8">
        <f t="shared" si="79"/>
        <v>180</v>
      </c>
      <c r="V639" s="234">
        <f t="shared" si="78"/>
        <v>33064.155246160299</v>
      </c>
      <c r="W639" s="15">
        <v>25</v>
      </c>
      <c r="X639" s="8">
        <f t="shared" si="72"/>
        <v>4.5</v>
      </c>
      <c r="Y639" s="233">
        <f t="shared" si="73"/>
        <v>2692.5</v>
      </c>
    </row>
    <row r="640" spans="1:25">
      <c r="A640" s="156" t="e" cm="1">
        <f t="array" aca="1" ref="A640" ca="1">_xlfn.IFS(E640=$AB$42,$AC$42,E640=$AB$43,$AC$43,E640=$AB$44,$AC$44,E640=$AB$45,$AC$45,E640=$AB$46,$AC$46,E640=$AB$47,$AC$47,E640=$AB$48,$AC$48,E640=$AB$49,$AC$49,E640=$AB$50,$AC$50,E640=$AB$51,$AC$51,E640=$AB$52,$AC$52,E640=$AB$53,$AC$53,E640=$AB$54,$AC$54,E640=$AB$55,$AC$55,E640=$AB$56,$AC$56,E640=$AB$57,$AC$57,E640=$AB$58,$AC$58,E640=$AB$59,$AC$59,E640=$AB$60,$AC$60,E640=$AB$61,$AC$61,E640=$AB$62,$AC$62,E640=$AB$63,$AC$63,E640=$AB$64,$AC$64,E640=$AB$65,$AC$65,E640=$AB$66,$AC$66,TRUE,"0")</f>
        <v>#NAME?</v>
      </c>
      <c r="C640" s="161" t="str" cm="1">
        <f t="array" ref="C640">_xlfn.IFS(E640=$AB$42,$AF$42,E640=$AB$43,$AF$43,E640=$AB$44,$AF$44,E640=$AB$45,$AF$45,E640=$AB$46,$AF$46,E640=$AB$47,$AF$47,E640=$AB$48,$AF$48,E640=$AB$49,$AF$49,E640=$AB$50,$AF$50,E640=$AB$51,$AF$51,E640=$AB$52,$AF$52,E640=$AB$53,$AF$53,E640=$AB$54,$AF$54,E640=$AB$55,$AF$55,E640=$AB$56,$AF$56,E640=$AB$57,$AF$57,E640=$AB$58,$AF$58,E640=$AB$59,$AF$59,E640=$AB$60,$AF$60,E640=$AB$61,$AF$61,E640=$AB$62,$AF$62,E640=$AB$63,$AF$63,E640=$AB$64,$AF$64,E640=$AB$65,$AF$65,E640=$AB$66,$AF$66,TRUE,"0")</f>
        <v>20mins if  0-0, BACK over 1.5 goals X after goal OR LET RUN</v>
      </c>
      <c r="D640" s="270" t="str" cm="1">
        <f t="array" ref="D640">_xlfn.IFS(E640=$AB$42,$AD$42,E640=$AB$43,$AD$43,E640=$AB$44,$AD$44,E640=$AB$45,$AD$45,E640=$AB$46,$AD$46,E640=$AB$47,$AD$47,E640=$AB$48,$AD$48,E640=$AB$49,$AD$49,E640=$AB$50,$AD$50,E640=$AB$51,$AD$51,E640=$AB$52,$AD$52,E640=$AB$53,$AD$53,E640=$AB$54,$AD$54,E640=$AB$55,$AD$55,E640=$AB$56,$AD$56,E640=$AB$57,$AD$57,E640=$AB$58,$AD$58,E640=$AB$59,$AD$59,E640=$AB$60,$AD$60,E640=$AB$61,$AD$61,E640=$AB$62,$AD$62,E640=$AB$63,$AD$63,E640=$AB$64,$AD$64,E640=$AB$65,$AD$65,E640=$AB$66,$AD$66,TRUE,"0")</f>
        <v>IP</v>
      </c>
      <c r="E640" s="163" t="s">
        <v>474</v>
      </c>
      <c r="F640" s="2" t="s">
        <v>149</v>
      </c>
      <c r="G640" s="2" t="s">
        <v>153</v>
      </c>
      <c r="H640" s="3">
        <v>45368.5625</v>
      </c>
      <c r="I640" s="2" t="s">
        <v>250</v>
      </c>
      <c r="J640" s="2" t="s">
        <v>241</v>
      </c>
      <c r="K640" s="2">
        <v>50</v>
      </c>
      <c r="L640" s="2">
        <v>3.55</v>
      </c>
      <c r="M640" s="2">
        <v>20</v>
      </c>
      <c r="N640" s="2">
        <v>60</v>
      </c>
      <c r="O640" s="2">
        <v>95</v>
      </c>
      <c r="P640" s="2"/>
      <c r="Q640" s="2" t="s">
        <v>95</v>
      </c>
      <c r="R640" s="10" t="s">
        <v>221</v>
      </c>
      <c r="S640" s="14" t="s">
        <v>214</v>
      </c>
      <c r="T640" s="188">
        <v>1000</v>
      </c>
      <c r="U640" s="8">
        <f t="shared" si="79"/>
        <v>180</v>
      </c>
      <c r="V640" s="234">
        <f t="shared" si="78"/>
        <v>33244.155246160299</v>
      </c>
      <c r="W640" s="15">
        <v>25</v>
      </c>
      <c r="X640" s="8">
        <f t="shared" si="72"/>
        <v>4.5</v>
      </c>
      <c r="Y640" s="233">
        <f t="shared" si="73"/>
        <v>2697</v>
      </c>
    </row>
    <row r="641" spans="1:30">
      <c r="A641" s="156" t="e" cm="1">
        <f t="array" aca="1" ref="A641" ca="1">_xlfn.IFS(E641=$AB$42,$AC$42,E641=$AB$43,$AC$43,E641=$AB$44,$AC$44,E641=$AB$45,$AC$45,E641=$AB$46,$AC$46,E641=$AB$47,$AC$47,E641=$AB$48,$AC$48,E641=$AB$49,$AC$49,E641=$AB$50,$AC$50,E641=$AB$51,$AC$51,E641=$AB$52,$AC$52,E641=$AB$53,$AC$53,E641=$AB$54,$AC$54,E641=$AB$55,$AC$55,E641=$AB$56,$AC$56,E641=$AB$57,$AC$57,E641=$AB$58,$AC$58,E641=$AB$59,$AC$59,E641=$AB$60,$AC$60,E641=$AB$61,$AC$61,E641=$AB$62,$AC$62,E641=$AB$63,$AC$63,E641=$AB$64,$AC$64,E641=$AB$65,$AC$65,E641=$AB$66,$AC$66,TRUE,"0")</f>
        <v>#NAME?</v>
      </c>
      <c r="C641" s="161" t="str" cm="1">
        <f t="array" ref="C641">_xlfn.IFS(E641=$AB$42,$AF$42,E641=$AB$43,$AF$43,E641=$AB$44,$AF$44,E641=$AB$45,$AF$45,E641=$AB$46,$AF$46,E641=$AB$47,$AF$47,E641=$AB$48,$AF$48,E641=$AB$49,$AF$49,E641=$AB$50,$AF$50,E641=$AB$51,$AF$51,E641=$AB$52,$AF$52,E641=$AB$53,$AF$53,E641=$AB$54,$AF$54,E641=$AB$55,$AF$55,E641=$AB$56,$AF$56,E641=$AB$57,$AF$57,E641=$AB$58,$AF$58,E641=$AB$59,$AF$59,E641=$AB$60,$AF$60,E641=$AB$61,$AF$61,E641=$AB$62,$AF$62,E641=$AB$63,$AF$63,E641=$AB$64,$AF$64,E641=$AB$65,$AF$65,E641=$AB$66,$AF$66,TRUE,"0")</f>
        <v>B4 match BACK FT +1.5 goals. X AFTER  GOAL</v>
      </c>
      <c r="D641" s="270" t="str" cm="1">
        <f t="array" ref="D641">_xlfn.IFS(E641=$AB$42,$AD$42,E641=$AB$43,$AD$43,E641=$AB$44,$AD$44,E641=$AB$45,$AD$45,E641=$AB$46,$AD$46,E641=$AB$47,$AD$47,E641=$AB$48,$AD$48,E641=$AB$49,$AD$49,E641=$AB$50,$AD$50,E641=$AB$51,$AD$51,E641=$AB$52,$AD$52,E641=$AB$53,$AD$53,E641=$AB$54,$AD$54,E641=$AB$55,$AD$55,E641=$AB$56,$AD$56,E641=$AB$57,$AD$57,E641=$AB$58,$AD$58,E641=$AB$59,$AD$59,E641=$AB$60,$AD$60,E641=$AB$61,$AD$61,E641=$AB$62,$AD$62,E641=$AB$63,$AD$63,E641=$AB$64,$AD$64,E641=$AB$65,$AD$65,E641=$AB$66,$AD$66,TRUE,"0")</f>
        <v xml:space="preserve">BFM </v>
      </c>
      <c r="E641" s="163" t="s">
        <v>406</v>
      </c>
      <c r="F641" s="2" t="s">
        <v>145</v>
      </c>
      <c r="G641" s="2" t="s">
        <v>190</v>
      </c>
      <c r="H641" s="3">
        <v>45368.583333333336</v>
      </c>
      <c r="I641" s="2" t="s">
        <v>364</v>
      </c>
      <c r="J641" s="2" t="s">
        <v>227</v>
      </c>
      <c r="K641" s="2">
        <v>1.36</v>
      </c>
      <c r="L641" s="2">
        <v>10</v>
      </c>
      <c r="M641" s="2">
        <v>2.9</v>
      </c>
      <c r="N641" s="2">
        <v>4.3</v>
      </c>
      <c r="O641" s="2">
        <v>2.4</v>
      </c>
      <c r="P641" s="2"/>
      <c r="Q641" s="2" t="s">
        <v>95</v>
      </c>
      <c r="R641" s="10" t="s">
        <v>216</v>
      </c>
      <c r="S641" s="14" t="s">
        <v>210</v>
      </c>
      <c r="T641" s="188">
        <v>1000</v>
      </c>
      <c r="U641" s="8">
        <f t="shared" si="79"/>
        <v>180</v>
      </c>
      <c r="V641" s="234">
        <f t="shared" si="78"/>
        <v>33424.155246160299</v>
      </c>
      <c r="W641" s="15">
        <v>25</v>
      </c>
      <c r="X641" s="8">
        <f t="shared" si="72"/>
        <v>4.5</v>
      </c>
      <c r="Y641" s="233">
        <f t="shared" si="73"/>
        <v>2701.5</v>
      </c>
    </row>
    <row r="642" spans="1:30">
      <c r="A642" s="156" t="e" cm="1">
        <f t="array" aca="1" ref="A642" ca="1">_xlfn.IFS(E642=$AB$42,$AC$42,E642=$AB$43,$AC$43,E642=$AB$44,$AC$44,E642=$AB$45,$AC$45,E642=$AB$46,$AC$46,E642=$AB$47,$AC$47,E642=$AB$48,$AC$48,E642=$AB$49,$AC$49,E642=$AB$50,$AC$50,E642=$AB$51,$AC$51,E642=$AB$52,$AC$52,E642=$AB$53,$AC$53,E642=$AB$54,$AC$54,E642=$AB$55,$AC$55,E642=$AB$56,$AC$56,E642=$AB$57,$AC$57,E642=$AB$58,$AC$58,E642=$AB$59,$AC$59,E642=$AB$60,$AC$60,E642=$AB$61,$AC$61,E642=$AB$62,$AC$62,E642=$AB$63,$AC$63,E642=$AB$64,$AC$64,E642=$AB$65,$AC$65,E642=$AB$66,$AC$66,TRUE,"0")</f>
        <v>#NAME?</v>
      </c>
      <c r="C642" s="161" t="str" cm="1">
        <f t="array" ref="C642">_xlfn.IFS(E642=$AB$42,$AF$42,E642=$AB$43,$AF$43,E642=$AB$44,$AF$44,E642=$AB$45,$AF$45,E642=$AB$46,$AF$46,E642=$AB$47,$AF$47,E642=$AB$48,$AF$48,E642=$AB$49,$AF$49,E642=$AB$50,$AF$50,E642=$AB$51,$AF$51,E642=$AB$52,$AF$52,E642=$AB$53,$AF$53,E642=$AB$54,$AF$54,E642=$AB$55,$AF$55,E642=$AB$56,$AF$56,E642=$AB$57,$AF$57,E642=$AB$58,$AF$58,E642=$AB$59,$AF$59,E642=$AB$60,$AF$60,E642=$AB$61,$AF$61,E642=$AB$62,$AF$62,E642=$AB$63,$AF$63,E642=$AB$64,$AF$64,E642=$AB$65,$AF$65,E642=$AB$66,$AF$66,TRUE,"0")</f>
        <v>B4 match BACK FT +1.5 goals. X AFTER  GOAL</v>
      </c>
      <c r="D642" s="270" t="str" cm="1">
        <f t="array" ref="D642">_xlfn.IFS(E642=$AB$42,$AD$42,E642=$AB$43,$AD$43,E642=$AB$44,$AD$44,E642=$AB$45,$AD$45,E642=$AB$46,$AD$46,E642=$AB$47,$AD$47,E642=$AB$48,$AD$48,E642=$AB$49,$AD$49,E642=$AB$50,$AD$50,E642=$AB$51,$AD$51,E642=$AB$52,$AD$52,E642=$AB$53,$AD$53,E642=$AB$54,$AD$54,E642=$AB$55,$AD$55,E642=$AB$56,$AD$56,E642=$AB$57,$AD$57,E642=$AB$58,$AD$58,E642=$AB$59,$AD$59,E642=$AB$60,$AD$60,E642=$AB$61,$AD$61,E642=$AB$62,$AD$62,E642=$AB$63,$AD$63,E642=$AB$64,$AD$64,E642=$AB$65,$AD$65,E642=$AB$66,$AD$66,TRUE,"0")</f>
        <v xml:space="preserve">BFM </v>
      </c>
      <c r="E642" s="163" t="s">
        <v>512</v>
      </c>
      <c r="F642" s="2" t="s">
        <v>145</v>
      </c>
      <c r="G642" s="2" t="s">
        <v>190</v>
      </c>
      <c r="H642" s="3">
        <v>45368.583333333336</v>
      </c>
      <c r="I642" s="2" t="s">
        <v>364</v>
      </c>
      <c r="J642" s="2" t="s">
        <v>227</v>
      </c>
      <c r="K642" s="2">
        <v>4.3</v>
      </c>
      <c r="L642" s="2">
        <v>20</v>
      </c>
      <c r="M642" s="2">
        <v>2.9</v>
      </c>
      <c r="N642" s="2">
        <v>38</v>
      </c>
      <c r="O642" s="2">
        <v>0</v>
      </c>
      <c r="P642" s="2">
        <v>10</v>
      </c>
      <c r="Q642" s="2" t="s">
        <v>95</v>
      </c>
      <c r="R642" s="10" t="s">
        <v>216</v>
      </c>
      <c r="S642" s="14" t="s">
        <v>210</v>
      </c>
      <c r="T642" s="188">
        <v>1000</v>
      </c>
      <c r="U642" s="8">
        <f t="shared" si="79"/>
        <v>180</v>
      </c>
      <c r="V642" s="234">
        <f t="shared" si="78"/>
        <v>33604.155246160299</v>
      </c>
      <c r="W642" s="15">
        <v>25</v>
      </c>
      <c r="X642" s="8">
        <f t="shared" si="72"/>
        <v>4.5</v>
      </c>
      <c r="Y642" s="233">
        <f t="shared" si="73"/>
        <v>2706</v>
      </c>
    </row>
    <row r="643" spans="1:30">
      <c r="A643" s="156" t="e" cm="1">
        <f t="array" aca="1" ref="A643" ca="1">_xlfn.IFS(E643=$AB$42,$AC$42,E643=$AB$43,$AC$43,E643=$AB$44,$AC$44,E643=$AB$45,$AC$45,E643=$AB$46,$AC$46,E643=$AB$47,$AC$47,E643=$AB$48,$AC$48,E643=$AB$49,$AC$49,E643=$AB$50,$AC$50,E643=$AB$51,$AC$51,E643=$AB$52,$AC$52,E643=$AB$53,$AC$53,E643=$AB$54,$AC$54,E643=$AB$55,$AC$55,E643=$AB$56,$AC$56,E643=$AB$57,$AC$57,E643=$AB$58,$AC$58,E643=$AB$59,$AC$59,E643=$AB$60,$AC$60,E643=$AB$61,$AC$61,E643=$AB$62,$AC$62,E643=$AB$63,$AC$63,E643=$AB$64,$AC$64,E643=$AB$65,$AC$65,E643=$AB$66,$AC$66,TRUE,"0")</f>
        <v>#NAME?</v>
      </c>
      <c r="C643" s="161" t="str" cm="1">
        <f t="array" ref="C643">_xlfn.IFS(E643=$AB$42,$AF$42,E643=$AB$43,$AF$43,E643=$AB$44,$AF$44,E643=$AB$45,$AF$45,E643=$AB$46,$AF$46,E643=$AB$47,$AF$47,E643=$AB$48,$AF$48,E643=$AB$49,$AF$49,E643=$AB$50,$AF$50,E643=$AB$51,$AF$51,E643=$AB$52,$AF$52,E643=$AB$53,$AF$53,E643=$AB$54,$AF$54,E643=$AB$55,$AF$55,E643=$AB$56,$AF$56,E643=$AB$57,$AF$57,E643=$AB$58,$AF$58,E643=$AB$59,$AF$59,E643=$AB$60,$AF$60,E643=$AB$61,$AF$61,E643=$AB$62,$AF$62,E643=$AB$63,$AF$63,E643=$AB$64,$AF$64,E643=$AB$65,$AF$65,E643=$AB$66,$AF$66,TRUE,"0")</f>
        <v>40 mins Back ANother Goal</v>
      </c>
      <c r="D643" s="270" t="str" cm="1">
        <f t="array" ref="D643">_xlfn.IFS(E643=$AB$42,$AD$42,E643=$AB$43,$AD$43,E643=$AB$44,$AD$44,E643=$AB$45,$AD$45,E643=$AB$46,$AD$46,E643=$AB$47,$AD$47,E643=$AB$48,$AD$48,E643=$AB$49,$AD$49,E643=$AB$50,$AD$50,E643=$AB$51,$AD$51,E643=$AB$52,$AD$52,E643=$AB$53,$AD$53,E643=$AB$54,$AD$54,E643=$AB$55,$AD$55,E643=$AB$56,$AD$56,E643=$AB$57,$AD$57,E643=$AB$58,$AD$58,E643=$AB$59,$AD$59,E643=$AB$60,$AD$60,E643=$AB$61,$AD$61,E643=$AB$62,$AD$62,E643=$AB$63,$AD$63,E643=$AB$64,$AD$64,E643=$AB$65,$AD$65,E643=$AB$66,$AD$66,TRUE,"0")</f>
        <v xml:space="preserve">  BANG</v>
      </c>
      <c r="E643" s="163" t="s">
        <v>10</v>
      </c>
      <c r="F643" s="2" t="s">
        <v>6</v>
      </c>
      <c r="G643" s="2" t="s">
        <v>7</v>
      </c>
      <c r="H643" s="3">
        <v>45368.583333333336</v>
      </c>
      <c r="I643" s="2" t="s">
        <v>302</v>
      </c>
      <c r="J643" s="2" t="s">
        <v>9</v>
      </c>
      <c r="K643" s="2">
        <v>2.2000000000000002</v>
      </c>
      <c r="L643" s="2">
        <v>95</v>
      </c>
      <c r="M643" s="2">
        <v>65</v>
      </c>
      <c r="N643" s="2">
        <v>25</v>
      </c>
      <c r="O643" s="2">
        <v>60</v>
      </c>
      <c r="P643" s="2">
        <v>20</v>
      </c>
      <c r="Q643" s="2" t="s">
        <v>95</v>
      </c>
      <c r="R643" s="10" t="s">
        <v>214</v>
      </c>
      <c r="S643" s="14" t="s">
        <v>215</v>
      </c>
      <c r="T643" s="188">
        <v>1000</v>
      </c>
      <c r="U643" s="8">
        <f t="shared" si="79"/>
        <v>180</v>
      </c>
      <c r="V643" s="234">
        <f t="shared" si="78"/>
        <v>33784.155246160299</v>
      </c>
      <c r="W643" s="15">
        <v>25</v>
      </c>
      <c r="X643" s="8">
        <f t="shared" ref="X643:X706" si="80">IF(Q643="won",W643*0.18,-W643)</f>
        <v>4.5</v>
      </c>
      <c r="Y643" s="233">
        <f t="shared" ref="Y643:Y706" si="81">SUM(Y642,X643)</f>
        <v>2710.5</v>
      </c>
    </row>
    <row r="644" spans="1:30">
      <c r="A644" s="156" t="e" cm="1">
        <f t="array" aca="1" ref="A644" ca="1">_xlfn.IFS(E644=$AB$42,$AC$42,E644=$AB$43,$AC$43,E644=$AB$44,$AC$44,E644=$AB$45,$AC$45,E644=$AB$46,$AC$46,E644=$AB$47,$AC$47,E644=$AB$48,$AC$48,E644=$AB$49,$AC$49,E644=$AB$50,$AC$50,E644=$AB$51,$AC$51,E644=$AB$52,$AC$52,E644=$AB$53,$AC$53,E644=$AB$54,$AC$54,E644=$AB$55,$AC$55,E644=$AB$56,$AC$56,E644=$AB$57,$AC$57,E644=$AB$58,$AC$58,E644=$AB$59,$AC$59,E644=$AB$60,$AC$60,E644=$AB$61,$AC$61,E644=$AB$62,$AC$62,E644=$AB$63,$AC$63,E644=$AB$64,$AC$64,E644=$AB$65,$AC$65,E644=$AB$66,$AC$66,TRUE,"0")</f>
        <v>#NAME?</v>
      </c>
      <c r="C644" s="161" t="str" cm="1">
        <f t="array" ref="C644">_xlfn.IFS(E644=$AB$42,$AF$42,E644=$AB$43,$AF$43,E644=$AB$44,$AF$44,E644=$AB$45,$AF$45,E644=$AB$46,$AF$46,E644=$AB$47,$AF$47,E644=$AB$48,$AF$48,E644=$AB$49,$AF$49,E644=$AB$50,$AF$50,E644=$AB$51,$AF$51,E644=$AB$52,$AF$52,E644=$AB$53,$AF$53,E644=$AB$54,$AF$54,E644=$AB$55,$AF$55,E644=$AB$56,$AF$56,E644=$AB$57,$AF$57,E644=$AB$58,$AF$58,E644=$AB$59,$AF$59,E644=$AB$60,$AF$60,E644=$AB$61,$AF$61,E644=$AB$62,$AF$62,E644=$AB$63,$AF$63,E644=$AB$64,$AF$64,E644=$AB$65,$AF$65,E644=$AB$66,$AF$66,TRUE,"0")</f>
        <v>B4 Match, lay HT 0-0 or BACK H1 +0.5 GOALS</v>
      </c>
      <c r="D644" s="270" t="str" cm="1">
        <f t="array" ref="D644">_xlfn.IFS(E644=$AB$42,$AD$42,E644=$AB$43,$AD$43,E644=$AB$44,$AD$44,E644=$AB$45,$AD$45,E644=$AB$46,$AD$46,E644=$AB$47,$AD$47,E644=$AB$48,$AD$48,E644=$AB$49,$AD$49,E644=$AB$50,$AD$50,E644=$AB$51,$AD$51,E644=$AB$52,$AD$52,E644=$AB$53,$AD$53,E644=$AB$54,$AD$54,E644=$AB$55,$AD$55,E644=$AB$56,$AD$56,E644=$AB$57,$AD$57,E644=$AB$58,$AD$58,E644=$AB$59,$AD$59,E644=$AB$60,$AD$60,E644=$AB$61,$AD$61,E644=$AB$62,$AD$62,E644=$AB$63,$AD$63,E644=$AB$64,$AD$64,E644=$AB$65,$AD$65,E644=$AB$66,$AD$66,TRUE,"0")</f>
        <v xml:space="preserve">BFM </v>
      </c>
      <c r="E644" s="163" t="s">
        <v>448</v>
      </c>
      <c r="F644" s="2" t="s">
        <v>6</v>
      </c>
      <c r="G644" s="2" t="s">
        <v>7</v>
      </c>
      <c r="H644" s="3">
        <v>45368.583333333336</v>
      </c>
      <c r="I644" s="2" t="s">
        <v>302</v>
      </c>
      <c r="J644" s="2" t="s">
        <v>9</v>
      </c>
      <c r="K644" s="2">
        <v>20</v>
      </c>
      <c r="L644" s="2">
        <v>10</v>
      </c>
      <c r="M644" s="2">
        <v>36</v>
      </c>
      <c r="N644" s="2">
        <v>9</v>
      </c>
      <c r="O644" s="2">
        <v>12</v>
      </c>
      <c r="P644" s="2">
        <v>3</v>
      </c>
      <c r="Q644" s="2" t="s">
        <v>95</v>
      </c>
      <c r="R644" s="10" t="s">
        <v>214</v>
      </c>
      <c r="S644" s="14" t="s">
        <v>215</v>
      </c>
      <c r="T644" s="188">
        <v>1000</v>
      </c>
      <c r="U644" s="8">
        <f t="shared" si="79"/>
        <v>180</v>
      </c>
      <c r="V644" s="234">
        <f t="shared" si="78"/>
        <v>33964.155246160299</v>
      </c>
      <c r="W644" s="15">
        <v>25</v>
      </c>
      <c r="X644" s="8">
        <f t="shared" si="80"/>
        <v>4.5</v>
      </c>
      <c r="Y644" s="233">
        <f t="shared" si="81"/>
        <v>2715</v>
      </c>
    </row>
    <row r="645" spans="1:30">
      <c r="A645" s="156" t="e" cm="1">
        <f t="array" aca="1" ref="A645" ca="1">_xlfn.IFS(E645=$AB$42,$AC$42,E645=$AB$43,$AC$43,E645=$AB$44,$AC$44,E645=$AB$45,$AC$45,E645=$AB$46,$AC$46,E645=$AB$47,$AC$47,E645=$AB$48,$AC$48,E645=$AB$49,$AC$49,E645=$AB$50,$AC$50,E645=$AB$51,$AC$51,E645=$AB$52,$AC$52,E645=$AB$53,$AC$53,E645=$AB$54,$AC$54,E645=$AB$55,$AC$55,E645=$AB$56,$AC$56,E645=$AB$57,$AC$57,E645=$AB$58,$AC$58,E645=$AB$59,$AC$59,E645=$AB$60,$AC$60,E645=$AB$61,$AC$61,E645=$AB$62,$AC$62,E645=$AB$63,$AC$63,E645=$AB$64,$AC$64,E645=$AB$65,$AC$65,E645=$AB$66,$AC$66,TRUE,"0")</f>
        <v>#NAME?</v>
      </c>
      <c r="C645" s="161" t="str" cm="1">
        <f t="array" ref="C645">_xlfn.IFS(E645=$AB$42,$AF$42,E645=$AB$43,$AF$43,E645=$AB$44,$AF$44,E645=$AB$45,$AF$45,E645=$AB$46,$AF$46,E645=$AB$47,$AF$47,E645=$AB$48,$AF$48,E645=$AB$49,$AF$49,E645=$AB$50,$AF$50,E645=$AB$51,$AF$51,E645=$AB$52,$AF$52,E645=$AB$53,$AF$53,E645=$AB$54,$AF$54,E645=$AB$55,$AF$55,E645=$AB$56,$AF$56,E645=$AB$57,$AF$57,E645=$AB$58,$AF$58,E645=$AB$59,$AF$59,E645=$AB$60,$AF$60,E645=$AB$61,$AF$61,E645=$AB$62,$AF$62,E645=$AB$63,$AF$63,E645=$AB$64,$AF$64,E645=$AB$65,$AF$65,E645=$AB$66,$AF$66,TRUE,"0")</f>
        <v>40 mins Back ANother Goal</v>
      </c>
      <c r="D645" s="270" t="str" cm="1">
        <f t="array" ref="D645">_xlfn.IFS(E645=$AB$42,$AD$42,E645=$AB$43,$AD$43,E645=$AB$44,$AD$44,E645=$AB$45,$AD$45,E645=$AB$46,$AD$46,E645=$AB$47,$AD$47,E645=$AB$48,$AD$48,E645=$AB$49,$AD$49,E645=$AB$50,$AD$50,E645=$AB$51,$AD$51,E645=$AB$52,$AD$52,E645=$AB$53,$AD$53,E645=$AB$54,$AD$54,E645=$AB$55,$AD$55,E645=$AB$56,$AD$56,E645=$AB$57,$AD$57,E645=$AB$58,$AD$58,E645=$AB$59,$AD$59,E645=$AB$60,$AD$60,E645=$AB$61,$AD$61,E645=$AB$62,$AD$62,E645=$AB$63,$AD$63,E645=$AB$64,$AD$64,E645=$AB$65,$AD$65,E645=$AB$66,$AD$66,TRUE,"0")</f>
        <v xml:space="preserve">  BANG</v>
      </c>
      <c r="E645" s="163" t="s">
        <v>10</v>
      </c>
      <c r="F645" s="2" t="s">
        <v>20</v>
      </c>
      <c r="G645" s="2" t="s">
        <v>21</v>
      </c>
      <c r="H645" s="3">
        <v>45368.583333333336</v>
      </c>
      <c r="I645" s="2" t="s">
        <v>598</v>
      </c>
      <c r="J645" s="2" t="s">
        <v>109</v>
      </c>
      <c r="K645" s="2">
        <v>1.95</v>
      </c>
      <c r="L645" s="2">
        <v>100</v>
      </c>
      <c r="M645" s="2">
        <v>65</v>
      </c>
      <c r="N645" s="2">
        <v>25</v>
      </c>
      <c r="O645" s="2">
        <v>65</v>
      </c>
      <c r="P645" s="2">
        <v>20</v>
      </c>
      <c r="Q645" s="2" t="s">
        <v>95</v>
      </c>
      <c r="R645" s="10" t="s">
        <v>193</v>
      </c>
      <c r="S645" s="14" t="s">
        <v>211</v>
      </c>
      <c r="T645" s="188">
        <v>1000</v>
      </c>
      <c r="U645" s="8">
        <f t="shared" si="79"/>
        <v>180</v>
      </c>
      <c r="V645" s="234">
        <f t="shared" si="78"/>
        <v>34144.155246160299</v>
      </c>
      <c r="W645" s="15">
        <v>25</v>
      </c>
      <c r="X645" s="8">
        <f t="shared" si="80"/>
        <v>4.5</v>
      </c>
      <c r="Y645" s="233">
        <f t="shared" si="81"/>
        <v>2719.5</v>
      </c>
    </row>
    <row r="646" spans="1:30" s="39" customFormat="1">
      <c r="A646" s="156" t="e" cm="1">
        <f t="array" aca="1" ref="A646" ca="1">_xlfn.IFS(E646=$AB$42,$AC$42,E646=$AB$43,$AC$43,E646=$AB$44,$AC$44,E646=$AB$45,$AC$45,E646=$AB$46,$AC$46,E646=$AB$47,$AC$47,E646=$AB$48,$AC$48,E646=$AB$49,$AC$49,E646=$AB$50,$AC$50,E646=$AB$51,$AC$51,E646=$AB$52,$AC$52,E646=$AB$53,$AC$53,E646=$AB$54,$AC$54,E646=$AB$55,$AC$55,E646=$AB$56,$AC$56,E646=$AB$57,$AC$57,E646=$AB$58,$AC$58,E646=$AB$59,$AC$59,E646=$AB$60,$AC$60,E646=$AB$61,$AC$61,E646=$AB$62,$AC$62,E646=$AB$63,$AC$63,E646=$AB$64,$AC$64,E646=$AB$65,$AC$65,E646=$AB$66,$AC$66,TRUE,"0")</f>
        <v>#NAME?</v>
      </c>
      <c r="B646" s="156"/>
      <c r="C646" s="161" t="str" cm="1">
        <f t="array" ref="C646">_xlfn.IFS(E646=$AB$42,$AF$42,E646=$AB$43,$AF$43,E646=$AB$44,$AF$44,E646=$AB$45,$AF$45,E646=$AB$46,$AF$46,E646=$AB$47,$AF$47,E646=$AB$48,$AF$48,E646=$AB$49,$AF$49,E646=$AB$50,$AF$50,E646=$AB$51,$AF$51,E646=$AB$52,$AF$52,E646=$AB$53,$AF$53,E646=$AB$54,$AF$54,E646=$AB$55,$AF$55,E646=$AB$56,$AF$56,E646=$AB$57,$AF$57,E646=$AB$58,$AF$58,E646=$AB$59,$AF$59,E646=$AB$60,$AF$60,E646=$AB$61,$AF$61,E646=$AB$62,$AF$62,E646=$AB$63,$AF$63,E646=$AB$64,$AF$64,E646=$AB$65,$AF$65,E646=$AB$66,$AF$66,TRUE,"0")</f>
        <v>if 0-0, BACK+ 0.5 GOALS  @ 1.15+odds.  or @ 40 mins</v>
      </c>
      <c r="D646" s="270" t="str" cm="1">
        <f t="array" ref="D646">_xlfn.IFS(E646=$AB$42,$AD$42,E646=$AB$43,$AD$43,E646=$AB$44,$AD$44,E646=$AB$45,$AD$45,E646=$AB$46,$AD$46,E646=$AB$47,$AD$47,E646=$AB$48,$AD$48,E646=$AB$49,$AD$49,E646=$AB$50,$AD$50,E646=$AB$51,$AD$51,E646=$AB$52,$AD$52,E646=$AB$53,$AD$53,E646=$AB$54,$AD$54,E646=$AB$55,$AD$55,E646=$AB$56,$AD$56,E646=$AB$57,$AD$57,E646=$AB$58,$AD$58,E646=$AB$59,$AD$59,E646=$AB$60,$AD$60,E646=$AB$61,$AD$61,E646=$AB$62,$AD$62,E646=$AB$63,$AD$63,E646=$AB$64,$AD$64,E646=$AB$65,$AD$65,E646=$AB$66,$AD$66,TRUE,"0")</f>
        <v>IP</v>
      </c>
      <c r="E646" s="163" t="s">
        <v>270</v>
      </c>
      <c r="F646" s="2" t="s">
        <v>20</v>
      </c>
      <c r="G646" s="2" t="s">
        <v>21</v>
      </c>
      <c r="H646" s="3">
        <v>45368.583333333336</v>
      </c>
      <c r="I646" s="2" t="s">
        <v>598</v>
      </c>
      <c r="J646" s="2" t="s">
        <v>109</v>
      </c>
      <c r="K646" s="2">
        <v>60</v>
      </c>
      <c r="L646" s="2">
        <v>0</v>
      </c>
      <c r="M646" s="2">
        <v>20</v>
      </c>
      <c r="N646" s="2">
        <v>37</v>
      </c>
      <c r="O646" s="2">
        <v>2.52</v>
      </c>
      <c r="P646" s="2"/>
      <c r="Q646" s="2" t="s">
        <v>95</v>
      </c>
      <c r="R646" s="10" t="s">
        <v>193</v>
      </c>
      <c r="S646" s="14" t="s">
        <v>211</v>
      </c>
      <c r="T646" s="188">
        <v>1000</v>
      </c>
      <c r="U646" s="8">
        <f t="shared" si="79"/>
        <v>180</v>
      </c>
      <c r="V646" s="234">
        <f t="shared" si="78"/>
        <v>34324.155246160299</v>
      </c>
      <c r="W646" s="15">
        <v>25</v>
      </c>
      <c r="X646" s="8">
        <f t="shared" si="80"/>
        <v>4.5</v>
      </c>
      <c r="Y646" s="233">
        <f t="shared" si="81"/>
        <v>2724</v>
      </c>
      <c r="AB646" s="40"/>
      <c r="AC646" s="245"/>
      <c r="AD646" s="40"/>
    </row>
    <row r="647" spans="1:30" ht="15.75" customHeight="1">
      <c r="A647" s="156" t="e" cm="1">
        <f t="array" aca="1" ref="A647" ca="1">_xlfn.IFS(E647=$AB$42,$AC$42,E647=$AB$43,$AC$43,E647=$AB$44,$AC$44,E647=$AB$45,$AC$45,E647=$AB$46,$AC$46,E647=$AB$47,$AC$47,E647=$AB$48,$AC$48,E647=$AB$49,$AC$49,E647=$AB$50,$AC$50,E647=$AB$51,$AC$51,E647=$AB$52,$AC$52,E647=$AB$53,$AC$53,E647=$AB$54,$AC$54,E647=$AB$55,$AC$55,E647=$AB$56,$AC$56,E647=$AB$57,$AC$57,E647=$AB$58,$AC$58,E647=$AB$59,$AC$59,E647=$AB$60,$AC$60,E647=$AB$61,$AC$61,E647=$AB$62,$AC$62,E647=$AB$63,$AC$63,E647=$AB$64,$AC$64,E647=$AB$65,$AC$65,E647=$AB$66,$AC$66,TRUE,"0")</f>
        <v>#NAME?</v>
      </c>
      <c r="C647" s="161" t="str" cm="1">
        <f t="array" ref="C647">_xlfn.IFS(E647=$AB$42,$AF$42,E647=$AB$43,$AF$43,E647=$AB$44,$AF$44,E647=$AB$45,$AF$45,E647=$AB$46,$AF$46,E647=$AB$47,$AF$47,E647=$AB$48,$AF$48,E647=$AB$49,$AF$49,E647=$AB$50,$AF$50,E647=$AB$51,$AF$51,E647=$AB$52,$AF$52,E647=$AB$53,$AF$53,E647=$AB$54,$AF$54,E647=$AB$55,$AF$55,E647=$AB$56,$AF$56,E647=$AB$57,$AF$57,E647=$AB$58,$AF$58,E647=$AB$59,$AF$59,E647=$AB$60,$AF$60,E647=$AB$61,$AF$61,E647=$AB$62,$AF$62,E647=$AB$63,$AF$63,E647=$AB$64,$AF$64,E647=$AB$65,$AF$65,E647=$AB$66,$AF$66,TRUE,"0")</f>
        <v>B4 match BACK FT +1.5 goals. X AFTER  GOAL</v>
      </c>
      <c r="D647" s="270" t="str" cm="1">
        <f t="array" ref="D647">_xlfn.IFS(E647=$AB$42,$AD$42,E647=$AB$43,$AD$43,E647=$AB$44,$AD$44,E647=$AB$45,$AD$45,E647=$AB$46,$AD$46,E647=$AB$47,$AD$47,E647=$AB$48,$AD$48,E647=$AB$49,$AD$49,E647=$AB$50,$AD$50,E647=$AB$51,$AD$51,E647=$AB$52,$AD$52,E647=$AB$53,$AD$53,E647=$AB$54,$AD$54,E647=$AB$55,$AD$55,E647=$AB$56,$AD$56,E647=$AB$57,$AD$57,E647=$AB$58,$AD$58,E647=$AB$59,$AD$59,E647=$AB$60,$AD$60,E647=$AB$61,$AD$61,E647=$AB$62,$AD$62,E647=$AB$63,$AD$63,E647=$AB$64,$AD$64,E647=$AB$65,$AD$65,E647=$AB$66,$AD$66,TRUE,"0")</f>
        <v xml:space="preserve">BFM </v>
      </c>
      <c r="E647" s="163" t="s">
        <v>406</v>
      </c>
      <c r="F647" s="2" t="s">
        <v>6</v>
      </c>
      <c r="G647" s="2" t="s">
        <v>14</v>
      </c>
      <c r="H647" s="3">
        <v>45368.625</v>
      </c>
      <c r="I647" s="2" t="s">
        <v>280</v>
      </c>
      <c r="J647" s="2" t="s">
        <v>610</v>
      </c>
      <c r="K647" s="2">
        <v>1.34</v>
      </c>
      <c r="L647" s="2">
        <v>12.5</v>
      </c>
      <c r="M647" s="2">
        <v>2.6</v>
      </c>
      <c r="N647" s="2">
        <v>5.6</v>
      </c>
      <c r="O647" s="2">
        <v>2.17</v>
      </c>
      <c r="P647" s="2"/>
      <c r="Q647" s="2" t="s">
        <v>95</v>
      </c>
      <c r="R647" s="10" t="s">
        <v>214</v>
      </c>
      <c r="S647" s="14" t="s">
        <v>220</v>
      </c>
      <c r="T647" s="188">
        <v>1000</v>
      </c>
      <c r="U647" s="8">
        <f t="shared" si="79"/>
        <v>180</v>
      </c>
      <c r="V647" s="234">
        <f t="shared" si="78"/>
        <v>34504.155246160299</v>
      </c>
      <c r="W647" s="15">
        <v>25</v>
      </c>
      <c r="X647" s="8">
        <f t="shared" si="80"/>
        <v>4.5</v>
      </c>
      <c r="Y647" s="233">
        <f t="shared" si="81"/>
        <v>2728.5</v>
      </c>
    </row>
    <row r="648" spans="1:30" ht="15.75" customHeight="1">
      <c r="A648" s="156" t="e" cm="1">
        <f t="array" aca="1" ref="A648" ca="1">_xlfn.IFS(E648=$AB$42,$AC$42,E648=$AB$43,$AC$43,E648=$AB$44,$AC$44,E648=$AB$45,$AC$45,E648=$AB$46,$AC$46,E648=$AB$47,$AC$47,E648=$AB$48,$AC$48,E648=$AB$49,$AC$49,E648=$AB$50,$AC$50,E648=$AB$51,$AC$51,E648=$AB$52,$AC$52,E648=$AB$53,$AC$53,E648=$AB$54,$AC$54,E648=$AB$55,$AC$55,E648=$AB$56,$AC$56,E648=$AB$57,$AC$57,E648=$AB$58,$AC$58,E648=$AB$59,$AC$59,E648=$AB$60,$AC$60,E648=$AB$61,$AC$61,E648=$AB$62,$AC$62,E648=$AB$63,$AC$63,E648=$AB$64,$AC$64,E648=$AB$65,$AC$65,E648=$AB$66,$AC$66,TRUE,"0")</f>
        <v>#NAME?</v>
      </c>
      <c r="C648" s="161" t="str" cm="1">
        <f t="array" ref="C648">_xlfn.IFS(E648=$AB$42,$AF$42,E648=$AB$43,$AF$43,E648=$AB$44,$AF$44,E648=$AB$45,$AF$45,E648=$AB$46,$AF$46,E648=$AB$47,$AF$47,E648=$AB$48,$AF$48,E648=$AB$49,$AF$49,E648=$AB$50,$AF$50,E648=$AB$51,$AF$51,E648=$AB$52,$AF$52,E648=$AB$53,$AF$53,E648=$AB$54,$AF$54,E648=$AB$55,$AF$55,E648=$AB$56,$AF$56,E648=$AB$57,$AF$57,E648=$AB$58,$AF$58,E648=$AB$59,$AF$59,E648=$AB$60,$AF$60,E648=$AB$61,$AF$61,E648=$AB$62,$AF$62,E648=$AB$63,$AF$63,E648=$AB$64,$AF$64,E648=$AB$65,$AF$65,E648=$AB$66,$AF$66,TRUE,"0")</f>
        <v>B4 match BACK FT +1.5 goals. X AFTER  GOAL</v>
      </c>
      <c r="D648" s="270" t="str" cm="1">
        <f t="array" ref="D648">_xlfn.IFS(E648=$AB$42,$AD$42,E648=$AB$43,$AD$43,E648=$AB$44,$AD$44,E648=$AB$45,$AD$45,E648=$AB$46,$AD$46,E648=$AB$47,$AD$47,E648=$AB$48,$AD$48,E648=$AB$49,$AD$49,E648=$AB$50,$AD$50,E648=$AB$51,$AD$51,E648=$AB$52,$AD$52,E648=$AB$53,$AD$53,E648=$AB$54,$AD$54,E648=$AB$55,$AD$55,E648=$AB$56,$AD$56,E648=$AB$57,$AD$57,E648=$AB$58,$AD$58,E648=$AB$59,$AD$59,E648=$AB$60,$AD$60,E648=$AB$61,$AD$61,E648=$AB$62,$AD$62,E648=$AB$63,$AD$63,E648=$AB$64,$AD$64,E648=$AB$65,$AD$65,E648=$AB$66,$AD$66,TRUE,"0")</f>
        <v xml:space="preserve">BFM </v>
      </c>
      <c r="E648" s="163" t="s">
        <v>512</v>
      </c>
      <c r="F648" s="2" t="s">
        <v>6</v>
      </c>
      <c r="G648" s="2" t="s">
        <v>14</v>
      </c>
      <c r="H648" s="3">
        <v>45368.625</v>
      </c>
      <c r="I648" s="2" t="s">
        <v>280</v>
      </c>
      <c r="J648" s="2" t="s">
        <v>610</v>
      </c>
      <c r="K648" s="2">
        <v>5.6</v>
      </c>
      <c r="L648" s="2">
        <v>20</v>
      </c>
      <c r="M648" s="2">
        <v>2.6</v>
      </c>
      <c r="N648" s="2">
        <v>25</v>
      </c>
      <c r="O648" s="2">
        <v>1</v>
      </c>
      <c r="P648" s="2">
        <v>10</v>
      </c>
      <c r="Q648" s="2" t="s">
        <v>95</v>
      </c>
      <c r="R648" s="10" t="s">
        <v>214</v>
      </c>
      <c r="S648" s="14" t="s">
        <v>220</v>
      </c>
      <c r="T648" s="188">
        <v>1000</v>
      </c>
      <c r="U648" s="8">
        <f t="shared" si="79"/>
        <v>180</v>
      </c>
      <c r="V648" s="234">
        <f t="shared" si="78"/>
        <v>34684.155246160299</v>
      </c>
      <c r="W648" s="15">
        <v>25</v>
      </c>
      <c r="X648" s="8">
        <f t="shared" si="80"/>
        <v>4.5</v>
      </c>
      <c r="Y648" s="233">
        <f t="shared" si="81"/>
        <v>2733</v>
      </c>
    </row>
    <row r="649" spans="1:30" ht="15.75" customHeight="1">
      <c r="A649" s="156" t="e" cm="1">
        <f t="array" aca="1" ref="A649" ca="1">_xlfn.IFS(E649=$AB$42,$AC$42,E649=$AB$43,$AC$43,E649=$AB$44,$AC$44,E649=$AB$45,$AC$45,E649=$AB$46,$AC$46,E649=$AB$47,$AC$47,E649=$AB$48,$AC$48,E649=$AB$49,$AC$49,E649=$AB$50,$AC$50,E649=$AB$51,$AC$51,E649=$AB$52,$AC$52,E649=$AB$53,$AC$53,E649=$AB$54,$AC$54,E649=$AB$55,$AC$55,E649=$AB$56,$AC$56,E649=$AB$57,$AC$57,E649=$AB$58,$AC$58,E649=$AB$59,$AC$59,E649=$AB$60,$AC$60,E649=$AB$61,$AC$61,E649=$AB$62,$AC$62,E649=$AB$63,$AC$63,E649=$AB$64,$AC$64,E649=$AB$65,$AC$65,E649=$AB$66,$AC$66,TRUE,"0")</f>
        <v>#NAME?</v>
      </c>
      <c r="C649" s="161" t="str" cm="1">
        <f t="array" ref="C649">_xlfn.IFS(E649=$AB$42,$AF$42,E649=$AB$43,$AF$43,E649=$AB$44,$AF$44,E649=$AB$45,$AF$45,E649=$AB$46,$AF$46,E649=$AB$47,$AF$47,E649=$AB$48,$AF$48,E649=$AB$49,$AF$49,E649=$AB$50,$AF$50,E649=$AB$51,$AF$51,E649=$AB$52,$AF$52,E649=$AB$53,$AF$53,E649=$AB$54,$AF$54,E649=$AB$55,$AF$55,E649=$AB$56,$AF$56,E649=$AB$57,$AF$57,E649=$AB$58,$AF$58,E649=$AB$59,$AF$59,E649=$AB$60,$AF$60,E649=$AB$61,$AF$61,E649=$AB$62,$AF$62,E649=$AB$63,$AF$63,E649=$AB$64,$AF$64,E649=$AB$65,$AF$65,E649=$AB$66,$AF$66,TRUE,"0")</f>
        <v>if 0-0, BACK+ 0.5 GOALS  @ 1.15+odds.  or @ 40 mins</v>
      </c>
      <c r="D649" s="270" t="str" cm="1">
        <f t="array" ref="D649">_xlfn.IFS(E649=$AB$42,$AD$42,E649=$AB$43,$AD$43,E649=$AB$44,$AD$44,E649=$AB$45,$AD$45,E649=$AB$46,$AD$46,E649=$AB$47,$AD$47,E649=$AB$48,$AD$48,E649=$AB$49,$AD$49,E649=$AB$50,$AD$50,E649=$AB$51,$AD$51,E649=$AB$52,$AD$52,E649=$AB$53,$AD$53,E649=$AB$54,$AD$54,E649=$AB$55,$AD$55,E649=$AB$56,$AD$56,E649=$AB$57,$AD$57,E649=$AB$58,$AD$58,E649=$AB$59,$AD$59,E649=$AB$60,$AD$60,E649=$AB$61,$AD$61,E649=$AB$62,$AD$62,E649=$AB$63,$AD$63,E649=$AB$64,$AD$64,E649=$AB$65,$AD$65,E649=$AB$66,$AD$66,TRUE,"0")</f>
        <v>IP</v>
      </c>
      <c r="E649" s="163" t="s">
        <v>270</v>
      </c>
      <c r="F649" s="2" t="s">
        <v>149</v>
      </c>
      <c r="G649" s="2" t="s">
        <v>153</v>
      </c>
      <c r="H649" s="3">
        <v>45368.65625</v>
      </c>
      <c r="I649" s="2" t="s">
        <v>395</v>
      </c>
      <c r="J649" s="2" t="s">
        <v>363</v>
      </c>
      <c r="K649" s="2">
        <v>61</v>
      </c>
      <c r="L649" s="2">
        <v>0</v>
      </c>
      <c r="M649" s="2">
        <v>20</v>
      </c>
      <c r="N649" s="2">
        <v>26</v>
      </c>
      <c r="O649" s="2">
        <v>3.57</v>
      </c>
      <c r="P649" s="2"/>
      <c r="Q649" s="2" t="s">
        <v>95</v>
      </c>
      <c r="R649" s="10" t="s">
        <v>214</v>
      </c>
      <c r="S649" s="14" t="s">
        <v>210</v>
      </c>
      <c r="T649" s="188">
        <v>1000</v>
      </c>
      <c r="U649" s="8">
        <f t="shared" si="79"/>
        <v>180</v>
      </c>
      <c r="V649" s="234">
        <f t="shared" si="78"/>
        <v>34864.155246160299</v>
      </c>
      <c r="W649" s="15">
        <v>25</v>
      </c>
      <c r="X649" s="8">
        <f t="shared" si="80"/>
        <v>4.5</v>
      </c>
      <c r="Y649" s="233">
        <f t="shared" si="81"/>
        <v>2737.5</v>
      </c>
    </row>
    <row r="650" spans="1:30" ht="15.75" customHeight="1">
      <c r="A650" s="156" t="e" cm="1">
        <f t="array" aca="1" ref="A650" ca="1">_xlfn.IFS(E650=$AB$42,$AC$42,E650=$AB$43,$AC$43,E650=$AB$44,$AC$44,E650=$AB$45,$AC$45,E650=$AB$46,$AC$46,E650=$AB$47,$AC$47,E650=$AB$48,$AC$48,E650=$AB$49,$AC$49,E650=$AB$50,$AC$50,E650=$AB$51,$AC$51,E650=$AB$52,$AC$52,E650=$AB$53,$AC$53,E650=$AB$54,$AC$54,E650=$AB$55,$AC$55,E650=$AB$56,$AC$56,E650=$AB$57,$AC$57,E650=$AB$58,$AC$58,E650=$AB$59,$AC$59,E650=$AB$60,$AC$60,E650=$AB$61,$AC$61,E650=$AB$62,$AC$62,E650=$AB$63,$AC$63,E650=$AB$64,$AC$64,E650=$AB$65,$AC$65,E650=$AB$66,$AC$66,TRUE,"0")</f>
        <v>#NAME?</v>
      </c>
      <c r="C650" s="161" t="str" cm="1">
        <f t="array" ref="C650">_xlfn.IFS(E650=$AB$42,$AF$42,E650=$AB$43,$AF$43,E650=$AB$44,$AF$44,E650=$AB$45,$AF$45,E650=$AB$46,$AF$46,E650=$AB$47,$AF$47,E650=$AB$48,$AF$48,E650=$AB$49,$AF$49,E650=$AB$50,$AF$50,E650=$AB$51,$AF$51,E650=$AB$52,$AF$52,E650=$AB$53,$AF$53,E650=$AB$54,$AF$54,E650=$AB$55,$AF$55,E650=$AB$56,$AF$56,E650=$AB$57,$AF$57,E650=$AB$58,$AF$58,E650=$AB$59,$AF$59,E650=$AB$60,$AF$60,E650=$AB$61,$AF$61,E650=$AB$62,$AF$62,E650=$AB$63,$AF$63,E650=$AB$64,$AF$64,E650=$AB$65,$AF$65,E650=$AB$66,$AF$66,TRUE,"0")</f>
        <v>if 0-0, BACK+ 0.5 GOALS  @ 1.15+odds.  or @ 40 mins</v>
      </c>
      <c r="D650" s="270" t="str" cm="1">
        <f t="array" ref="D650">_xlfn.IFS(E650=$AB$42,$AD$42,E650=$AB$43,$AD$43,E650=$AB$44,$AD$44,E650=$AB$45,$AD$45,E650=$AB$46,$AD$46,E650=$AB$47,$AD$47,E650=$AB$48,$AD$48,E650=$AB$49,$AD$49,E650=$AB$50,$AD$50,E650=$AB$51,$AD$51,E650=$AB$52,$AD$52,E650=$AB$53,$AD$53,E650=$AB$54,$AD$54,E650=$AB$55,$AD$55,E650=$AB$56,$AD$56,E650=$AB$57,$AD$57,E650=$AB$58,$AD$58,E650=$AB$59,$AD$59,E650=$AB$60,$AD$60,E650=$AB$61,$AD$61,E650=$AB$62,$AD$62,E650=$AB$63,$AD$63,E650=$AB$64,$AD$64,E650=$AB$65,$AD$65,E650=$AB$66,$AD$66,TRUE,"0")</f>
        <v>IP</v>
      </c>
      <c r="E650" s="163" t="s">
        <v>270</v>
      </c>
      <c r="F650" s="2" t="s">
        <v>434</v>
      </c>
      <c r="G650" s="2" t="s">
        <v>435</v>
      </c>
      <c r="H650" s="3">
        <v>45368.666666666664</v>
      </c>
      <c r="I650" s="2" t="s">
        <v>556</v>
      </c>
      <c r="J650" s="2" t="s">
        <v>599</v>
      </c>
      <c r="K650" s="2">
        <v>64</v>
      </c>
      <c r="L650" s="2">
        <v>0</v>
      </c>
      <c r="M650" s="2">
        <v>20</v>
      </c>
      <c r="N650" s="2">
        <v>33</v>
      </c>
      <c r="O650" s="2">
        <v>1.69</v>
      </c>
      <c r="P650" s="2"/>
      <c r="Q650" s="2" t="s">
        <v>95</v>
      </c>
      <c r="R650" s="10" t="s">
        <v>214</v>
      </c>
      <c r="S650" s="14" t="s">
        <v>220</v>
      </c>
      <c r="T650" s="188">
        <v>1000</v>
      </c>
      <c r="U650" s="8">
        <f t="shared" si="79"/>
        <v>180</v>
      </c>
      <c r="V650" s="234">
        <f t="shared" ref="V650:V657" si="82">SUM(V649,U650)</f>
        <v>35044.155246160299</v>
      </c>
      <c r="W650" s="15">
        <v>25</v>
      </c>
      <c r="X650" s="8">
        <f t="shared" si="80"/>
        <v>4.5</v>
      </c>
      <c r="Y650" s="233">
        <f t="shared" si="81"/>
        <v>2742</v>
      </c>
    </row>
    <row r="651" spans="1:30">
      <c r="A651" s="156" t="e" cm="1">
        <f t="array" aca="1" ref="A651" ca="1">_xlfn.IFS(E651=$AB$42,$AC$42,E651=$AB$43,$AC$43,E651=$AB$44,$AC$44,E651=$AB$45,$AC$45,E651=$AB$46,$AC$46,E651=$AB$47,$AC$47,E651=$AB$48,$AC$48,E651=$AB$49,$AC$49,E651=$AB$50,$AC$50,E651=$AB$51,$AC$51,E651=$AB$52,$AC$52,E651=$AB$53,$AC$53,E651=$AB$54,$AC$54,E651=$AB$55,$AC$55,E651=$AB$56,$AC$56,E651=$AB$57,$AC$57,E651=$AB$58,$AC$58,E651=$AB$59,$AC$59,E651=$AB$60,$AC$60,E651=$AB$61,$AC$61,E651=$AB$62,$AC$62,E651=$AB$63,$AC$63,E651=$AB$64,$AC$64,E651=$AB$65,$AC$65,E651=$AB$66,$AC$66,TRUE,"0")</f>
        <v>#NAME?</v>
      </c>
      <c r="C651" s="161" t="str" cm="1">
        <f t="array" ref="C651">_xlfn.IFS(E651=$AB$42,$AF$42,E651=$AB$43,$AF$43,E651=$AB$44,$AF$44,E651=$AB$45,$AF$45,E651=$AB$46,$AF$46,E651=$AB$47,$AF$47,E651=$AB$48,$AF$48,E651=$AB$49,$AF$49,E651=$AB$50,$AF$50,E651=$AB$51,$AF$51,E651=$AB$52,$AF$52,E651=$AB$53,$AF$53,E651=$AB$54,$AF$54,E651=$AB$55,$AF$55,E651=$AB$56,$AF$56,E651=$AB$57,$AF$57,E651=$AB$58,$AF$58,E651=$AB$59,$AF$59,E651=$AB$60,$AF$60,E651=$AB$61,$AF$61,E651=$AB$62,$AF$62,E651=$AB$63,$AF$63,E651=$AB$64,$AF$64,E651=$AB$65,$AF$65,E651=$AB$66,$AF$66,TRUE,"0")</f>
        <v>40 mins Back ANother Goal</v>
      </c>
      <c r="D651" s="270" t="str" cm="1">
        <f t="array" ref="D651">_xlfn.IFS(E651=$AB$42,$AD$42,E651=$AB$43,$AD$43,E651=$AB$44,$AD$44,E651=$AB$45,$AD$45,E651=$AB$46,$AD$46,E651=$AB$47,$AD$47,E651=$AB$48,$AD$48,E651=$AB$49,$AD$49,E651=$AB$50,$AD$50,E651=$AB$51,$AD$51,E651=$AB$52,$AD$52,E651=$AB$53,$AD$53,E651=$AB$54,$AD$54,E651=$AB$55,$AD$55,E651=$AB$56,$AD$56,E651=$AB$57,$AD$57,E651=$AB$58,$AD$58,E651=$AB$59,$AD$59,E651=$AB$60,$AD$60,E651=$AB$61,$AD$61,E651=$AB$62,$AD$62,E651=$AB$63,$AD$63,E651=$AB$64,$AD$64,E651=$AB$65,$AD$65,E651=$AB$66,$AD$66,TRUE,"0")</f>
        <v xml:space="preserve">  BANG</v>
      </c>
      <c r="E651" s="163" t="s">
        <v>10</v>
      </c>
      <c r="F651" s="2" t="s">
        <v>67</v>
      </c>
      <c r="G651" s="2" t="s">
        <v>68</v>
      </c>
      <c r="H651" s="3">
        <v>45368.729166666664</v>
      </c>
      <c r="I651" s="2" t="s">
        <v>337</v>
      </c>
      <c r="J651" s="2" t="s">
        <v>439</v>
      </c>
      <c r="K651" s="2">
        <v>2.2000000000000002</v>
      </c>
      <c r="L651" s="2">
        <v>100</v>
      </c>
      <c r="M651" s="2">
        <v>80</v>
      </c>
      <c r="N651" s="2">
        <v>35</v>
      </c>
      <c r="O651" s="2">
        <v>68</v>
      </c>
      <c r="P651" s="2">
        <v>20</v>
      </c>
      <c r="Q651" s="2" t="s">
        <v>95</v>
      </c>
      <c r="R651" s="10" t="s">
        <v>220</v>
      </c>
      <c r="S651" s="14" t="s">
        <v>194</v>
      </c>
      <c r="T651" s="188">
        <v>1000</v>
      </c>
      <c r="U651" s="8">
        <f t="shared" si="79"/>
        <v>180</v>
      </c>
      <c r="V651" s="234">
        <f t="shared" si="82"/>
        <v>35224.155246160299</v>
      </c>
      <c r="W651" s="15">
        <v>25</v>
      </c>
      <c r="X651" s="8">
        <f t="shared" si="80"/>
        <v>4.5</v>
      </c>
      <c r="Y651" s="233">
        <f t="shared" si="81"/>
        <v>2746.5</v>
      </c>
    </row>
    <row r="652" spans="1:30">
      <c r="A652" s="156" t="e" cm="1">
        <f t="array" aca="1" ref="A652" ca="1">_xlfn.IFS(E652=$AB$42,$AC$42,E652=$AB$43,$AC$43,E652=$AB$44,$AC$44,E652=$AB$45,$AC$45,E652=$AB$46,$AC$46,E652=$AB$47,$AC$47,E652=$AB$48,$AC$48,E652=$AB$49,$AC$49,E652=$AB$50,$AC$50,E652=$AB$51,$AC$51,E652=$AB$52,$AC$52,E652=$AB$53,$AC$53,E652=$AB$54,$AC$54,E652=$AB$55,$AC$55,E652=$AB$56,$AC$56,E652=$AB$57,$AC$57,E652=$AB$58,$AC$58,E652=$AB$59,$AC$59,E652=$AB$60,$AC$60,E652=$AB$61,$AC$61,E652=$AB$62,$AC$62,E652=$AB$63,$AC$63,E652=$AB$64,$AC$64,E652=$AB$65,$AC$65,E652=$AB$66,$AC$66,TRUE,"0")</f>
        <v>#NAME?</v>
      </c>
      <c r="C652" s="161" t="str" cm="1">
        <f t="array" ref="C652">_xlfn.IFS(E652=$AB$42,$AF$42,E652=$AB$43,$AF$43,E652=$AB$44,$AF$44,E652=$AB$45,$AF$45,E652=$AB$46,$AF$46,E652=$AB$47,$AF$47,E652=$AB$48,$AF$48,E652=$AB$49,$AF$49,E652=$AB$50,$AF$50,E652=$AB$51,$AF$51,E652=$AB$52,$AF$52,E652=$AB$53,$AF$53,E652=$AB$54,$AF$54,E652=$AB$55,$AF$55,E652=$AB$56,$AF$56,E652=$AB$57,$AF$57,E652=$AB$58,$AF$58,E652=$AB$59,$AF$59,E652=$AB$60,$AF$60,E652=$AB$61,$AF$61,E652=$AB$62,$AF$62,E652=$AB$63,$AF$63,E652=$AB$64,$AF$64,E652=$AB$65,$AF$65,E652=$AB$66,$AF$66,TRUE,"0")</f>
        <v>B4 match BACK FT +1.5 goals. X AFTER  GOAL</v>
      </c>
      <c r="D652" s="270" t="str" cm="1">
        <f t="array" ref="D652">_xlfn.IFS(E652=$AB$42,$AD$42,E652=$AB$43,$AD$43,E652=$AB$44,$AD$44,E652=$AB$45,$AD$45,E652=$AB$46,$AD$46,E652=$AB$47,$AD$47,E652=$AB$48,$AD$48,E652=$AB$49,$AD$49,E652=$AB$50,$AD$50,E652=$AB$51,$AD$51,E652=$AB$52,$AD$52,E652=$AB$53,$AD$53,E652=$AB$54,$AD$54,E652=$AB$55,$AD$55,E652=$AB$56,$AD$56,E652=$AB$57,$AD$57,E652=$AB$58,$AD$58,E652=$AB$59,$AD$59,E652=$AB$60,$AD$60,E652=$AB$61,$AD$61,E652=$AB$62,$AD$62,E652=$AB$63,$AD$63,E652=$AB$64,$AD$64,E652=$AB$65,$AD$65,E652=$AB$66,$AD$66,TRUE,"0")</f>
        <v xml:space="preserve">BFM </v>
      </c>
      <c r="E652" s="163" t="s">
        <v>512</v>
      </c>
      <c r="F652" s="2" t="s">
        <v>67</v>
      </c>
      <c r="G652" s="2" t="s">
        <v>68</v>
      </c>
      <c r="H652" s="3">
        <v>45368.729166666664</v>
      </c>
      <c r="I652" s="2" t="s">
        <v>337</v>
      </c>
      <c r="J652" s="2" t="s">
        <v>439</v>
      </c>
      <c r="K652" s="2">
        <v>4.3</v>
      </c>
      <c r="L652" s="2">
        <v>20</v>
      </c>
      <c r="M652" s="2">
        <v>3.55</v>
      </c>
      <c r="N652" s="2">
        <v>36</v>
      </c>
      <c r="O652" s="2">
        <v>1</v>
      </c>
      <c r="P652" s="2">
        <v>10</v>
      </c>
      <c r="Q652" s="2" t="s">
        <v>95</v>
      </c>
      <c r="R652" s="10" t="s">
        <v>220</v>
      </c>
      <c r="S652" s="14" t="s">
        <v>194</v>
      </c>
      <c r="T652" s="188">
        <v>1000</v>
      </c>
      <c r="U652" s="8">
        <f t="shared" si="79"/>
        <v>180</v>
      </c>
      <c r="V652" s="234">
        <f t="shared" si="82"/>
        <v>35404.155246160299</v>
      </c>
      <c r="W652" s="15">
        <v>25</v>
      </c>
      <c r="X652" s="8">
        <f t="shared" si="80"/>
        <v>4.5</v>
      </c>
      <c r="Y652" s="233">
        <f t="shared" si="81"/>
        <v>2751</v>
      </c>
    </row>
    <row r="653" spans="1:30">
      <c r="A653" s="156" t="e" cm="1">
        <f t="array" aca="1" ref="A653" ca="1">_xlfn.IFS(E653=$AB$42,$AC$42,E653=$AB$43,$AC$43,E653=$AB$44,$AC$44,E653=$AB$45,$AC$45,E653=$AB$46,$AC$46,E653=$AB$47,$AC$47,E653=$AB$48,$AC$48,E653=$AB$49,$AC$49,E653=$AB$50,$AC$50,E653=$AB$51,$AC$51,E653=$AB$52,$AC$52,E653=$AB$53,$AC$53,E653=$AB$54,$AC$54,E653=$AB$55,$AC$55,E653=$AB$56,$AC$56,E653=$AB$57,$AC$57,E653=$AB$58,$AC$58,E653=$AB$59,$AC$59,E653=$AB$60,$AC$60,E653=$AB$61,$AC$61,E653=$AB$62,$AC$62,E653=$AB$63,$AC$63,E653=$AB$64,$AC$64,E653=$AB$65,$AC$65,E653=$AB$66,$AC$66,TRUE,"0")</f>
        <v>#NAME?</v>
      </c>
      <c r="C653" s="161" t="str" cm="1">
        <f t="array" ref="C653">_xlfn.IFS(E653=$AB$42,$AF$42,E653=$AB$43,$AF$43,E653=$AB$44,$AF$44,E653=$AB$45,$AF$45,E653=$AB$46,$AF$46,E653=$AB$47,$AF$47,E653=$AB$48,$AF$48,E653=$AB$49,$AF$49,E653=$AB$50,$AF$50,E653=$AB$51,$AF$51,E653=$AB$52,$AF$52,E653=$AB$53,$AF$53,E653=$AB$54,$AF$54,E653=$AB$55,$AF$55,E653=$AB$56,$AF$56,E653=$AB$57,$AF$57,E653=$AB$58,$AF$58,E653=$AB$59,$AF$59,E653=$AB$60,$AF$60,E653=$AB$61,$AF$61,E653=$AB$62,$AF$62,E653=$AB$63,$AF$63,E653=$AB$64,$AF$64,E653=$AB$65,$AF$65,E653=$AB$66,$AF$66,TRUE,"0")</f>
        <v>if 0-0, BACK+ 0.5 GOALS  @ 1.15+odds.  or @ 40 mins</v>
      </c>
      <c r="D653" s="270" t="str" cm="1">
        <f t="array" ref="D653">_xlfn.IFS(E653=$AB$42,$AD$42,E653=$AB$43,$AD$43,E653=$AB$44,$AD$44,E653=$AB$45,$AD$45,E653=$AB$46,$AD$46,E653=$AB$47,$AD$47,E653=$AB$48,$AD$48,E653=$AB$49,$AD$49,E653=$AB$50,$AD$50,E653=$AB$51,$AD$51,E653=$AB$52,$AD$52,E653=$AB$53,$AD$53,E653=$AB$54,$AD$54,E653=$AB$55,$AD$55,E653=$AB$56,$AD$56,E653=$AB$57,$AD$57,E653=$AB$58,$AD$58,E653=$AB$59,$AD$59,E653=$AB$60,$AD$60,E653=$AB$61,$AD$61,E653=$AB$62,$AD$62,E653=$AB$63,$AD$63,E653=$AB$64,$AD$64,E653=$AB$65,$AD$65,E653=$AB$66,$AD$66,TRUE,"0")</f>
        <v>IP</v>
      </c>
      <c r="E653" s="163" t="s">
        <v>270</v>
      </c>
      <c r="F653" s="2" t="s">
        <v>67</v>
      </c>
      <c r="G653" s="2" t="s">
        <v>68</v>
      </c>
      <c r="H653" s="3">
        <v>45368.729166666664</v>
      </c>
      <c r="I653" s="2" t="s">
        <v>337</v>
      </c>
      <c r="J653" s="2" t="s">
        <v>439</v>
      </c>
      <c r="K653" s="2">
        <v>62</v>
      </c>
      <c r="L653" s="2">
        <v>0</v>
      </c>
      <c r="M653" s="2">
        <v>20</v>
      </c>
      <c r="N653" s="2">
        <v>36</v>
      </c>
      <c r="O653" s="2">
        <v>3.19</v>
      </c>
      <c r="P653" s="2"/>
      <c r="Q653" s="2" t="s">
        <v>95</v>
      </c>
      <c r="R653" s="10" t="s">
        <v>220</v>
      </c>
      <c r="S653" s="14" t="s">
        <v>194</v>
      </c>
      <c r="T653" s="188">
        <v>1000</v>
      </c>
      <c r="U653" s="8">
        <f t="shared" si="79"/>
        <v>180</v>
      </c>
      <c r="V653" s="234">
        <f t="shared" si="82"/>
        <v>35584.155246160299</v>
      </c>
      <c r="W653" s="15">
        <v>25</v>
      </c>
      <c r="X653" s="8">
        <f t="shared" si="80"/>
        <v>4.5</v>
      </c>
      <c r="Y653" s="233">
        <f t="shared" si="81"/>
        <v>2755.5</v>
      </c>
    </row>
    <row r="654" spans="1:30">
      <c r="A654" s="156" t="e" cm="1">
        <f t="array" aca="1" ref="A654" ca="1">_xlfn.IFS(E654=$AB$42,$AC$42,E654=$AB$43,$AC$43,E654=$AB$44,$AC$44,E654=$AB$45,$AC$45,E654=$AB$46,$AC$46,E654=$AB$47,$AC$47,E654=$AB$48,$AC$48,E654=$AB$49,$AC$49,E654=$AB$50,$AC$50,E654=$AB$51,$AC$51,E654=$AB$52,$AC$52,E654=$AB$53,$AC$53,E654=$AB$54,$AC$54,E654=$AB$55,$AC$55,E654=$AB$56,$AC$56,E654=$AB$57,$AC$57,E654=$AB$58,$AC$58,E654=$AB$59,$AC$59,E654=$AB$60,$AC$60,E654=$AB$61,$AC$61,E654=$AB$62,$AC$62,E654=$AB$63,$AC$63,E654=$AB$64,$AC$64,E654=$AB$65,$AC$65,E654=$AB$66,$AC$66,TRUE,"0")</f>
        <v>#NAME?</v>
      </c>
      <c r="C654" s="161" t="str" cm="1">
        <f t="array" ref="C654">_xlfn.IFS(E654=$AB$42,$AF$42,E654=$AB$43,$AF$43,E654=$AB$44,$AF$44,E654=$AB$45,$AF$45,E654=$AB$46,$AF$46,E654=$AB$47,$AF$47,E654=$AB$48,$AF$48,E654=$AB$49,$AF$49,E654=$AB$50,$AF$50,E654=$AB$51,$AF$51,E654=$AB$52,$AF$52,E654=$AB$53,$AF$53,E654=$AB$54,$AF$54,E654=$AB$55,$AF$55,E654=$AB$56,$AF$56,E654=$AB$57,$AF$57,E654=$AB$58,$AF$58,E654=$AB$59,$AF$59,E654=$AB$60,$AF$60,E654=$AB$61,$AF$61,E654=$AB$62,$AF$62,E654=$AB$63,$AF$63,E654=$AB$64,$AF$64,E654=$AB$65,$AF$65,E654=$AB$66,$AF$66,TRUE,"0")</f>
        <v>40 mins Back ANother Goal</v>
      </c>
      <c r="D654" s="270" t="str" cm="1">
        <f t="array" ref="D654">_xlfn.IFS(E654=$AB$42,$AD$42,E654=$AB$43,$AD$43,E654=$AB$44,$AD$44,E654=$AB$45,$AD$45,E654=$AB$46,$AD$46,E654=$AB$47,$AD$47,E654=$AB$48,$AD$48,E654=$AB$49,$AD$49,E654=$AB$50,$AD$50,E654=$AB$51,$AD$51,E654=$AB$52,$AD$52,E654=$AB$53,$AD$53,E654=$AB$54,$AD$54,E654=$AB$55,$AD$55,E654=$AB$56,$AD$56,E654=$AB$57,$AD$57,E654=$AB$58,$AD$58,E654=$AB$59,$AD$59,E654=$AB$60,$AD$60,E654=$AB$61,$AD$61,E654=$AB$62,$AD$62,E654=$AB$63,$AD$63,E654=$AB$64,$AD$64,E654=$AB$65,$AD$65,E654=$AB$66,$AD$66,TRUE,"0")</f>
        <v xml:space="preserve">  BANG</v>
      </c>
      <c r="E654" s="163" t="s">
        <v>519</v>
      </c>
      <c r="F654" s="2" t="s">
        <v>80</v>
      </c>
      <c r="G654" s="2" t="s">
        <v>600</v>
      </c>
      <c r="H654" s="3">
        <v>45368.729166666664</v>
      </c>
      <c r="I654" s="2" t="s">
        <v>601</v>
      </c>
      <c r="J654" s="2" t="s">
        <v>602</v>
      </c>
      <c r="K654" s="2">
        <v>20</v>
      </c>
      <c r="L654" s="2">
        <v>90</v>
      </c>
      <c r="M654" s="2">
        <v>90</v>
      </c>
      <c r="N654" s="2"/>
      <c r="O654" s="2"/>
      <c r="P654" s="2"/>
      <c r="Q654" s="2" t="s">
        <v>95</v>
      </c>
      <c r="R654" s="10" t="s">
        <v>214</v>
      </c>
      <c r="S654" s="14" t="s">
        <v>220</v>
      </c>
      <c r="T654" s="188">
        <v>1000</v>
      </c>
      <c r="U654" s="8">
        <f t="shared" si="79"/>
        <v>180</v>
      </c>
      <c r="V654" s="234">
        <f t="shared" si="82"/>
        <v>35764.155246160299</v>
      </c>
      <c r="W654" s="15">
        <v>25</v>
      </c>
      <c r="X654" s="8">
        <f t="shared" si="80"/>
        <v>4.5</v>
      </c>
      <c r="Y654" s="233">
        <f t="shared" si="81"/>
        <v>2760</v>
      </c>
    </row>
    <row r="655" spans="1:30">
      <c r="A655" s="156" t="e" cm="1">
        <f t="array" aca="1" ref="A655" ca="1">_xlfn.IFS(E655=$AB$42,$AC$42,E655=$AB$43,$AC$43,E655=$AB$44,$AC$44,E655=$AB$45,$AC$45,E655=$AB$46,$AC$46,E655=$AB$47,$AC$47,E655=$AB$48,$AC$48,E655=$AB$49,$AC$49,E655=$AB$50,$AC$50,E655=$AB$51,$AC$51,E655=$AB$52,$AC$52,E655=$AB$53,$AC$53,E655=$AB$54,$AC$54,E655=$AB$55,$AC$55,E655=$AB$56,$AC$56,E655=$AB$57,$AC$57,E655=$AB$58,$AC$58,E655=$AB$59,$AC$59,E655=$AB$60,$AC$60,E655=$AB$61,$AC$61,E655=$AB$62,$AC$62,E655=$AB$63,$AC$63,E655=$AB$64,$AC$64,E655=$AB$65,$AC$65,E655=$AB$66,$AC$66,TRUE,"0")</f>
        <v>#NAME?</v>
      </c>
      <c r="C655" s="161" t="str" cm="1">
        <f t="array" ref="C655">_xlfn.IFS(E655=$AB$42,$AF$42,E655=$AB$43,$AF$43,E655=$AB$44,$AF$44,E655=$AB$45,$AF$45,E655=$AB$46,$AF$46,E655=$AB$47,$AF$47,E655=$AB$48,$AF$48,E655=$AB$49,$AF$49,E655=$AB$50,$AF$50,E655=$AB$51,$AF$51,E655=$AB$52,$AF$52,E655=$AB$53,$AF$53,E655=$AB$54,$AF$54,E655=$AB$55,$AF$55,E655=$AB$56,$AF$56,E655=$AB$57,$AF$57,E655=$AB$58,$AF$58,E655=$AB$59,$AF$59,E655=$AB$60,$AF$60,E655=$AB$61,$AF$61,E655=$AB$62,$AF$62,E655=$AB$63,$AF$63,E655=$AB$64,$AF$64,E655=$AB$65,$AF$65,E655=$AB$66,$AF$66,TRUE,"0")</f>
        <v>40 mins Back ANother Goal</v>
      </c>
      <c r="D655" s="270" t="str" cm="1">
        <f t="array" ref="D655">_xlfn.IFS(E655=$AB$42,$AD$42,E655=$AB$43,$AD$43,E655=$AB$44,$AD$44,E655=$AB$45,$AD$45,E655=$AB$46,$AD$46,E655=$AB$47,$AD$47,E655=$AB$48,$AD$48,E655=$AB$49,$AD$49,E655=$AB$50,$AD$50,E655=$AB$51,$AD$51,E655=$AB$52,$AD$52,E655=$AB$53,$AD$53,E655=$AB$54,$AD$54,E655=$AB$55,$AD$55,E655=$AB$56,$AD$56,E655=$AB$57,$AD$57,E655=$AB$58,$AD$58,E655=$AB$59,$AD$59,E655=$AB$60,$AD$60,E655=$AB$61,$AD$61,E655=$AB$62,$AD$62,E655=$AB$63,$AD$63,E655=$AB$64,$AD$64,E655=$AB$65,$AD$65,E655=$AB$66,$AD$66,TRUE,"0")</f>
        <v xml:space="preserve">  BANG</v>
      </c>
      <c r="E655" s="163" t="s">
        <v>515</v>
      </c>
      <c r="F655" s="2" t="s">
        <v>80</v>
      </c>
      <c r="G655" s="2" t="s">
        <v>600</v>
      </c>
      <c r="H655" s="3">
        <v>45368.729166666664</v>
      </c>
      <c r="I655" s="2" t="s">
        <v>601</v>
      </c>
      <c r="J655" s="2" t="s">
        <v>602</v>
      </c>
      <c r="K655" s="2">
        <v>20</v>
      </c>
      <c r="L655" s="2">
        <v>73</v>
      </c>
      <c r="M655" s="2">
        <v>1.85</v>
      </c>
      <c r="N655" s="2"/>
      <c r="O655" s="2"/>
      <c r="P655" s="2"/>
      <c r="Q655" s="2" t="s">
        <v>95</v>
      </c>
      <c r="R655" s="10" t="s">
        <v>214</v>
      </c>
      <c r="S655" s="14" t="s">
        <v>220</v>
      </c>
      <c r="T655" s="188">
        <v>1000</v>
      </c>
      <c r="U655" s="8">
        <f t="shared" si="79"/>
        <v>180</v>
      </c>
      <c r="V655" s="234">
        <f t="shared" si="82"/>
        <v>35944.155246160299</v>
      </c>
      <c r="W655" s="15">
        <v>25</v>
      </c>
      <c r="X655" s="8">
        <f t="shared" si="80"/>
        <v>4.5</v>
      </c>
      <c r="Y655" s="233">
        <f t="shared" si="81"/>
        <v>2764.5</v>
      </c>
    </row>
    <row r="656" spans="1:30">
      <c r="A656" s="156" t="e" cm="1">
        <f t="array" aca="1" ref="A656" ca="1">_xlfn.IFS(E656=$AB$42,$AC$42,E656=$AB$43,$AC$43,E656=$AB$44,$AC$44,E656=$AB$45,$AC$45,E656=$AB$46,$AC$46,E656=$AB$47,$AC$47,E656=$AB$48,$AC$48,E656=$AB$49,$AC$49,E656=$AB$50,$AC$50,E656=$AB$51,$AC$51,E656=$AB$52,$AC$52,E656=$AB$53,$AC$53,E656=$AB$54,$AC$54,E656=$AB$55,$AC$55,E656=$AB$56,$AC$56,E656=$AB$57,$AC$57,E656=$AB$58,$AC$58,E656=$AB$59,$AC$59,E656=$AB$60,$AC$60,E656=$AB$61,$AC$61,E656=$AB$62,$AC$62,E656=$AB$63,$AC$63,E656=$AB$64,$AC$64,E656=$AB$65,$AC$65,E656=$AB$66,$AC$66,TRUE,"0")</f>
        <v>#NAME?</v>
      </c>
      <c r="C656" s="161" t="str" cm="1">
        <f t="array" ref="C656">_xlfn.IFS(E656=$AB$42,$AF$42,E656=$AB$43,$AF$43,E656=$AB$44,$AF$44,E656=$AB$45,$AF$45,E656=$AB$46,$AF$46,E656=$AB$47,$AF$47,E656=$AB$48,$AF$48,E656=$AB$49,$AF$49,E656=$AB$50,$AF$50,E656=$AB$51,$AF$51,E656=$AB$52,$AF$52,E656=$AB$53,$AF$53,E656=$AB$54,$AF$54,E656=$AB$55,$AF$55,E656=$AB$56,$AF$56,E656=$AB$57,$AF$57,E656=$AB$58,$AF$58,E656=$AB$59,$AF$59,E656=$AB$60,$AF$60,E656=$AB$61,$AF$61,E656=$AB$62,$AF$62,E656=$AB$63,$AF$63,E656=$AB$64,$AF$64,E656=$AB$65,$AF$65,E656=$AB$66,$AF$66,TRUE,"0")</f>
        <v>AT HT IF 0-0 BACK +0.5 GOALS</v>
      </c>
      <c r="D656" s="270" t="str" cm="1">
        <f t="array" ref="D656">_xlfn.IFS(E656=$AB$42,$AD$42,E656=$AB$43,$AD$43,E656=$AB$44,$AD$44,E656=$AB$45,$AD$45,E656=$AB$46,$AD$46,E656=$AB$47,$AD$47,E656=$AB$48,$AD$48,E656=$AB$49,$AD$49,E656=$AB$50,$AD$50,E656=$AB$51,$AD$51,E656=$AB$52,$AD$52,E656=$AB$53,$AD$53,E656=$AB$54,$AD$54,E656=$AB$55,$AD$55,E656=$AB$56,$AD$56,E656=$AB$57,$AD$57,E656=$AB$58,$AD$58,E656=$AB$59,$AD$59,E656=$AB$60,$AD$60,E656=$AB$61,$AD$61,E656=$AB$62,$AD$62,E656=$AB$63,$AD$63,E656=$AB$64,$AD$64,E656=$AB$65,$AD$65,E656=$AB$66,$AD$66,TRUE,"0")</f>
        <v>IP</v>
      </c>
      <c r="E656" s="163" t="s">
        <v>514</v>
      </c>
      <c r="F656" s="2" t="s">
        <v>58</v>
      </c>
      <c r="G656" s="2" t="s">
        <v>59</v>
      </c>
      <c r="H656" s="3">
        <v>45368.75</v>
      </c>
      <c r="I656" s="2" t="s">
        <v>111</v>
      </c>
      <c r="J656" s="2" t="s">
        <v>60</v>
      </c>
      <c r="K656" s="2">
        <v>0</v>
      </c>
      <c r="L656" s="2">
        <v>5.7</v>
      </c>
      <c r="M656" s="2">
        <v>980</v>
      </c>
      <c r="N656" s="2">
        <v>20</v>
      </c>
      <c r="O656" s="2">
        <v>10</v>
      </c>
      <c r="P656" s="2">
        <v>44</v>
      </c>
      <c r="Q656" s="2" t="s">
        <v>95</v>
      </c>
      <c r="R656" s="10" t="s">
        <v>221</v>
      </c>
      <c r="S656" s="14" t="s">
        <v>193</v>
      </c>
      <c r="T656" s="188">
        <v>1000</v>
      </c>
      <c r="U656" s="8">
        <f t="shared" si="79"/>
        <v>180</v>
      </c>
      <c r="V656" s="234">
        <f t="shared" si="82"/>
        <v>36124.155246160299</v>
      </c>
      <c r="W656" s="15">
        <v>25</v>
      </c>
      <c r="X656" s="8">
        <f t="shared" si="80"/>
        <v>4.5</v>
      </c>
      <c r="Y656" s="233">
        <f t="shared" si="81"/>
        <v>2769</v>
      </c>
    </row>
    <row r="657" spans="1:25">
      <c r="A657" s="156" t="e" cm="1">
        <f t="array" aca="1" ref="A657" ca="1">_xlfn.IFS(E657=$AB$42,$AC$42,E657=$AB$43,$AC$43,E657=$AB$44,$AC$44,E657=$AB$45,$AC$45,E657=$AB$46,$AC$46,E657=$AB$47,$AC$47,E657=$AB$48,$AC$48,E657=$AB$49,$AC$49,E657=$AB$50,$AC$50,E657=$AB$51,$AC$51,E657=$AB$52,$AC$52,E657=$AB$53,$AC$53,E657=$AB$54,$AC$54,E657=$AB$55,$AC$55,E657=$AB$56,$AC$56,E657=$AB$57,$AC$57,E657=$AB$58,$AC$58,E657=$AB$59,$AC$59,E657=$AB$60,$AC$60,E657=$AB$61,$AC$61,E657=$AB$62,$AC$62,E657=$AB$63,$AC$63,E657=$AB$64,$AC$64,E657=$AB$65,$AC$65,E657=$AB$66,$AC$66,TRUE,"0")</f>
        <v>#NAME?</v>
      </c>
      <c r="C657" s="161" t="str" cm="1">
        <f t="array" ref="C657">_xlfn.IFS(E657=$AB$42,$AF$42,E657=$AB$43,$AF$43,E657=$AB$44,$AF$44,E657=$AB$45,$AF$45,E657=$AB$46,$AF$46,E657=$AB$47,$AF$47,E657=$AB$48,$AF$48,E657=$AB$49,$AF$49,E657=$AB$50,$AF$50,E657=$AB$51,$AF$51,E657=$AB$52,$AF$52,E657=$AB$53,$AF$53,E657=$AB$54,$AF$54,E657=$AB$55,$AF$55,E657=$AB$56,$AF$56,E657=$AB$57,$AF$57,E657=$AB$58,$AF$58,E657=$AB$59,$AF$59,E657=$AB$60,$AF$60,E657=$AB$61,$AF$61,E657=$AB$62,$AF$62,E657=$AB$63,$AF$63,E657=$AB$64,$AF$64,E657=$AB$65,$AF$65,E657=$AB$66,$AF$66,TRUE,"0")</f>
        <v>B4 match BACK FT +1.5 goals. X AFTER  GOAL</v>
      </c>
      <c r="D657" s="270" t="str" cm="1">
        <f t="array" ref="D657">_xlfn.IFS(E657=$AB$42,$AD$42,E657=$AB$43,$AD$43,E657=$AB$44,$AD$44,E657=$AB$45,$AD$45,E657=$AB$46,$AD$46,E657=$AB$47,$AD$47,E657=$AB$48,$AD$48,E657=$AB$49,$AD$49,E657=$AB$50,$AD$50,E657=$AB$51,$AD$51,E657=$AB$52,$AD$52,E657=$AB$53,$AD$53,E657=$AB$54,$AD$54,E657=$AB$55,$AD$55,E657=$AB$56,$AD$56,E657=$AB$57,$AD$57,E657=$AB$58,$AD$58,E657=$AB$59,$AD$59,E657=$AB$60,$AD$60,E657=$AB$61,$AD$61,E657=$AB$62,$AD$62,E657=$AB$63,$AD$63,E657=$AB$64,$AD$64,E657=$AB$65,$AD$65,E657=$AB$66,$AD$66,TRUE,"0")</f>
        <v xml:space="preserve">BFM </v>
      </c>
      <c r="E657" s="163" t="s">
        <v>512</v>
      </c>
      <c r="F657" s="2" t="s">
        <v>149</v>
      </c>
      <c r="G657" s="2" t="s">
        <v>153</v>
      </c>
      <c r="H657" s="3">
        <v>45368.791666666664</v>
      </c>
      <c r="I657" s="2" t="s">
        <v>188</v>
      </c>
      <c r="J657" s="2" t="s">
        <v>242</v>
      </c>
      <c r="K657" s="2">
        <v>5.0999999999999996</v>
      </c>
      <c r="L657" s="2">
        <v>20</v>
      </c>
      <c r="M657" s="2">
        <v>3.05</v>
      </c>
      <c r="N657" s="2">
        <v>22</v>
      </c>
      <c r="O657" s="2">
        <v>2</v>
      </c>
      <c r="P657" s="2">
        <v>10</v>
      </c>
      <c r="Q657" s="2" t="s">
        <v>95</v>
      </c>
      <c r="R657" s="10" t="s">
        <v>221</v>
      </c>
      <c r="S657" s="14" t="s">
        <v>214</v>
      </c>
      <c r="T657" s="188">
        <v>1000</v>
      </c>
      <c r="U657" s="8">
        <f t="shared" si="79"/>
        <v>180</v>
      </c>
      <c r="V657" s="234">
        <f t="shared" si="82"/>
        <v>36304.155246160299</v>
      </c>
      <c r="W657" s="15">
        <v>25</v>
      </c>
      <c r="X657" s="8">
        <f t="shared" si="80"/>
        <v>4.5</v>
      </c>
      <c r="Y657" s="233">
        <f t="shared" si="81"/>
        <v>2773.5</v>
      </c>
    </row>
    <row r="658" spans="1:25">
      <c r="A658" s="156" t="e" cm="1">
        <f t="array" aca="1" ref="A658" ca="1">_xlfn.IFS(E658=$AB$42,$AC$42,E658=$AB$43,$AC$43,E658=$AB$44,$AC$44,E658=$AB$45,$AC$45,E658=$AB$46,$AC$46,E658=$AB$47,$AC$47,E658=$AB$48,$AC$48,E658=$AB$49,$AC$49,E658=$AB$50,$AC$50,E658=$AB$51,$AC$51,E658=$AB$52,$AC$52,E658=$AB$53,$AC$53,E658=$AB$54,$AC$54,E658=$AB$55,$AC$55,E658=$AB$56,$AC$56,E658=$AB$57,$AC$57,E658=$AB$58,$AC$58,E658=$AB$59,$AC$59,E658=$AB$60,$AC$60,E658=$AB$61,$AC$61,E658=$AB$62,$AC$62,E658=$AB$63,$AC$63,E658=$AB$64,$AC$64,E658=$AB$65,$AC$65,E658=$AB$66,$AC$66,TRUE,"0")</f>
        <v>#NAME?</v>
      </c>
      <c r="C658" s="161" t="str" cm="1">
        <f t="array" ref="C658">_xlfn.IFS(E658=$AB$42,$AF$42,E658=$AB$43,$AF$43,E658=$AB$44,$AF$44,E658=$AB$45,$AF$45,E658=$AB$46,$AF$46,E658=$AB$47,$AF$47,E658=$AB$48,$AF$48,E658=$AB$49,$AF$49,E658=$AB$50,$AF$50,E658=$AB$51,$AF$51,E658=$AB$52,$AF$52,E658=$AB$53,$AF$53,E658=$AB$54,$AF$54,E658=$AB$55,$AF$55,E658=$AB$56,$AF$56,E658=$AB$57,$AF$57,E658=$AB$58,$AF$58,E658=$AB$59,$AF$59,E658=$AB$60,$AF$60,E658=$AB$61,$AF$61,E658=$AB$62,$AF$62,E658=$AB$63,$AF$63,E658=$AB$64,$AF$64,E658=$AB$65,$AF$65,E658=$AB$66,$AF$66,TRUE,"0")</f>
        <v>AT HT IF 0-0 BACK +0.5 GOALS</v>
      </c>
      <c r="D658" s="270" t="str" cm="1">
        <f t="array" ref="D658">_xlfn.IFS(E658=$AB$42,$AD$42,E658=$AB$43,$AD$43,E658=$AB$44,$AD$44,E658=$AB$45,$AD$45,E658=$AB$46,$AD$46,E658=$AB$47,$AD$47,E658=$AB$48,$AD$48,E658=$AB$49,$AD$49,E658=$AB$50,$AD$50,E658=$AB$51,$AD$51,E658=$AB$52,$AD$52,E658=$AB$53,$AD$53,E658=$AB$54,$AD$54,E658=$AB$55,$AD$55,E658=$AB$56,$AD$56,E658=$AB$57,$AD$57,E658=$AB$58,$AD$58,E658=$AB$59,$AD$59,E658=$AB$60,$AD$60,E658=$AB$61,$AD$61,E658=$AB$62,$AD$62,E658=$AB$63,$AD$63,E658=$AB$64,$AD$64,E658=$AB$65,$AD$65,E658=$AB$66,$AD$66,TRUE,"0")</f>
        <v>IP</v>
      </c>
      <c r="E658" s="163" t="s">
        <v>514</v>
      </c>
      <c r="F658" s="2" t="s">
        <v>149</v>
      </c>
      <c r="G658" s="2" t="s">
        <v>153</v>
      </c>
      <c r="H658" s="3">
        <v>45368.791666666664</v>
      </c>
      <c r="I658" s="2" t="s">
        <v>188</v>
      </c>
      <c r="J658" s="2" t="s">
        <v>242</v>
      </c>
      <c r="K658" s="2">
        <v>5.0999999999999996</v>
      </c>
      <c r="L658" s="2">
        <v>0</v>
      </c>
      <c r="M658" s="2">
        <v>0</v>
      </c>
      <c r="N658" s="2">
        <v>20</v>
      </c>
      <c r="O658" s="2">
        <v>10</v>
      </c>
      <c r="P658" s="2">
        <v>22</v>
      </c>
      <c r="Q658" s="2" t="s">
        <v>95</v>
      </c>
      <c r="R658" s="10" t="s">
        <v>221</v>
      </c>
      <c r="S658" s="14" t="s">
        <v>214</v>
      </c>
      <c r="T658" s="188">
        <v>1000</v>
      </c>
      <c r="U658" s="8">
        <f t="shared" si="79"/>
        <v>180</v>
      </c>
      <c r="V658" s="234">
        <f t="shared" ref="V658:V666" si="83">SUM(V657,U658)</f>
        <v>36484.155246160299</v>
      </c>
      <c r="W658" s="15">
        <v>25</v>
      </c>
      <c r="X658" s="8">
        <f t="shared" si="80"/>
        <v>4.5</v>
      </c>
      <c r="Y658" s="233">
        <f t="shared" si="81"/>
        <v>2778</v>
      </c>
    </row>
    <row r="659" spans="1:25">
      <c r="A659" s="156" t="e" cm="1">
        <f t="array" aca="1" ref="A659" ca="1">_xlfn.IFS(E659=$AB$42,$AC$42,E659=$AB$43,$AC$43,E659=$AB$44,$AC$44,E659=$AB$45,$AC$45,E659=$AB$46,$AC$46,E659=$AB$47,$AC$47,E659=$AB$48,$AC$48,E659=$AB$49,$AC$49,E659=$AB$50,$AC$50,E659=$AB$51,$AC$51,E659=$AB$52,$AC$52,E659=$AB$53,$AC$53,E659=$AB$54,$AC$54,E659=$AB$55,$AC$55,E659=$AB$56,$AC$56,E659=$AB$57,$AC$57,E659=$AB$58,$AC$58,E659=$AB$59,$AC$59,E659=$AB$60,$AC$60,E659=$AB$61,$AC$61,E659=$AB$62,$AC$62,E659=$AB$63,$AC$63,E659=$AB$64,$AC$64,E659=$AB$65,$AC$65,E659=$AB$66,$AC$66,TRUE,"0")</f>
        <v>#NAME?</v>
      </c>
      <c r="C659" s="161" t="str" cm="1">
        <f t="array" ref="C659">_xlfn.IFS(E659=$AB$42,$AF$42,E659=$AB$43,$AF$43,E659=$AB$44,$AF$44,E659=$AB$45,$AF$45,E659=$AB$46,$AF$46,E659=$AB$47,$AF$47,E659=$AB$48,$AF$48,E659=$AB$49,$AF$49,E659=$AB$50,$AF$50,E659=$AB$51,$AF$51,E659=$AB$52,$AF$52,E659=$AB$53,$AF$53,E659=$AB$54,$AF$54,E659=$AB$55,$AF$55,E659=$AB$56,$AF$56,E659=$AB$57,$AF$57,E659=$AB$58,$AF$58,E659=$AB$59,$AF$59,E659=$AB$60,$AF$60,E659=$AB$61,$AF$61,E659=$AB$62,$AF$62,E659=$AB$63,$AF$63,E659=$AB$64,$AF$64,E659=$AB$65,$AF$65,E659=$AB$66,$AF$66,TRUE,"0")</f>
        <v>40 mins Back ANother Goal</v>
      </c>
      <c r="D659" s="270" t="str" cm="1">
        <f t="array" ref="D659">_xlfn.IFS(E659=$AB$42,$AD$42,E659=$AB$43,$AD$43,E659=$AB$44,$AD$44,E659=$AB$45,$AD$45,E659=$AB$46,$AD$46,E659=$AB$47,$AD$47,E659=$AB$48,$AD$48,E659=$AB$49,$AD$49,E659=$AB$50,$AD$50,E659=$AB$51,$AD$51,E659=$AB$52,$AD$52,E659=$AB$53,$AD$53,E659=$AB$54,$AD$54,E659=$AB$55,$AD$55,E659=$AB$56,$AD$56,E659=$AB$57,$AD$57,E659=$AB$58,$AD$58,E659=$AB$59,$AD$59,E659=$AB$60,$AD$60,E659=$AB$61,$AD$61,E659=$AB$62,$AD$62,E659=$AB$63,$AD$63,E659=$AB$64,$AD$64,E659=$AB$65,$AD$65,E659=$AB$66,$AD$66,TRUE,"0")</f>
        <v xml:space="preserve">  BANG</v>
      </c>
      <c r="E659" s="163" t="s">
        <v>515</v>
      </c>
      <c r="F659" s="2" t="s">
        <v>119</v>
      </c>
      <c r="G659" s="2" t="s">
        <v>166</v>
      </c>
      <c r="H659" s="3">
        <v>45369.8125</v>
      </c>
      <c r="I659" s="2" t="s">
        <v>603</v>
      </c>
      <c r="J659" s="2" t="s">
        <v>561</v>
      </c>
      <c r="K659" s="2">
        <v>20</v>
      </c>
      <c r="L659" s="2">
        <v>74</v>
      </c>
      <c r="M659" s="2">
        <v>1.6</v>
      </c>
      <c r="N659" s="2"/>
      <c r="O659" s="2"/>
      <c r="P659" s="2"/>
      <c r="Q659" s="2" t="s">
        <v>95</v>
      </c>
      <c r="R659" s="10" t="s">
        <v>221</v>
      </c>
      <c r="S659" s="14" t="s">
        <v>193</v>
      </c>
      <c r="T659" s="188">
        <v>1000</v>
      </c>
      <c r="U659" s="8">
        <f t="shared" si="79"/>
        <v>180</v>
      </c>
      <c r="V659" s="234">
        <f t="shared" si="83"/>
        <v>36664.155246160299</v>
      </c>
      <c r="W659" s="15">
        <v>25</v>
      </c>
      <c r="X659" s="8">
        <f t="shared" si="80"/>
        <v>4.5</v>
      </c>
      <c r="Y659" s="233">
        <f t="shared" si="81"/>
        <v>2782.5</v>
      </c>
    </row>
    <row r="660" spans="1:25">
      <c r="A660" s="156" t="e" cm="1">
        <f t="array" aca="1" ref="A660" ca="1">_xlfn.IFS(E660=$AB$42,$AC$42,E660=$AB$43,$AC$43,E660=$AB$44,$AC$44,E660=$AB$45,$AC$45,E660=$AB$46,$AC$46,E660=$AB$47,$AC$47,E660=$AB$48,$AC$48,E660=$AB$49,$AC$49,E660=$AB$50,$AC$50,E660=$AB$51,$AC$51,E660=$AB$52,$AC$52,E660=$AB$53,$AC$53,E660=$AB$54,$AC$54,E660=$AB$55,$AC$55,E660=$AB$56,$AC$56,E660=$AB$57,$AC$57,E660=$AB$58,$AC$58,E660=$AB$59,$AC$59,E660=$AB$60,$AC$60,E660=$AB$61,$AC$61,E660=$AB$62,$AC$62,E660=$AB$63,$AC$63,E660=$AB$64,$AC$64,E660=$AB$65,$AC$65,E660=$AB$66,$AC$66,TRUE,"0")</f>
        <v>#NAME?</v>
      </c>
      <c r="C660" s="161" t="str" cm="1">
        <f t="array" ref="C660">_xlfn.IFS(E660=$AB$42,$AF$42,E660=$AB$43,$AF$43,E660=$AB$44,$AF$44,E660=$AB$45,$AF$45,E660=$AB$46,$AF$46,E660=$AB$47,$AF$47,E660=$AB$48,$AF$48,E660=$AB$49,$AF$49,E660=$AB$50,$AF$50,E660=$AB$51,$AF$51,E660=$AB$52,$AF$52,E660=$AB$53,$AF$53,E660=$AB$54,$AF$54,E660=$AB$55,$AF$55,E660=$AB$56,$AF$56,E660=$AB$57,$AF$57,E660=$AB$58,$AF$58,E660=$AB$59,$AF$59,E660=$AB$60,$AF$60,E660=$AB$61,$AF$61,E660=$AB$62,$AF$62,E660=$AB$63,$AF$63,E660=$AB$64,$AF$64,E660=$AB$65,$AF$65,E660=$AB$66,$AF$66,TRUE,"0")</f>
        <v>B4 match BACK FT +1.5 goals. X AFTER  GOAL</v>
      </c>
      <c r="D660" s="270" t="str" cm="1">
        <f t="array" ref="D660">_xlfn.IFS(E660=$AB$42,$AD$42,E660=$AB$43,$AD$43,E660=$AB$44,$AD$44,E660=$AB$45,$AD$45,E660=$AB$46,$AD$46,E660=$AB$47,$AD$47,E660=$AB$48,$AD$48,E660=$AB$49,$AD$49,E660=$AB$50,$AD$50,E660=$AB$51,$AD$51,E660=$AB$52,$AD$52,E660=$AB$53,$AD$53,E660=$AB$54,$AD$54,E660=$AB$55,$AD$55,E660=$AB$56,$AD$56,E660=$AB$57,$AD$57,E660=$AB$58,$AD$58,E660=$AB$59,$AD$59,E660=$AB$60,$AD$60,E660=$AB$61,$AD$61,E660=$AB$62,$AD$62,E660=$AB$63,$AD$63,E660=$AB$64,$AD$64,E660=$AB$65,$AD$65,E660=$AB$66,$AD$66,TRUE,"0")</f>
        <v xml:space="preserve">BFM </v>
      </c>
      <c r="E660" s="163" t="s">
        <v>512</v>
      </c>
      <c r="F660" s="2" t="s">
        <v>6</v>
      </c>
      <c r="G660" s="2" t="s">
        <v>7</v>
      </c>
      <c r="H660" s="3">
        <v>45374.520833333336</v>
      </c>
      <c r="I660" s="2" t="s">
        <v>307</v>
      </c>
      <c r="J660" s="2" t="s">
        <v>27</v>
      </c>
      <c r="K660" s="2">
        <v>4.7</v>
      </c>
      <c r="L660" s="2">
        <v>20</v>
      </c>
      <c r="M660" s="2">
        <v>3.25</v>
      </c>
      <c r="N660" s="2">
        <v>24</v>
      </c>
      <c r="O660" s="2">
        <v>2</v>
      </c>
      <c r="P660" s="2">
        <v>10</v>
      </c>
      <c r="Q660" s="2" t="s">
        <v>95</v>
      </c>
      <c r="R660" s="10" t="s">
        <v>193</v>
      </c>
      <c r="S660" s="14" t="s">
        <v>216</v>
      </c>
      <c r="T660" s="188">
        <v>1000</v>
      </c>
      <c r="U660" s="8">
        <f t="shared" si="79"/>
        <v>180</v>
      </c>
      <c r="V660" s="234">
        <f t="shared" si="83"/>
        <v>36844.155246160299</v>
      </c>
      <c r="W660" s="15">
        <v>25</v>
      </c>
      <c r="X660" s="8">
        <f t="shared" si="80"/>
        <v>4.5</v>
      </c>
      <c r="Y660" s="233">
        <f t="shared" si="81"/>
        <v>2787</v>
      </c>
    </row>
    <row r="661" spans="1:25">
      <c r="A661" s="156" t="e" cm="1">
        <f t="array" aca="1" ref="A661" ca="1">_xlfn.IFS(E661=$AB$42,$AC$42,E661=$AB$43,$AC$43,E661=$AB$44,$AC$44,E661=$AB$45,$AC$45,E661=$AB$46,$AC$46,E661=$AB$47,$AC$47,E661=$AB$48,$AC$48,E661=$AB$49,$AC$49,E661=$AB$50,$AC$50,E661=$AB$51,$AC$51,E661=$AB$52,$AC$52,E661=$AB$53,$AC$53,E661=$AB$54,$AC$54,E661=$AB$55,$AC$55,E661=$AB$56,$AC$56,E661=$AB$57,$AC$57,E661=$AB$58,$AC$58,E661=$AB$59,$AC$59,E661=$AB$60,$AC$60,E661=$AB$61,$AC$61,E661=$AB$62,$AC$62,E661=$AB$63,$AC$63,E661=$AB$64,$AC$64,E661=$AB$65,$AC$65,E661=$AB$66,$AC$66,TRUE,"0")</f>
        <v>#NAME?</v>
      </c>
      <c r="C661" s="161" t="str" cm="1">
        <f t="array" ref="C661">_xlfn.IFS(E661=$AB$42,$AF$42,E661=$AB$43,$AF$43,E661=$AB$44,$AF$44,E661=$AB$45,$AF$45,E661=$AB$46,$AF$46,E661=$AB$47,$AF$47,E661=$AB$48,$AF$48,E661=$AB$49,$AF$49,E661=$AB$50,$AF$50,E661=$AB$51,$AF$51,E661=$AB$52,$AF$52,E661=$AB$53,$AF$53,E661=$AB$54,$AF$54,E661=$AB$55,$AF$55,E661=$AB$56,$AF$56,E661=$AB$57,$AF$57,E661=$AB$58,$AF$58,E661=$AB$59,$AF$59,E661=$AB$60,$AF$60,E661=$AB$61,$AF$61,E661=$AB$62,$AF$62,E661=$AB$63,$AF$63,E661=$AB$64,$AF$64,E661=$AB$65,$AF$65,E661=$AB$66,$AF$66,TRUE,"0")</f>
        <v>B4 Match, lay HT 0-0 or BACK H1 +0.5 GOALS</v>
      </c>
      <c r="D661" s="270" t="str" cm="1">
        <f t="array" ref="D661">_xlfn.IFS(E661=$AB$42,$AD$42,E661=$AB$43,$AD$43,E661=$AB$44,$AD$44,E661=$AB$45,$AD$45,E661=$AB$46,$AD$46,E661=$AB$47,$AD$47,E661=$AB$48,$AD$48,E661=$AB$49,$AD$49,E661=$AB$50,$AD$50,E661=$AB$51,$AD$51,E661=$AB$52,$AD$52,E661=$AB$53,$AD$53,E661=$AB$54,$AD$54,E661=$AB$55,$AD$55,E661=$AB$56,$AD$56,E661=$AB$57,$AD$57,E661=$AB$58,$AD$58,E661=$AB$59,$AD$59,E661=$AB$60,$AD$60,E661=$AB$61,$AD$61,E661=$AB$62,$AD$62,E661=$AB$63,$AD$63,E661=$AB$64,$AD$64,E661=$AB$65,$AD$65,E661=$AB$66,$AD$66,TRUE,"0")</f>
        <v xml:space="preserve">BFM </v>
      </c>
      <c r="E661" s="163" t="s">
        <v>448</v>
      </c>
      <c r="F661" s="2" t="s">
        <v>6</v>
      </c>
      <c r="G661" s="2" t="s">
        <v>7</v>
      </c>
      <c r="H661" s="3">
        <v>45374.520833333336</v>
      </c>
      <c r="I661" s="2" t="s">
        <v>307</v>
      </c>
      <c r="J661" s="2" t="s">
        <v>27</v>
      </c>
      <c r="K661" s="2">
        <v>20</v>
      </c>
      <c r="L661" s="2">
        <v>10</v>
      </c>
      <c r="M661" s="2">
        <v>35</v>
      </c>
      <c r="N661" s="2">
        <v>8</v>
      </c>
      <c r="O661" s="2">
        <v>9</v>
      </c>
      <c r="P661" s="2">
        <v>4</v>
      </c>
      <c r="Q661" s="2" t="s">
        <v>95</v>
      </c>
      <c r="R661" s="10" t="s">
        <v>193</v>
      </c>
      <c r="S661" s="14" t="s">
        <v>216</v>
      </c>
      <c r="T661" s="188">
        <v>1000</v>
      </c>
      <c r="U661" s="8">
        <f t="shared" si="79"/>
        <v>180</v>
      </c>
      <c r="V661" s="234">
        <f t="shared" si="83"/>
        <v>37024.155246160299</v>
      </c>
      <c r="W661" s="15">
        <v>25</v>
      </c>
      <c r="X661" s="8">
        <f t="shared" si="80"/>
        <v>4.5</v>
      </c>
      <c r="Y661" s="233">
        <f t="shared" si="81"/>
        <v>2791.5</v>
      </c>
    </row>
    <row r="662" spans="1:25">
      <c r="A662" s="156" t="e" cm="1">
        <f t="array" aca="1" ref="A662" ca="1">_xlfn.IFS(E662=$AB$42,$AC$42,E662=$AB$43,$AC$43,E662=$AB$44,$AC$44,E662=$AB$45,$AC$45,E662=$AB$46,$AC$46,E662=$AB$47,$AC$47,E662=$AB$48,$AC$48,E662=$AB$49,$AC$49,E662=$AB$50,$AC$50,E662=$AB$51,$AC$51,E662=$AB$52,$AC$52,E662=$AB$53,$AC$53,E662=$AB$54,$AC$54,E662=$AB$55,$AC$55,E662=$AB$56,$AC$56,E662=$AB$57,$AC$57,E662=$AB$58,$AC$58,E662=$AB$59,$AC$59,E662=$AB$60,$AC$60,E662=$AB$61,$AC$61,E662=$AB$62,$AC$62,E662=$AB$63,$AC$63,E662=$AB$64,$AC$64,E662=$AB$65,$AC$65,E662=$AB$66,$AC$66,TRUE,"0")</f>
        <v>#NAME?</v>
      </c>
      <c r="C662" s="161" t="str" cm="1">
        <f t="array" ref="C662">_xlfn.IFS(E662=$AB$42,$AF$42,E662=$AB$43,$AF$43,E662=$AB$44,$AF$44,E662=$AB$45,$AF$45,E662=$AB$46,$AF$46,E662=$AB$47,$AF$47,E662=$AB$48,$AF$48,E662=$AB$49,$AF$49,E662=$AB$50,$AF$50,E662=$AB$51,$AF$51,E662=$AB$52,$AF$52,E662=$AB$53,$AF$53,E662=$AB$54,$AF$54,E662=$AB$55,$AF$55,E662=$AB$56,$AF$56,E662=$AB$57,$AF$57,E662=$AB$58,$AF$58,E662=$AB$59,$AF$59,E662=$AB$60,$AF$60,E662=$AB$61,$AF$61,E662=$AB$62,$AF$62,E662=$AB$63,$AF$63,E662=$AB$64,$AF$64,E662=$AB$65,$AF$65,E662=$AB$66,$AF$66,TRUE,"0")</f>
        <v>15mins if  0-0, BACK over 1.5 goals X after goal OR LET RUN</v>
      </c>
      <c r="D662" s="270" t="str" cm="1">
        <f t="array" ref="D662">_xlfn.IFS(E662=$AB$42,$AD$42,E662=$AB$43,$AD$43,E662=$AB$44,$AD$44,E662=$AB$45,$AD$45,E662=$AB$46,$AD$46,E662=$AB$47,$AD$47,E662=$AB$48,$AD$48,E662=$AB$49,$AD$49,E662=$AB$50,$AD$50,E662=$AB$51,$AD$51,E662=$AB$52,$AD$52,E662=$AB$53,$AD$53,E662=$AB$54,$AD$54,E662=$AB$55,$AD$55,E662=$AB$56,$AD$56,E662=$AB$57,$AD$57,E662=$AB$58,$AD$58,E662=$AB$59,$AD$59,E662=$AB$60,$AD$60,E662=$AB$61,$AD$61,E662=$AB$62,$AD$62,E662=$AB$63,$AD$63,E662=$AB$64,$AD$64,E662=$AB$65,$AD$65,E662=$AB$66,$AD$66,TRUE,"0")</f>
        <v>IP</v>
      </c>
      <c r="E662" s="163" t="s">
        <v>473</v>
      </c>
      <c r="F662" s="2" t="s">
        <v>6</v>
      </c>
      <c r="G662" s="2" t="s">
        <v>7</v>
      </c>
      <c r="H662" s="3">
        <v>45374.541666666664</v>
      </c>
      <c r="I662" s="2" t="s">
        <v>378</v>
      </c>
      <c r="J662" s="2" t="s">
        <v>619</v>
      </c>
      <c r="K662" s="2">
        <v>64</v>
      </c>
      <c r="L662" s="2">
        <v>85</v>
      </c>
      <c r="M662" s="2">
        <v>20</v>
      </c>
      <c r="N662" s="2">
        <v>2.85</v>
      </c>
      <c r="O662" s="2"/>
      <c r="P662" s="2"/>
      <c r="Q662" s="2" t="s">
        <v>95</v>
      </c>
      <c r="R662" s="10" t="s">
        <v>214</v>
      </c>
      <c r="S662" s="14" t="s">
        <v>207</v>
      </c>
      <c r="T662" s="188">
        <v>1000</v>
      </c>
      <c r="U662" s="8">
        <f t="shared" si="79"/>
        <v>180</v>
      </c>
      <c r="V662" s="234">
        <f t="shared" si="83"/>
        <v>37204.155246160299</v>
      </c>
      <c r="W662" s="15">
        <v>25</v>
      </c>
      <c r="X662" s="8">
        <f t="shared" si="80"/>
        <v>4.5</v>
      </c>
      <c r="Y662" s="233">
        <f t="shared" si="81"/>
        <v>2796</v>
      </c>
    </row>
    <row r="663" spans="1:25">
      <c r="A663" s="156" t="e" cm="1">
        <f t="array" aca="1" ref="A663" ca="1">_xlfn.IFS(E663=$AB$42,$AC$42,E663=$AB$43,$AC$43,E663=$AB$44,$AC$44,E663=$AB$45,$AC$45,E663=$AB$46,$AC$46,E663=$AB$47,$AC$47,E663=$AB$48,$AC$48,E663=$AB$49,$AC$49,E663=$AB$50,$AC$50,E663=$AB$51,$AC$51,E663=$AB$52,$AC$52,E663=$AB$53,$AC$53,E663=$AB$54,$AC$54,E663=$AB$55,$AC$55,E663=$AB$56,$AC$56,E663=$AB$57,$AC$57,E663=$AB$58,$AC$58,E663=$AB$59,$AC$59,E663=$AB$60,$AC$60,E663=$AB$61,$AC$61,E663=$AB$62,$AC$62,E663=$AB$63,$AC$63,E663=$AB$64,$AC$64,E663=$AB$65,$AC$65,E663=$AB$66,$AC$66,TRUE,"0")</f>
        <v>#NAME?</v>
      </c>
      <c r="C663" s="161" t="str" cm="1">
        <f t="array" ref="C663">_xlfn.IFS(E663=$AB$42,$AF$42,E663=$AB$43,$AF$43,E663=$AB$44,$AF$44,E663=$AB$45,$AF$45,E663=$AB$46,$AF$46,E663=$AB$47,$AF$47,E663=$AB$48,$AF$48,E663=$AB$49,$AF$49,E663=$AB$50,$AF$50,E663=$AB$51,$AF$51,E663=$AB$52,$AF$52,E663=$AB$53,$AF$53,E663=$AB$54,$AF$54,E663=$AB$55,$AF$55,E663=$AB$56,$AF$56,E663=$AB$57,$AF$57,E663=$AB$58,$AF$58,E663=$AB$59,$AF$59,E663=$AB$60,$AF$60,E663=$AB$61,$AF$61,E663=$AB$62,$AF$62,E663=$AB$63,$AF$63,E663=$AB$64,$AF$64,E663=$AB$65,$AF$65,E663=$AB$66,$AF$66,TRUE,"0")</f>
        <v>40 mins Back ANother Goal</v>
      </c>
      <c r="D663" s="270" t="str" cm="1">
        <f t="array" ref="D663">_xlfn.IFS(E663=$AB$42,$AD$42,E663=$AB$43,$AD$43,E663=$AB$44,$AD$44,E663=$AB$45,$AD$45,E663=$AB$46,$AD$46,E663=$AB$47,$AD$47,E663=$AB$48,$AD$48,E663=$AB$49,$AD$49,E663=$AB$50,$AD$50,E663=$AB$51,$AD$51,E663=$AB$52,$AD$52,E663=$AB$53,$AD$53,E663=$AB$54,$AD$54,E663=$AB$55,$AD$55,E663=$AB$56,$AD$56,E663=$AB$57,$AD$57,E663=$AB$58,$AD$58,E663=$AB$59,$AD$59,E663=$AB$60,$AD$60,E663=$AB$61,$AD$61,E663=$AB$62,$AD$62,E663=$AB$63,$AD$63,E663=$AB$64,$AD$64,E663=$AB$65,$AD$65,E663=$AB$66,$AD$66,TRUE,"0")</f>
        <v xml:space="preserve">  BANG</v>
      </c>
      <c r="E663" s="163" t="s">
        <v>10</v>
      </c>
      <c r="F663" s="2" t="s">
        <v>13</v>
      </c>
      <c r="G663" s="2" t="s">
        <v>11</v>
      </c>
      <c r="H663" s="3">
        <v>45374.625</v>
      </c>
      <c r="I663" s="2" t="s">
        <v>615</v>
      </c>
      <c r="J663" s="2" t="s">
        <v>139</v>
      </c>
      <c r="K663" s="2">
        <v>1.85</v>
      </c>
      <c r="L663" s="2">
        <v>90</v>
      </c>
      <c r="M663" s="2">
        <v>75</v>
      </c>
      <c r="N663" s="2">
        <v>10</v>
      </c>
      <c r="O663" s="2">
        <v>62</v>
      </c>
      <c r="P663" s="2">
        <v>20</v>
      </c>
      <c r="Q663" s="2" t="s">
        <v>95</v>
      </c>
      <c r="R663" s="10" t="s">
        <v>215</v>
      </c>
      <c r="S663" s="14" t="s">
        <v>209</v>
      </c>
      <c r="T663" s="188">
        <v>1000</v>
      </c>
      <c r="U663" s="8">
        <f t="shared" si="79"/>
        <v>180</v>
      </c>
      <c r="V663" s="234">
        <f t="shared" si="83"/>
        <v>37384.155246160299</v>
      </c>
      <c r="W663" s="15">
        <v>25</v>
      </c>
      <c r="X663" s="8">
        <f t="shared" si="80"/>
        <v>4.5</v>
      </c>
      <c r="Y663" s="233">
        <f t="shared" si="81"/>
        <v>2800.5</v>
      </c>
    </row>
    <row r="664" spans="1:25">
      <c r="A664" s="156" t="e" cm="1">
        <f t="array" aca="1" ref="A664" ca="1">_xlfn.IFS(E664=$AB$42,$AC$42,E664=$AB$43,$AC$43,E664=$AB$44,$AC$44,E664=$AB$45,$AC$45,E664=$AB$46,$AC$46,E664=$AB$47,$AC$47,E664=$AB$48,$AC$48,E664=$AB$49,$AC$49,E664=$AB$50,$AC$50,E664=$AB$51,$AC$51,E664=$AB$52,$AC$52,E664=$AB$53,$AC$53,E664=$AB$54,$AC$54,E664=$AB$55,$AC$55,E664=$AB$56,$AC$56,E664=$AB$57,$AC$57,E664=$AB$58,$AC$58,E664=$AB$59,$AC$59,E664=$AB$60,$AC$60,E664=$AB$61,$AC$61,E664=$AB$62,$AC$62,E664=$AB$63,$AC$63,E664=$AB$64,$AC$64,E664=$AB$65,$AC$65,E664=$AB$66,$AC$66,TRUE,"0")</f>
        <v>#NAME?</v>
      </c>
      <c r="C664" s="161" t="str" cm="1">
        <f t="array" ref="C664">_xlfn.IFS(E664=$AB$42,$AF$42,E664=$AB$43,$AF$43,E664=$AB$44,$AF$44,E664=$AB$45,$AF$45,E664=$AB$46,$AF$46,E664=$AB$47,$AF$47,E664=$AB$48,$AF$48,E664=$AB$49,$AF$49,E664=$AB$50,$AF$50,E664=$AB$51,$AF$51,E664=$AB$52,$AF$52,E664=$AB$53,$AF$53,E664=$AB$54,$AF$54,E664=$AB$55,$AF$55,E664=$AB$56,$AF$56,E664=$AB$57,$AF$57,E664=$AB$58,$AF$58,E664=$AB$59,$AF$59,E664=$AB$60,$AF$60,E664=$AB$61,$AF$61,E664=$AB$62,$AF$62,E664=$AB$63,$AF$63,E664=$AB$64,$AF$64,E664=$AB$65,$AF$65,E664=$AB$66,$AF$66,TRUE,"0")</f>
        <v>B4 Match, lay HT 0-0 or BACK H1 +0.5 GOALS</v>
      </c>
      <c r="D664" s="270" t="str" cm="1">
        <f t="array" ref="D664">_xlfn.IFS(E664=$AB$42,$AD$42,E664=$AB$43,$AD$43,E664=$AB$44,$AD$44,E664=$AB$45,$AD$45,E664=$AB$46,$AD$46,E664=$AB$47,$AD$47,E664=$AB$48,$AD$48,E664=$AB$49,$AD$49,E664=$AB$50,$AD$50,E664=$AB$51,$AD$51,E664=$AB$52,$AD$52,E664=$AB$53,$AD$53,E664=$AB$54,$AD$54,E664=$AB$55,$AD$55,E664=$AB$56,$AD$56,E664=$AB$57,$AD$57,E664=$AB$58,$AD$58,E664=$AB$59,$AD$59,E664=$AB$60,$AD$60,E664=$AB$61,$AD$61,E664=$AB$62,$AD$62,E664=$AB$63,$AD$63,E664=$AB$64,$AD$64,E664=$AB$65,$AD$65,E664=$AB$66,$AD$66,TRUE,"0")</f>
        <v xml:space="preserve">BFM </v>
      </c>
      <c r="E664" s="163" t="s">
        <v>432</v>
      </c>
      <c r="F664" s="2" t="s">
        <v>13</v>
      </c>
      <c r="G664" s="2" t="s">
        <v>11</v>
      </c>
      <c r="H664" s="3">
        <v>45374.625</v>
      </c>
      <c r="I664" s="2" t="s">
        <v>615</v>
      </c>
      <c r="J664" s="2" t="s">
        <v>139</v>
      </c>
      <c r="K664" s="2">
        <v>5</v>
      </c>
      <c r="L664" s="2">
        <v>20</v>
      </c>
      <c r="M664" s="2">
        <v>17</v>
      </c>
      <c r="N664" s="2">
        <v>14</v>
      </c>
      <c r="O664" s="2">
        <v>23</v>
      </c>
      <c r="P664" s="2">
        <v>1.7</v>
      </c>
      <c r="Q664" s="2" t="s">
        <v>95</v>
      </c>
      <c r="R664" s="10" t="s">
        <v>215</v>
      </c>
      <c r="S664" s="14" t="s">
        <v>209</v>
      </c>
      <c r="T664" s="188">
        <v>1000</v>
      </c>
      <c r="U664" s="8">
        <f t="shared" si="79"/>
        <v>180</v>
      </c>
      <c r="V664" s="234">
        <f t="shared" si="83"/>
        <v>37564.155246160299</v>
      </c>
      <c r="W664" s="15">
        <v>25</v>
      </c>
      <c r="X664" s="8">
        <f t="shared" si="80"/>
        <v>4.5</v>
      </c>
      <c r="Y664" s="233">
        <f t="shared" si="81"/>
        <v>2805</v>
      </c>
    </row>
    <row r="665" spans="1:25">
      <c r="A665" s="156" t="e" cm="1">
        <f t="array" aca="1" ref="A665" ca="1">_xlfn.IFS(E665=$AB$42,$AC$42,E665=$AB$43,$AC$43,E665=$AB$44,$AC$44,E665=$AB$45,$AC$45,E665=$AB$46,$AC$46,E665=$AB$47,$AC$47,E665=$AB$48,$AC$48,E665=$AB$49,$AC$49,E665=$AB$50,$AC$50,E665=$AB$51,$AC$51,E665=$AB$52,$AC$52,E665=$AB$53,$AC$53,E665=$AB$54,$AC$54,E665=$AB$55,$AC$55,E665=$AB$56,$AC$56,E665=$AB$57,$AC$57,E665=$AB$58,$AC$58,E665=$AB$59,$AC$59,E665=$AB$60,$AC$60,E665=$AB$61,$AC$61,E665=$AB$62,$AC$62,E665=$AB$63,$AC$63,E665=$AB$64,$AC$64,E665=$AB$65,$AC$65,E665=$AB$66,$AC$66,TRUE,"0")</f>
        <v>#NAME?</v>
      </c>
      <c r="C665" s="161" t="str" cm="1">
        <f t="array" ref="C665">_xlfn.IFS(E665=$AB$42,$AF$42,E665=$AB$43,$AF$43,E665=$AB$44,$AF$44,E665=$AB$45,$AF$45,E665=$AB$46,$AF$46,E665=$AB$47,$AF$47,E665=$AB$48,$AF$48,E665=$AB$49,$AF$49,E665=$AB$50,$AF$50,E665=$AB$51,$AF$51,E665=$AB$52,$AF$52,E665=$AB$53,$AF$53,E665=$AB$54,$AF$54,E665=$AB$55,$AF$55,E665=$AB$56,$AF$56,E665=$AB$57,$AF$57,E665=$AB$58,$AF$58,E665=$AB$59,$AF$59,E665=$AB$60,$AF$60,E665=$AB$61,$AF$61,E665=$AB$62,$AF$62,E665=$AB$63,$AF$63,E665=$AB$64,$AF$64,E665=$AB$65,$AF$65,E665=$AB$66,$AF$66,TRUE,"0")</f>
        <v>B4 match BACK FT +1.5 goals. X AFTER  GOAL</v>
      </c>
      <c r="D665" s="270" t="str" cm="1">
        <f t="array" ref="D665">_xlfn.IFS(E665=$AB$42,$AD$42,E665=$AB$43,$AD$43,E665=$AB$44,$AD$44,E665=$AB$45,$AD$45,E665=$AB$46,$AD$46,E665=$AB$47,$AD$47,E665=$AB$48,$AD$48,E665=$AB$49,$AD$49,E665=$AB$50,$AD$50,E665=$AB$51,$AD$51,E665=$AB$52,$AD$52,E665=$AB$53,$AD$53,E665=$AB$54,$AD$54,E665=$AB$55,$AD$55,E665=$AB$56,$AD$56,E665=$AB$57,$AD$57,E665=$AB$58,$AD$58,E665=$AB$59,$AD$59,E665=$AB$60,$AD$60,E665=$AB$61,$AD$61,E665=$AB$62,$AD$62,E665=$AB$63,$AD$63,E665=$AB$64,$AD$64,E665=$AB$65,$AD$65,E665=$AB$66,$AD$66,TRUE,"0")</f>
        <v xml:space="preserve">BFM </v>
      </c>
      <c r="E665" s="163" t="s">
        <v>531</v>
      </c>
      <c r="F665" s="2" t="s">
        <v>13</v>
      </c>
      <c r="G665" s="2" t="s">
        <v>14</v>
      </c>
      <c r="H665" s="3">
        <v>45374.625</v>
      </c>
      <c r="I665" s="2" t="s">
        <v>30</v>
      </c>
      <c r="J665" s="2" t="s">
        <v>16</v>
      </c>
      <c r="K665" s="2">
        <v>5.3</v>
      </c>
      <c r="L665" s="2">
        <v>27</v>
      </c>
      <c r="M665" s="2">
        <v>3.44</v>
      </c>
      <c r="N665" s="2">
        <v>28</v>
      </c>
      <c r="O665" s="2">
        <v>4</v>
      </c>
      <c r="P665" s="2">
        <v>14</v>
      </c>
      <c r="Q665" s="2" t="s">
        <v>95</v>
      </c>
      <c r="R665" s="10" t="s">
        <v>193</v>
      </c>
      <c r="S665" s="14" t="s">
        <v>193</v>
      </c>
      <c r="T665" s="188">
        <v>1000</v>
      </c>
      <c r="U665" s="8">
        <f t="shared" si="79"/>
        <v>180</v>
      </c>
      <c r="V665" s="234">
        <f t="shared" si="83"/>
        <v>37744.155246160299</v>
      </c>
      <c r="W665" s="15">
        <v>25</v>
      </c>
      <c r="X665" s="8">
        <f t="shared" si="80"/>
        <v>4.5</v>
      </c>
      <c r="Y665" s="233">
        <f t="shared" si="81"/>
        <v>2809.5</v>
      </c>
    </row>
    <row r="666" spans="1:25">
      <c r="A666" s="156" t="e" cm="1">
        <f t="array" aca="1" ref="A666" ca="1">_xlfn.IFS(E666=$AB$42,$AC$42,E666=$AB$43,$AC$43,E666=$AB$44,$AC$44,E666=$AB$45,$AC$45,E666=$AB$46,$AC$46,E666=$AB$47,$AC$47,E666=$AB$48,$AC$48,E666=$AB$49,$AC$49,E666=$AB$50,$AC$50,E666=$AB$51,$AC$51,E666=$AB$52,$AC$52,E666=$AB$53,$AC$53,E666=$AB$54,$AC$54,E666=$AB$55,$AC$55,E666=$AB$56,$AC$56,E666=$AB$57,$AC$57,E666=$AB$58,$AC$58,E666=$AB$59,$AC$59,E666=$AB$60,$AC$60,E666=$AB$61,$AC$61,E666=$AB$62,$AC$62,E666=$AB$63,$AC$63,E666=$AB$64,$AC$64,E666=$AB$65,$AC$65,E666=$AB$66,$AC$66,TRUE,"0")</f>
        <v>#NAME?</v>
      </c>
      <c r="C666" s="161" t="str" cm="1">
        <f t="array" ref="C666">_xlfn.IFS(E666=$AB$42,$AF$42,E666=$AB$43,$AF$43,E666=$AB$44,$AF$44,E666=$AB$45,$AF$45,E666=$AB$46,$AF$46,E666=$AB$47,$AF$47,E666=$AB$48,$AF$48,E666=$AB$49,$AF$49,E666=$AB$50,$AF$50,E666=$AB$51,$AF$51,E666=$AB$52,$AF$52,E666=$AB$53,$AF$53,E666=$AB$54,$AF$54,E666=$AB$55,$AF$55,E666=$AB$56,$AF$56,E666=$AB$57,$AF$57,E666=$AB$58,$AF$58,E666=$AB$59,$AF$59,E666=$AB$60,$AF$60,E666=$AB$61,$AF$61,E666=$AB$62,$AF$62,E666=$AB$63,$AF$63,E666=$AB$64,$AF$64,E666=$AB$65,$AF$65,E666=$AB$66,$AF$66,TRUE,"0")</f>
        <v>40 mins Back ANother Goal</v>
      </c>
      <c r="D666" s="270" t="str" cm="1">
        <f t="array" ref="D666">_xlfn.IFS(E666=$AB$42,$AD$42,E666=$AB$43,$AD$43,E666=$AB$44,$AD$44,E666=$AB$45,$AD$45,E666=$AB$46,$AD$46,E666=$AB$47,$AD$47,E666=$AB$48,$AD$48,E666=$AB$49,$AD$49,E666=$AB$50,$AD$50,E666=$AB$51,$AD$51,E666=$AB$52,$AD$52,E666=$AB$53,$AD$53,E666=$AB$54,$AD$54,E666=$AB$55,$AD$55,E666=$AB$56,$AD$56,E666=$AB$57,$AD$57,E666=$AB$58,$AD$58,E666=$AB$59,$AD$59,E666=$AB$60,$AD$60,E666=$AB$61,$AD$61,E666=$AB$62,$AD$62,E666=$AB$63,$AD$63,E666=$AB$64,$AD$64,E666=$AB$65,$AD$65,E666=$AB$66,$AD$66,TRUE,"0")</f>
        <v xml:space="preserve">  BANG</v>
      </c>
      <c r="E666" s="163" t="s">
        <v>10</v>
      </c>
      <c r="F666" s="2" t="s">
        <v>31</v>
      </c>
      <c r="G666" s="2" t="s">
        <v>32</v>
      </c>
      <c r="H666" s="3">
        <v>45374.625</v>
      </c>
      <c r="I666" s="2" t="s">
        <v>261</v>
      </c>
      <c r="J666" s="2" t="s">
        <v>584</v>
      </c>
      <c r="K666" s="2">
        <v>1.95</v>
      </c>
      <c r="L666" s="2">
        <v>85</v>
      </c>
      <c r="M666" s="2">
        <v>65</v>
      </c>
      <c r="N666" s="2">
        <v>35</v>
      </c>
      <c r="O666" s="2">
        <v>64</v>
      </c>
      <c r="P666" s="1">
        <v>20</v>
      </c>
      <c r="Q666" s="2" t="s">
        <v>95</v>
      </c>
      <c r="R666" s="10" t="s">
        <v>214</v>
      </c>
      <c r="S666" s="14" t="s">
        <v>216</v>
      </c>
      <c r="T666" s="188">
        <v>1000</v>
      </c>
      <c r="U666" s="8">
        <f t="shared" si="79"/>
        <v>180</v>
      </c>
      <c r="V666" s="234">
        <f t="shared" si="83"/>
        <v>37924.155246160299</v>
      </c>
      <c r="W666" s="15">
        <v>25</v>
      </c>
      <c r="X666" s="8">
        <f t="shared" si="80"/>
        <v>4.5</v>
      </c>
      <c r="Y666" s="233">
        <f t="shared" si="81"/>
        <v>2814</v>
      </c>
    </row>
    <row r="667" spans="1:25">
      <c r="A667" s="156" t="e" cm="1">
        <f t="array" aca="1" ref="A667" ca="1">_xlfn.IFS(E667=$AB$42,$AC$42,E667=$AB$43,$AC$43,E667=$AB$44,$AC$44,E667=$AB$45,$AC$45,E667=$AB$46,$AC$46,E667=$AB$47,$AC$47,E667=$AB$48,$AC$48,E667=$AB$49,$AC$49,E667=$AB$50,$AC$50,E667=$AB$51,$AC$51,E667=$AB$52,$AC$52,E667=$AB$53,$AC$53,E667=$AB$54,$AC$54,E667=$AB$55,$AC$55,E667=$AB$56,$AC$56,E667=$AB$57,$AC$57,E667=$AB$58,$AC$58,E667=$AB$59,$AC$59,E667=$AB$60,$AC$60,E667=$AB$61,$AC$61,E667=$AB$62,$AC$62,E667=$AB$63,$AC$63,E667=$AB$64,$AC$64,E667=$AB$65,$AC$65,E667=$AB$66,$AC$66,TRUE,"0")</f>
        <v>#NAME?</v>
      </c>
      <c r="C667" s="161" t="str" cm="1">
        <f t="array" ref="C667">_xlfn.IFS(E667=$AB$42,$AF$42,E667=$AB$43,$AF$43,E667=$AB$44,$AF$44,E667=$AB$45,$AF$45,E667=$AB$46,$AF$46,E667=$AB$47,$AF$47,E667=$AB$48,$AF$48,E667=$AB$49,$AF$49,E667=$AB$50,$AF$50,E667=$AB$51,$AF$51,E667=$AB$52,$AF$52,E667=$AB$53,$AF$53,E667=$AB$54,$AF$54,E667=$AB$55,$AF$55,E667=$AB$56,$AF$56,E667=$AB$57,$AF$57,E667=$AB$58,$AF$58,E667=$AB$59,$AF$59,E667=$AB$60,$AF$60,E667=$AB$61,$AF$61,E667=$AB$62,$AF$62,E667=$AB$63,$AF$63,E667=$AB$64,$AF$64,E667=$AB$65,$AF$65,E667=$AB$66,$AF$66,TRUE,"0")</f>
        <v>B4 match BACK FT +1.5 goals. X AFTER  GOAL</v>
      </c>
      <c r="D667" s="270" t="str" cm="1">
        <f t="array" ref="D667">_xlfn.IFS(E667=$AB$42,$AD$42,E667=$AB$43,$AD$43,E667=$AB$44,$AD$44,E667=$AB$45,$AD$45,E667=$AB$46,$AD$46,E667=$AB$47,$AD$47,E667=$AB$48,$AD$48,E667=$AB$49,$AD$49,E667=$AB$50,$AD$50,E667=$AB$51,$AD$51,E667=$AB$52,$AD$52,E667=$AB$53,$AD$53,E667=$AB$54,$AD$54,E667=$AB$55,$AD$55,E667=$AB$56,$AD$56,E667=$AB$57,$AD$57,E667=$AB$58,$AD$58,E667=$AB$59,$AD$59,E667=$AB$60,$AD$60,E667=$AB$61,$AD$61,E667=$AB$62,$AD$62,E667=$AB$63,$AD$63,E667=$AB$64,$AD$64,E667=$AB$65,$AD$65,E667=$AB$66,$AD$66,TRUE,"0")</f>
        <v xml:space="preserve">BFM </v>
      </c>
      <c r="E667" s="163" t="s">
        <v>512</v>
      </c>
      <c r="F667" s="2" t="s">
        <v>13</v>
      </c>
      <c r="G667" s="2" t="s">
        <v>11</v>
      </c>
      <c r="H667" s="3">
        <v>45374.625</v>
      </c>
      <c r="I667" s="2" t="s">
        <v>140</v>
      </c>
      <c r="J667" s="2" t="s">
        <v>400</v>
      </c>
      <c r="K667" s="2">
        <v>1.82</v>
      </c>
      <c r="L667" s="2">
        <v>20</v>
      </c>
      <c r="M667" s="2">
        <v>3.35</v>
      </c>
      <c r="N667" s="2">
        <v>24</v>
      </c>
      <c r="O667" s="2">
        <v>2</v>
      </c>
      <c r="P667" s="2">
        <v>10</v>
      </c>
      <c r="Q667" s="2" t="s">
        <v>95</v>
      </c>
      <c r="R667" s="10" t="s">
        <v>220</v>
      </c>
      <c r="S667" s="14" t="s">
        <v>196</v>
      </c>
      <c r="T667" s="188">
        <v>1000</v>
      </c>
      <c r="U667" s="8">
        <f t="shared" si="79"/>
        <v>180</v>
      </c>
      <c r="V667" s="234">
        <f t="shared" ref="V667:V673" si="84">SUM(V666,U667)</f>
        <v>38104.155246160299</v>
      </c>
      <c r="W667" s="15">
        <v>25</v>
      </c>
      <c r="X667" s="8">
        <f t="shared" si="80"/>
        <v>4.5</v>
      </c>
      <c r="Y667" s="233">
        <f t="shared" si="81"/>
        <v>2818.5</v>
      </c>
    </row>
    <row r="668" spans="1:25">
      <c r="A668" s="156" t="e" cm="1">
        <f t="array" aca="1" ref="A668" ca="1">_xlfn.IFS(E668=$AB$42,$AC$42,E668=$AB$43,$AC$43,E668=$AB$44,$AC$44,E668=$AB$45,$AC$45,E668=$AB$46,$AC$46,E668=$AB$47,$AC$47,E668=$AB$48,$AC$48,E668=$AB$49,$AC$49,E668=$AB$50,$AC$50,E668=$AB$51,$AC$51,E668=$AB$52,$AC$52,E668=$AB$53,$AC$53,E668=$AB$54,$AC$54,E668=$AB$55,$AC$55,E668=$AB$56,$AC$56,E668=$AB$57,$AC$57,E668=$AB$58,$AC$58,E668=$AB$59,$AC$59,E668=$AB$60,$AC$60,E668=$AB$61,$AC$61,E668=$AB$62,$AC$62,E668=$AB$63,$AC$63,E668=$AB$64,$AC$64,E668=$AB$65,$AC$65,E668=$AB$66,$AC$66,TRUE,"0")</f>
        <v>#NAME?</v>
      </c>
      <c r="C668" s="161" t="str" cm="1">
        <f t="array" ref="C668">_xlfn.IFS(E668=$AB$42,$AF$42,E668=$AB$43,$AF$43,E668=$AB$44,$AF$44,E668=$AB$45,$AF$45,E668=$AB$46,$AF$46,E668=$AB$47,$AF$47,E668=$AB$48,$AF$48,E668=$AB$49,$AF$49,E668=$AB$50,$AF$50,E668=$AB$51,$AF$51,E668=$AB$52,$AF$52,E668=$AB$53,$AF$53,E668=$AB$54,$AF$54,E668=$AB$55,$AF$55,E668=$AB$56,$AF$56,E668=$AB$57,$AF$57,E668=$AB$58,$AF$58,E668=$AB$59,$AF$59,E668=$AB$60,$AF$60,E668=$AB$61,$AF$61,E668=$AB$62,$AF$62,E668=$AB$63,$AF$63,E668=$AB$64,$AF$64,E668=$AB$65,$AF$65,E668=$AB$66,$AF$66,TRUE,"0")</f>
        <v>B4 Match, lay HT 0-0 or BACK H1 +0.5 GOALS</v>
      </c>
      <c r="D668" s="270" t="str" cm="1">
        <f t="array" ref="D668">_xlfn.IFS(E668=$AB$42,$AD$42,E668=$AB$43,$AD$43,E668=$AB$44,$AD$44,E668=$AB$45,$AD$45,E668=$AB$46,$AD$46,E668=$AB$47,$AD$47,E668=$AB$48,$AD$48,E668=$AB$49,$AD$49,E668=$AB$50,$AD$50,E668=$AB$51,$AD$51,E668=$AB$52,$AD$52,E668=$AB$53,$AD$53,E668=$AB$54,$AD$54,E668=$AB$55,$AD$55,E668=$AB$56,$AD$56,E668=$AB$57,$AD$57,E668=$AB$58,$AD$58,E668=$AB$59,$AD$59,E668=$AB$60,$AD$60,E668=$AB$61,$AD$61,E668=$AB$62,$AD$62,E668=$AB$63,$AD$63,E668=$AB$64,$AD$64,E668=$AB$65,$AD$65,E668=$AB$66,$AD$66,TRUE,"0")</f>
        <v xml:space="preserve">BFM </v>
      </c>
      <c r="E668" s="163" t="s">
        <v>432</v>
      </c>
      <c r="F668" s="2" t="s">
        <v>6</v>
      </c>
      <c r="G668" s="2" t="s">
        <v>7</v>
      </c>
      <c r="H668" s="3">
        <v>45374.625</v>
      </c>
      <c r="I668" s="2" t="s">
        <v>113</v>
      </c>
      <c r="J668" s="2" t="s">
        <v>614</v>
      </c>
      <c r="K668" s="2">
        <v>5</v>
      </c>
      <c r="L668" s="2">
        <v>20</v>
      </c>
      <c r="M668" s="2">
        <v>17</v>
      </c>
      <c r="N668" s="2">
        <v>16</v>
      </c>
      <c r="O668" s="2">
        <v>22</v>
      </c>
      <c r="P668" s="2">
        <v>1.9</v>
      </c>
      <c r="Q668" s="2" t="s">
        <v>95</v>
      </c>
      <c r="R668" s="10" t="s">
        <v>218</v>
      </c>
      <c r="S668" s="14" t="s">
        <v>211</v>
      </c>
      <c r="T668" s="188">
        <v>1000</v>
      </c>
      <c r="U668" s="8">
        <f t="shared" si="79"/>
        <v>180</v>
      </c>
      <c r="V668" s="234">
        <f t="shared" si="84"/>
        <v>38284.155246160299</v>
      </c>
      <c r="W668" s="15">
        <v>25</v>
      </c>
      <c r="X668" s="8">
        <f t="shared" si="80"/>
        <v>4.5</v>
      </c>
      <c r="Y668" s="233">
        <f t="shared" si="81"/>
        <v>2823</v>
      </c>
    </row>
    <row r="669" spans="1:25">
      <c r="A669" s="156" t="e" cm="1">
        <f t="array" aca="1" ref="A669" ca="1">_xlfn.IFS(E669=$AB$42,$AC$42,E669=$AB$43,$AC$43,E669=$AB$44,$AC$44,E669=$AB$45,$AC$45,E669=$AB$46,$AC$46,E669=$AB$47,$AC$47,E669=$AB$48,$AC$48,E669=$AB$49,$AC$49,E669=$AB$50,$AC$50,E669=$AB$51,$AC$51,E669=$AB$52,$AC$52,E669=$AB$53,$AC$53,E669=$AB$54,$AC$54,E669=$AB$55,$AC$55,E669=$AB$56,$AC$56,E669=$AB$57,$AC$57,E669=$AB$58,$AC$58,E669=$AB$59,$AC$59,E669=$AB$60,$AC$60,E669=$AB$61,$AC$61,E669=$AB$62,$AC$62,E669=$AB$63,$AC$63,E669=$AB$64,$AC$64,E669=$AB$65,$AC$65,E669=$AB$66,$AC$66,TRUE,"0")</f>
        <v>#NAME?</v>
      </c>
      <c r="C669" s="161" t="str" cm="1">
        <f t="array" ref="C669">_xlfn.IFS(E669=$AB$42,$AF$42,E669=$AB$43,$AF$43,E669=$AB$44,$AF$44,E669=$AB$45,$AF$45,E669=$AB$46,$AF$46,E669=$AB$47,$AF$47,E669=$AB$48,$AF$48,E669=$AB$49,$AF$49,E669=$AB$50,$AF$50,E669=$AB$51,$AF$51,E669=$AB$52,$AF$52,E669=$AB$53,$AF$53,E669=$AB$54,$AF$54,E669=$AB$55,$AF$55,E669=$AB$56,$AF$56,E669=$AB$57,$AF$57,E669=$AB$58,$AF$58,E669=$AB$59,$AF$59,E669=$AB$60,$AF$60,E669=$AB$61,$AF$61,E669=$AB$62,$AF$62,E669=$AB$63,$AF$63,E669=$AB$64,$AF$64,E669=$AB$65,$AF$65,E669=$AB$66,$AF$66,TRUE,"0")</f>
        <v>B4 Match, lay HT 0-0 or BACK H1 +0.5 GOALS</v>
      </c>
      <c r="D669" s="270" t="str" cm="1">
        <f t="array" ref="D669">_xlfn.IFS(E669=$AB$42,$AD$42,E669=$AB$43,$AD$43,E669=$AB$44,$AD$44,E669=$AB$45,$AD$45,E669=$AB$46,$AD$46,E669=$AB$47,$AD$47,E669=$AB$48,$AD$48,E669=$AB$49,$AD$49,E669=$AB$50,$AD$50,E669=$AB$51,$AD$51,E669=$AB$52,$AD$52,E669=$AB$53,$AD$53,E669=$AB$54,$AD$54,E669=$AB$55,$AD$55,E669=$AB$56,$AD$56,E669=$AB$57,$AD$57,E669=$AB$58,$AD$58,E669=$AB$59,$AD$59,E669=$AB$60,$AD$60,E669=$AB$61,$AD$61,E669=$AB$62,$AD$62,E669=$AB$63,$AD$63,E669=$AB$64,$AD$64,E669=$AB$65,$AD$65,E669=$AB$66,$AD$66,TRUE,"0")</f>
        <v xml:space="preserve">BFM </v>
      </c>
      <c r="E669" s="163" t="s">
        <v>448</v>
      </c>
      <c r="F669" s="2" t="s">
        <v>6</v>
      </c>
      <c r="G669" s="2" t="s">
        <v>7</v>
      </c>
      <c r="H669" s="3">
        <v>45374.625</v>
      </c>
      <c r="I669" s="2" t="s">
        <v>113</v>
      </c>
      <c r="J669" s="2" t="s">
        <v>614</v>
      </c>
      <c r="K669" s="2">
        <v>20</v>
      </c>
      <c r="L669" s="2">
        <v>5</v>
      </c>
      <c r="M669" s="2">
        <v>38</v>
      </c>
      <c r="N669" s="2">
        <v>8</v>
      </c>
      <c r="O669" s="2">
        <v>8</v>
      </c>
      <c r="P669" s="2">
        <v>5</v>
      </c>
      <c r="Q669" s="2" t="s">
        <v>95</v>
      </c>
      <c r="R669" s="10" t="s">
        <v>218</v>
      </c>
      <c r="S669" s="14" t="s">
        <v>211</v>
      </c>
      <c r="T669" s="188">
        <v>1000</v>
      </c>
      <c r="U669" s="8">
        <f t="shared" si="79"/>
        <v>180</v>
      </c>
      <c r="V669" s="234">
        <f t="shared" si="84"/>
        <v>38464.155246160299</v>
      </c>
      <c r="W669" s="15">
        <v>25</v>
      </c>
      <c r="X669" s="8">
        <f t="shared" si="80"/>
        <v>4.5</v>
      </c>
      <c r="Y669" s="233">
        <f t="shared" si="81"/>
        <v>2827.5</v>
      </c>
    </row>
    <row r="670" spans="1:25">
      <c r="A670" s="156" t="e" cm="1">
        <f t="array" aca="1" ref="A670" ca="1">_xlfn.IFS(E670=$AB$42,$AC$42,E670=$AB$43,$AC$43,E670=$AB$44,$AC$44,E670=$AB$45,$AC$45,E670=$AB$46,$AC$46,E670=$AB$47,$AC$47,E670=$AB$48,$AC$48,E670=$AB$49,$AC$49,E670=$AB$50,$AC$50,E670=$AB$51,$AC$51,E670=$AB$52,$AC$52,E670=$AB$53,$AC$53,E670=$AB$54,$AC$54,E670=$AB$55,$AC$55,E670=$AB$56,$AC$56,E670=$AB$57,$AC$57,E670=$AB$58,$AC$58,E670=$AB$59,$AC$59,E670=$AB$60,$AC$60,E670=$AB$61,$AC$61,E670=$AB$62,$AC$62,E670=$AB$63,$AC$63,E670=$AB$64,$AC$64,E670=$AB$65,$AC$65,E670=$AB$66,$AC$66,TRUE,"0")</f>
        <v>#NAME?</v>
      </c>
      <c r="C670" s="161" t="str" cm="1">
        <f t="array" ref="C670">_xlfn.IFS(E670=$AB$42,$AF$42,E670=$AB$43,$AF$43,E670=$AB$44,$AF$44,E670=$AB$45,$AF$45,E670=$AB$46,$AF$46,E670=$AB$47,$AF$47,E670=$AB$48,$AF$48,E670=$AB$49,$AF$49,E670=$AB$50,$AF$50,E670=$AB$51,$AF$51,E670=$AB$52,$AF$52,E670=$AB$53,$AF$53,E670=$AB$54,$AF$54,E670=$AB$55,$AF$55,E670=$AB$56,$AF$56,E670=$AB$57,$AF$57,E670=$AB$58,$AF$58,E670=$AB$59,$AF$59,E670=$AB$60,$AF$60,E670=$AB$61,$AF$61,E670=$AB$62,$AF$62,E670=$AB$63,$AF$63,E670=$AB$64,$AF$64,E670=$AB$65,$AF$65,E670=$AB$66,$AF$66,TRUE,"0")</f>
        <v>10mins if  0-0, BACK over 1.5 goals X after goal OR LET RUN</v>
      </c>
      <c r="D670" s="270" t="str" cm="1">
        <f t="array" ref="D670">_xlfn.IFS(E670=$AB$42,$AD$42,E670=$AB$43,$AD$43,E670=$AB$44,$AD$44,E670=$AB$45,$AD$45,E670=$AB$46,$AD$46,E670=$AB$47,$AD$47,E670=$AB$48,$AD$48,E670=$AB$49,$AD$49,E670=$AB$50,$AD$50,E670=$AB$51,$AD$51,E670=$AB$52,$AD$52,E670=$AB$53,$AD$53,E670=$AB$54,$AD$54,E670=$AB$55,$AD$55,E670=$AB$56,$AD$56,E670=$AB$57,$AD$57,E670=$AB$58,$AD$58,E670=$AB$59,$AD$59,E670=$AB$60,$AD$60,E670=$AB$61,$AD$61,E670=$AB$62,$AD$62,E670=$AB$63,$AD$63,E670=$AB$64,$AD$64,E670=$AB$65,$AD$65,E670=$AB$66,$AD$66,TRUE,"0")</f>
        <v>IP</v>
      </c>
      <c r="E670" s="163" t="s">
        <v>498</v>
      </c>
      <c r="F670" s="2" t="s">
        <v>6</v>
      </c>
      <c r="G670" s="2" t="s">
        <v>7</v>
      </c>
      <c r="H670" s="3">
        <v>45374.625</v>
      </c>
      <c r="I670" s="2" t="s">
        <v>8</v>
      </c>
      <c r="J670" s="2" t="s">
        <v>302</v>
      </c>
      <c r="K670" s="2">
        <v>63</v>
      </c>
      <c r="L670" s="2">
        <v>90</v>
      </c>
      <c r="M670" s="2">
        <v>2.1</v>
      </c>
      <c r="N670" s="2">
        <v>20</v>
      </c>
      <c r="O670" s="2"/>
      <c r="P670" s="2"/>
      <c r="Q670" s="2" t="s">
        <v>95</v>
      </c>
      <c r="R670" s="10" t="s">
        <v>193</v>
      </c>
      <c r="S670" s="14" t="s">
        <v>223</v>
      </c>
      <c r="T670" s="188">
        <v>1000</v>
      </c>
      <c r="U670" s="8">
        <f t="shared" si="79"/>
        <v>180</v>
      </c>
      <c r="V670" s="234">
        <f t="shared" si="84"/>
        <v>38644.155246160299</v>
      </c>
      <c r="W670" s="15">
        <v>25</v>
      </c>
      <c r="X670" s="8">
        <f t="shared" si="80"/>
        <v>4.5</v>
      </c>
      <c r="Y670" s="233">
        <f t="shared" si="81"/>
        <v>2832</v>
      </c>
    </row>
    <row r="671" spans="1:25">
      <c r="A671" s="156" t="e" cm="1">
        <f t="array" aca="1" ref="A671" ca="1">_xlfn.IFS(E671=$AB$42,$AC$42,E671=$AB$43,$AC$43,E671=$AB$44,$AC$44,E671=$AB$45,$AC$45,E671=$AB$46,$AC$46,E671=$AB$47,$AC$47,E671=$AB$48,$AC$48,E671=$AB$49,$AC$49,E671=$AB$50,$AC$50,E671=$AB$51,$AC$51,E671=$AB$52,$AC$52,E671=$AB$53,$AC$53,E671=$AB$54,$AC$54,E671=$AB$55,$AC$55,E671=$AB$56,$AC$56,E671=$AB$57,$AC$57,E671=$AB$58,$AC$58,E671=$AB$59,$AC$59,E671=$AB$60,$AC$60,E671=$AB$61,$AC$61,E671=$AB$62,$AC$62,E671=$AB$63,$AC$63,E671=$AB$64,$AC$64,E671=$AB$65,$AC$65,E671=$AB$66,$AC$66,TRUE,"0")</f>
        <v>#NAME?</v>
      </c>
      <c r="C671" s="161" t="str" cm="1">
        <f t="array" ref="C671">_xlfn.IFS(E671=$AB$42,$AF$42,E671=$AB$43,$AF$43,E671=$AB$44,$AF$44,E671=$AB$45,$AF$45,E671=$AB$46,$AF$46,E671=$AB$47,$AF$47,E671=$AB$48,$AF$48,E671=$AB$49,$AF$49,E671=$AB$50,$AF$50,E671=$AB$51,$AF$51,E671=$AB$52,$AF$52,E671=$AB$53,$AF$53,E671=$AB$54,$AF$54,E671=$AB$55,$AF$55,E671=$AB$56,$AF$56,E671=$AB$57,$AF$57,E671=$AB$58,$AF$58,E671=$AB$59,$AF$59,E671=$AB$60,$AF$60,E671=$AB$61,$AF$61,E671=$AB$62,$AF$62,E671=$AB$63,$AF$63,E671=$AB$64,$AF$64,E671=$AB$65,$AF$65,E671=$AB$66,$AF$66,TRUE,"0")</f>
        <v>if 0-0, BACK+ 0.5 GOALS  @ 1.15+odds.  or @ 40 mins</v>
      </c>
      <c r="D671" s="270" t="str" cm="1">
        <f t="array" ref="D671">_xlfn.IFS(E671=$AB$42,$AD$42,E671=$AB$43,$AD$43,E671=$AB$44,$AD$44,E671=$AB$45,$AD$45,E671=$AB$46,$AD$46,E671=$AB$47,$AD$47,E671=$AB$48,$AD$48,E671=$AB$49,$AD$49,E671=$AB$50,$AD$50,E671=$AB$51,$AD$51,E671=$AB$52,$AD$52,E671=$AB$53,$AD$53,E671=$AB$54,$AD$54,E671=$AB$55,$AD$55,E671=$AB$56,$AD$56,E671=$AB$57,$AD$57,E671=$AB$58,$AD$58,E671=$AB$59,$AD$59,E671=$AB$60,$AD$60,E671=$AB$61,$AD$61,E671=$AB$62,$AD$62,E671=$AB$63,$AD$63,E671=$AB$64,$AD$64,E671=$AB$65,$AD$65,E671=$AB$66,$AD$66,TRUE,"0")</f>
        <v>IP</v>
      </c>
      <c r="E671" s="163" t="s">
        <v>270</v>
      </c>
      <c r="F671" s="2" t="s">
        <v>6</v>
      </c>
      <c r="G671" s="2" t="s">
        <v>7</v>
      </c>
      <c r="H671" s="3">
        <v>45374.625</v>
      </c>
      <c r="I671" s="2" t="s">
        <v>84</v>
      </c>
      <c r="J671" s="2" t="s">
        <v>420</v>
      </c>
      <c r="K671" s="2">
        <v>62</v>
      </c>
      <c r="L671" s="2">
        <v>0</v>
      </c>
      <c r="M671" s="2">
        <v>20</v>
      </c>
      <c r="N671" s="2">
        <v>38</v>
      </c>
      <c r="O671" s="2">
        <v>2.4500000000000002</v>
      </c>
      <c r="P671" s="2"/>
      <c r="Q671" s="2" t="s">
        <v>95</v>
      </c>
      <c r="R671" s="10" t="s">
        <v>222</v>
      </c>
      <c r="S671" s="14" t="s">
        <v>215</v>
      </c>
      <c r="T671" s="188">
        <v>1000</v>
      </c>
      <c r="U671" s="8">
        <f t="shared" si="79"/>
        <v>180</v>
      </c>
      <c r="V671" s="234">
        <f t="shared" si="84"/>
        <v>38824.155246160299</v>
      </c>
      <c r="W671" s="15">
        <v>25</v>
      </c>
      <c r="X671" s="8">
        <f t="shared" si="80"/>
        <v>4.5</v>
      </c>
      <c r="Y671" s="233">
        <f t="shared" si="81"/>
        <v>2836.5</v>
      </c>
    </row>
    <row r="672" spans="1:25">
      <c r="A672" s="156" t="e" cm="1">
        <f t="array" aca="1" ref="A672" ca="1">_xlfn.IFS(E672=$AB$42,$AC$42,E672=$AB$43,$AC$43,E672=$AB$44,$AC$44,E672=$AB$45,$AC$45,E672=$AB$46,$AC$46,E672=$AB$47,$AC$47,E672=$AB$48,$AC$48,E672=$AB$49,$AC$49,E672=$AB$50,$AC$50,E672=$AB$51,$AC$51,E672=$AB$52,$AC$52,E672=$AB$53,$AC$53,E672=$AB$54,$AC$54,E672=$AB$55,$AC$55,E672=$AB$56,$AC$56,E672=$AB$57,$AC$57,E672=$AB$58,$AC$58,E672=$AB$59,$AC$59,E672=$AB$60,$AC$60,E672=$AB$61,$AC$61,E672=$AB$62,$AC$62,E672=$AB$63,$AC$63,E672=$AB$64,$AC$64,E672=$AB$65,$AC$65,E672=$AB$66,$AC$66,TRUE,"0")</f>
        <v>#NAME?</v>
      </c>
      <c r="C672" s="161" t="str" cm="1">
        <f t="array" ref="C672">_xlfn.IFS(E672=$AB$42,$AF$42,E672=$AB$43,$AF$43,E672=$AB$44,$AF$44,E672=$AB$45,$AF$45,E672=$AB$46,$AF$46,E672=$AB$47,$AF$47,E672=$AB$48,$AF$48,E672=$AB$49,$AF$49,E672=$AB$50,$AF$50,E672=$AB$51,$AF$51,E672=$AB$52,$AF$52,E672=$AB$53,$AF$53,E672=$AB$54,$AF$54,E672=$AB$55,$AF$55,E672=$AB$56,$AF$56,E672=$AB$57,$AF$57,E672=$AB$58,$AF$58,E672=$AB$59,$AF$59,E672=$AB$60,$AF$60,E672=$AB$61,$AF$61,E672=$AB$62,$AF$62,E672=$AB$63,$AF$63,E672=$AB$64,$AF$64,E672=$AB$65,$AF$65,E672=$AB$66,$AF$66,TRUE,"0")</f>
        <v>B4 match BACK FT +1.5 goals. X AFTER  GOAL</v>
      </c>
      <c r="D672" s="270" t="str" cm="1">
        <f t="array" ref="D672">_xlfn.IFS(E672=$AB$42,$AD$42,E672=$AB$43,$AD$43,E672=$AB$44,$AD$44,E672=$AB$45,$AD$45,E672=$AB$46,$AD$46,E672=$AB$47,$AD$47,E672=$AB$48,$AD$48,E672=$AB$49,$AD$49,E672=$AB$50,$AD$50,E672=$AB$51,$AD$51,E672=$AB$52,$AD$52,E672=$AB$53,$AD$53,E672=$AB$54,$AD$54,E672=$AB$55,$AD$55,E672=$AB$56,$AD$56,E672=$AB$57,$AD$57,E672=$AB$58,$AD$58,E672=$AB$59,$AD$59,E672=$AB$60,$AD$60,E672=$AB$61,$AD$61,E672=$AB$62,$AD$62,E672=$AB$63,$AD$63,E672=$AB$64,$AD$64,E672=$AB$65,$AD$65,E672=$AB$66,$AD$66,TRUE,"0")</f>
        <v xml:space="preserve">BFM </v>
      </c>
      <c r="E672" s="163" t="s">
        <v>512</v>
      </c>
      <c r="F672" s="2" t="s">
        <v>149</v>
      </c>
      <c r="G672" s="2" t="s">
        <v>150</v>
      </c>
      <c r="H672" s="3">
        <v>45374.791666666664</v>
      </c>
      <c r="I672" s="2" t="s">
        <v>236</v>
      </c>
      <c r="J672" s="2" t="s">
        <v>331</v>
      </c>
      <c r="K672" s="2">
        <v>5.6</v>
      </c>
      <c r="L672" s="2">
        <v>20</v>
      </c>
      <c r="M672" s="2">
        <v>2.9</v>
      </c>
      <c r="N672" s="2">
        <v>24</v>
      </c>
      <c r="O672" s="2">
        <v>1</v>
      </c>
      <c r="P672" s="2">
        <v>10</v>
      </c>
      <c r="Q672" s="2" t="s">
        <v>95</v>
      </c>
      <c r="R672" s="10" t="s">
        <v>214</v>
      </c>
      <c r="S672" s="14" t="s">
        <v>220</v>
      </c>
      <c r="T672" s="188">
        <v>1000</v>
      </c>
      <c r="U672" s="8">
        <f t="shared" si="79"/>
        <v>180</v>
      </c>
      <c r="V672" s="234">
        <f t="shared" si="84"/>
        <v>39004.155246160299</v>
      </c>
      <c r="W672" s="15">
        <v>25</v>
      </c>
      <c r="X672" s="8">
        <f t="shared" si="80"/>
        <v>4.5</v>
      </c>
      <c r="Y672" s="233">
        <f t="shared" si="81"/>
        <v>2841</v>
      </c>
    </row>
    <row r="673" spans="1:25">
      <c r="A673" s="156" t="e" cm="1">
        <f t="array" aca="1" ref="A673" ca="1">_xlfn.IFS(E673=$AB$42,$AC$42,E673=$AB$43,$AC$43,E673=$AB$44,$AC$44,E673=$AB$45,$AC$45,E673=$AB$46,$AC$46,E673=$AB$47,$AC$47,E673=$AB$48,$AC$48,E673=$AB$49,$AC$49,E673=$AB$50,$AC$50,E673=$AB$51,$AC$51,E673=$AB$52,$AC$52,E673=$AB$53,$AC$53,E673=$AB$54,$AC$54,E673=$AB$55,$AC$55,E673=$AB$56,$AC$56,E673=$AB$57,$AC$57,E673=$AB$58,$AC$58,E673=$AB$59,$AC$59,E673=$AB$60,$AC$60,E673=$AB$61,$AC$61,E673=$AB$62,$AC$62,E673=$AB$63,$AC$63,E673=$AB$64,$AC$64,E673=$AB$65,$AC$65,E673=$AB$66,$AC$66,TRUE,"0")</f>
        <v>#NAME?</v>
      </c>
      <c r="C673" s="161" t="str" cm="1">
        <f t="array" ref="C673">_xlfn.IFS(E673=$AB$42,$AF$42,E673=$AB$43,$AF$43,E673=$AB$44,$AF$44,E673=$AB$45,$AF$45,E673=$AB$46,$AF$46,E673=$AB$47,$AF$47,E673=$AB$48,$AF$48,E673=$AB$49,$AF$49,E673=$AB$50,$AF$50,E673=$AB$51,$AF$51,E673=$AB$52,$AF$52,E673=$AB$53,$AF$53,E673=$AB$54,$AF$54,E673=$AB$55,$AF$55,E673=$AB$56,$AF$56,E673=$AB$57,$AF$57,E673=$AB$58,$AF$58,E673=$AB$59,$AF$59,E673=$AB$60,$AF$60,E673=$AB$61,$AF$61,E673=$AB$62,$AF$62,E673=$AB$63,$AF$63,E673=$AB$64,$AF$64,E673=$AB$65,$AF$65,E673=$AB$66,$AF$66,TRUE,"0")</f>
        <v>if 0-0, BACK+ 0.5 GOALS  @ 1.15+odds.  or @ 40 mins</v>
      </c>
      <c r="D673" s="270" t="str" cm="1">
        <f t="array" ref="D673">_xlfn.IFS(E673=$AB$42,$AD$42,E673=$AB$43,$AD$43,E673=$AB$44,$AD$44,E673=$AB$45,$AD$45,E673=$AB$46,$AD$46,E673=$AB$47,$AD$47,E673=$AB$48,$AD$48,E673=$AB$49,$AD$49,E673=$AB$50,$AD$50,E673=$AB$51,$AD$51,E673=$AB$52,$AD$52,E673=$AB$53,$AD$53,E673=$AB$54,$AD$54,E673=$AB$55,$AD$55,E673=$AB$56,$AD$56,E673=$AB$57,$AD$57,E673=$AB$58,$AD$58,E673=$AB$59,$AD$59,E673=$AB$60,$AD$60,E673=$AB$61,$AD$61,E673=$AB$62,$AD$62,E673=$AB$63,$AD$63,E673=$AB$64,$AD$64,E673=$AB$65,$AD$65,E673=$AB$66,$AD$66,TRUE,"0")</f>
        <v>IP</v>
      </c>
      <c r="E673" s="163" t="s">
        <v>270</v>
      </c>
      <c r="F673" s="2" t="s">
        <v>6</v>
      </c>
      <c r="G673" s="2" t="s">
        <v>14</v>
      </c>
      <c r="H673" s="3">
        <v>45380.520833333336</v>
      </c>
      <c r="I673" s="2" t="s">
        <v>201</v>
      </c>
      <c r="J673" s="2" t="s">
        <v>290</v>
      </c>
      <c r="K673" s="2">
        <v>60</v>
      </c>
      <c r="L673" s="2">
        <v>0</v>
      </c>
      <c r="M673" s="2">
        <v>20</v>
      </c>
      <c r="N673" s="2">
        <v>36</v>
      </c>
      <c r="O673" s="2">
        <v>2.11</v>
      </c>
      <c r="P673" s="2"/>
      <c r="Q673" s="2" t="s">
        <v>95</v>
      </c>
      <c r="R673" s="10" t="s">
        <v>221</v>
      </c>
      <c r="S673" s="14" t="s">
        <v>214</v>
      </c>
      <c r="T673" s="188">
        <v>1000</v>
      </c>
      <c r="U673" s="8">
        <f t="shared" si="79"/>
        <v>180</v>
      </c>
      <c r="V673" s="234">
        <f t="shared" si="84"/>
        <v>39184.155246160299</v>
      </c>
      <c r="W673" s="15">
        <v>25</v>
      </c>
      <c r="X673" s="8">
        <f t="shared" si="80"/>
        <v>4.5</v>
      </c>
      <c r="Y673" s="233">
        <f t="shared" si="81"/>
        <v>2845.5</v>
      </c>
    </row>
    <row r="674" spans="1:25">
      <c r="A674" s="156" t="e" cm="1">
        <f t="array" aca="1" ref="A674" ca="1">_xlfn.IFS(E674=$AB$42,$AC$42,E674=$AB$43,$AC$43,E674=$AB$44,$AC$44,E674=$AB$45,$AC$45,E674=$AB$46,$AC$46,E674=$AB$47,$AC$47,E674=$AB$48,$AC$48,E674=$AB$49,$AC$49,E674=$AB$50,$AC$50,E674=$AB$51,$AC$51,E674=$AB$52,$AC$52,E674=$AB$53,$AC$53,E674=$AB$54,$AC$54,E674=$AB$55,$AC$55,E674=$AB$56,$AC$56,E674=$AB$57,$AC$57,E674=$AB$58,$AC$58,E674=$AB$59,$AC$59,E674=$AB$60,$AC$60,E674=$AB$61,$AC$61,E674=$AB$62,$AC$62,E674=$AB$63,$AC$63,E674=$AB$64,$AC$64,E674=$AB$65,$AC$65,E674=$AB$66,$AC$66,TRUE,"0")</f>
        <v>#NAME?</v>
      </c>
      <c r="C674" s="161" t="str" cm="1">
        <f t="array" ref="C674">_xlfn.IFS(E674=$AB$42,$AF$42,E674=$AB$43,$AF$43,E674=$AB$44,$AF$44,E674=$AB$45,$AF$45,E674=$AB$46,$AF$46,E674=$AB$47,$AF$47,E674=$AB$48,$AF$48,E674=$AB$49,$AF$49,E674=$AB$50,$AF$50,E674=$AB$51,$AF$51,E674=$AB$52,$AF$52,E674=$AB$53,$AF$53,E674=$AB$54,$AF$54,E674=$AB$55,$AF$55,E674=$AB$56,$AF$56,E674=$AB$57,$AF$57,E674=$AB$58,$AF$58,E674=$AB$59,$AF$59,E674=$AB$60,$AF$60,E674=$AB$61,$AF$61,E674=$AB$62,$AF$62,E674=$AB$63,$AF$63,E674=$AB$64,$AF$64,E674=$AB$65,$AF$65,E674=$AB$66,$AF$66,TRUE,"0")</f>
        <v>B4 match BACK FT +1.5 goals. X AFTER  GOAL</v>
      </c>
      <c r="D674" s="270" t="str" cm="1">
        <f t="array" ref="D674">_xlfn.IFS(E674=$AB$42,$AD$42,E674=$AB$43,$AD$43,E674=$AB$44,$AD$44,E674=$AB$45,$AD$45,E674=$AB$46,$AD$46,E674=$AB$47,$AD$47,E674=$AB$48,$AD$48,E674=$AB$49,$AD$49,E674=$AB$50,$AD$50,E674=$AB$51,$AD$51,E674=$AB$52,$AD$52,E674=$AB$53,$AD$53,E674=$AB$54,$AD$54,E674=$AB$55,$AD$55,E674=$AB$56,$AD$56,E674=$AB$57,$AD$57,E674=$AB$58,$AD$58,E674=$AB$59,$AD$59,E674=$AB$60,$AD$60,E674=$AB$61,$AD$61,E674=$AB$62,$AD$62,E674=$AB$63,$AD$63,E674=$AB$64,$AD$64,E674=$AB$65,$AD$65,E674=$AB$66,$AD$66,TRUE,"0")</f>
        <v xml:space="preserve">BFM </v>
      </c>
      <c r="E674" s="163" t="s">
        <v>623</v>
      </c>
      <c r="F674" s="2" t="s">
        <v>58</v>
      </c>
      <c r="G674" s="2" t="s">
        <v>289</v>
      </c>
      <c r="H674" s="3">
        <v>45380.583333333336</v>
      </c>
      <c r="I674" s="2" t="s">
        <v>624</v>
      </c>
      <c r="J674" s="2" t="s">
        <v>625</v>
      </c>
      <c r="K674" s="2">
        <v>5</v>
      </c>
      <c r="L674" s="2">
        <v>20</v>
      </c>
      <c r="M674" s="2">
        <v>1.95</v>
      </c>
      <c r="N674" s="2">
        <v>30</v>
      </c>
      <c r="O674" s="2">
        <v>0</v>
      </c>
      <c r="P674" s="2">
        <v>10</v>
      </c>
      <c r="Q674" s="2" t="s">
        <v>95</v>
      </c>
      <c r="R674" s="10" t="s">
        <v>220</v>
      </c>
      <c r="S674" s="14" t="s">
        <v>220</v>
      </c>
      <c r="T674" s="188">
        <v>1000</v>
      </c>
      <c r="U674" s="8">
        <f t="shared" si="79"/>
        <v>180</v>
      </c>
      <c r="V674" s="234">
        <f t="shared" ref="V674:V710" si="85">SUM(V673,U674)</f>
        <v>39364.155246160299</v>
      </c>
      <c r="W674" s="15">
        <v>25</v>
      </c>
      <c r="X674" s="8">
        <f t="shared" si="80"/>
        <v>4.5</v>
      </c>
      <c r="Y674" s="233">
        <f t="shared" si="81"/>
        <v>2850</v>
      </c>
    </row>
    <row r="675" spans="1:25">
      <c r="A675" s="156" t="e" cm="1">
        <f t="array" aca="1" ref="A675" ca="1">_xlfn.IFS(E675=$AB$42,$AC$42,E675=$AB$43,$AC$43,E675=$AB$44,$AC$44,E675=$AB$45,$AC$45,E675=$AB$46,$AC$46,E675=$AB$47,$AC$47,E675=$AB$48,$AC$48,E675=$AB$49,$AC$49,E675=$AB$50,$AC$50,E675=$AB$51,$AC$51,E675=$AB$52,$AC$52,E675=$AB$53,$AC$53,E675=$AB$54,$AC$54,E675=$AB$55,$AC$55,E675=$AB$56,$AC$56,E675=$AB$57,$AC$57,E675=$AB$58,$AC$58,E675=$AB$59,$AC$59,E675=$AB$60,$AC$60,E675=$AB$61,$AC$61,E675=$AB$62,$AC$62,E675=$AB$63,$AC$63,E675=$AB$64,$AC$64,E675=$AB$65,$AC$65,E675=$AB$66,$AC$66,TRUE,"0")</f>
        <v>#NAME?</v>
      </c>
      <c r="C675" s="161" t="str" cm="1">
        <f t="array" ref="C675">_xlfn.IFS(E675=$AB$42,$AF$42,E675=$AB$43,$AF$43,E675=$AB$44,$AF$44,E675=$AB$45,$AF$45,E675=$AB$46,$AF$46,E675=$AB$47,$AF$47,E675=$AB$48,$AF$48,E675=$AB$49,$AF$49,E675=$AB$50,$AF$50,E675=$AB$51,$AF$51,E675=$AB$52,$AF$52,E675=$AB$53,$AF$53,E675=$AB$54,$AF$54,E675=$AB$55,$AF$55,E675=$AB$56,$AF$56,E675=$AB$57,$AF$57,E675=$AB$58,$AF$58,E675=$AB$59,$AF$59,E675=$AB$60,$AF$60,E675=$AB$61,$AF$61,E675=$AB$62,$AF$62,E675=$AB$63,$AF$63,E675=$AB$64,$AF$64,E675=$AB$65,$AF$65,E675=$AB$66,$AF$66,TRUE,"0")</f>
        <v>if 0-0, BACK+ 0.5 GOALS  @ 1.15+odds.  or @ 40 mins</v>
      </c>
      <c r="D675" s="270" t="str" cm="1">
        <f t="array" ref="D675">_xlfn.IFS(E675=$AB$42,$AD$42,E675=$AB$43,$AD$43,E675=$AB$44,$AD$44,E675=$AB$45,$AD$45,E675=$AB$46,$AD$46,E675=$AB$47,$AD$47,E675=$AB$48,$AD$48,E675=$AB$49,$AD$49,E675=$AB$50,$AD$50,E675=$AB$51,$AD$51,E675=$AB$52,$AD$52,E675=$AB$53,$AD$53,E675=$AB$54,$AD$54,E675=$AB$55,$AD$55,E675=$AB$56,$AD$56,E675=$AB$57,$AD$57,E675=$AB$58,$AD$58,E675=$AB$59,$AD$59,E675=$AB$60,$AD$60,E675=$AB$61,$AD$61,E675=$AB$62,$AD$62,E675=$AB$63,$AD$63,E675=$AB$64,$AD$64,E675=$AB$65,$AD$65,E675=$AB$66,$AD$66,TRUE,"0")</f>
        <v>IP</v>
      </c>
      <c r="E675" s="163" t="s">
        <v>270</v>
      </c>
      <c r="F675" s="2" t="s">
        <v>6</v>
      </c>
      <c r="G675" s="2" t="s">
        <v>7</v>
      </c>
      <c r="H675" s="3">
        <v>45380.625</v>
      </c>
      <c r="I675" s="2" t="s">
        <v>27</v>
      </c>
      <c r="J675" s="2" t="s">
        <v>397</v>
      </c>
      <c r="K675" s="2">
        <v>62</v>
      </c>
      <c r="L675" s="2">
        <v>0</v>
      </c>
      <c r="M675" s="2">
        <v>20</v>
      </c>
      <c r="N675" s="2">
        <v>40</v>
      </c>
      <c r="O675" s="2">
        <v>2.5</v>
      </c>
      <c r="P675" s="2"/>
      <c r="Q675" s="2" t="s">
        <v>95</v>
      </c>
      <c r="R675" s="10" t="s">
        <v>193</v>
      </c>
      <c r="S675" s="14" t="s">
        <v>222</v>
      </c>
      <c r="T675" s="188">
        <v>1000</v>
      </c>
      <c r="U675" s="8">
        <f t="shared" si="79"/>
        <v>180</v>
      </c>
      <c r="V675" s="234">
        <f t="shared" si="85"/>
        <v>39544.155246160299</v>
      </c>
      <c r="W675" s="15">
        <v>25</v>
      </c>
      <c r="X675" s="8">
        <f t="shared" si="80"/>
        <v>4.5</v>
      </c>
      <c r="Y675" s="233">
        <f t="shared" si="81"/>
        <v>2854.5</v>
      </c>
    </row>
    <row r="676" spans="1:25">
      <c r="A676" s="156" t="e" cm="1">
        <f t="array" aca="1" ref="A676" ca="1">_xlfn.IFS(E676=$AB$42,$AC$42,E676=$AB$43,$AC$43,E676=$AB$44,$AC$44,E676=$AB$45,$AC$45,E676=$AB$46,$AC$46,E676=$AB$47,$AC$47,E676=$AB$48,$AC$48,E676=$AB$49,$AC$49,E676=$AB$50,$AC$50,E676=$AB$51,$AC$51,E676=$AB$52,$AC$52,E676=$AB$53,$AC$53,E676=$AB$54,$AC$54,E676=$AB$55,$AC$55,E676=$AB$56,$AC$56,E676=$AB$57,$AC$57,E676=$AB$58,$AC$58,E676=$AB$59,$AC$59,E676=$AB$60,$AC$60,E676=$AB$61,$AC$61,E676=$AB$62,$AC$62,E676=$AB$63,$AC$63,E676=$AB$64,$AC$64,E676=$AB$65,$AC$65,E676=$AB$66,$AC$66,TRUE,"0")</f>
        <v>#NAME?</v>
      </c>
      <c r="C676" s="161" t="str" cm="1">
        <f t="array" ref="C676">_xlfn.IFS(E676=$AB$42,$AF$42,E676=$AB$43,$AF$43,E676=$AB$44,$AF$44,E676=$AB$45,$AF$45,E676=$AB$46,$AF$46,E676=$AB$47,$AF$47,E676=$AB$48,$AF$48,E676=$AB$49,$AF$49,E676=$AB$50,$AF$50,E676=$AB$51,$AF$51,E676=$AB$52,$AF$52,E676=$AB$53,$AF$53,E676=$AB$54,$AF$54,E676=$AB$55,$AF$55,E676=$AB$56,$AF$56,E676=$AB$57,$AF$57,E676=$AB$58,$AF$58,E676=$AB$59,$AF$59,E676=$AB$60,$AF$60,E676=$AB$61,$AF$61,E676=$AB$62,$AF$62,E676=$AB$63,$AF$63,E676=$AB$64,$AF$64,E676=$AB$65,$AF$65,E676=$AB$66,$AF$66,TRUE,"0")</f>
        <v>if 0-0, BACK+ 0.5 GOALS  @ 1.15+odds.  or @ 40 mins</v>
      </c>
      <c r="D676" s="270" t="str" cm="1">
        <f t="array" ref="D676">_xlfn.IFS(E676=$AB$42,$AD$42,E676=$AB$43,$AD$43,E676=$AB$44,$AD$44,E676=$AB$45,$AD$45,E676=$AB$46,$AD$46,E676=$AB$47,$AD$47,E676=$AB$48,$AD$48,E676=$AB$49,$AD$49,E676=$AB$50,$AD$50,E676=$AB$51,$AD$51,E676=$AB$52,$AD$52,E676=$AB$53,$AD$53,E676=$AB$54,$AD$54,E676=$AB$55,$AD$55,E676=$AB$56,$AD$56,E676=$AB$57,$AD$57,E676=$AB$58,$AD$58,E676=$AB$59,$AD$59,E676=$AB$60,$AD$60,E676=$AB$61,$AD$61,E676=$AB$62,$AD$62,E676=$AB$63,$AD$63,E676=$AB$64,$AD$64,E676=$AB$65,$AD$65,E676=$AB$66,$AD$66,TRUE,"0")</f>
        <v>IP</v>
      </c>
      <c r="E676" s="163" t="s">
        <v>270</v>
      </c>
      <c r="F676" s="2" t="s">
        <v>6</v>
      </c>
      <c r="G676" s="2" t="s">
        <v>11</v>
      </c>
      <c r="H676" s="3">
        <v>45380.625</v>
      </c>
      <c r="I676" s="2" t="s">
        <v>231</v>
      </c>
      <c r="J676" s="2" t="s">
        <v>198</v>
      </c>
      <c r="K676" s="2">
        <v>65</v>
      </c>
      <c r="L676" s="2">
        <v>0</v>
      </c>
      <c r="M676" s="2">
        <v>20</v>
      </c>
      <c r="N676" s="2">
        <v>41</v>
      </c>
      <c r="O676" s="2">
        <v>1.9</v>
      </c>
      <c r="P676" s="2"/>
      <c r="Q676" s="2" t="s">
        <v>95</v>
      </c>
      <c r="R676" s="10" t="s">
        <v>214</v>
      </c>
      <c r="S676" s="14" t="s">
        <v>214</v>
      </c>
      <c r="T676" s="188">
        <v>1000</v>
      </c>
      <c r="U676" s="8">
        <f t="shared" si="79"/>
        <v>180</v>
      </c>
      <c r="V676" s="234">
        <f t="shared" si="85"/>
        <v>39724.155246160299</v>
      </c>
      <c r="W676" s="15">
        <v>25</v>
      </c>
      <c r="X676" s="8">
        <f t="shared" si="80"/>
        <v>4.5</v>
      </c>
      <c r="Y676" s="233">
        <f t="shared" si="81"/>
        <v>2859</v>
      </c>
    </row>
    <row r="677" spans="1:25">
      <c r="A677" s="156" t="e" cm="1">
        <f t="array" aca="1" ref="A677" ca="1">_xlfn.IFS(E677=$AB$42,$AC$42,E677=$AB$43,$AC$43,E677=$AB$44,$AC$44,E677=$AB$45,$AC$45,E677=$AB$46,$AC$46,E677=$AB$47,$AC$47,E677=$AB$48,$AC$48,E677=$AB$49,$AC$49,E677=$AB$50,$AC$50,E677=$AB$51,$AC$51,E677=$AB$52,$AC$52,E677=$AB$53,$AC$53,E677=$AB$54,$AC$54,E677=$AB$55,$AC$55,E677=$AB$56,$AC$56,E677=$AB$57,$AC$57,E677=$AB$58,$AC$58,E677=$AB$59,$AC$59,E677=$AB$60,$AC$60,E677=$AB$61,$AC$61,E677=$AB$62,$AC$62,E677=$AB$63,$AC$63,E677=$AB$64,$AC$64,E677=$AB$65,$AC$65,E677=$AB$66,$AC$66,TRUE,"0")</f>
        <v>#NAME?</v>
      </c>
      <c r="C677" s="161" t="str" cm="1">
        <f t="array" ref="C677">_xlfn.IFS(E677=$AB$42,$AF$42,E677=$AB$43,$AF$43,E677=$AB$44,$AF$44,E677=$AB$45,$AF$45,E677=$AB$46,$AF$46,E677=$AB$47,$AF$47,E677=$AB$48,$AF$48,E677=$AB$49,$AF$49,E677=$AB$50,$AF$50,E677=$AB$51,$AF$51,E677=$AB$52,$AF$52,E677=$AB$53,$AF$53,E677=$AB$54,$AF$54,E677=$AB$55,$AF$55,E677=$AB$56,$AF$56,E677=$AB$57,$AF$57,E677=$AB$58,$AF$58,E677=$AB$59,$AF$59,E677=$AB$60,$AF$60,E677=$AB$61,$AF$61,E677=$AB$62,$AF$62,E677=$AB$63,$AF$63,E677=$AB$64,$AF$64,E677=$AB$65,$AF$65,E677=$AB$66,$AF$66,TRUE,"0")</f>
        <v>B4 match BACK FT +1.5 goals. X AFTER  GOAL</v>
      </c>
      <c r="D677" s="270" t="str" cm="1">
        <f t="array" ref="D677">_xlfn.IFS(E677=$AB$42,$AD$42,E677=$AB$43,$AD$43,E677=$AB$44,$AD$44,E677=$AB$45,$AD$45,E677=$AB$46,$AD$46,E677=$AB$47,$AD$47,E677=$AB$48,$AD$48,E677=$AB$49,$AD$49,E677=$AB$50,$AD$50,E677=$AB$51,$AD$51,E677=$AB$52,$AD$52,E677=$AB$53,$AD$53,E677=$AB$54,$AD$54,E677=$AB$55,$AD$55,E677=$AB$56,$AD$56,E677=$AB$57,$AD$57,E677=$AB$58,$AD$58,E677=$AB$59,$AD$59,E677=$AB$60,$AD$60,E677=$AB$61,$AD$61,E677=$AB$62,$AD$62,E677=$AB$63,$AD$63,E677=$AB$64,$AD$64,E677=$AB$65,$AD$65,E677=$AB$66,$AD$66,TRUE,"0")</f>
        <v xml:space="preserve">BFM </v>
      </c>
      <c r="E677" s="163" t="s">
        <v>531</v>
      </c>
      <c r="F677" s="2" t="s">
        <v>6</v>
      </c>
      <c r="G677" s="2" t="s">
        <v>7</v>
      </c>
      <c r="H677" s="3">
        <v>45380.625</v>
      </c>
      <c r="I677" s="2" t="s">
        <v>386</v>
      </c>
      <c r="J677" s="2" t="s">
        <v>18</v>
      </c>
      <c r="K677" s="2">
        <v>3.55</v>
      </c>
      <c r="L677" s="2">
        <v>38</v>
      </c>
      <c r="M677" s="2">
        <v>2.89</v>
      </c>
      <c r="N677" s="2">
        <v>27</v>
      </c>
      <c r="O677" s="2">
        <v>3</v>
      </c>
      <c r="P677" s="2">
        <v>18</v>
      </c>
      <c r="Q677" s="2" t="s">
        <v>95</v>
      </c>
      <c r="R677" s="10" t="s">
        <v>217</v>
      </c>
      <c r="S677" s="14" t="s">
        <v>218</v>
      </c>
      <c r="T677" s="188">
        <v>1000</v>
      </c>
      <c r="U677" s="8">
        <f t="shared" si="79"/>
        <v>180</v>
      </c>
      <c r="V677" s="234">
        <f t="shared" si="85"/>
        <v>39904.155246160299</v>
      </c>
      <c r="W677" s="15">
        <v>25</v>
      </c>
      <c r="X677" s="8">
        <f t="shared" si="80"/>
        <v>4.5</v>
      </c>
      <c r="Y677" s="233">
        <f t="shared" si="81"/>
        <v>2863.5</v>
      </c>
    </row>
    <row r="678" spans="1:25">
      <c r="A678" s="156" t="e" cm="1">
        <f t="array" aca="1" ref="A678" ca="1">_xlfn.IFS(E678=$AB$42,$AC$42,E678=$AB$43,$AC$43,E678=$AB$44,$AC$44,E678=$AB$45,$AC$45,E678=$AB$46,$AC$46,E678=$AB$47,$AC$47,E678=$AB$48,$AC$48,E678=$AB$49,$AC$49,E678=$AB$50,$AC$50,E678=$AB$51,$AC$51,E678=$AB$52,$AC$52,E678=$AB$53,$AC$53,E678=$AB$54,$AC$54,E678=$AB$55,$AC$55,E678=$AB$56,$AC$56,E678=$AB$57,$AC$57,E678=$AB$58,$AC$58,E678=$AB$59,$AC$59,E678=$AB$60,$AC$60,E678=$AB$61,$AC$61,E678=$AB$62,$AC$62,E678=$AB$63,$AC$63,E678=$AB$64,$AC$64,E678=$AB$65,$AC$65,E678=$AB$66,$AC$66,TRUE,"0")</f>
        <v>#NAME?</v>
      </c>
      <c r="C678" s="161" t="str" cm="1">
        <f t="array" ref="C678">_xlfn.IFS(E678=$AB$42,$AF$42,E678=$AB$43,$AF$43,E678=$AB$44,$AF$44,E678=$AB$45,$AF$45,E678=$AB$46,$AF$46,E678=$AB$47,$AF$47,E678=$AB$48,$AF$48,E678=$AB$49,$AF$49,E678=$AB$50,$AF$50,E678=$AB$51,$AF$51,E678=$AB$52,$AF$52,E678=$AB$53,$AF$53,E678=$AB$54,$AF$54,E678=$AB$55,$AF$55,E678=$AB$56,$AF$56,E678=$AB$57,$AF$57,E678=$AB$58,$AF$58,E678=$AB$59,$AF$59,E678=$AB$60,$AF$60,E678=$AB$61,$AF$61,E678=$AB$62,$AF$62,E678=$AB$63,$AF$63,E678=$AB$64,$AF$64,E678=$AB$65,$AF$65,E678=$AB$66,$AF$66,TRUE,"0")</f>
        <v>if 0-0, BACK+ 0.5 GOALS  @ 1.15+odds.  or @ 40 mins</v>
      </c>
      <c r="D678" s="270" t="str" cm="1">
        <f t="array" ref="D678">_xlfn.IFS(E678=$AB$42,$AD$42,E678=$AB$43,$AD$43,E678=$AB$44,$AD$44,E678=$AB$45,$AD$45,E678=$AB$46,$AD$46,E678=$AB$47,$AD$47,E678=$AB$48,$AD$48,E678=$AB$49,$AD$49,E678=$AB$50,$AD$50,E678=$AB$51,$AD$51,E678=$AB$52,$AD$52,E678=$AB$53,$AD$53,E678=$AB$54,$AD$54,E678=$AB$55,$AD$55,E678=$AB$56,$AD$56,E678=$AB$57,$AD$57,E678=$AB$58,$AD$58,E678=$AB$59,$AD$59,E678=$AB$60,$AD$60,E678=$AB$61,$AD$61,E678=$AB$62,$AD$62,E678=$AB$63,$AD$63,E678=$AB$64,$AD$64,E678=$AB$65,$AD$65,E678=$AB$66,$AD$66,TRUE,"0")</f>
        <v>IP</v>
      </c>
      <c r="E678" s="163" t="s">
        <v>270</v>
      </c>
      <c r="F678" s="2" t="s">
        <v>6</v>
      </c>
      <c r="G678" s="2" t="s">
        <v>14</v>
      </c>
      <c r="H678" s="3">
        <v>45380.625</v>
      </c>
      <c r="I678" s="2" t="s">
        <v>421</v>
      </c>
      <c r="J678" s="2" t="s">
        <v>376</v>
      </c>
      <c r="K678" s="2">
        <v>66</v>
      </c>
      <c r="L678" s="2">
        <v>0</v>
      </c>
      <c r="M678" s="2">
        <v>20</v>
      </c>
      <c r="N678" s="2">
        <v>33</v>
      </c>
      <c r="O678" s="2">
        <v>2.27</v>
      </c>
      <c r="P678" s="2"/>
      <c r="Q678" s="2" t="s">
        <v>95</v>
      </c>
      <c r="R678" s="10" t="s">
        <v>217</v>
      </c>
      <c r="S678" s="14" t="s">
        <v>211</v>
      </c>
      <c r="T678" s="188">
        <v>1000</v>
      </c>
      <c r="U678" s="8">
        <f t="shared" si="79"/>
        <v>180</v>
      </c>
      <c r="V678" s="234">
        <f t="shared" si="85"/>
        <v>40084.155246160299</v>
      </c>
      <c r="W678" s="15">
        <v>25</v>
      </c>
      <c r="X678" s="8">
        <f t="shared" si="80"/>
        <v>4.5</v>
      </c>
      <c r="Y678" s="233">
        <f t="shared" si="81"/>
        <v>2868</v>
      </c>
    </row>
    <row r="679" spans="1:25">
      <c r="A679" s="156" t="e" cm="1">
        <f t="array" aca="1" ref="A679" ca="1">_xlfn.IFS(E679=$AB$42,$AC$42,E679=$AB$43,$AC$43,E679=$AB$44,$AC$44,E679=$AB$45,$AC$45,E679=$AB$46,$AC$46,E679=$AB$47,$AC$47,E679=$AB$48,$AC$48,E679=$AB$49,$AC$49,E679=$AB$50,$AC$50,E679=$AB$51,$AC$51,E679=$AB$52,$AC$52,E679=$AB$53,$AC$53,E679=$AB$54,$AC$54,E679=$AB$55,$AC$55,E679=$AB$56,$AC$56,E679=$AB$57,$AC$57,E679=$AB$58,$AC$58,E679=$AB$59,$AC$59,E679=$AB$60,$AC$60,E679=$AB$61,$AC$61,E679=$AB$62,$AC$62,E679=$AB$63,$AC$63,E679=$AB$64,$AC$64,E679=$AB$65,$AC$65,E679=$AB$66,$AC$66,TRUE,"0")</f>
        <v>#NAME?</v>
      </c>
      <c r="C679" s="161" t="str" cm="1">
        <f t="array" ref="C679">_xlfn.IFS(E679=$AB$42,$AF$42,E679=$AB$43,$AF$43,E679=$AB$44,$AF$44,E679=$AB$45,$AF$45,E679=$AB$46,$AF$46,E679=$AB$47,$AF$47,E679=$AB$48,$AF$48,E679=$AB$49,$AF$49,E679=$AB$50,$AF$50,E679=$AB$51,$AF$51,E679=$AB$52,$AF$52,E679=$AB$53,$AF$53,E679=$AB$54,$AF$54,E679=$AB$55,$AF$55,E679=$AB$56,$AF$56,E679=$AB$57,$AF$57,E679=$AB$58,$AF$58,E679=$AB$59,$AF$59,E679=$AB$60,$AF$60,E679=$AB$61,$AF$61,E679=$AB$62,$AF$62,E679=$AB$63,$AF$63,E679=$AB$64,$AF$64,E679=$AB$65,$AF$65,E679=$AB$66,$AF$66,TRUE,"0")</f>
        <v>B4 match BACK FT +1.5 goals. X AFTER  GOAL</v>
      </c>
      <c r="D679" s="270" t="str" cm="1">
        <f t="array" ref="D679">_xlfn.IFS(E679=$AB$42,$AD$42,E679=$AB$43,$AD$43,E679=$AB$44,$AD$44,E679=$AB$45,$AD$45,E679=$AB$46,$AD$46,E679=$AB$47,$AD$47,E679=$AB$48,$AD$48,E679=$AB$49,$AD$49,E679=$AB$50,$AD$50,E679=$AB$51,$AD$51,E679=$AB$52,$AD$52,E679=$AB$53,$AD$53,E679=$AB$54,$AD$54,E679=$AB$55,$AD$55,E679=$AB$56,$AD$56,E679=$AB$57,$AD$57,E679=$AB$58,$AD$58,E679=$AB$59,$AD$59,E679=$AB$60,$AD$60,E679=$AB$61,$AD$61,E679=$AB$62,$AD$62,E679=$AB$63,$AD$63,E679=$AB$64,$AD$64,E679=$AB$65,$AD$65,E679=$AB$66,$AD$66,TRUE,"0")</f>
        <v xml:space="preserve">BFM </v>
      </c>
      <c r="E679" s="163" t="s">
        <v>623</v>
      </c>
      <c r="F679" s="2" t="s">
        <v>6</v>
      </c>
      <c r="G679" s="2" t="s">
        <v>14</v>
      </c>
      <c r="H679" s="3">
        <v>45380.625</v>
      </c>
      <c r="I679" s="2" t="s">
        <v>317</v>
      </c>
      <c r="J679" s="2" t="s">
        <v>57</v>
      </c>
      <c r="K679" s="2">
        <v>6</v>
      </c>
      <c r="L679" s="2">
        <v>20</v>
      </c>
      <c r="M679" s="2">
        <v>2.65</v>
      </c>
      <c r="N679" s="2">
        <v>31</v>
      </c>
      <c r="O679" s="2">
        <v>3</v>
      </c>
      <c r="P679" s="2">
        <v>10</v>
      </c>
      <c r="Q679" s="2" t="s">
        <v>95</v>
      </c>
      <c r="R679" s="10" t="s">
        <v>193</v>
      </c>
      <c r="S679" s="14" t="s">
        <v>222</v>
      </c>
      <c r="T679" s="188">
        <v>1000</v>
      </c>
      <c r="U679" s="8">
        <f t="shared" si="79"/>
        <v>180</v>
      </c>
      <c r="V679" s="234">
        <f t="shared" si="85"/>
        <v>40264.155246160299</v>
      </c>
      <c r="W679" s="15">
        <v>25</v>
      </c>
      <c r="X679" s="8">
        <f t="shared" si="80"/>
        <v>4.5</v>
      </c>
      <c r="Y679" s="233">
        <f t="shared" si="81"/>
        <v>2872.5</v>
      </c>
    </row>
    <row r="680" spans="1:25">
      <c r="A680" s="156" t="e" cm="1">
        <f t="array" aca="1" ref="A680" ca="1">_xlfn.IFS(E680=$AB$42,$AC$42,E680=$AB$43,$AC$43,E680=$AB$44,$AC$44,E680=$AB$45,$AC$45,E680=$AB$46,$AC$46,E680=$AB$47,$AC$47,E680=$AB$48,$AC$48,E680=$AB$49,$AC$49,E680=$AB$50,$AC$50,E680=$AB$51,$AC$51,E680=$AB$52,$AC$52,E680=$AB$53,$AC$53,E680=$AB$54,$AC$54,E680=$AB$55,$AC$55,E680=$AB$56,$AC$56,E680=$AB$57,$AC$57,E680=$AB$58,$AC$58,E680=$AB$59,$AC$59,E680=$AB$60,$AC$60,E680=$AB$61,$AC$61,E680=$AB$62,$AC$62,E680=$AB$63,$AC$63,E680=$AB$64,$AC$64,E680=$AB$65,$AC$65,E680=$AB$66,$AC$66,TRUE,"0")</f>
        <v>#NAME?</v>
      </c>
      <c r="C680" s="161" t="str" cm="1">
        <f t="array" ref="C680">_xlfn.IFS(E680=$AB$42,$AF$42,E680=$AB$43,$AF$43,E680=$AB$44,$AF$44,E680=$AB$45,$AF$45,E680=$AB$46,$AF$46,E680=$AB$47,$AF$47,E680=$AB$48,$AF$48,E680=$AB$49,$AF$49,E680=$AB$50,$AF$50,E680=$AB$51,$AF$51,E680=$AB$52,$AF$52,E680=$AB$53,$AF$53,E680=$AB$54,$AF$54,E680=$AB$55,$AF$55,E680=$AB$56,$AF$56,E680=$AB$57,$AF$57,E680=$AB$58,$AF$58,E680=$AB$59,$AF$59,E680=$AB$60,$AF$60,E680=$AB$61,$AF$61,E680=$AB$62,$AF$62,E680=$AB$63,$AF$63,E680=$AB$64,$AF$64,E680=$AB$65,$AF$65,E680=$AB$66,$AF$66,TRUE,"0")</f>
        <v>B4 match BACK FT +1.5 goals. X AFTER  GOAL</v>
      </c>
      <c r="D680" s="270" t="str" cm="1">
        <f t="array" ref="D680">_xlfn.IFS(E680=$AB$42,$AD$42,E680=$AB$43,$AD$43,E680=$AB$44,$AD$44,E680=$AB$45,$AD$45,E680=$AB$46,$AD$46,E680=$AB$47,$AD$47,E680=$AB$48,$AD$48,E680=$AB$49,$AD$49,E680=$AB$50,$AD$50,E680=$AB$51,$AD$51,E680=$AB$52,$AD$52,E680=$AB$53,$AD$53,E680=$AB$54,$AD$54,E680=$AB$55,$AD$55,E680=$AB$56,$AD$56,E680=$AB$57,$AD$57,E680=$AB$58,$AD$58,E680=$AB$59,$AD$59,E680=$AB$60,$AD$60,E680=$AB$61,$AD$61,E680=$AB$62,$AD$62,E680=$AB$63,$AD$63,E680=$AB$64,$AD$64,E680=$AB$65,$AD$65,E680=$AB$66,$AD$66,TRUE,"0")</f>
        <v xml:space="preserve">BFM </v>
      </c>
      <c r="E680" s="163" t="s">
        <v>406</v>
      </c>
      <c r="F680" s="2" t="s">
        <v>6</v>
      </c>
      <c r="G680" s="2" t="s">
        <v>11</v>
      </c>
      <c r="H680" s="3">
        <v>45380.625</v>
      </c>
      <c r="I680" s="2" t="s">
        <v>12</v>
      </c>
      <c r="J680" s="2" t="s">
        <v>585</v>
      </c>
      <c r="K680" s="2">
        <v>1.29</v>
      </c>
      <c r="L680" s="2">
        <v>11</v>
      </c>
      <c r="M680" s="2">
        <v>3.2</v>
      </c>
      <c r="N680" s="2">
        <v>3.5</v>
      </c>
      <c r="O680" s="2">
        <v>2.27</v>
      </c>
      <c r="P680" s="2"/>
      <c r="Q680" s="2" t="s">
        <v>95</v>
      </c>
      <c r="R680" s="10" t="s">
        <v>193</v>
      </c>
      <c r="S680" s="14" t="s">
        <v>211</v>
      </c>
      <c r="T680" s="188">
        <v>1000</v>
      </c>
      <c r="U680" s="8">
        <f t="shared" si="79"/>
        <v>180</v>
      </c>
      <c r="V680" s="234">
        <f t="shared" si="85"/>
        <v>40444.155246160299</v>
      </c>
      <c r="W680" s="15">
        <v>25</v>
      </c>
      <c r="X680" s="8">
        <f t="shared" si="80"/>
        <v>4.5</v>
      </c>
      <c r="Y680" s="233">
        <f t="shared" si="81"/>
        <v>2877</v>
      </c>
    </row>
    <row r="681" spans="1:25">
      <c r="A681" s="156" t="e" cm="1">
        <f t="array" aca="1" ref="A681" ca="1">_xlfn.IFS(E681=$AB$42,$AC$42,E681=$AB$43,$AC$43,E681=$AB$44,$AC$44,E681=$AB$45,$AC$45,E681=$AB$46,$AC$46,E681=$AB$47,$AC$47,E681=$AB$48,$AC$48,E681=$AB$49,$AC$49,E681=$AB$50,$AC$50,E681=$AB$51,$AC$51,E681=$AB$52,$AC$52,E681=$AB$53,$AC$53,E681=$AB$54,$AC$54,E681=$AB$55,$AC$55,E681=$AB$56,$AC$56,E681=$AB$57,$AC$57,E681=$AB$58,$AC$58,E681=$AB$59,$AC$59,E681=$AB$60,$AC$60,E681=$AB$61,$AC$61,E681=$AB$62,$AC$62,E681=$AB$63,$AC$63,E681=$AB$64,$AC$64,E681=$AB$65,$AC$65,E681=$AB$66,$AC$66,TRUE,"0")</f>
        <v>#NAME?</v>
      </c>
      <c r="C681" s="161" t="str" cm="1">
        <f t="array" ref="C681">_xlfn.IFS(E681=$AB$42,$AF$42,E681=$AB$43,$AF$43,E681=$AB$44,$AF$44,E681=$AB$45,$AF$45,E681=$AB$46,$AF$46,E681=$AB$47,$AF$47,E681=$AB$48,$AF$48,E681=$AB$49,$AF$49,E681=$AB$50,$AF$50,E681=$AB$51,$AF$51,E681=$AB$52,$AF$52,E681=$AB$53,$AF$53,E681=$AB$54,$AF$54,E681=$AB$55,$AF$55,E681=$AB$56,$AF$56,E681=$AB$57,$AF$57,E681=$AB$58,$AF$58,E681=$AB$59,$AF$59,E681=$AB$60,$AF$60,E681=$AB$61,$AF$61,E681=$AB$62,$AF$62,E681=$AB$63,$AF$63,E681=$AB$64,$AF$64,E681=$AB$65,$AF$65,E681=$AB$66,$AF$66,TRUE,"0")</f>
        <v>B4 match BACK FT +1.5 goals. X AFTER  GOAL</v>
      </c>
      <c r="D681" s="270" t="str" cm="1">
        <f t="array" ref="D681">_xlfn.IFS(E681=$AB$42,$AD$42,E681=$AB$43,$AD$43,E681=$AB$44,$AD$44,E681=$AB$45,$AD$45,E681=$AB$46,$AD$46,E681=$AB$47,$AD$47,E681=$AB$48,$AD$48,E681=$AB$49,$AD$49,E681=$AB$50,$AD$50,E681=$AB$51,$AD$51,E681=$AB$52,$AD$52,E681=$AB$53,$AD$53,E681=$AB$54,$AD$54,E681=$AB$55,$AD$55,E681=$AB$56,$AD$56,E681=$AB$57,$AD$57,E681=$AB$58,$AD$58,E681=$AB$59,$AD$59,E681=$AB$60,$AD$60,E681=$AB$61,$AD$61,E681=$AB$62,$AD$62,E681=$AB$63,$AD$63,E681=$AB$64,$AD$64,E681=$AB$65,$AD$65,E681=$AB$66,$AD$66,TRUE,"0")</f>
        <v xml:space="preserve">BFM </v>
      </c>
      <c r="E681" s="163" t="s">
        <v>623</v>
      </c>
      <c r="F681" s="2" t="s">
        <v>6</v>
      </c>
      <c r="G681" s="2" t="s">
        <v>11</v>
      </c>
      <c r="H681" s="3">
        <v>45380.625</v>
      </c>
      <c r="I681" s="2" t="s">
        <v>12</v>
      </c>
      <c r="J681" s="2" t="s">
        <v>585</v>
      </c>
      <c r="K681" s="2">
        <v>3.5</v>
      </c>
      <c r="L681" s="2">
        <v>20</v>
      </c>
      <c r="M681" s="2">
        <v>3.2</v>
      </c>
      <c r="N681" s="2">
        <v>28</v>
      </c>
      <c r="O681" s="2">
        <v>1</v>
      </c>
      <c r="P681" s="2">
        <v>10</v>
      </c>
      <c r="Q681" s="2" t="s">
        <v>95</v>
      </c>
      <c r="R681" s="10" t="s">
        <v>193</v>
      </c>
      <c r="S681" s="14" t="s">
        <v>211</v>
      </c>
      <c r="T681" s="188">
        <v>1000</v>
      </c>
      <c r="U681" s="8">
        <f t="shared" si="79"/>
        <v>180</v>
      </c>
      <c r="V681" s="234">
        <f t="shared" si="85"/>
        <v>40624.155246160299</v>
      </c>
      <c r="W681" s="15">
        <v>25</v>
      </c>
      <c r="X681" s="8">
        <f t="shared" si="80"/>
        <v>4.5</v>
      </c>
      <c r="Y681" s="233">
        <f t="shared" si="81"/>
        <v>2881.5</v>
      </c>
    </row>
    <row r="682" spans="1:25">
      <c r="A682" s="156" t="e" cm="1">
        <f t="array" aca="1" ref="A682" ca="1">_xlfn.IFS(E682=$AB$42,$AC$42,E682=$AB$43,$AC$43,E682=$AB$44,$AC$44,E682=$AB$45,$AC$45,E682=$AB$46,$AC$46,E682=$AB$47,$AC$47,E682=$AB$48,$AC$48,E682=$AB$49,$AC$49,E682=$AB$50,$AC$50,E682=$AB$51,$AC$51,E682=$AB$52,$AC$52,E682=$AB$53,$AC$53,E682=$AB$54,$AC$54,E682=$AB$55,$AC$55,E682=$AB$56,$AC$56,E682=$AB$57,$AC$57,E682=$AB$58,$AC$58,E682=$AB$59,$AC$59,E682=$AB$60,$AC$60,E682=$AB$61,$AC$61,E682=$AB$62,$AC$62,E682=$AB$63,$AC$63,E682=$AB$64,$AC$64,E682=$AB$65,$AC$65,E682=$AB$66,$AC$66,TRUE,"0")</f>
        <v>#NAME?</v>
      </c>
      <c r="C682" s="161" t="str" cm="1">
        <f t="array" ref="C682">_xlfn.IFS(E682=$AB$42,$AF$42,E682=$AB$43,$AF$43,E682=$AB$44,$AF$44,E682=$AB$45,$AF$45,E682=$AB$46,$AF$46,E682=$AB$47,$AF$47,E682=$AB$48,$AF$48,E682=$AB$49,$AF$49,E682=$AB$50,$AF$50,E682=$AB$51,$AF$51,E682=$AB$52,$AF$52,E682=$AB$53,$AF$53,E682=$AB$54,$AF$54,E682=$AB$55,$AF$55,E682=$AB$56,$AF$56,E682=$AB$57,$AF$57,E682=$AB$58,$AF$58,E682=$AB$59,$AF$59,E682=$AB$60,$AF$60,E682=$AB$61,$AF$61,E682=$AB$62,$AF$62,E682=$AB$63,$AF$63,E682=$AB$64,$AF$64,E682=$AB$65,$AF$65,E682=$AB$66,$AF$66,TRUE,"0")</f>
        <v>B4 Match, lay HT 0-0 or BACK H1 +0.5 GOALS</v>
      </c>
      <c r="D682" s="270" t="str" cm="1">
        <f t="array" ref="D682">_xlfn.IFS(E682=$AB$42,$AD$42,E682=$AB$43,$AD$43,E682=$AB$44,$AD$44,E682=$AB$45,$AD$45,E682=$AB$46,$AD$46,E682=$AB$47,$AD$47,E682=$AB$48,$AD$48,E682=$AB$49,$AD$49,E682=$AB$50,$AD$50,E682=$AB$51,$AD$51,E682=$AB$52,$AD$52,E682=$AB$53,$AD$53,E682=$AB$54,$AD$54,E682=$AB$55,$AD$55,E682=$AB$56,$AD$56,E682=$AB$57,$AD$57,E682=$AB$58,$AD$58,E682=$AB$59,$AD$59,E682=$AB$60,$AD$60,E682=$AB$61,$AD$61,E682=$AB$62,$AD$62,E682=$AB$63,$AD$63,E682=$AB$64,$AD$64,E682=$AB$65,$AD$65,E682=$AB$66,$AD$66,TRUE,"0")</f>
        <v xml:space="preserve">BFM </v>
      </c>
      <c r="E682" s="163" t="s">
        <v>448</v>
      </c>
      <c r="F682" s="2" t="s">
        <v>6</v>
      </c>
      <c r="G682" s="2" t="s">
        <v>11</v>
      </c>
      <c r="H682" s="3">
        <v>45380.625</v>
      </c>
      <c r="I682" s="2" t="s">
        <v>12</v>
      </c>
      <c r="J682" s="2" t="s">
        <v>585</v>
      </c>
      <c r="K682" s="2">
        <v>20</v>
      </c>
      <c r="L682" s="2">
        <v>10</v>
      </c>
      <c r="M682" s="2">
        <v>31</v>
      </c>
      <c r="N682" s="2">
        <v>4</v>
      </c>
      <c r="O682" s="2">
        <v>4</v>
      </c>
      <c r="P682" s="2">
        <v>7</v>
      </c>
      <c r="Q682" s="2" t="s">
        <v>95</v>
      </c>
      <c r="R682" s="10" t="s">
        <v>193</v>
      </c>
      <c r="S682" s="14" t="s">
        <v>211</v>
      </c>
      <c r="T682" s="188">
        <v>1000</v>
      </c>
      <c r="U682" s="8">
        <f t="shared" si="79"/>
        <v>180</v>
      </c>
      <c r="V682" s="234">
        <f t="shared" si="85"/>
        <v>40804.155246160299</v>
      </c>
      <c r="W682" s="15">
        <v>25</v>
      </c>
      <c r="X682" s="8">
        <f t="shared" si="80"/>
        <v>4.5</v>
      </c>
      <c r="Y682" s="233">
        <f t="shared" si="81"/>
        <v>2886</v>
      </c>
    </row>
    <row r="683" spans="1:25">
      <c r="A683" s="156" t="e" cm="1">
        <f t="array" aca="1" ref="A683" ca="1">_xlfn.IFS(E683=$AB$42,$AC$42,E683=$AB$43,$AC$43,E683=$AB$44,$AC$44,E683=$AB$45,$AC$45,E683=$AB$46,$AC$46,E683=$AB$47,$AC$47,E683=$AB$48,$AC$48,E683=$AB$49,$AC$49,E683=$AB$50,$AC$50,E683=$AB$51,$AC$51,E683=$AB$52,$AC$52,E683=$AB$53,$AC$53,E683=$AB$54,$AC$54,E683=$AB$55,$AC$55,E683=$AB$56,$AC$56,E683=$AB$57,$AC$57,E683=$AB$58,$AC$58,E683=$AB$59,$AC$59,E683=$AB$60,$AC$60,E683=$AB$61,$AC$61,E683=$AB$62,$AC$62,E683=$AB$63,$AC$63,E683=$AB$64,$AC$64,E683=$AB$65,$AC$65,E683=$AB$66,$AC$66,TRUE,"0")</f>
        <v>#NAME?</v>
      </c>
      <c r="C683" s="161" t="str" cm="1">
        <f t="array" ref="C683">_xlfn.IFS(E683=$AB$42,$AF$42,E683=$AB$43,$AF$43,E683=$AB$44,$AF$44,E683=$AB$45,$AF$45,E683=$AB$46,$AF$46,E683=$AB$47,$AF$47,E683=$AB$48,$AF$48,E683=$AB$49,$AF$49,E683=$AB$50,$AF$50,E683=$AB$51,$AF$51,E683=$AB$52,$AF$52,E683=$AB$53,$AF$53,E683=$AB$54,$AF$54,E683=$AB$55,$AF$55,E683=$AB$56,$AF$56,E683=$AB$57,$AF$57,E683=$AB$58,$AF$58,E683=$AB$59,$AF$59,E683=$AB$60,$AF$60,E683=$AB$61,$AF$61,E683=$AB$62,$AF$62,E683=$AB$63,$AF$63,E683=$AB$64,$AF$64,E683=$AB$65,$AF$65,E683=$AB$66,$AF$66,TRUE,"0")</f>
        <v>15mins if  0-0, BACK over 1.5 goals X after goal OR LET RUN</v>
      </c>
      <c r="D683" s="270" t="str" cm="1">
        <f t="array" ref="D683">_xlfn.IFS(E683=$AB$42,$AD$42,E683=$AB$43,$AD$43,E683=$AB$44,$AD$44,E683=$AB$45,$AD$45,E683=$AB$46,$AD$46,E683=$AB$47,$AD$47,E683=$AB$48,$AD$48,E683=$AB$49,$AD$49,E683=$AB$50,$AD$50,E683=$AB$51,$AD$51,E683=$AB$52,$AD$52,E683=$AB$53,$AD$53,E683=$AB$54,$AD$54,E683=$AB$55,$AD$55,E683=$AB$56,$AD$56,E683=$AB$57,$AD$57,E683=$AB$58,$AD$58,E683=$AB$59,$AD$59,E683=$AB$60,$AD$60,E683=$AB$61,$AD$61,E683=$AB$62,$AD$62,E683=$AB$63,$AD$63,E683=$AB$64,$AD$64,E683=$AB$65,$AD$65,E683=$AB$66,$AD$66,TRUE,"0")</f>
        <v>IP</v>
      </c>
      <c r="E683" s="163" t="s">
        <v>473</v>
      </c>
      <c r="F683" s="2" t="s">
        <v>6</v>
      </c>
      <c r="G683" s="2" t="s">
        <v>11</v>
      </c>
      <c r="H683" s="3">
        <v>45380.625</v>
      </c>
      <c r="I683" s="2" t="s">
        <v>12</v>
      </c>
      <c r="J683" s="2" t="s">
        <v>585</v>
      </c>
      <c r="K683" s="2">
        <v>65</v>
      </c>
      <c r="L683" s="2">
        <v>85</v>
      </c>
      <c r="M683" s="2">
        <v>20</v>
      </c>
      <c r="N683" s="2">
        <v>3.2</v>
      </c>
      <c r="O683" s="2"/>
      <c r="P683" s="2"/>
      <c r="Q683" s="2" t="s">
        <v>95</v>
      </c>
      <c r="R683" s="10" t="s">
        <v>193</v>
      </c>
      <c r="S683" s="14" t="s">
        <v>211</v>
      </c>
      <c r="T683" s="188">
        <v>1000</v>
      </c>
      <c r="U683" s="8">
        <f t="shared" si="79"/>
        <v>180</v>
      </c>
      <c r="V683" s="234">
        <f t="shared" si="85"/>
        <v>40984.155246160299</v>
      </c>
      <c r="W683" s="15">
        <v>25</v>
      </c>
      <c r="X683" s="8">
        <f t="shared" si="80"/>
        <v>4.5</v>
      </c>
      <c r="Y683" s="233">
        <f t="shared" si="81"/>
        <v>2890.5</v>
      </c>
    </row>
    <row r="684" spans="1:25">
      <c r="A684" s="156" t="e" cm="1">
        <f t="array" aca="1" ref="A684" ca="1">_xlfn.IFS(E684=$AB$42,$AC$42,E684=$AB$43,$AC$43,E684=$AB$44,$AC$44,E684=$AB$45,$AC$45,E684=$AB$46,$AC$46,E684=$AB$47,$AC$47,E684=$AB$48,$AC$48,E684=$AB$49,$AC$49,E684=$AB$50,$AC$50,E684=$AB$51,$AC$51,E684=$AB$52,$AC$52,E684=$AB$53,$AC$53,E684=$AB$54,$AC$54,E684=$AB$55,$AC$55,E684=$AB$56,$AC$56,E684=$AB$57,$AC$57,E684=$AB$58,$AC$58,E684=$AB$59,$AC$59,E684=$AB$60,$AC$60,E684=$AB$61,$AC$61,E684=$AB$62,$AC$62,E684=$AB$63,$AC$63,E684=$AB$64,$AC$64,E684=$AB$65,$AC$65,E684=$AB$66,$AC$66,TRUE,"0")</f>
        <v>#NAME?</v>
      </c>
      <c r="C684" s="161" t="str" cm="1">
        <f t="array" ref="C684">_xlfn.IFS(E684=$AB$42,$AF$42,E684=$AB$43,$AF$43,E684=$AB$44,$AF$44,E684=$AB$45,$AF$45,E684=$AB$46,$AF$46,E684=$AB$47,$AF$47,E684=$AB$48,$AF$48,E684=$AB$49,$AF$49,E684=$AB$50,$AF$50,E684=$AB$51,$AF$51,E684=$AB$52,$AF$52,E684=$AB$53,$AF$53,E684=$AB$54,$AF$54,E684=$AB$55,$AF$55,E684=$AB$56,$AF$56,E684=$AB$57,$AF$57,E684=$AB$58,$AF$58,E684=$AB$59,$AF$59,E684=$AB$60,$AF$60,E684=$AB$61,$AF$61,E684=$AB$62,$AF$62,E684=$AB$63,$AF$63,E684=$AB$64,$AF$64,E684=$AB$65,$AF$65,E684=$AB$66,$AF$66,TRUE,"0")</f>
        <v>B4 match BACK FT +1.5 goals. X AFTER  GOAL</v>
      </c>
      <c r="D684" s="270" t="str" cm="1">
        <f t="array" ref="D684">_xlfn.IFS(E684=$AB$42,$AD$42,E684=$AB$43,$AD$43,E684=$AB$44,$AD$44,E684=$AB$45,$AD$45,E684=$AB$46,$AD$46,E684=$AB$47,$AD$47,E684=$AB$48,$AD$48,E684=$AB$49,$AD$49,E684=$AB$50,$AD$50,E684=$AB$51,$AD$51,E684=$AB$52,$AD$52,E684=$AB$53,$AD$53,E684=$AB$54,$AD$54,E684=$AB$55,$AD$55,E684=$AB$56,$AD$56,E684=$AB$57,$AD$57,E684=$AB$58,$AD$58,E684=$AB$59,$AD$59,E684=$AB$60,$AD$60,E684=$AB$61,$AD$61,E684=$AB$62,$AD$62,E684=$AB$63,$AD$63,E684=$AB$64,$AD$64,E684=$AB$65,$AD$65,E684=$AB$66,$AD$66,TRUE,"0")</f>
        <v xml:space="preserve">BFM </v>
      </c>
      <c r="E684" s="163" t="s">
        <v>623</v>
      </c>
      <c r="F684" s="2" t="s">
        <v>6</v>
      </c>
      <c r="G684" s="2" t="s">
        <v>14</v>
      </c>
      <c r="H684" s="3">
        <v>45380.625</v>
      </c>
      <c r="I684" s="2" t="s">
        <v>56</v>
      </c>
      <c r="J684" s="2" t="s">
        <v>17</v>
      </c>
      <c r="K684" s="2">
        <v>5.4</v>
      </c>
      <c r="L684" s="2">
        <v>20</v>
      </c>
      <c r="M684" s="2">
        <v>3.3</v>
      </c>
      <c r="N684" s="2">
        <v>31</v>
      </c>
      <c r="O684" s="2">
        <v>5</v>
      </c>
      <c r="P684" s="2">
        <v>10</v>
      </c>
      <c r="Q684" s="2" t="s">
        <v>95</v>
      </c>
      <c r="R684" s="10" t="s">
        <v>214</v>
      </c>
      <c r="S684" s="14" t="s">
        <v>216</v>
      </c>
      <c r="T684" s="188">
        <v>1000</v>
      </c>
      <c r="U684" s="8">
        <f t="shared" si="79"/>
        <v>180</v>
      </c>
      <c r="V684" s="234">
        <f t="shared" si="85"/>
        <v>41164.155246160299</v>
      </c>
      <c r="W684" s="15">
        <v>25</v>
      </c>
      <c r="X684" s="8">
        <f t="shared" si="80"/>
        <v>4.5</v>
      </c>
      <c r="Y684" s="233">
        <f t="shared" si="81"/>
        <v>2895</v>
      </c>
    </row>
    <row r="685" spans="1:25">
      <c r="A685" s="156" t="e" cm="1">
        <f t="array" aca="1" ref="A685" ca="1">_xlfn.IFS(E685=$AB$42,$AC$42,E685=$AB$43,$AC$43,E685=$AB$44,$AC$44,E685=$AB$45,$AC$45,E685=$AB$46,$AC$46,E685=$AB$47,$AC$47,E685=$AB$48,$AC$48,E685=$AB$49,$AC$49,E685=$AB$50,$AC$50,E685=$AB$51,$AC$51,E685=$AB$52,$AC$52,E685=$AB$53,$AC$53,E685=$AB$54,$AC$54,E685=$AB$55,$AC$55,E685=$AB$56,$AC$56,E685=$AB$57,$AC$57,E685=$AB$58,$AC$58,E685=$AB$59,$AC$59,E685=$AB$60,$AC$60,E685=$AB$61,$AC$61,E685=$AB$62,$AC$62,E685=$AB$63,$AC$63,E685=$AB$64,$AC$64,E685=$AB$65,$AC$65,E685=$AB$66,$AC$66,TRUE,"0")</f>
        <v>#NAME?</v>
      </c>
      <c r="C685" s="161" t="str" cm="1">
        <f t="array" ref="C685">_xlfn.IFS(E685=$AB$42,$AF$42,E685=$AB$43,$AF$43,E685=$AB$44,$AF$44,E685=$AB$45,$AF$45,E685=$AB$46,$AF$46,E685=$AB$47,$AF$47,E685=$AB$48,$AF$48,E685=$AB$49,$AF$49,E685=$AB$50,$AF$50,E685=$AB$51,$AF$51,E685=$AB$52,$AF$52,E685=$AB$53,$AF$53,E685=$AB$54,$AF$54,E685=$AB$55,$AF$55,E685=$AB$56,$AF$56,E685=$AB$57,$AF$57,E685=$AB$58,$AF$58,E685=$AB$59,$AF$59,E685=$AB$60,$AF$60,E685=$AB$61,$AF$61,E685=$AB$62,$AF$62,E685=$AB$63,$AF$63,E685=$AB$64,$AF$64,E685=$AB$65,$AF$65,E685=$AB$66,$AF$66,TRUE,"0")</f>
        <v>if 0-0, BACK+ 0.5 GOALS  @ 1.15+odds.  or @ 40 mins</v>
      </c>
      <c r="D685" s="270" t="str" cm="1">
        <f t="array" ref="D685">_xlfn.IFS(E685=$AB$42,$AD$42,E685=$AB$43,$AD$43,E685=$AB$44,$AD$44,E685=$AB$45,$AD$45,E685=$AB$46,$AD$46,E685=$AB$47,$AD$47,E685=$AB$48,$AD$48,E685=$AB$49,$AD$49,E685=$AB$50,$AD$50,E685=$AB$51,$AD$51,E685=$AB$52,$AD$52,E685=$AB$53,$AD$53,E685=$AB$54,$AD$54,E685=$AB$55,$AD$55,E685=$AB$56,$AD$56,E685=$AB$57,$AD$57,E685=$AB$58,$AD$58,E685=$AB$59,$AD$59,E685=$AB$60,$AD$60,E685=$AB$61,$AD$61,E685=$AB$62,$AD$62,E685=$AB$63,$AD$63,E685=$AB$64,$AD$64,E685=$AB$65,$AD$65,E685=$AB$66,$AD$66,TRUE,"0")</f>
        <v>IP</v>
      </c>
      <c r="E685" s="163" t="s">
        <v>270</v>
      </c>
      <c r="F685" s="2" t="s">
        <v>6</v>
      </c>
      <c r="G685" s="2" t="s">
        <v>14</v>
      </c>
      <c r="H685" s="3">
        <v>45380.625</v>
      </c>
      <c r="I685" s="2" t="s">
        <v>56</v>
      </c>
      <c r="J685" s="2" t="s">
        <v>17</v>
      </c>
      <c r="K685" s="2">
        <v>59</v>
      </c>
      <c r="L685" s="2">
        <v>0</v>
      </c>
      <c r="M685" s="2">
        <v>20</v>
      </c>
      <c r="N685" s="2">
        <v>31</v>
      </c>
      <c r="O685" s="2">
        <v>2.54</v>
      </c>
      <c r="P685" s="2"/>
      <c r="Q685" s="2" t="s">
        <v>95</v>
      </c>
      <c r="R685" s="10" t="s">
        <v>214</v>
      </c>
      <c r="S685" s="14" t="s">
        <v>216</v>
      </c>
      <c r="T685" s="188">
        <v>1000</v>
      </c>
      <c r="U685" s="8">
        <f t="shared" si="79"/>
        <v>180</v>
      </c>
      <c r="V685" s="234">
        <f t="shared" si="85"/>
        <v>41344.155246160299</v>
      </c>
      <c r="W685" s="15">
        <v>25</v>
      </c>
      <c r="X685" s="8">
        <f t="shared" si="80"/>
        <v>4.5</v>
      </c>
      <c r="Y685" s="233">
        <f t="shared" si="81"/>
        <v>2899.5</v>
      </c>
    </row>
    <row r="686" spans="1:25">
      <c r="A686" s="156" t="e" cm="1">
        <f t="array" aca="1" ref="A686" ca="1">_xlfn.IFS(E686=$AB$42,$AC$42,E686=$AB$43,$AC$43,E686=$AB$44,$AC$44,E686=$AB$45,$AC$45,E686=$AB$46,$AC$46,E686=$AB$47,$AC$47,E686=$AB$48,$AC$48,E686=$AB$49,$AC$49,E686=$AB$50,$AC$50,E686=$AB$51,$AC$51,E686=$AB$52,$AC$52,E686=$AB$53,$AC$53,E686=$AB$54,$AC$54,E686=$AB$55,$AC$55,E686=$AB$56,$AC$56,E686=$AB$57,$AC$57,E686=$AB$58,$AC$58,E686=$AB$59,$AC$59,E686=$AB$60,$AC$60,E686=$AB$61,$AC$61,E686=$AB$62,$AC$62,E686=$AB$63,$AC$63,E686=$AB$64,$AC$64,E686=$AB$65,$AC$65,E686=$AB$66,$AC$66,TRUE,"0")</f>
        <v>#NAME?</v>
      </c>
      <c r="C686" s="161" t="str" cm="1">
        <f t="array" ref="C686">_xlfn.IFS(E686=$AB$42,$AF$42,E686=$AB$43,$AF$43,E686=$AB$44,$AF$44,E686=$AB$45,$AF$45,E686=$AB$46,$AF$46,E686=$AB$47,$AF$47,E686=$AB$48,$AF$48,E686=$AB$49,$AF$49,E686=$AB$50,$AF$50,E686=$AB$51,$AF$51,E686=$AB$52,$AF$52,E686=$AB$53,$AF$53,E686=$AB$54,$AF$54,E686=$AB$55,$AF$55,E686=$AB$56,$AF$56,E686=$AB$57,$AF$57,E686=$AB$58,$AF$58,E686=$AB$59,$AF$59,E686=$AB$60,$AF$60,E686=$AB$61,$AF$61,E686=$AB$62,$AF$62,E686=$AB$63,$AF$63,E686=$AB$64,$AF$64,E686=$AB$65,$AF$65,E686=$AB$66,$AF$66,TRUE,"0")</f>
        <v>40 mins Back ANother Goal</v>
      </c>
      <c r="D686" s="270" t="str" cm="1">
        <f t="array" ref="D686">_xlfn.IFS(E686=$AB$42,$AD$42,E686=$AB$43,$AD$43,E686=$AB$44,$AD$44,E686=$AB$45,$AD$45,E686=$AB$46,$AD$46,E686=$AB$47,$AD$47,E686=$AB$48,$AD$48,E686=$AB$49,$AD$49,E686=$AB$50,$AD$50,E686=$AB$51,$AD$51,E686=$AB$52,$AD$52,E686=$AB$53,$AD$53,E686=$AB$54,$AD$54,E686=$AB$55,$AD$55,E686=$AB$56,$AD$56,E686=$AB$57,$AD$57,E686=$AB$58,$AD$58,E686=$AB$59,$AD$59,E686=$AB$60,$AD$60,E686=$AB$61,$AD$61,E686=$AB$62,$AD$62,E686=$AB$63,$AD$63,E686=$AB$64,$AD$64,E686=$AB$65,$AD$65,E686=$AB$66,$AD$66,TRUE,"0")</f>
        <v xml:space="preserve">  BANG</v>
      </c>
      <c r="E686" s="163" t="s">
        <v>515</v>
      </c>
      <c r="F686" s="2" t="s">
        <v>6</v>
      </c>
      <c r="G686" s="2" t="s">
        <v>11</v>
      </c>
      <c r="H686" s="3">
        <v>45380.625</v>
      </c>
      <c r="I686" s="2" t="s">
        <v>309</v>
      </c>
      <c r="J686" s="2" t="s">
        <v>634</v>
      </c>
      <c r="K686" s="2">
        <v>20</v>
      </c>
      <c r="L686" s="2">
        <v>76</v>
      </c>
      <c r="M686" s="2">
        <v>1.7</v>
      </c>
      <c r="N686" s="2"/>
      <c r="O686" s="2"/>
      <c r="P686" s="2"/>
      <c r="Q686" s="2" t="s">
        <v>95</v>
      </c>
      <c r="R686" s="10" t="s">
        <v>223</v>
      </c>
      <c r="S686" s="14" t="s">
        <v>211</v>
      </c>
      <c r="T686" s="188">
        <v>1000</v>
      </c>
      <c r="U686" s="8">
        <f t="shared" ref="U686:U749" si="86">IF(Q686="won",T686*0.18,-T686)</f>
        <v>180</v>
      </c>
      <c r="V686" s="234">
        <f t="shared" si="85"/>
        <v>41524.155246160299</v>
      </c>
      <c r="W686" s="15">
        <v>25</v>
      </c>
      <c r="X686" s="8">
        <f t="shared" si="80"/>
        <v>4.5</v>
      </c>
      <c r="Y686" s="233">
        <f t="shared" si="81"/>
        <v>2904</v>
      </c>
    </row>
    <row r="687" spans="1:25">
      <c r="A687" s="156" t="e" cm="1">
        <f t="array" aca="1" ref="A687" ca="1">_xlfn.IFS(E687=$AB$42,$AC$42,E687=$AB$43,$AC$43,E687=$AB$44,$AC$44,E687=$AB$45,$AC$45,E687=$AB$46,$AC$46,E687=$AB$47,$AC$47,E687=$AB$48,$AC$48,E687=$AB$49,$AC$49,E687=$AB$50,$AC$50,E687=$AB$51,$AC$51,E687=$AB$52,$AC$52,E687=$AB$53,$AC$53,E687=$AB$54,$AC$54,E687=$AB$55,$AC$55,E687=$AB$56,$AC$56,E687=$AB$57,$AC$57,E687=$AB$58,$AC$58,E687=$AB$59,$AC$59,E687=$AB$60,$AC$60,E687=$AB$61,$AC$61,E687=$AB$62,$AC$62,E687=$AB$63,$AC$63,E687=$AB$64,$AC$64,E687=$AB$65,$AC$65,E687=$AB$66,$AC$66,TRUE,"0")</f>
        <v>#NAME?</v>
      </c>
      <c r="C687" s="161" t="str" cm="1">
        <f t="array" ref="C687">_xlfn.IFS(E687=$AB$42,$AF$42,E687=$AB$43,$AF$43,E687=$AB$44,$AF$44,E687=$AB$45,$AF$45,E687=$AB$46,$AF$46,E687=$AB$47,$AF$47,E687=$AB$48,$AF$48,E687=$AB$49,$AF$49,E687=$AB$50,$AF$50,E687=$AB$51,$AF$51,E687=$AB$52,$AF$52,E687=$AB$53,$AF$53,E687=$AB$54,$AF$54,E687=$AB$55,$AF$55,E687=$AB$56,$AF$56,E687=$AB$57,$AF$57,E687=$AB$58,$AF$58,E687=$AB$59,$AF$59,E687=$AB$60,$AF$60,E687=$AB$61,$AF$61,E687=$AB$62,$AF$62,E687=$AB$63,$AF$63,E687=$AB$64,$AF$64,E687=$AB$65,$AF$65,E687=$AB$66,$AF$66,TRUE,"0")</f>
        <v>B4 MATCH bet H1 'under 2.5goals'- X at 40 minutes</v>
      </c>
      <c r="D687" s="270" t="str" cm="1">
        <f t="array" ref="D687">_xlfn.IFS(E687=$AB$42,$AD$42,E687=$AB$43,$AD$43,E687=$AB$44,$AD$44,E687=$AB$45,$AD$45,E687=$AB$46,$AD$46,E687=$AB$47,$AD$47,E687=$AB$48,$AD$48,E687=$AB$49,$AD$49,E687=$AB$50,$AD$50,E687=$AB$51,$AD$51,E687=$AB$52,$AD$52,E687=$AB$53,$AD$53,E687=$AB$54,$AD$54,E687=$AB$55,$AD$55,E687=$AB$56,$AD$56,E687=$AB$57,$AD$57,E687=$AB$58,$AD$58,E687=$AB$59,$AD$59,E687=$AB$60,$AD$60,E687=$AB$61,$AD$61,E687=$AB$62,$AD$62,E687=$AB$63,$AD$63,E687=$AB$64,$AD$64,E687=$AB$65,$AD$65,E687=$AB$66,$AD$66,TRUE,"0")</f>
        <v xml:space="preserve">BFM </v>
      </c>
      <c r="E687" s="164" t="s">
        <v>458</v>
      </c>
      <c r="F687" s="2" t="s">
        <v>58</v>
      </c>
      <c r="G687" s="2" t="s">
        <v>59</v>
      </c>
      <c r="H687" s="3">
        <v>45380.645833333336</v>
      </c>
      <c r="I687" s="2" t="s">
        <v>107</v>
      </c>
      <c r="J687" s="2" t="s">
        <v>61</v>
      </c>
      <c r="K687" s="2">
        <v>20</v>
      </c>
      <c r="L687" s="2">
        <v>80</v>
      </c>
      <c r="M687" s="2">
        <v>95</v>
      </c>
      <c r="N687" s="2">
        <v>40</v>
      </c>
      <c r="O687" s="2">
        <v>2</v>
      </c>
      <c r="P687" s="2"/>
      <c r="Q687" s="2" t="s">
        <v>95</v>
      </c>
      <c r="R687" s="10" t="s">
        <v>193</v>
      </c>
      <c r="S687" s="14" t="s">
        <v>223</v>
      </c>
      <c r="T687" s="188">
        <v>1000</v>
      </c>
      <c r="U687" s="8">
        <f t="shared" si="86"/>
        <v>180</v>
      </c>
      <c r="V687" s="234">
        <f t="shared" si="85"/>
        <v>41704.155246160299</v>
      </c>
      <c r="W687" s="15">
        <v>25</v>
      </c>
      <c r="X687" s="8">
        <f t="shared" si="80"/>
        <v>4.5</v>
      </c>
      <c r="Y687" s="233">
        <f t="shared" si="81"/>
        <v>2908.5</v>
      </c>
    </row>
    <row r="688" spans="1:25">
      <c r="A688" s="156" t="e" cm="1">
        <f t="array" aca="1" ref="A688" ca="1">_xlfn.IFS(E688=$AB$42,$AC$42,E688=$AB$43,$AC$43,E688=$AB$44,$AC$44,E688=$AB$45,$AC$45,E688=$AB$46,$AC$46,E688=$AB$47,$AC$47,E688=$AB$48,$AC$48,E688=$AB$49,$AC$49,E688=$AB$50,$AC$50,E688=$AB$51,$AC$51,E688=$AB$52,$AC$52,E688=$AB$53,$AC$53,E688=$AB$54,$AC$54,E688=$AB$55,$AC$55,E688=$AB$56,$AC$56,E688=$AB$57,$AC$57,E688=$AB$58,$AC$58,E688=$AB$59,$AC$59,E688=$AB$60,$AC$60,E688=$AB$61,$AC$61,E688=$AB$62,$AC$62,E688=$AB$63,$AC$63,E688=$AB$64,$AC$64,E688=$AB$65,$AC$65,E688=$AB$66,$AC$66,TRUE,"0")</f>
        <v>#NAME?</v>
      </c>
      <c r="C688" s="161" t="str" cm="1">
        <f t="array" ref="C688">_xlfn.IFS(E688=$AB$42,$AF$42,E688=$AB$43,$AF$43,E688=$AB$44,$AF$44,E688=$AB$45,$AF$45,E688=$AB$46,$AF$46,E688=$AB$47,$AF$47,E688=$AB$48,$AF$48,E688=$AB$49,$AF$49,E688=$AB$50,$AF$50,E688=$AB$51,$AF$51,E688=$AB$52,$AF$52,E688=$AB$53,$AF$53,E688=$AB$54,$AF$54,E688=$AB$55,$AF$55,E688=$AB$56,$AF$56,E688=$AB$57,$AF$57,E688=$AB$58,$AF$58,E688=$AB$59,$AF$59,E688=$AB$60,$AF$60,E688=$AB$61,$AF$61,E688=$AB$62,$AF$62,E688=$AB$63,$AF$63,E688=$AB$64,$AF$64,E688=$AB$65,$AF$65,E688=$AB$66,$AF$66,TRUE,"0")</f>
        <v>AT HT IF 0-0 BACK +0.5 GOALS</v>
      </c>
      <c r="D688" s="270" t="str" cm="1">
        <f t="array" ref="D688">_xlfn.IFS(E688=$AB$42,$AD$42,E688=$AB$43,$AD$43,E688=$AB$44,$AD$44,E688=$AB$45,$AD$45,E688=$AB$46,$AD$46,E688=$AB$47,$AD$47,E688=$AB$48,$AD$48,E688=$AB$49,$AD$49,E688=$AB$50,$AD$50,E688=$AB$51,$AD$51,E688=$AB$52,$AD$52,E688=$AB$53,$AD$53,E688=$AB$54,$AD$54,E688=$AB$55,$AD$55,E688=$AB$56,$AD$56,E688=$AB$57,$AD$57,E688=$AB$58,$AD$58,E688=$AB$59,$AD$59,E688=$AB$60,$AD$60,E688=$AB$61,$AD$61,E688=$AB$62,$AD$62,E688=$AB$63,$AD$63,E688=$AB$64,$AD$64,E688=$AB$65,$AD$65,E688=$AB$66,$AD$66,TRUE,"0")</f>
        <v>IP</v>
      </c>
      <c r="E688" s="163" t="s">
        <v>514</v>
      </c>
      <c r="F688" s="2" t="s">
        <v>58</v>
      </c>
      <c r="G688" s="2" t="s">
        <v>59</v>
      </c>
      <c r="H688" s="3">
        <v>45380.75</v>
      </c>
      <c r="I688" s="2" t="s">
        <v>60</v>
      </c>
      <c r="J688" s="2" t="s">
        <v>165</v>
      </c>
      <c r="K688" s="2">
        <v>2.64</v>
      </c>
      <c r="L688" s="2">
        <v>650</v>
      </c>
      <c r="M688" s="2">
        <v>0</v>
      </c>
      <c r="N688" s="2">
        <v>20</v>
      </c>
      <c r="O688" s="2">
        <v>25</v>
      </c>
      <c r="P688" s="2">
        <v>33</v>
      </c>
      <c r="Q688" s="2" t="s">
        <v>95</v>
      </c>
      <c r="R688" s="10" t="s">
        <v>221</v>
      </c>
      <c r="S688" s="14" t="s">
        <v>214</v>
      </c>
      <c r="T688" s="188">
        <v>1000</v>
      </c>
      <c r="U688" s="8">
        <f t="shared" si="86"/>
        <v>180</v>
      </c>
      <c r="V688" s="234">
        <f t="shared" si="85"/>
        <v>41884.155246160299</v>
      </c>
      <c r="W688" s="15">
        <v>25</v>
      </c>
      <c r="X688" s="8">
        <f t="shared" si="80"/>
        <v>4.5</v>
      </c>
      <c r="Y688" s="233">
        <f t="shared" si="81"/>
        <v>2913</v>
      </c>
    </row>
    <row r="689" spans="1:25">
      <c r="A689" s="156" t="e" cm="1">
        <f t="array" aca="1" ref="A689" ca="1">_xlfn.IFS(E689=$AB$42,$AC$42,E689=$AB$43,$AC$43,E689=$AB$44,$AC$44,E689=$AB$45,$AC$45,E689=$AB$46,$AC$46,E689=$AB$47,$AC$47,E689=$AB$48,$AC$48,E689=$AB$49,$AC$49,E689=$AB$50,$AC$50,E689=$AB$51,$AC$51,E689=$AB$52,$AC$52,E689=$AB$53,$AC$53,E689=$AB$54,$AC$54,E689=$AB$55,$AC$55,E689=$AB$56,$AC$56,E689=$AB$57,$AC$57,E689=$AB$58,$AC$58,E689=$AB$59,$AC$59,E689=$AB$60,$AC$60,E689=$AB$61,$AC$61,E689=$AB$62,$AC$62,E689=$AB$63,$AC$63,E689=$AB$64,$AC$64,E689=$AB$65,$AC$65,E689=$AB$66,$AC$66,TRUE,"0")</f>
        <v>#NAME?</v>
      </c>
      <c r="C689" s="161" t="str" cm="1">
        <f t="array" ref="C689">_xlfn.IFS(E689=$AB$42,$AF$42,E689=$AB$43,$AF$43,E689=$AB$44,$AF$44,E689=$AB$45,$AF$45,E689=$AB$46,$AF$46,E689=$AB$47,$AF$47,E689=$AB$48,$AF$48,E689=$AB$49,$AF$49,E689=$AB$50,$AF$50,E689=$AB$51,$AF$51,E689=$AB$52,$AF$52,E689=$AB$53,$AF$53,E689=$AB$54,$AF$54,E689=$AB$55,$AF$55,E689=$AB$56,$AF$56,E689=$AB$57,$AF$57,E689=$AB$58,$AF$58,E689=$AB$59,$AF$59,E689=$AB$60,$AF$60,E689=$AB$61,$AF$61,E689=$AB$62,$AF$62,E689=$AB$63,$AF$63,E689=$AB$64,$AF$64,E689=$AB$65,$AF$65,E689=$AB$66,$AF$66,TRUE,"0")</f>
        <v>20mins if  0-0, BACK over 1.5 goals X after goal OR LET RUN</v>
      </c>
      <c r="D689" s="270" t="str" cm="1">
        <f t="array" ref="D689">_xlfn.IFS(E689=$AB$42,$AD$42,E689=$AB$43,$AD$43,E689=$AB$44,$AD$44,E689=$AB$45,$AD$45,E689=$AB$46,$AD$46,E689=$AB$47,$AD$47,E689=$AB$48,$AD$48,E689=$AB$49,$AD$49,E689=$AB$50,$AD$50,E689=$AB$51,$AD$51,E689=$AB$52,$AD$52,E689=$AB$53,$AD$53,E689=$AB$54,$AD$54,E689=$AB$55,$AD$55,E689=$AB$56,$AD$56,E689=$AB$57,$AD$57,E689=$AB$58,$AD$58,E689=$AB$59,$AD$59,E689=$AB$60,$AD$60,E689=$AB$61,$AD$61,E689=$AB$62,$AD$62,E689=$AB$63,$AD$63,E689=$AB$64,$AD$64,E689=$AB$65,$AD$65,E689=$AB$66,$AD$66,TRUE,"0")</f>
        <v>IP</v>
      </c>
      <c r="E689" s="163" t="s">
        <v>474</v>
      </c>
      <c r="F689" s="2" t="s">
        <v>67</v>
      </c>
      <c r="G689" s="2" t="s">
        <v>169</v>
      </c>
      <c r="H689" s="3">
        <v>45380.791666666664</v>
      </c>
      <c r="I689" s="2" t="s">
        <v>396</v>
      </c>
      <c r="J689" s="2" t="s">
        <v>170</v>
      </c>
      <c r="K689" s="2">
        <v>52</v>
      </c>
      <c r="L689" s="2">
        <v>2.8</v>
      </c>
      <c r="M689" s="2">
        <v>20</v>
      </c>
      <c r="N689" s="2">
        <v>65</v>
      </c>
      <c r="O689" s="2">
        <v>85</v>
      </c>
      <c r="P689" s="2"/>
      <c r="Q689" s="2" t="s">
        <v>95</v>
      </c>
      <c r="R689" s="10" t="s">
        <v>214</v>
      </c>
      <c r="S689" s="14" t="s">
        <v>214</v>
      </c>
      <c r="T689" s="188">
        <v>1000</v>
      </c>
      <c r="U689" s="8">
        <f t="shared" si="86"/>
        <v>180</v>
      </c>
      <c r="V689" s="234">
        <f t="shared" si="85"/>
        <v>42064.155246160299</v>
      </c>
      <c r="W689" s="15">
        <v>25</v>
      </c>
      <c r="X689" s="8">
        <f t="shared" si="80"/>
        <v>4.5</v>
      </c>
      <c r="Y689" s="233">
        <f t="shared" si="81"/>
        <v>2917.5</v>
      </c>
    </row>
    <row r="690" spans="1:25">
      <c r="A690" s="156" t="e" cm="1">
        <f t="array" aca="1" ref="A690" ca="1">_xlfn.IFS(E690=$AB$42,$AC$42,E690=$AB$43,$AC$43,E690=$AB$44,$AC$44,E690=$AB$45,$AC$45,E690=$AB$46,$AC$46,E690=$AB$47,$AC$47,E690=$AB$48,$AC$48,E690=$AB$49,$AC$49,E690=$AB$50,$AC$50,E690=$AB$51,$AC$51,E690=$AB$52,$AC$52,E690=$AB$53,$AC$53,E690=$AB$54,$AC$54,E690=$AB$55,$AC$55,E690=$AB$56,$AC$56,E690=$AB$57,$AC$57,E690=$AB$58,$AC$58,E690=$AB$59,$AC$59,E690=$AB$60,$AC$60,E690=$AB$61,$AC$61,E690=$AB$62,$AC$62,E690=$AB$63,$AC$63,E690=$AB$64,$AC$64,E690=$AB$65,$AC$65,E690=$AB$66,$AC$66,TRUE,"0")</f>
        <v>#NAME?</v>
      </c>
      <c r="C690" s="161" t="str" cm="1">
        <f t="array" ref="C690">_xlfn.IFS(E690=$AB$42,$AF$42,E690=$AB$43,$AF$43,E690=$AB$44,$AF$44,E690=$AB$45,$AF$45,E690=$AB$46,$AF$46,E690=$AB$47,$AF$47,E690=$AB$48,$AF$48,E690=$AB$49,$AF$49,E690=$AB$50,$AF$50,E690=$AB$51,$AF$51,E690=$AB$52,$AF$52,E690=$AB$53,$AF$53,E690=$AB$54,$AF$54,E690=$AB$55,$AF$55,E690=$AB$56,$AF$56,E690=$AB$57,$AF$57,E690=$AB$58,$AF$58,E690=$AB$59,$AF$59,E690=$AB$60,$AF$60,E690=$AB$61,$AF$61,E690=$AB$62,$AF$62,E690=$AB$63,$AF$63,E690=$AB$64,$AF$64,E690=$AB$65,$AF$65,E690=$AB$66,$AF$66,TRUE,"0")</f>
        <v>if 0-0, BACK+ 0.5 GOALS  @ 1.15+odds.  or @ 40 mins</v>
      </c>
      <c r="D690" s="270" t="str" cm="1">
        <f t="array" ref="D690">_xlfn.IFS(E690=$AB$42,$AD$42,E690=$AB$43,$AD$43,E690=$AB$44,$AD$44,E690=$AB$45,$AD$45,E690=$AB$46,$AD$46,E690=$AB$47,$AD$47,E690=$AB$48,$AD$48,E690=$AB$49,$AD$49,E690=$AB$50,$AD$50,E690=$AB$51,$AD$51,E690=$AB$52,$AD$52,E690=$AB$53,$AD$53,E690=$AB$54,$AD$54,E690=$AB$55,$AD$55,E690=$AB$56,$AD$56,E690=$AB$57,$AD$57,E690=$AB$58,$AD$58,E690=$AB$59,$AD$59,E690=$AB$60,$AD$60,E690=$AB$61,$AD$61,E690=$AB$62,$AD$62,E690=$AB$63,$AD$63,E690=$AB$64,$AD$64,E690=$AB$65,$AD$65,E690=$AB$66,$AD$66,TRUE,"0")</f>
        <v>IP</v>
      </c>
      <c r="E690" s="163" t="s">
        <v>270</v>
      </c>
      <c r="F690" s="2" t="s">
        <v>67</v>
      </c>
      <c r="G690" s="2" t="s">
        <v>169</v>
      </c>
      <c r="H690" s="3">
        <v>45380.791666666664</v>
      </c>
      <c r="I690" s="2" t="s">
        <v>203</v>
      </c>
      <c r="J690" s="2" t="s">
        <v>630</v>
      </c>
      <c r="K690" s="2">
        <v>59</v>
      </c>
      <c r="L690" s="2">
        <v>0</v>
      </c>
      <c r="M690" s="2">
        <v>20</v>
      </c>
      <c r="N690" s="2">
        <v>31</v>
      </c>
      <c r="O690" s="2">
        <v>1.59</v>
      </c>
      <c r="P690" s="2"/>
      <c r="Q690" s="2" t="s">
        <v>95</v>
      </c>
      <c r="R690" s="10" t="s">
        <v>193</v>
      </c>
      <c r="S690" s="14" t="s">
        <v>193</v>
      </c>
      <c r="T690" s="188">
        <v>1000</v>
      </c>
      <c r="U690" s="8">
        <f t="shared" si="86"/>
        <v>180</v>
      </c>
      <c r="V690" s="234">
        <f t="shared" si="85"/>
        <v>42244.155246160299</v>
      </c>
      <c r="W690" s="15">
        <v>25</v>
      </c>
      <c r="X690" s="8">
        <f t="shared" si="80"/>
        <v>4.5</v>
      </c>
      <c r="Y690" s="233">
        <f t="shared" si="81"/>
        <v>2922</v>
      </c>
    </row>
    <row r="691" spans="1:25">
      <c r="A691" s="156" t="e" cm="1">
        <f t="array" aca="1" ref="A691" ca="1">_xlfn.IFS(E691=$AB$42,$AC$42,E691=$AB$43,$AC$43,E691=$AB$44,$AC$44,E691=$AB$45,$AC$45,E691=$AB$46,$AC$46,E691=$AB$47,$AC$47,E691=$AB$48,$AC$48,E691=$AB$49,$AC$49,E691=$AB$50,$AC$50,E691=$AB$51,$AC$51,E691=$AB$52,$AC$52,E691=$AB$53,$AC$53,E691=$AB$54,$AC$54,E691=$AB$55,$AC$55,E691=$AB$56,$AC$56,E691=$AB$57,$AC$57,E691=$AB$58,$AC$58,E691=$AB$59,$AC$59,E691=$AB$60,$AC$60,E691=$AB$61,$AC$61,E691=$AB$62,$AC$62,E691=$AB$63,$AC$63,E691=$AB$64,$AC$64,E691=$AB$65,$AC$65,E691=$AB$66,$AC$66,TRUE,"0")</f>
        <v>#NAME?</v>
      </c>
      <c r="C691" s="161" t="str" cm="1">
        <f t="array" ref="C691">_xlfn.IFS(E691=$AB$42,$AF$42,E691=$AB$43,$AF$43,E691=$AB$44,$AF$44,E691=$AB$45,$AF$45,E691=$AB$46,$AF$46,E691=$AB$47,$AF$47,E691=$AB$48,$AF$48,E691=$AB$49,$AF$49,E691=$AB$50,$AF$50,E691=$AB$51,$AF$51,E691=$AB$52,$AF$52,E691=$AB$53,$AF$53,E691=$AB$54,$AF$54,E691=$AB$55,$AF$55,E691=$AB$56,$AF$56,E691=$AB$57,$AF$57,E691=$AB$58,$AF$58,E691=$AB$59,$AF$59,E691=$AB$60,$AF$60,E691=$AB$61,$AF$61,E691=$AB$62,$AF$62,E691=$AB$63,$AF$63,E691=$AB$64,$AF$64,E691=$AB$65,$AF$65,E691=$AB$66,$AF$66,TRUE,"0")</f>
        <v>40 mins Back ANother Goal</v>
      </c>
      <c r="D691" s="270" t="str" cm="1">
        <f t="array" ref="D691">_xlfn.IFS(E691=$AB$42,$AD$42,E691=$AB$43,$AD$43,E691=$AB$44,$AD$44,E691=$AB$45,$AD$45,E691=$AB$46,$AD$46,E691=$AB$47,$AD$47,E691=$AB$48,$AD$48,E691=$AB$49,$AD$49,E691=$AB$50,$AD$50,E691=$AB$51,$AD$51,E691=$AB$52,$AD$52,E691=$AB$53,$AD$53,E691=$AB$54,$AD$54,E691=$AB$55,$AD$55,E691=$AB$56,$AD$56,E691=$AB$57,$AD$57,E691=$AB$58,$AD$58,E691=$AB$59,$AD$59,E691=$AB$60,$AD$60,E691=$AB$61,$AD$61,E691=$AB$62,$AD$62,E691=$AB$63,$AD$63,E691=$AB$64,$AD$64,E691=$AB$65,$AD$65,E691=$AB$66,$AD$66,TRUE,"0")</f>
        <v xml:space="preserve">  BANG</v>
      </c>
      <c r="E691" s="163" t="s">
        <v>43</v>
      </c>
      <c r="F691" s="2" t="s">
        <v>149</v>
      </c>
      <c r="G691" s="2" t="s">
        <v>150</v>
      </c>
      <c r="H691" s="3">
        <v>45380.791666666664</v>
      </c>
      <c r="I691" s="2" t="s">
        <v>331</v>
      </c>
      <c r="J691" s="2" t="s">
        <v>562</v>
      </c>
      <c r="K691" s="2">
        <v>68</v>
      </c>
      <c r="L691" s="2">
        <v>86</v>
      </c>
      <c r="M691" s="2">
        <v>62</v>
      </c>
      <c r="N691" s="2">
        <v>1.75</v>
      </c>
      <c r="O691" s="2">
        <v>1.41</v>
      </c>
      <c r="P691" s="2"/>
      <c r="Q691" s="2" t="s">
        <v>95</v>
      </c>
      <c r="R691" s="10" t="s">
        <v>221</v>
      </c>
      <c r="S691" s="14" t="s">
        <v>220</v>
      </c>
      <c r="T691" s="188">
        <v>1000</v>
      </c>
      <c r="U691" s="8">
        <f t="shared" si="86"/>
        <v>180</v>
      </c>
      <c r="V691" s="234">
        <f t="shared" si="85"/>
        <v>42424.155246160299</v>
      </c>
      <c r="W691" s="15">
        <v>25</v>
      </c>
      <c r="X691" s="8">
        <f t="shared" si="80"/>
        <v>4.5</v>
      </c>
      <c r="Y691" s="233">
        <f t="shared" si="81"/>
        <v>2926.5</v>
      </c>
    </row>
    <row r="692" spans="1:25">
      <c r="A692" s="156" t="e" cm="1">
        <f t="array" aca="1" ref="A692" ca="1">_xlfn.IFS(E692=$AB$42,$AC$42,E692=$AB$43,$AC$43,E692=$AB$44,$AC$44,E692=$AB$45,$AC$45,E692=$AB$46,$AC$46,E692=$AB$47,$AC$47,E692=$AB$48,$AC$48,E692=$AB$49,$AC$49,E692=$AB$50,$AC$50,E692=$AB$51,$AC$51,E692=$AB$52,$AC$52,E692=$AB$53,$AC$53,E692=$AB$54,$AC$54,E692=$AB$55,$AC$55,E692=$AB$56,$AC$56,E692=$AB$57,$AC$57,E692=$AB$58,$AC$58,E692=$AB$59,$AC$59,E692=$AB$60,$AC$60,E692=$AB$61,$AC$61,E692=$AB$62,$AC$62,E692=$AB$63,$AC$63,E692=$AB$64,$AC$64,E692=$AB$65,$AC$65,E692=$AB$66,$AC$66,TRUE,"0")</f>
        <v>#NAME?</v>
      </c>
      <c r="C692" s="161" t="str" cm="1">
        <f t="array" ref="C692">_xlfn.IFS(E692=$AB$42,$AF$42,E692=$AB$43,$AF$43,E692=$AB$44,$AF$44,E692=$AB$45,$AF$45,E692=$AB$46,$AF$46,E692=$AB$47,$AF$47,E692=$AB$48,$AF$48,E692=$AB$49,$AF$49,E692=$AB$50,$AF$50,E692=$AB$51,$AF$51,E692=$AB$52,$AF$52,E692=$AB$53,$AF$53,E692=$AB$54,$AF$54,E692=$AB$55,$AF$55,E692=$AB$56,$AF$56,E692=$AB$57,$AF$57,E692=$AB$58,$AF$58,E692=$AB$59,$AF$59,E692=$AB$60,$AF$60,E692=$AB$61,$AF$61,E692=$AB$62,$AF$62,E692=$AB$63,$AF$63,E692=$AB$64,$AF$64,E692=$AB$65,$AF$65,E692=$AB$66,$AF$66,TRUE,"0")</f>
        <v>if 0-0, BACK+ 0.5 GOALS  @ 1.15+odds.  or @ 40 mins</v>
      </c>
      <c r="D692" s="270" t="str" cm="1">
        <f t="array" ref="D692">_xlfn.IFS(E692=$AB$42,$AD$42,E692=$AB$43,$AD$43,E692=$AB$44,$AD$44,E692=$AB$45,$AD$45,E692=$AB$46,$AD$46,E692=$AB$47,$AD$47,E692=$AB$48,$AD$48,E692=$AB$49,$AD$49,E692=$AB$50,$AD$50,E692=$AB$51,$AD$51,E692=$AB$52,$AD$52,E692=$AB$53,$AD$53,E692=$AB$54,$AD$54,E692=$AB$55,$AD$55,E692=$AB$56,$AD$56,E692=$AB$57,$AD$57,E692=$AB$58,$AD$58,E692=$AB$59,$AD$59,E692=$AB$60,$AD$60,E692=$AB$61,$AD$61,E692=$AB$62,$AD$62,E692=$AB$63,$AD$63,E692=$AB$64,$AD$64,E692=$AB$65,$AD$65,E692=$AB$66,$AD$66,TRUE,"0")</f>
        <v>IP</v>
      </c>
      <c r="E692" s="163" t="s">
        <v>270</v>
      </c>
      <c r="F692" s="2" t="s">
        <v>58</v>
      </c>
      <c r="G692" s="2" t="s">
        <v>59</v>
      </c>
      <c r="H692" s="3">
        <v>45380.854166666664</v>
      </c>
      <c r="I692" s="2" t="s">
        <v>75</v>
      </c>
      <c r="J692" s="2" t="s">
        <v>125</v>
      </c>
      <c r="K692" s="2">
        <v>61</v>
      </c>
      <c r="L692" s="2">
        <v>0</v>
      </c>
      <c r="M692" s="2">
        <v>20</v>
      </c>
      <c r="N692" s="2">
        <v>32</v>
      </c>
      <c r="O692" s="2">
        <v>2.8</v>
      </c>
      <c r="P692" s="2"/>
      <c r="Q692" s="2" t="s">
        <v>95</v>
      </c>
      <c r="R692" s="10" t="s">
        <v>223</v>
      </c>
      <c r="S692" s="14" t="s">
        <v>223</v>
      </c>
      <c r="T692" s="188">
        <v>1000</v>
      </c>
      <c r="U692" s="8">
        <f t="shared" si="86"/>
        <v>180</v>
      </c>
      <c r="V692" s="234">
        <f t="shared" si="85"/>
        <v>42604.155246160299</v>
      </c>
      <c r="W692" s="15">
        <v>25</v>
      </c>
      <c r="X692" s="8">
        <f t="shared" si="80"/>
        <v>4.5</v>
      </c>
      <c r="Y692" s="233">
        <f t="shared" si="81"/>
        <v>2931</v>
      </c>
    </row>
    <row r="693" spans="1:25">
      <c r="A693" s="156" t="e" cm="1">
        <f t="array" aca="1" ref="A693" ca="1">_xlfn.IFS(E693=$AB$42,$AC$42,E693=$AB$43,$AC$43,E693=$AB$44,$AC$44,E693=$AB$45,$AC$45,E693=$AB$46,$AC$46,E693=$AB$47,$AC$47,E693=$AB$48,$AC$48,E693=$AB$49,$AC$49,E693=$AB$50,$AC$50,E693=$AB$51,$AC$51,E693=$AB$52,$AC$52,E693=$AB$53,$AC$53,E693=$AB$54,$AC$54,E693=$AB$55,$AC$55,E693=$AB$56,$AC$56,E693=$AB$57,$AC$57,E693=$AB$58,$AC$58,E693=$AB$59,$AC$59,E693=$AB$60,$AC$60,E693=$AB$61,$AC$61,E693=$AB$62,$AC$62,E693=$AB$63,$AC$63,E693=$AB$64,$AC$64,E693=$AB$65,$AC$65,E693=$AB$66,$AC$66,TRUE,"0")</f>
        <v>#NAME?</v>
      </c>
      <c r="C693" s="161" t="str" cm="1">
        <f t="array" ref="C693">_xlfn.IFS(E693=$AB$42,$AF$42,E693=$AB$43,$AF$43,E693=$AB$44,$AF$44,E693=$AB$45,$AF$45,E693=$AB$46,$AF$46,E693=$AB$47,$AF$47,E693=$AB$48,$AF$48,E693=$AB$49,$AF$49,E693=$AB$50,$AF$50,E693=$AB$51,$AF$51,E693=$AB$52,$AF$52,E693=$AB$53,$AF$53,E693=$AB$54,$AF$54,E693=$AB$55,$AF$55,E693=$AB$56,$AF$56,E693=$AB$57,$AF$57,E693=$AB$58,$AF$58,E693=$AB$59,$AF$59,E693=$AB$60,$AF$60,E693=$AB$61,$AF$61,E693=$AB$62,$AF$62,E693=$AB$63,$AF$63,E693=$AB$64,$AF$64,E693=$AB$65,$AF$65,E693=$AB$66,$AF$66,TRUE,"0")</f>
        <v>B4 match BACK FT +1.5 goals. X AFTER  GOAL</v>
      </c>
      <c r="D693" s="270" t="str" cm="1">
        <f t="array" ref="D693">_xlfn.IFS(E693=$AB$42,$AD$42,E693=$AB$43,$AD$43,E693=$AB$44,$AD$44,E693=$AB$45,$AD$45,E693=$AB$46,$AD$46,E693=$AB$47,$AD$47,E693=$AB$48,$AD$48,E693=$AB$49,$AD$49,E693=$AB$50,$AD$50,E693=$AB$51,$AD$51,E693=$AB$52,$AD$52,E693=$AB$53,$AD$53,E693=$AB$54,$AD$54,E693=$AB$55,$AD$55,E693=$AB$56,$AD$56,E693=$AB$57,$AD$57,E693=$AB$58,$AD$58,E693=$AB$59,$AD$59,E693=$AB$60,$AD$60,E693=$AB$61,$AD$61,E693=$AB$62,$AD$62,E693=$AB$63,$AD$63,E693=$AB$64,$AD$64,E693=$AB$65,$AD$65,E693=$AB$66,$AD$66,TRUE,"0")</f>
        <v xml:space="preserve">BFM </v>
      </c>
      <c r="E693" s="163" t="s">
        <v>623</v>
      </c>
      <c r="F693" s="2" t="s">
        <v>77</v>
      </c>
      <c r="G693" s="2" t="s">
        <v>234</v>
      </c>
      <c r="H693" s="3">
        <v>45381.5</v>
      </c>
      <c r="I693" s="2" t="s">
        <v>235</v>
      </c>
      <c r="J693" s="2" t="s">
        <v>646</v>
      </c>
      <c r="K693" s="2">
        <v>5.7</v>
      </c>
      <c r="L693" s="2">
        <v>20</v>
      </c>
      <c r="M693" s="2">
        <v>2.8</v>
      </c>
      <c r="N693" s="2">
        <v>32</v>
      </c>
      <c r="O693" s="2">
        <v>2</v>
      </c>
      <c r="P693" s="2">
        <v>10</v>
      </c>
      <c r="Q693" s="2" t="s">
        <v>95</v>
      </c>
      <c r="R693" s="10" t="s">
        <v>214</v>
      </c>
      <c r="S693" s="14" t="s">
        <v>220</v>
      </c>
      <c r="T693" s="188">
        <v>1000</v>
      </c>
      <c r="U693" s="8">
        <f t="shared" si="86"/>
        <v>180</v>
      </c>
      <c r="V693" s="234">
        <f t="shared" si="85"/>
        <v>42784.155246160299</v>
      </c>
      <c r="W693" s="15">
        <v>25</v>
      </c>
      <c r="X693" s="8">
        <f t="shared" si="80"/>
        <v>4.5</v>
      </c>
      <c r="Y693" s="233">
        <f t="shared" si="81"/>
        <v>2935.5</v>
      </c>
    </row>
    <row r="694" spans="1:25">
      <c r="A694" s="156" t="e" cm="1">
        <f t="array" aca="1" ref="A694" ca="1">_xlfn.IFS(E694=$AB$42,$AC$42,E694=$AB$43,$AC$43,E694=$AB$44,$AC$44,E694=$AB$45,$AC$45,E694=$AB$46,$AC$46,E694=$AB$47,$AC$47,E694=$AB$48,$AC$48,E694=$AB$49,$AC$49,E694=$AB$50,$AC$50,E694=$AB$51,$AC$51,E694=$AB$52,$AC$52,E694=$AB$53,$AC$53,E694=$AB$54,$AC$54,E694=$AB$55,$AC$55,E694=$AB$56,$AC$56,E694=$AB$57,$AC$57,E694=$AB$58,$AC$58,E694=$AB$59,$AC$59,E694=$AB$60,$AC$60,E694=$AB$61,$AC$61,E694=$AB$62,$AC$62,E694=$AB$63,$AC$63,E694=$AB$64,$AC$64,E694=$AB$65,$AC$65,E694=$AB$66,$AC$66,TRUE,"0")</f>
        <v>#NAME?</v>
      </c>
      <c r="C694" s="161" t="str" cm="1">
        <f t="array" ref="C694">_xlfn.IFS(E694=$AB$42,$AF$42,E694=$AB$43,$AF$43,E694=$AB$44,$AF$44,E694=$AB$45,$AF$45,E694=$AB$46,$AF$46,E694=$AB$47,$AF$47,E694=$AB$48,$AF$48,E694=$AB$49,$AF$49,E694=$AB$50,$AF$50,E694=$AB$51,$AF$51,E694=$AB$52,$AF$52,E694=$AB$53,$AF$53,E694=$AB$54,$AF$54,E694=$AB$55,$AF$55,E694=$AB$56,$AF$56,E694=$AB$57,$AF$57,E694=$AB$58,$AF$58,E694=$AB$59,$AF$59,E694=$AB$60,$AF$60,E694=$AB$61,$AF$61,E694=$AB$62,$AF$62,E694=$AB$63,$AF$63,E694=$AB$64,$AF$64,E694=$AB$65,$AF$65,E694=$AB$66,$AF$66,TRUE,"0")</f>
        <v>if 0-0, BACK+ 0.5 GOALS  @ 1.15+odds.  or @ 40 mins</v>
      </c>
      <c r="D694" s="270" t="str" cm="1">
        <f t="array" ref="D694">_xlfn.IFS(E694=$AB$42,$AD$42,E694=$AB$43,$AD$43,E694=$AB$44,$AD$44,E694=$AB$45,$AD$45,E694=$AB$46,$AD$46,E694=$AB$47,$AD$47,E694=$AB$48,$AD$48,E694=$AB$49,$AD$49,E694=$AB$50,$AD$50,E694=$AB$51,$AD$51,E694=$AB$52,$AD$52,E694=$AB$53,$AD$53,E694=$AB$54,$AD$54,E694=$AB$55,$AD$55,E694=$AB$56,$AD$56,E694=$AB$57,$AD$57,E694=$AB$58,$AD$58,E694=$AB$59,$AD$59,E694=$AB$60,$AD$60,E694=$AB$61,$AD$61,E694=$AB$62,$AD$62,E694=$AB$63,$AD$63,E694=$AB$64,$AD$64,E694=$AB$65,$AD$65,E694=$AB$66,$AD$66,TRUE,"0")</f>
        <v>IP</v>
      </c>
      <c r="E694" s="163" t="s">
        <v>270</v>
      </c>
      <c r="F694" s="2" t="s">
        <v>77</v>
      </c>
      <c r="G694" s="2" t="s">
        <v>234</v>
      </c>
      <c r="H694" s="3">
        <v>45381.5</v>
      </c>
      <c r="I694" s="2" t="s">
        <v>631</v>
      </c>
      <c r="J694" s="2" t="s">
        <v>632</v>
      </c>
      <c r="K694" s="2">
        <v>61</v>
      </c>
      <c r="L694" s="2">
        <v>0</v>
      </c>
      <c r="M694" s="2">
        <v>20</v>
      </c>
      <c r="N694" s="2">
        <v>26</v>
      </c>
      <c r="O694" s="2">
        <v>3.42</v>
      </c>
      <c r="P694" s="2"/>
      <c r="Q694" s="2" t="s">
        <v>95</v>
      </c>
      <c r="R694" s="10" t="s">
        <v>214</v>
      </c>
      <c r="S694" s="14" t="s">
        <v>211</v>
      </c>
      <c r="T694" s="188">
        <v>1000</v>
      </c>
      <c r="U694" s="8">
        <f t="shared" si="86"/>
        <v>180</v>
      </c>
      <c r="V694" s="234">
        <f t="shared" si="85"/>
        <v>42964.155246160299</v>
      </c>
      <c r="W694" s="15">
        <v>25</v>
      </c>
      <c r="X694" s="8">
        <f t="shared" si="80"/>
        <v>4.5</v>
      </c>
      <c r="Y694" s="233">
        <f t="shared" si="81"/>
        <v>2940</v>
      </c>
    </row>
    <row r="695" spans="1:25">
      <c r="A695" s="156" t="e" cm="1">
        <f t="array" aca="1" ref="A695" ca="1">_xlfn.IFS(E695=$AB$42,$AC$42,E695=$AB$43,$AC$43,E695=$AB$44,$AC$44,E695=$AB$45,$AC$45,E695=$AB$46,$AC$46,E695=$AB$47,$AC$47,E695=$AB$48,$AC$48,E695=$AB$49,$AC$49,E695=$AB$50,$AC$50,E695=$AB$51,$AC$51,E695=$AB$52,$AC$52,E695=$AB$53,$AC$53,E695=$AB$54,$AC$54,E695=$AB$55,$AC$55,E695=$AB$56,$AC$56,E695=$AB$57,$AC$57,E695=$AB$58,$AC$58,E695=$AB$59,$AC$59,E695=$AB$60,$AC$60,E695=$AB$61,$AC$61,E695=$AB$62,$AC$62,E695=$AB$63,$AC$63,E695=$AB$64,$AC$64,E695=$AB$65,$AC$65,E695=$AB$66,$AC$66,TRUE,"0")</f>
        <v>#NAME?</v>
      </c>
      <c r="C695" s="161" t="str" cm="1">
        <f t="array" ref="C695">_xlfn.IFS(E695=$AB$42,$AF$42,E695=$AB$43,$AF$43,E695=$AB$44,$AF$44,E695=$AB$45,$AF$45,E695=$AB$46,$AF$46,E695=$AB$47,$AF$47,E695=$AB$48,$AF$48,E695=$AB$49,$AF$49,E695=$AB$50,$AF$50,E695=$AB$51,$AF$51,E695=$AB$52,$AF$52,E695=$AB$53,$AF$53,E695=$AB$54,$AF$54,E695=$AB$55,$AF$55,E695=$AB$56,$AF$56,E695=$AB$57,$AF$57,E695=$AB$58,$AF$58,E695=$AB$59,$AF$59,E695=$AB$60,$AF$60,E695=$AB$61,$AF$61,E695=$AB$62,$AF$62,E695=$AB$63,$AF$63,E695=$AB$64,$AF$64,E695=$AB$65,$AF$65,E695=$AB$66,$AF$66,TRUE,"0")</f>
        <v>if 0-0, BACK+ 0.5 GOALS  @ 1.15+odds.  or @ 40 mins</v>
      </c>
      <c r="D695" s="270" t="str" cm="1">
        <f t="array" ref="D695">_xlfn.IFS(E695=$AB$42,$AD$42,E695=$AB$43,$AD$43,E695=$AB$44,$AD$44,E695=$AB$45,$AD$45,E695=$AB$46,$AD$46,E695=$AB$47,$AD$47,E695=$AB$48,$AD$48,E695=$AB$49,$AD$49,E695=$AB$50,$AD$50,E695=$AB$51,$AD$51,E695=$AB$52,$AD$52,E695=$AB$53,$AD$53,E695=$AB$54,$AD$54,E695=$AB$55,$AD$55,E695=$AB$56,$AD$56,E695=$AB$57,$AD$57,E695=$AB$58,$AD$58,E695=$AB$59,$AD$59,E695=$AB$60,$AD$60,E695=$AB$61,$AD$61,E695=$AB$62,$AD$62,E695=$AB$63,$AD$63,E695=$AB$64,$AD$64,E695=$AB$65,$AD$65,E695=$AB$66,$AD$66,TRUE,"0")</f>
        <v>IP</v>
      </c>
      <c r="E695" s="163" t="s">
        <v>270</v>
      </c>
      <c r="F695" s="2" t="s">
        <v>6</v>
      </c>
      <c r="G695" s="2" t="s">
        <v>62</v>
      </c>
      <c r="H695" s="3">
        <v>45381.520833333336</v>
      </c>
      <c r="I695" s="2" t="s">
        <v>164</v>
      </c>
      <c r="J695" s="2" t="s">
        <v>74</v>
      </c>
      <c r="K695" s="2">
        <v>61</v>
      </c>
      <c r="L695" s="2">
        <v>0</v>
      </c>
      <c r="M695" s="2">
        <v>20</v>
      </c>
      <c r="N695" s="2">
        <v>30</v>
      </c>
      <c r="O695" s="2">
        <v>3.57</v>
      </c>
      <c r="P695" s="2"/>
      <c r="Q695" s="2" t="s">
        <v>95</v>
      </c>
      <c r="R695" s="10" t="s">
        <v>223</v>
      </c>
      <c r="S695" s="14" t="s">
        <v>212</v>
      </c>
      <c r="T695" s="188">
        <v>1000</v>
      </c>
      <c r="U695" s="8">
        <f t="shared" si="86"/>
        <v>180</v>
      </c>
      <c r="V695" s="234">
        <f t="shared" si="85"/>
        <v>43144.155246160299</v>
      </c>
      <c r="W695" s="15">
        <v>25</v>
      </c>
      <c r="X695" s="8">
        <f t="shared" si="80"/>
        <v>4.5</v>
      </c>
      <c r="Y695" s="233">
        <f t="shared" si="81"/>
        <v>2944.5</v>
      </c>
    </row>
    <row r="696" spans="1:25">
      <c r="A696" s="156" t="e" cm="1">
        <f t="array" aca="1" ref="A696" ca="1">_xlfn.IFS(E696=$AB$42,$AC$42,E696=$AB$43,$AC$43,E696=$AB$44,$AC$44,E696=$AB$45,$AC$45,E696=$AB$46,$AC$46,E696=$AB$47,$AC$47,E696=$AB$48,$AC$48,E696=$AB$49,$AC$49,E696=$AB$50,$AC$50,E696=$AB$51,$AC$51,E696=$AB$52,$AC$52,E696=$AB$53,$AC$53,E696=$AB$54,$AC$54,E696=$AB$55,$AC$55,E696=$AB$56,$AC$56,E696=$AB$57,$AC$57,E696=$AB$58,$AC$58,E696=$AB$59,$AC$59,E696=$AB$60,$AC$60,E696=$AB$61,$AC$61,E696=$AB$62,$AC$62,E696=$AB$63,$AC$63,E696=$AB$64,$AC$64,E696=$AB$65,$AC$65,E696=$AB$66,$AC$66,TRUE,"0")</f>
        <v>#NAME?</v>
      </c>
      <c r="C696" s="161" t="str" cm="1">
        <f t="array" ref="C696">_xlfn.IFS(E696=$AB$42,$AF$42,E696=$AB$43,$AF$43,E696=$AB$44,$AF$44,E696=$AB$45,$AF$45,E696=$AB$46,$AF$46,E696=$AB$47,$AF$47,E696=$AB$48,$AF$48,E696=$AB$49,$AF$49,E696=$AB$50,$AF$50,E696=$AB$51,$AF$51,E696=$AB$52,$AF$52,E696=$AB$53,$AF$53,E696=$AB$54,$AF$54,E696=$AB$55,$AF$55,E696=$AB$56,$AF$56,E696=$AB$57,$AF$57,E696=$AB$58,$AF$58,E696=$AB$59,$AF$59,E696=$AB$60,$AF$60,E696=$AB$61,$AF$61,E696=$AB$62,$AF$62,E696=$AB$63,$AF$63,E696=$AB$64,$AF$64,E696=$AB$65,$AF$65,E696=$AB$66,$AF$66,TRUE,"0")</f>
        <v>if 0-0, BACK+ 0.5 GOALS  @ 1.15+odds.  or @ 40 mins</v>
      </c>
      <c r="D696" s="270" t="str" cm="1">
        <f t="array" ref="D696">_xlfn.IFS(E696=$AB$42,$AD$42,E696=$AB$43,$AD$43,E696=$AB$44,$AD$44,E696=$AB$45,$AD$45,E696=$AB$46,$AD$46,E696=$AB$47,$AD$47,E696=$AB$48,$AD$48,E696=$AB$49,$AD$49,E696=$AB$50,$AD$50,E696=$AB$51,$AD$51,E696=$AB$52,$AD$52,E696=$AB$53,$AD$53,E696=$AB$54,$AD$54,E696=$AB$55,$AD$55,E696=$AB$56,$AD$56,E696=$AB$57,$AD$57,E696=$AB$58,$AD$58,E696=$AB$59,$AD$59,E696=$AB$60,$AD$60,E696=$AB$61,$AD$61,E696=$AB$62,$AD$62,E696=$AB$63,$AD$63,E696=$AB$64,$AD$64,E696=$AB$65,$AD$65,E696=$AB$66,$AD$66,TRUE,"0")</f>
        <v>IP</v>
      </c>
      <c r="E696" s="163" t="s">
        <v>270</v>
      </c>
      <c r="F696" s="2" t="s">
        <v>77</v>
      </c>
      <c r="G696" s="2" t="s">
        <v>251</v>
      </c>
      <c r="H696" s="3">
        <v>45381.541666666664</v>
      </c>
      <c r="I696" s="2" t="s">
        <v>608</v>
      </c>
      <c r="J696" s="2" t="s">
        <v>259</v>
      </c>
      <c r="K696" s="2">
        <v>61</v>
      </c>
      <c r="L696" s="2">
        <v>0</v>
      </c>
      <c r="M696" s="2">
        <v>20</v>
      </c>
      <c r="N696" s="2">
        <v>32</v>
      </c>
      <c r="O696" s="2">
        <v>0</v>
      </c>
      <c r="P696" s="2"/>
      <c r="Q696" s="2" t="s">
        <v>95</v>
      </c>
      <c r="R696" s="10" t="s">
        <v>221</v>
      </c>
      <c r="S696" s="14" t="s">
        <v>223</v>
      </c>
      <c r="T696" s="188">
        <v>1000</v>
      </c>
      <c r="U696" s="8">
        <f t="shared" si="86"/>
        <v>180</v>
      </c>
      <c r="V696" s="234">
        <f>SUM(V695,U696)</f>
        <v>43324.155246160299</v>
      </c>
      <c r="W696" s="15">
        <v>25</v>
      </c>
      <c r="X696" s="8">
        <f t="shared" si="80"/>
        <v>4.5</v>
      </c>
      <c r="Y696" s="233">
        <f t="shared" si="81"/>
        <v>2949</v>
      </c>
    </row>
    <row r="697" spans="1:25">
      <c r="A697" s="156" t="e" cm="1">
        <f t="array" aca="1" ref="A697" ca="1">_xlfn.IFS(E697=$AB$42,$AC$42,E697=$AB$43,$AC$43,E697=$AB$44,$AC$44,E697=$AB$45,$AC$45,E697=$AB$46,$AC$46,E697=$AB$47,$AC$47,E697=$AB$48,$AC$48,E697=$AB$49,$AC$49,E697=$AB$50,$AC$50,E697=$AB$51,$AC$51,E697=$AB$52,$AC$52,E697=$AB$53,$AC$53,E697=$AB$54,$AC$54,E697=$AB$55,$AC$55,E697=$AB$56,$AC$56,E697=$AB$57,$AC$57,E697=$AB$58,$AC$58,E697=$AB$59,$AC$59,E697=$AB$60,$AC$60,E697=$AB$61,$AC$61,E697=$AB$62,$AC$62,E697=$AB$63,$AC$63,E697=$AB$64,$AC$64,E697=$AB$65,$AC$65,E697=$AB$66,$AC$66,TRUE,"0")</f>
        <v>#NAME?</v>
      </c>
      <c r="C697" s="161" t="str" cm="1">
        <f t="array" ref="C697">_xlfn.IFS(E697=$AB$42,$AF$42,E697=$AB$43,$AF$43,E697=$AB$44,$AF$44,E697=$AB$45,$AF$45,E697=$AB$46,$AF$46,E697=$AB$47,$AF$47,E697=$AB$48,$AF$48,E697=$AB$49,$AF$49,E697=$AB$50,$AF$50,E697=$AB$51,$AF$51,E697=$AB$52,$AF$52,E697=$AB$53,$AF$53,E697=$AB$54,$AF$54,E697=$AB$55,$AF$55,E697=$AB$56,$AF$56,E697=$AB$57,$AF$57,E697=$AB$58,$AF$58,E697=$AB$59,$AF$59,E697=$AB$60,$AF$60,E697=$AB$61,$AF$61,E697=$AB$62,$AF$62,E697=$AB$63,$AF$63,E697=$AB$64,$AF$64,E697=$AB$65,$AF$65,E697=$AB$66,$AF$66,TRUE,"0")</f>
        <v>40 mins Back ANother Goal</v>
      </c>
      <c r="D697" s="270" t="str" cm="1">
        <f t="array" ref="D697">_xlfn.IFS(E697=$AB$42,$AD$42,E697=$AB$43,$AD$43,E697=$AB$44,$AD$44,E697=$AB$45,$AD$45,E697=$AB$46,$AD$46,E697=$AB$47,$AD$47,E697=$AB$48,$AD$48,E697=$AB$49,$AD$49,E697=$AB$50,$AD$50,E697=$AB$51,$AD$51,E697=$AB$52,$AD$52,E697=$AB$53,$AD$53,E697=$AB$54,$AD$54,E697=$AB$55,$AD$55,E697=$AB$56,$AD$56,E697=$AB$57,$AD$57,E697=$AB$58,$AD$58,E697=$AB$59,$AD$59,E697=$AB$60,$AD$60,E697=$AB$61,$AD$61,E697=$AB$62,$AD$62,E697=$AB$63,$AD$63,E697=$AB$64,$AD$64,E697=$AB$65,$AD$65,E697=$AB$66,$AD$66,TRUE,"0")</f>
        <v xml:space="preserve">  BANG</v>
      </c>
      <c r="E697" s="163" t="s">
        <v>515</v>
      </c>
      <c r="F697" s="2" t="s">
        <v>626</v>
      </c>
      <c r="G697" s="2" t="s">
        <v>627</v>
      </c>
      <c r="H697" s="3">
        <v>45381.541666666664</v>
      </c>
      <c r="I697" s="2" t="s">
        <v>635</v>
      </c>
      <c r="J697" s="2" t="s">
        <v>636</v>
      </c>
      <c r="K697" s="2">
        <v>20</v>
      </c>
      <c r="L697" s="2">
        <v>73</v>
      </c>
      <c r="M697" s="2">
        <v>1.6</v>
      </c>
      <c r="N697" s="2"/>
      <c r="O697" s="2"/>
      <c r="P697" s="2"/>
      <c r="Q697" s="2" t="s">
        <v>95</v>
      </c>
      <c r="R697" s="10" t="s">
        <v>214</v>
      </c>
      <c r="S697" s="14" t="s">
        <v>207</v>
      </c>
      <c r="T697" s="188">
        <v>1000</v>
      </c>
      <c r="U697" s="8">
        <f t="shared" si="86"/>
        <v>180</v>
      </c>
      <c r="V697" s="234">
        <f t="shared" si="85"/>
        <v>43504.155246160299</v>
      </c>
      <c r="W697" s="15">
        <v>25</v>
      </c>
      <c r="X697" s="8">
        <f t="shared" si="80"/>
        <v>4.5</v>
      </c>
      <c r="Y697" s="233">
        <f t="shared" si="81"/>
        <v>2953.5</v>
      </c>
    </row>
    <row r="698" spans="1:25">
      <c r="A698" s="156" t="e" cm="1">
        <f t="array" aca="1" ref="A698" ca="1">_xlfn.IFS(E698=$AB$42,$AC$42,E698=$AB$43,$AC$43,E698=$AB$44,$AC$44,E698=$AB$45,$AC$45,E698=$AB$46,$AC$46,E698=$AB$47,$AC$47,E698=$AB$48,$AC$48,E698=$AB$49,$AC$49,E698=$AB$50,$AC$50,E698=$AB$51,$AC$51,E698=$AB$52,$AC$52,E698=$AB$53,$AC$53,E698=$AB$54,$AC$54,E698=$AB$55,$AC$55,E698=$AB$56,$AC$56,E698=$AB$57,$AC$57,E698=$AB$58,$AC$58,E698=$AB$59,$AC$59,E698=$AB$60,$AC$60,E698=$AB$61,$AC$61,E698=$AB$62,$AC$62,E698=$AB$63,$AC$63,E698=$AB$64,$AC$64,E698=$AB$65,$AC$65,E698=$AB$66,$AC$66,TRUE,"0")</f>
        <v>#NAME?</v>
      </c>
      <c r="C698" s="161" t="str" cm="1">
        <f t="array" ref="C698">_xlfn.IFS(E698=$AB$42,$AF$42,E698=$AB$43,$AF$43,E698=$AB$44,$AF$44,E698=$AB$45,$AF$45,E698=$AB$46,$AF$46,E698=$AB$47,$AF$47,E698=$AB$48,$AF$48,E698=$AB$49,$AF$49,E698=$AB$50,$AF$50,E698=$AB$51,$AF$51,E698=$AB$52,$AF$52,E698=$AB$53,$AF$53,E698=$AB$54,$AF$54,E698=$AB$55,$AF$55,E698=$AB$56,$AF$56,E698=$AB$57,$AF$57,E698=$AB$58,$AF$58,E698=$AB$59,$AF$59,E698=$AB$60,$AF$60,E698=$AB$61,$AF$61,E698=$AB$62,$AF$62,E698=$AB$63,$AF$63,E698=$AB$64,$AF$64,E698=$AB$65,$AF$65,E698=$AB$66,$AF$66,TRUE,"0")</f>
        <v>B4 MATCH bet H1 'under 2.5goals'- X at 40 minutes</v>
      </c>
      <c r="D698" s="270" t="str" cm="1">
        <f t="array" ref="D698">_xlfn.IFS(E698=$AB$42,$AD$42,E698=$AB$43,$AD$43,E698=$AB$44,$AD$44,E698=$AB$45,$AD$45,E698=$AB$46,$AD$46,E698=$AB$47,$AD$47,E698=$AB$48,$AD$48,E698=$AB$49,$AD$49,E698=$AB$50,$AD$50,E698=$AB$51,$AD$51,E698=$AB$52,$AD$52,E698=$AB$53,$AD$53,E698=$AB$54,$AD$54,E698=$AB$55,$AD$55,E698=$AB$56,$AD$56,E698=$AB$57,$AD$57,E698=$AB$58,$AD$58,E698=$AB$59,$AD$59,E698=$AB$60,$AD$60,E698=$AB$61,$AD$61,E698=$AB$62,$AD$62,E698=$AB$63,$AD$63,E698=$AB$64,$AD$64,E698=$AB$65,$AD$65,E698=$AB$66,$AD$66,TRUE,"0")</f>
        <v xml:space="preserve">BFM </v>
      </c>
      <c r="E698" s="164" t="s">
        <v>458</v>
      </c>
      <c r="F698" s="2" t="s">
        <v>541</v>
      </c>
      <c r="G698" s="2" t="s">
        <v>62</v>
      </c>
      <c r="H698" s="3">
        <v>45381.5625</v>
      </c>
      <c r="I698" s="2" t="s">
        <v>644</v>
      </c>
      <c r="J698" s="2" t="s">
        <v>645</v>
      </c>
      <c r="K698" s="2">
        <v>20</v>
      </c>
      <c r="L698" s="2">
        <v>80</v>
      </c>
      <c r="M698" s="2">
        <v>100</v>
      </c>
      <c r="N698" s="2">
        <v>44</v>
      </c>
      <c r="O698" s="2">
        <v>1.6</v>
      </c>
      <c r="P698" s="2"/>
      <c r="Q698" s="2" t="s">
        <v>95</v>
      </c>
      <c r="R698" s="10" t="s">
        <v>214</v>
      </c>
      <c r="S698" s="14" t="s">
        <v>214</v>
      </c>
      <c r="T698" s="188">
        <v>1000</v>
      </c>
      <c r="U698" s="8">
        <f t="shared" si="86"/>
        <v>180</v>
      </c>
      <c r="V698" s="234">
        <f t="shared" si="85"/>
        <v>43684.155246160299</v>
      </c>
      <c r="W698" s="15">
        <v>25</v>
      </c>
      <c r="X698" s="8">
        <f t="shared" si="80"/>
        <v>4.5</v>
      </c>
      <c r="Y698" s="233">
        <f t="shared" si="81"/>
        <v>2958</v>
      </c>
    </row>
    <row r="699" spans="1:25">
      <c r="A699" s="156" t="e" cm="1">
        <f t="array" aca="1" ref="A699" ca="1">_xlfn.IFS(E699=$AB$42,$AC$42,E699=$AB$43,$AC$43,E699=$AB$44,$AC$44,E699=$AB$45,$AC$45,E699=$AB$46,$AC$46,E699=$AB$47,$AC$47,E699=$AB$48,$AC$48,E699=$AB$49,$AC$49,E699=$AB$50,$AC$50,E699=$AB$51,$AC$51,E699=$AB$52,$AC$52,E699=$AB$53,$AC$53,E699=$AB$54,$AC$54,E699=$AB$55,$AC$55,E699=$AB$56,$AC$56,E699=$AB$57,$AC$57,E699=$AB$58,$AC$58,E699=$AB$59,$AC$59,E699=$AB$60,$AC$60,E699=$AB$61,$AC$61,E699=$AB$62,$AC$62,E699=$AB$63,$AC$63,E699=$AB$64,$AC$64,E699=$AB$65,$AC$65,E699=$AB$66,$AC$66,TRUE,"0")</f>
        <v>#NAME?</v>
      </c>
      <c r="C699" s="161" t="str" cm="1">
        <f t="array" ref="C699">_xlfn.IFS(E699=$AB$42,$AF$42,E699=$AB$43,$AF$43,E699=$AB$44,$AF$44,E699=$AB$45,$AF$45,E699=$AB$46,$AF$46,E699=$AB$47,$AF$47,E699=$AB$48,$AF$48,E699=$AB$49,$AF$49,E699=$AB$50,$AF$50,E699=$AB$51,$AF$51,E699=$AB$52,$AF$52,E699=$AB$53,$AF$53,E699=$AB$54,$AF$54,E699=$AB$55,$AF$55,E699=$AB$56,$AF$56,E699=$AB$57,$AF$57,E699=$AB$58,$AF$58,E699=$AB$59,$AF$59,E699=$AB$60,$AF$60,E699=$AB$61,$AF$61,E699=$AB$62,$AF$62,E699=$AB$63,$AF$63,E699=$AB$64,$AF$64,E699=$AB$65,$AF$65,E699=$AB$66,$AF$66,TRUE,"0")</f>
        <v>B4 match BACK FT +1.5 goals. X AFTER  GOAL</v>
      </c>
      <c r="D699" s="270" t="str" cm="1">
        <f t="array" ref="D699">_xlfn.IFS(E699=$AB$42,$AD$42,E699=$AB$43,$AD$43,E699=$AB$44,$AD$44,E699=$AB$45,$AD$45,E699=$AB$46,$AD$46,E699=$AB$47,$AD$47,E699=$AB$48,$AD$48,E699=$AB$49,$AD$49,E699=$AB$50,$AD$50,E699=$AB$51,$AD$51,E699=$AB$52,$AD$52,E699=$AB$53,$AD$53,E699=$AB$54,$AD$54,E699=$AB$55,$AD$55,E699=$AB$56,$AD$56,E699=$AB$57,$AD$57,E699=$AB$58,$AD$58,E699=$AB$59,$AD$59,E699=$AB$60,$AD$60,E699=$AB$61,$AD$61,E699=$AB$62,$AD$62,E699=$AB$63,$AD$63,E699=$AB$64,$AD$64,E699=$AB$65,$AD$65,E699=$AB$66,$AD$66,TRUE,"0")</f>
        <v xml:space="preserve">BFM </v>
      </c>
      <c r="E699" s="163" t="s">
        <v>623</v>
      </c>
      <c r="F699" s="2" t="s">
        <v>410</v>
      </c>
      <c r="G699" s="2" t="s">
        <v>411</v>
      </c>
      <c r="H699" s="3">
        <v>45381.583333333336</v>
      </c>
      <c r="I699" s="2" t="s">
        <v>580</v>
      </c>
      <c r="J699" s="2" t="s">
        <v>460</v>
      </c>
      <c r="K699" s="2">
        <v>3.15</v>
      </c>
      <c r="L699" s="2">
        <v>20</v>
      </c>
      <c r="M699" s="2">
        <v>3</v>
      </c>
      <c r="N699" s="2">
        <v>22</v>
      </c>
      <c r="O699" s="2">
        <v>3</v>
      </c>
      <c r="P699" s="2">
        <v>10</v>
      </c>
      <c r="Q699" s="2" t="s">
        <v>95</v>
      </c>
      <c r="R699" s="10" t="s">
        <v>220</v>
      </c>
      <c r="S699" s="14" t="s">
        <v>471</v>
      </c>
      <c r="T699" s="188">
        <v>1000</v>
      </c>
      <c r="U699" s="8">
        <f t="shared" si="86"/>
        <v>180</v>
      </c>
      <c r="V699" s="234">
        <f t="shared" si="85"/>
        <v>43864.155246160299</v>
      </c>
      <c r="W699" s="15">
        <v>25</v>
      </c>
      <c r="X699" s="8">
        <f t="shared" si="80"/>
        <v>4.5</v>
      </c>
      <c r="Y699" s="233">
        <f t="shared" si="81"/>
        <v>2962.5</v>
      </c>
    </row>
    <row r="700" spans="1:25">
      <c r="A700" s="156" t="e" cm="1">
        <f t="array" aca="1" ref="A700" ca="1">_xlfn.IFS(E700=$AB$42,$AC$42,E700=$AB$43,$AC$43,E700=$AB$44,$AC$44,E700=$AB$45,$AC$45,E700=$AB$46,$AC$46,E700=$AB$47,$AC$47,E700=$AB$48,$AC$48,E700=$AB$49,$AC$49,E700=$AB$50,$AC$50,E700=$AB$51,$AC$51,E700=$AB$52,$AC$52,E700=$AB$53,$AC$53,E700=$AB$54,$AC$54,E700=$AB$55,$AC$55,E700=$AB$56,$AC$56,E700=$AB$57,$AC$57,E700=$AB$58,$AC$58,E700=$AB$59,$AC$59,E700=$AB$60,$AC$60,E700=$AB$61,$AC$61,E700=$AB$62,$AC$62,E700=$AB$63,$AC$63,E700=$AB$64,$AC$64,E700=$AB$65,$AC$65,E700=$AB$66,$AC$66,TRUE,"0")</f>
        <v>#NAME?</v>
      </c>
      <c r="C700" s="161" t="str" cm="1">
        <f t="array" ref="C700">_xlfn.IFS(E700=$AB$42,$AF$42,E700=$AB$43,$AF$43,E700=$AB$44,$AF$44,E700=$AB$45,$AF$45,E700=$AB$46,$AF$46,E700=$AB$47,$AF$47,E700=$AB$48,$AF$48,E700=$AB$49,$AF$49,E700=$AB$50,$AF$50,E700=$AB$51,$AF$51,E700=$AB$52,$AF$52,E700=$AB$53,$AF$53,E700=$AB$54,$AF$54,E700=$AB$55,$AF$55,E700=$AB$56,$AF$56,E700=$AB$57,$AF$57,E700=$AB$58,$AF$58,E700=$AB$59,$AF$59,E700=$AB$60,$AF$60,E700=$AB$61,$AF$61,E700=$AB$62,$AF$62,E700=$AB$63,$AF$63,E700=$AB$64,$AF$64,E700=$AB$65,$AF$65,E700=$AB$66,$AF$66,TRUE,"0")</f>
        <v>B4 Match, lay HT 0-0 or BACK H1 +0.5 GOALS</v>
      </c>
      <c r="D700" s="270" t="str" cm="1">
        <f t="array" ref="D700">_xlfn.IFS(E700=$AB$42,$AD$42,E700=$AB$43,$AD$43,E700=$AB$44,$AD$44,E700=$AB$45,$AD$45,E700=$AB$46,$AD$46,E700=$AB$47,$AD$47,E700=$AB$48,$AD$48,E700=$AB$49,$AD$49,E700=$AB$50,$AD$50,E700=$AB$51,$AD$51,E700=$AB$52,$AD$52,E700=$AB$53,$AD$53,E700=$AB$54,$AD$54,E700=$AB$55,$AD$55,E700=$AB$56,$AD$56,E700=$AB$57,$AD$57,E700=$AB$58,$AD$58,E700=$AB$59,$AD$59,E700=$AB$60,$AD$60,E700=$AB$61,$AD$61,E700=$AB$62,$AD$62,E700=$AB$63,$AD$63,E700=$AB$64,$AD$64,E700=$AB$65,$AD$65,E700=$AB$66,$AD$66,TRUE,"0")</f>
        <v xml:space="preserve">BFM </v>
      </c>
      <c r="E700" s="163" t="s">
        <v>448</v>
      </c>
      <c r="F700" s="2" t="s">
        <v>410</v>
      </c>
      <c r="G700" s="2" t="s">
        <v>411</v>
      </c>
      <c r="H700" s="3">
        <v>45381.583333333336</v>
      </c>
      <c r="I700" s="2" t="s">
        <v>580</v>
      </c>
      <c r="J700" s="2" t="s">
        <v>460</v>
      </c>
      <c r="K700" s="2">
        <v>20</v>
      </c>
      <c r="L700" s="2">
        <v>10</v>
      </c>
      <c r="M700" s="2">
        <v>35</v>
      </c>
      <c r="N700" s="2">
        <v>4</v>
      </c>
      <c r="O700" s="2">
        <v>11</v>
      </c>
      <c r="P700" s="2">
        <v>8</v>
      </c>
      <c r="Q700" s="2" t="s">
        <v>95</v>
      </c>
      <c r="R700" s="10" t="s">
        <v>220</v>
      </c>
      <c r="S700" s="14" t="s">
        <v>471</v>
      </c>
      <c r="T700" s="188">
        <v>1000</v>
      </c>
      <c r="U700" s="8">
        <f t="shared" si="86"/>
        <v>180</v>
      </c>
      <c r="V700" s="234">
        <f t="shared" si="85"/>
        <v>44044.155246160299</v>
      </c>
      <c r="W700" s="15">
        <v>25</v>
      </c>
      <c r="X700" s="8">
        <f t="shared" si="80"/>
        <v>4.5</v>
      </c>
      <c r="Y700" s="233">
        <f t="shared" si="81"/>
        <v>2967</v>
      </c>
    </row>
    <row r="701" spans="1:25">
      <c r="A701" s="156" t="e" cm="1">
        <f t="array" aca="1" ref="A701" ca="1">_xlfn.IFS(E701=$AB$42,$AC$42,E701=$AB$43,$AC$43,E701=$AB$44,$AC$44,E701=$AB$45,$AC$45,E701=$AB$46,$AC$46,E701=$AB$47,$AC$47,E701=$AB$48,$AC$48,E701=$AB$49,$AC$49,E701=$AB$50,$AC$50,E701=$AB$51,$AC$51,E701=$AB$52,$AC$52,E701=$AB$53,$AC$53,E701=$AB$54,$AC$54,E701=$AB$55,$AC$55,E701=$AB$56,$AC$56,E701=$AB$57,$AC$57,E701=$AB$58,$AC$58,E701=$AB$59,$AC$59,E701=$AB$60,$AC$60,E701=$AB$61,$AC$61,E701=$AB$62,$AC$62,E701=$AB$63,$AC$63,E701=$AB$64,$AC$64,E701=$AB$65,$AC$65,E701=$AB$66,$AC$66,TRUE,"0")</f>
        <v>#NAME?</v>
      </c>
      <c r="C701" s="161" t="str" cm="1">
        <f t="array" ref="C701">_xlfn.IFS(E701=$AB$42,$AF$42,E701=$AB$43,$AF$43,E701=$AB$44,$AF$44,E701=$AB$45,$AF$45,E701=$AB$46,$AF$46,E701=$AB$47,$AF$47,E701=$AB$48,$AF$48,E701=$AB$49,$AF$49,E701=$AB$50,$AF$50,E701=$AB$51,$AF$51,E701=$AB$52,$AF$52,E701=$AB$53,$AF$53,E701=$AB$54,$AF$54,E701=$AB$55,$AF$55,E701=$AB$56,$AF$56,E701=$AB$57,$AF$57,E701=$AB$58,$AF$58,E701=$AB$59,$AF$59,E701=$AB$60,$AF$60,E701=$AB$61,$AF$61,E701=$AB$62,$AF$62,E701=$AB$63,$AF$63,E701=$AB$64,$AF$64,E701=$AB$65,$AF$65,E701=$AB$66,$AF$66,TRUE,"0")</f>
        <v>B4 match BACK FT +1.5 goals. X AFTER  GOAL</v>
      </c>
      <c r="D701" s="270" t="str" cm="1">
        <f t="array" ref="D701">_xlfn.IFS(E701=$AB$42,$AD$42,E701=$AB$43,$AD$43,E701=$AB$44,$AD$44,E701=$AB$45,$AD$45,E701=$AB$46,$AD$46,E701=$AB$47,$AD$47,E701=$AB$48,$AD$48,E701=$AB$49,$AD$49,E701=$AB$50,$AD$50,E701=$AB$51,$AD$51,E701=$AB$52,$AD$52,E701=$AB$53,$AD$53,E701=$AB$54,$AD$54,E701=$AB$55,$AD$55,E701=$AB$56,$AD$56,E701=$AB$57,$AD$57,E701=$AB$58,$AD$58,E701=$AB$59,$AD$59,E701=$AB$60,$AD$60,E701=$AB$61,$AD$61,E701=$AB$62,$AD$62,E701=$AB$63,$AD$63,E701=$AB$64,$AD$64,E701=$AB$65,$AD$65,E701=$AB$66,$AD$66,TRUE,"0")</f>
        <v xml:space="preserve">BFM </v>
      </c>
      <c r="E701" s="163" t="s">
        <v>623</v>
      </c>
      <c r="F701" s="2" t="s">
        <v>77</v>
      </c>
      <c r="G701" s="2" t="s">
        <v>156</v>
      </c>
      <c r="H701" s="3">
        <v>45381.604166666664</v>
      </c>
      <c r="I701" s="2" t="s">
        <v>325</v>
      </c>
      <c r="J701" s="2" t="s">
        <v>158</v>
      </c>
      <c r="K701" s="2">
        <v>2.78</v>
      </c>
      <c r="L701" s="2">
        <v>20</v>
      </c>
      <c r="M701" s="2">
        <v>3.35</v>
      </c>
      <c r="N701" s="2">
        <v>20</v>
      </c>
      <c r="O701" s="2">
        <v>2</v>
      </c>
      <c r="P701" s="2">
        <v>10</v>
      </c>
      <c r="Q701" s="2" t="s">
        <v>95</v>
      </c>
      <c r="R701" s="10" t="s">
        <v>193</v>
      </c>
      <c r="S701" s="14" t="s">
        <v>222</v>
      </c>
      <c r="T701" s="188">
        <v>1000</v>
      </c>
      <c r="U701" s="8">
        <f t="shared" si="86"/>
        <v>180</v>
      </c>
      <c r="V701" s="234">
        <f t="shared" si="85"/>
        <v>44224.155246160299</v>
      </c>
      <c r="W701" s="15">
        <v>25</v>
      </c>
      <c r="X701" s="8">
        <f t="shared" si="80"/>
        <v>4.5</v>
      </c>
      <c r="Y701" s="233">
        <f t="shared" si="81"/>
        <v>2971.5</v>
      </c>
    </row>
    <row r="702" spans="1:25">
      <c r="A702" s="156" t="e" cm="1">
        <f t="array" aca="1" ref="A702" ca="1">_xlfn.IFS(E702=$AB$42,$AC$42,E702=$AB$43,$AC$43,E702=$AB$44,$AC$44,E702=$AB$45,$AC$45,E702=$AB$46,$AC$46,E702=$AB$47,$AC$47,E702=$AB$48,$AC$48,E702=$AB$49,$AC$49,E702=$AB$50,$AC$50,E702=$AB$51,$AC$51,E702=$AB$52,$AC$52,E702=$AB$53,$AC$53,E702=$AB$54,$AC$54,E702=$AB$55,$AC$55,E702=$AB$56,$AC$56,E702=$AB$57,$AC$57,E702=$AB$58,$AC$58,E702=$AB$59,$AC$59,E702=$AB$60,$AC$60,E702=$AB$61,$AC$61,E702=$AB$62,$AC$62,E702=$AB$63,$AC$63,E702=$AB$64,$AC$64,E702=$AB$65,$AC$65,E702=$AB$66,$AC$66,TRUE,"0")</f>
        <v>#NAME?</v>
      </c>
      <c r="C702" s="161" t="str" cm="1">
        <f t="array" ref="C702">_xlfn.IFS(E702=$AB$42,$AF$42,E702=$AB$43,$AF$43,E702=$AB$44,$AF$44,E702=$AB$45,$AF$45,E702=$AB$46,$AF$46,E702=$AB$47,$AF$47,E702=$AB$48,$AF$48,E702=$AB$49,$AF$49,E702=$AB$50,$AF$50,E702=$AB$51,$AF$51,E702=$AB$52,$AF$52,E702=$AB$53,$AF$53,E702=$AB$54,$AF$54,E702=$AB$55,$AF$55,E702=$AB$56,$AF$56,E702=$AB$57,$AF$57,E702=$AB$58,$AF$58,E702=$AB$59,$AF$59,E702=$AB$60,$AF$60,E702=$AB$61,$AF$61,E702=$AB$62,$AF$62,E702=$AB$63,$AF$63,E702=$AB$64,$AF$64,E702=$AB$65,$AF$65,E702=$AB$66,$AF$66,TRUE,"0")</f>
        <v>20mins if  0-0, BACK over 1.5 goals X after goal OR LET RUN</v>
      </c>
      <c r="D702" s="270" t="str" cm="1">
        <f t="array" ref="D702">_xlfn.IFS(E702=$AB$42,$AD$42,E702=$AB$43,$AD$43,E702=$AB$44,$AD$44,E702=$AB$45,$AD$45,E702=$AB$46,$AD$46,E702=$AB$47,$AD$47,E702=$AB$48,$AD$48,E702=$AB$49,$AD$49,E702=$AB$50,$AD$50,E702=$AB$51,$AD$51,E702=$AB$52,$AD$52,E702=$AB$53,$AD$53,E702=$AB$54,$AD$54,E702=$AB$55,$AD$55,E702=$AB$56,$AD$56,E702=$AB$57,$AD$57,E702=$AB$58,$AD$58,E702=$AB$59,$AD$59,E702=$AB$60,$AD$60,E702=$AB$61,$AD$61,E702=$AB$62,$AD$62,E702=$AB$63,$AD$63,E702=$AB$64,$AD$64,E702=$AB$65,$AD$65,E702=$AB$66,$AD$66,TRUE,"0")</f>
        <v>IP</v>
      </c>
      <c r="E702" s="163" t="s">
        <v>474</v>
      </c>
      <c r="F702" s="2" t="s">
        <v>77</v>
      </c>
      <c r="G702" s="2" t="s">
        <v>156</v>
      </c>
      <c r="H702" s="3">
        <v>45381.604166666664</v>
      </c>
      <c r="I702" s="2" t="s">
        <v>325</v>
      </c>
      <c r="J702" s="2" t="s">
        <v>158</v>
      </c>
      <c r="K702" s="2">
        <v>50</v>
      </c>
      <c r="L702" s="2">
        <v>3.35</v>
      </c>
      <c r="M702" s="2">
        <v>20</v>
      </c>
      <c r="N702" s="2">
        <v>80</v>
      </c>
      <c r="O702" s="2">
        <v>95</v>
      </c>
      <c r="P702" s="2"/>
      <c r="Q702" s="2" t="s">
        <v>95</v>
      </c>
      <c r="R702" s="10" t="s">
        <v>193</v>
      </c>
      <c r="S702" s="14" t="s">
        <v>222</v>
      </c>
      <c r="T702" s="188">
        <v>1000</v>
      </c>
      <c r="U702" s="8">
        <f t="shared" si="86"/>
        <v>180</v>
      </c>
      <c r="V702" s="234">
        <f t="shared" si="85"/>
        <v>44404.155246160299</v>
      </c>
      <c r="W702" s="15">
        <v>25</v>
      </c>
      <c r="X702" s="8">
        <f t="shared" si="80"/>
        <v>4.5</v>
      </c>
      <c r="Y702" s="233">
        <f t="shared" si="81"/>
        <v>2976</v>
      </c>
    </row>
    <row r="703" spans="1:25">
      <c r="A703" s="156" t="e" cm="1">
        <f t="array" aca="1" ref="A703" ca="1">_xlfn.IFS(E703=$AB$42,$AC$42,E703=$AB$43,$AC$43,E703=$AB$44,$AC$44,E703=$AB$45,$AC$45,E703=$AB$46,$AC$46,E703=$AB$47,$AC$47,E703=$AB$48,$AC$48,E703=$AB$49,$AC$49,E703=$AB$50,$AC$50,E703=$AB$51,$AC$51,E703=$AB$52,$AC$52,E703=$AB$53,$AC$53,E703=$AB$54,$AC$54,E703=$AB$55,$AC$55,E703=$AB$56,$AC$56,E703=$AB$57,$AC$57,E703=$AB$58,$AC$58,E703=$AB$59,$AC$59,E703=$AB$60,$AC$60,E703=$AB$61,$AC$61,E703=$AB$62,$AC$62,E703=$AB$63,$AC$63,E703=$AB$64,$AC$64,E703=$AB$65,$AC$65,E703=$AB$66,$AC$66,TRUE,"0")</f>
        <v>#NAME?</v>
      </c>
      <c r="C703" s="161" t="str" cm="1">
        <f t="array" ref="C703">_xlfn.IFS(E703=$AB$42,$AF$42,E703=$AB$43,$AF$43,E703=$AB$44,$AF$44,E703=$AB$45,$AF$45,E703=$AB$46,$AF$46,E703=$AB$47,$AF$47,E703=$AB$48,$AF$48,E703=$AB$49,$AF$49,E703=$AB$50,$AF$50,E703=$AB$51,$AF$51,E703=$AB$52,$AF$52,E703=$AB$53,$AF$53,E703=$AB$54,$AF$54,E703=$AB$55,$AF$55,E703=$AB$56,$AF$56,E703=$AB$57,$AF$57,E703=$AB$58,$AF$58,E703=$AB$59,$AF$59,E703=$AB$60,$AF$60,E703=$AB$61,$AF$61,E703=$AB$62,$AF$62,E703=$AB$63,$AF$63,E703=$AB$64,$AF$64,E703=$AB$65,$AF$65,E703=$AB$66,$AF$66,TRUE,"0")</f>
        <v>B4 match BACK FT +1.5 goals. X AFTER  GOAL</v>
      </c>
      <c r="D703" s="270" t="str" cm="1">
        <f t="array" ref="D703">_xlfn.IFS(E703=$AB$42,$AD$42,E703=$AB$43,$AD$43,E703=$AB$44,$AD$44,E703=$AB$45,$AD$45,E703=$AB$46,$AD$46,E703=$AB$47,$AD$47,E703=$AB$48,$AD$48,E703=$AB$49,$AD$49,E703=$AB$50,$AD$50,E703=$AB$51,$AD$51,E703=$AB$52,$AD$52,E703=$AB$53,$AD$53,E703=$AB$54,$AD$54,E703=$AB$55,$AD$55,E703=$AB$56,$AD$56,E703=$AB$57,$AD$57,E703=$AB$58,$AD$58,E703=$AB$59,$AD$59,E703=$AB$60,$AD$60,E703=$AB$61,$AD$61,E703=$AB$62,$AD$62,E703=$AB$63,$AD$63,E703=$AB$64,$AD$64,E703=$AB$65,$AD$65,E703=$AB$66,$AD$66,TRUE,"0")</f>
        <v xml:space="preserve">BFM </v>
      </c>
      <c r="E703" s="163" t="s">
        <v>623</v>
      </c>
      <c r="F703" s="2" t="s">
        <v>77</v>
      </c>
      <c r="G703" s="2" t="s">
        <v>156</v>
      </c>
      <c r="H703" s="3">
        <v>45381.604166666664</v>
      </c>
      <c r="I703" s="2" t="s">
        <v>181</v>
      </c>
      <c r="J703" s="2" t="s">
        <v>160</v>
      </c>
      <c r="K703" s="2">
        <v>4.4000000000000004</v>
      </c>
      <c r="L703" s="2">
        <v>20</v>
      </c>
      <c r="M703" s="2">
        <v>2.9</v>
      </c>
      <c r="N703" s="2">
        <v>22</v>
      </c>
      <c r="O703" s="2">
        <v>1</v>
      </c>
      <c r="P703" s="2">
        <v>10</v>
      </c>
      <c r="Q703" s="2" t="s">
        <v>96</v>
      </c>
      <c r="R703" s="10" t="s">
        <v>221</v>
      </c>
      <c r="S703" s="14" t="s">
        <v>221</v>
      </c>
      <c r="T703" s="188">
        <v>1000</v>
      </c>
      <c r="U703" s="8">
        <f t="shared" si="86"/>
        <v>-1000</v>
      </c>
      <c r="V703" s="234">
        <f t="shared" si="85"/>
        <v>43404.155246160299</v>
      </c>
      <c r="W703" s="15">
        <v>25</v>
      </c>
      <c r="X703" s="8">
        <f t="shared" si="80"/>
        <v>-25</v>
      </c>
      <c r="Y703" s="233">
        <f t="shared" si="81"/>
        <v>2951</v>
      </c>
    </row>
    <row r="704" spans="1:25">
      <c r="A704" s="156" t="e" cm="1">
        <f t="array" aca="1" ref="A704" ca="1">_xlfn.IFS(E704=$AB$42,$AC$42,E704=$AB$43,$AC$43,E704=$AB$44,$AC$44,E704=$AB$45,$AC$45,E704=$AB$46,$AC$46,E704=$AB$47,$AC$47,E704=$AB$48,$AC$48,E704=$AB$49,$AC$49,E704=$AB$50,$AC$50,E704=$AB$51,$AC$51,E704=$AB$52,$AC$52,E704=$AB$53,$AC$53,E704=$AB$54,$AC$54,E704=$AB$55,$AC$55,E704=$AB$56,$AC$56,E704=$AB$57,$AC$57,E704=$AB$58,$AC$58,E704=$AB$59,$AC$59,E704=$AB$60,$AC$60,E704=$AB$61,$AC$61,E704=$AB$62,$AC$62,E704=$AB$63,$AC$63,E704=$AB$64,$AC$64,E704=$AB$65,$AC$65,E704=$AB$66,$AC$66,TRUE,"0")</f>
        <v>#NAME?</v>
      </c>
      <c r="C704" s="161" t="str" cm="1">
        <f t="array" ref="C704">_xlfn.IFS(E704=$AB$42,$AF$42,E704=$AB$43,$AF$43,E704=$AB$44,$AF$44,E704=$AB$45,$AF$45,E704=$AB$46,$AF$46,E704=$AB$47,$AF$47,E704=$AB$48,$AF$48,E704=$AB$49,$AF$49,E704=$AB$50,$AF$50,E704=$AB$51,$AF$51,E704=$AB$52,$AF$52,E704=$AB$53,$AF$53,E704=$AB$54,$AF$54,E704=$AB$55,$AF$55,E704=$AB$56,$AF$56,E704=$AB$57,$AF$57,E704=$AB$58,$AF$58,E704=$AB$59,$AF$59,E704=$AB$60,$AF$60,E704=$AB$61,$AF$61,E704=$AB$62,$AF$62,E704=$AB$63,$AF$63,E704=$AB$64,$AF$64,E704=$AB$65,$AF$65,E704=$AB$66,$AF$66,TRUE,"0")</f>
        <v>B4 Match, lay HT 0-0 or BACK H1 +0.5 GOALS</v>
      </c>
      <c r="D704" s="270" t="str" cm="1">
        <f t="array" ref="D704">_xlfn.IFS(E704=$AB$42,$AD$42,E704=$AB$43,$AD$43,E704=$AB$44,$AD$44,E704=$AB$45,$AD$45,E704=$AB$46,$AD$46,E704=$AB$47,$AD$47,E704=$AB$48,$AD$48,E704=$AB$49,$AD$49,E704=$AB$50,$AD$50,E704=$AB$51,$AD$51,E704=$AB$52,$AD$52,E704=$AB$53,$AD$53,E704=$AB$54,$AD$54,E704=$AB$55,$AD$55,E704=$AB$56,$AD$56,E704=$AB$57,$AD$57,E704=$AB$58,$AD$58,E704=$AB$59,$AD$59,E704=$AB$60,$AD$60,E704=$AB$61,$AD$61,E704=$AB$62,$AD$62,E704=$AB$63,$AD$63,E704=$AB$64,$AD$64,E704=$AB$65,$AD$65,E704=$AB$66,$AD$66,TRUE,"0")</f>
        <v xml:space="preserve">BFM </v>
      </c>
      <c r="E704" s="163" t="s">
        <v>448</v>
      </c>
      <c r="F704" s="2" t="s">
        <v>77</v>
      </c>
      <c r="G704" s="2" t="s">
        <v>156</v>
      </c>
      <c r="H704" s="3">
        <v>45381.604166666664</v>
      </c>
      <c r="I704" s="2" t="s">
        <v>254</v>
      </c>
      <c r="J704" s="2" t="s">
        <v>161</v>
      </c>
      <c r="K704" s="2">
        <v>20</v>
      </c>
      <c r="L704" s="2">
        <v>10</v>
      </c>
      <c r="M704" s="2">
        <v>34</v>
      </c>
      <c r="N704" s="2">
        <v>6</v>
      </c>
      <c r="O704" s="2">
        <v>9</v>
      </c>
      <c r="P704" s="2">
        <v>3</v>
      </c>
      <c r="Q704" s="2" t="s">
        <v>95</v>
      </c>
      <c r="R704" s="10" t="s">
        <v>193</v>
      </c>
      <c r="S704" s="14" t="s">
        <v>217</v>
      </c>
      <c r="T704" s="188">
        <v>1000</v>
      </c>
      <c r="U704" s="8">
        <f t="shared" si="86"/>
        <v>180</v>
      </c>
      <c r="V704" s="234">
        <f t="shared" si="85"/>
        <v>43584.155246160299</v>
      </c>
      <c r="W704" s="15">
        <v>25</v>
      </c>
      <c r="X704" s="8">
        <f t="shared" si="80"/>
        <v>4.5</v>
      </c>
      <c r="Y704" s="233">
        <f t="shared" si="81"/>
        <v>2955.5</v>
      </c>
    </row>
    <row r="705" spans="1:25">
      <c r="A705" s="156" t="e" cm="1">
        <f t="array" aca="1" ref="A705" ca="1">_xlfn.IFS(E705=$AB$42,$AC$42,E705=$AB$43,$AC$43,E705=$AB$44,$AC$44,E705=$AB$45,$AC$45,E705=$AB$46,$AC$46,E705=$AB$47,$AC$47,E705=$AB$48,$AC$48,E705=$AB$49,$AC$49,E705=$AB$50,$AC$50,E705=$AB$51,$AC$51,E705=$AB$52,$AC$52,E705=$AB$53,$AC$53,E705=$AB$54,$AC$54,E705=$AB$55,$AC$55,E705=$AB$56,$AC$56,E705=$AB$57,$AC$57,E705=$AB$58,$AC$58,E705=$AB$59,$AC$59,E705=$AB$60,$AC$60,E705=$AB$61,$AC$61,E705=$AB$62,$AC$62,E705=$AB$63,$AC$63,E705=$AB$64,$AC$64,E705=$AB$65,$AC$65,E705=$AB$66,$AC$66,TRUE,"0")</f>
        <v>#NAME?</v>
      </c>
      <c r="C705" s="161" t="str" cm="1">
        <f t="array" ref="C705">_xlfn.IFS(E705=$AB$42,$AF$42,E705=$AB$43,$AF$43,E705=$AB$44,$AF$44,E705=$AB$45,$AF$45,E705=$AB$46,$AF$46,E705=$AB$47,$AF$47,E705=$AB$48,$AF$48,E705=$AB$49,$AF$49,E705=$AB$50,$AF$50,E705=$AB$51,$AF$51,E705=$AB$52,$AF$52,E705=$AB$53,$AF$53,E705=$AB$54,$AF$54,E705=$AB$55,$AF$55,E705=$AB$56,$AF$56,E705=$AB$57,$AF$57,E705=$AB$58,$AF$58,E705=$AB$59,$AF$59,E705=$AB$60,$AF$60,E705=$AB$61,$AF$61,E705=$AB$62,$AF$62,E705=$AB$63,$AF$63,E705=$AB$64,$AF$64,E705=$AB$65,$AF$65,E705=$AB$66,$AF$66,TRUE,"0")</f>
        <v>B4 match BACK FT +1.5 goals. X AFTER  GOAL</v>
      </c>
      <c r="D705" s="270" t="str" cm="1">
        <f t="array" ref="D705">_xlfn.IFS(E705=$AB$42,$AD$42,E705=$AB$43,$AD$43,E705=$AB$44,$AD$44,E705=$AB$45,$AD$45,E705=$AB$46,$AD$46,E705=$AB$47,$AD$47,E705=$AB$48,$AD$48,E705=$AB$49,$AD$49,E705=$AB$50,$AD$50,E705=$AB$51,$AD$51,E705=$AB$52,$AD$52,E705=$AB$53,$AD$53,E705=$AB$54,$AD$54,E705=$AB$55,$AD$55,E705=$AB$56,$AD$56,E705=$AB$57,$AD$57,E705=$AB$58,$AD$58,E705=$AB$59,$AD$59,E705=$AB$60,$AD$60,E705=$AB$61,$AD$61,E705=$AB$62,$AD$62,E705=$AB$63,$AD$63,E705=$AB$64,$AD$64,E705=$AB$65,$AD$65,E705=$AB$66,$AD$66,TRUE,"0")</f>
        <v xml:space="preserve">BFM </v>
      </c>
      <c r="E705" s="163" t="s">
        <v>406</v>
      </c>
      <c r="F705" s="2" t="s">
        <v>6</v>
      </c>
      <c r="G705" s="2" t="s">
        <v>62</v>
      </c>
      <c r="H705" s="3">
        <v>45381.625</v>
      </c>
      <c r="I705" s="2" t="s">
        <v>65</v>
      </c>
      <c r="J705" s="2" t="s">
        <v>103</v>
      </c>
      <c r="K705" s="2">
        <v>1.31</v>
      </c>
      <c r="L705" s="2">
        <v>12</v>
      </c>
      <c r="M705" s="2">
        <v>3.45</v>
      </c>
      <c r="N705" s="2">
        <v>3.8</v>
      </c>
      <c r="O705" s="2">
        <v>3.06</v>
      </c>
      <c r="P705" s="2"/>
      <c r="Q705" s="2" t="s">
        <v>95</v>
      </c>
      <c r="R705" s="10" t="s">
        <v>214</v>
      </c>
      <c r="S705" s="14" t="s">
        <v>210</v>
      </c>
      <c r="T705" s="188">
        <v>1000</v>
      </c>
      <c r="U705" s="8">
        <f t="shared" si="86"/>
        <v>180</v>
      </c>
      <c r="V705" s="234">
        <f t="shared" si="85"/>
        <v>43764.155246160299</v>
      </c>
      <c r="W705" s="15">
        <v>25</v>
      </c>
      <c r="X705" s="8">
        <f t="shared" si="80"/>
        <v>4.5</v>
      </c>
      <c r="Y705" s="233">
        <f t="shared" si="81"/>
        <v>2960</v>
      </c>
    </row>
    <row r="706" spans="1:25">
      <c r="A706" s="156" t="e" cm="1">
        <f t="array" aca="1" ref="A706" ca="1">_xlfn.IFS(E706=$AB$42,$AC$42,E706=$AB$43,$AC$43,E706=$AB$44,$AC$44,E706=$AB$45,$AC$45,E706=$AB$46,$AC$46,E706=$AB$47,$AC$47,E706=$AB$48,$AC$48,E706=$AB$49,$AC$49,E706=$AB$50,$AC$50,E706=$AB$51,$AC$51,E706=$AB$52,$AC$52,E706=$AB$53,$AC$53,E706=$AB$54,$AC$54,E706=$AB$55,$AC$55,E706=$AB$56,$AC$56,E706=$AB$57,$AC$57,E706=$AB$58,$AC$58,E706=$AB$59,$AC$59,E706=$AB$60,$AC$60,E706=$AB$61,$AC$61,E706=$AB$62,$AC$62,E706=$AB$63,$AC$63,E706=$AB$64,$AC$64,E706=$AB$65,$AC$65,E706=$AB$66,$AC$66,TRUE,"0")</f>
        <v>#NAME?</v>
      </c>
      <c r="C706" s="161" t="str" cm="1">
        <f t="array" ref="C706">_xlfn.IFS(E706=$AB$42,$AF$42,E706=$AB$43,$AF$43,E706=$AB$44,$AF$44,E706=$AB$45,$AF$45,E706=$AB$46,$AF$46,E706=$AB$47,$AF$47,E706=$AB$48,$AF$48,E706=$AB$49,$AF$49,E706=$AB$50,$AF$50,E706=$AB$51,$AF$51,E706=$AB$52,$AF$52,E706=$AB$53,$AF$53,E706=$AB$54,$AF$54,E706=$AB$55,$AF$55,E706=$AB$56,$AF$56,E706=$AB$57,$AF$57,E706=$AB$58,$AF$58,E706=$AB$59,$AF$59,E706=$AB$60,$AF$60,E706=$AB$61,$AF$61,E706=$AB$62,$AF$62,E706=$AB$63,$AF$63,E706=$AB$64,$AF$64,E706=$AB$65,$AF$65,E706=$AB$66,$AF$66,TRUE,"0")</f>
        <v>B4 match BACK FT +1.5 goals. X AFTER  GOAL</v>
      </c>
      <c r="D706" s="270" t="str" cm="1">
        <f t="array" ref="D706">_xlfn.IFS(E706=$AB$42,$AD$42,E706=$AB$43,$AD$43,E706=$AB$44,$AD$44,E706=$AB$45,$AD$45,E706=$AB$46,$AD$46,E706=$AB$47,$AD$47,E706=$AB$48,$AD$48,E706=$AB$49,$AD$49,E706=$AB$50,$AD$50,E706=$AB$51,$AD$51,E706=$AB$52,$AD$52,E706=$AB$53,$AD$53,E706=$AB$54,$AD$54,E706=$AB$55,$AD$55,E706=$AB$56,$AD$56,E706=$AB$57,$AD$57,E706=$AB$58,$AD$58,E706=$AB$59,$AD$59,E706=$AB$60,$AD$60,E706=$AB$61,$AD$61,E706=$AB$62,$AD$62,E706=$AB$63,$AD$63,E706=$AB$64,$AD$64,E706=$AB$65,$AD$65,E706=$AB$66,$AD$66,TRUE,"0")</f>
        <v xml:space="preserve">BFM </v>
      </c>
      <c r="E706" s="163" t="s">
        <v>623</v>
      </c>
      <c r="F706" s="2" t="s">
        <v>6</v>
      </c>
      <c r="G706" s="2" t="s">
        <v>62</v>
      </c>
      <c r="H706" s="3">
        <v>45381.625</v>
      </c>
      <c r="I706" s="2" t="s">
        <v>65</v>
      </c>
      <c r="J706" s="2" t="s">
        <v>103</v>
      </c>
      <c r="K706" s="2">
        <v>3.8</v>
      </c>
      <c r="L706" s="2">
        <v>20</v>
      </c>
      <c r="M706" s="2">
        <v>3.45</v>
      </c>
      <c r="N706" s="2">
        <v>33</v>
      </c>
      <c r="O706" s="2">
        <v>2</v>
      </c>
      <c r="P706" s="2">
        <v>10</v>
      </c>
      <c r="Q706" s="2" t="s">
        <v>95</v>
      </c>
      <c r="R706" s="10" t="s">
        <v>214</v>
      </c>
      <c r="S706" s="14" t="s">
        <v>210</v>
      </c>
      <c r="T706" s="188">
        <v>1000</v>
      </c>
      <c r="U706" s="8">
        <f t="shared" si="86"/>
        <v>180</v>
      </c>
      <c r="V706" s="234">
        <f t="shared" si="85"/>
        <v>43944.155246160299</v>
      </c>
      <c r="W706" s="15">
        <v>25</v>
      </c>
      <c r="X706" s="8">
        <f t="shared" si="80"/>
        <v>4.5</v>
      </c>
      <c r="Y706" s="233">
        <f t="shared" si="81"/>
        <v>2964.5</v>
      </c>
    </row>
    <row r="707" spans="1:25">
      <c r="A707" s="156" t="e" cm="1">
        <f t="array" aca="1" ref="A707" ca="1">_xlfn.IFS(E707=$AB$42,$AC$42,E707=$AB$43,$AC$43,E707=$AB$44,$AC$44,E707=$AB$45,$AC$45,E707=$AB$46,$AC$46,E707=$AB$47,$AC$47,E707=$AB$48,$AC$48,E707=$AB$49,$AC$49,E707=$AB$50,$AC$50,E707=$AB$51,$AC$51,E707=$AB$52,$AC$52,E707=$AB$53,$AC$53,E707=$AB$54,$AC$54,E707=$AB$55,$AC$55,E707=$AB$56,$AC$56,E707=$AB$57,$AC$57,E707=$AB$58,$AC$58,E707=$AB$59,$AC$59,E707=$AB$60,$AC$60,E707=$AB$61,$AC$61,E707=$AB$62,$AC$62,E707=$AB$63,$AC$63,E707=$AB$64,$AC$64,E707=$AB$65,$AC$65,E707=$AB$66,$AC$66,TRUE,"0")</f>
        <v>#NAME?</v>
      </c>
      <c r="C707" s="161" t="str" cm="1">
        <f t="array" ref="C707">_xlfn.IFS(E707=$AB$42,$AF$42,E707=$AB$43,$AF$43,E707=$AB$44,$AF$44,E707=$AB$45,$AF$45,E707=$AB$46,$AF$46,E707=$AB$47,$AF$47,E707=$AB$48,$AF$48,E707=$AB$49,$AF$49,E707=$AB$50,$AF$50,E707=$AB$51,$AF$51,E707=$AB$52,$AF$52,E707=$AB$53,$AF$53,E707=$AB$54,$AF$54,E707=$AB$55,$AF$55,E707=$AB$56,$AF$56,E707=$AB$57,$AF$57,E707=$AB$58,$AF$58,E707=$AB$59,$AF$59,E707=$AB$60,$AF$60,E707=$AB$61,$AF$61,E707=$AB$62,$AF$62,E707=$AB$63,$AF$63,E707=$AB$64,$AF$64,E707=$AB$65,$AF$65,E707=$AB$66,$AF$66,TRUE,"0")</f>
        <v>if 0-0, BACK+ 0.5 GOALS  @ 1.15+odds.  or @ 40 mins</v>
      </c>
      <c r="D707" s="270" t="str" cm="1">
        <f t="array" ref="D707">_xlfn.IFS(E707=$AB$42,$AD$42,E707=$AB$43,$AD$43,E707=$AB$44,$AD$44,E707=$AB$45,$AD$45,E707=$AB$46,$AD$46,E707=$AB$47,$AD$47,E707=$AB$48,$AD$48,E707=$AB$49,$AD$49,E707=$AB$50,$AD$50,E707=$AB$51,$AD$51,E707=$AB$52,$AD$52,E707=$AB$53,$AD$53,E707=$AB$54,$AD$54,E707=$AB$55,$AD$55,E707=$AB$56,$AD$56,E707=$AB$57,$AD$57,E707=$AB$58,$AD$58,E707=$AB$59,$AD$59,E707=$AB$60,$AD$60,E707=$AB$61,$AD$61,E707=$AB$62,$AD$62,E707=$AB$63,$AD$63,E707=$AB$64,$AD$64,E707=$AB$65,$AD$65,E707=$AB$66,$AD$66,TRUE,"0")</f>
        <v>IP</v>
      </c>
      <c r="E707" s="163" t="s">
        <v>270</v>
      </c>
      <c r="F707" s="2" t="s">
        <v>6</v>
      </c>
      <c r="G707" s="2" t="s">
        <v>62</v>
      </c>
      <c r="H707" s="3">
        <v>45381.625</v>
      </c>
      <c r="I707" s="2" t="s">
        <v>264</v>
      </c>
      <c r="J707" s="2" t="s">
        <v>66</v>
      </c>
      <c r="K707" s="2">
        <v>63</v>
      </c>
      <c r="L707" s="2">
        <v>0</v>
      </c>
      <c r="M707" s="2">
        <v>20</v>
      </c>
      <c r="N707" s="2">
        <v>36</v>
      </c>
      <c r="O707" s="2">
        <v>2.4300000000000002</v>
      </c>
      <c r="P707" s="2"/>
      <c r="Q707" s="2" t="s">
        <v>95</v>
      </c>
      <c r="R707" s="10" t="s">
        <v>193</v>
      </c>
      <c r="S707" s="14" t="s">
        <v>216</v>
      </c>
      <c r="T707" s="188">
        <v>1000</v>
      </c>
      <c r="U707" s="8">
        <f t="shared" si="86"/>
        <v>180</v>
      </c>
      <c r="V707" s="234">
        <f t="shared" si="85"/>
        <v>44124.155246160299</v>
      </c>
      <c r="W707" s="15">
        <v>25</v>
      </c>
      <c r="X707" s="8">
        <f t="shared" ref="X707:X770" si="87">IF(Q707="won",W707*0.18,-W707)</f>
        <v>4.5</v>
      </c>
      <c r="Y707" s="233">
        <f t="shared" ref="Y707:Y770" si="88">SUM(Y706,X707)</f>
        <v>2969</v>
      </c>
    </row>
    <row r="708" spans="1:25">
      <c r="A708" s="156" t="e" cm="1">
        <f t="array" aca="1" ref="A708" ca="1">_xlfn.IFS(E708=$AB$42,$AC$42,E708=$AB$43,$AC$43,E708=$AB$44,$AC$44,E708=$AB$45,$AC$45,E708=$AB$46,$AC$46,E708=$AB$47,$AC$47,E708=$AB$48,$AC$48,E708=$AB$49,$AC$49,E708=$AB$50,$AC$50,E708=$AB$51,$AC$51,E708=$AB$52,$AC$52,E708=$AB$53,$AC$53,E708=$AB$54,$AC$54,E708=$AB$55,$AC$55,E708=$AB$56,$AC$56,E708=$AB$57,$AC$57,E708=$AB$58,$AC$58,E708=$AB$59,$AC$59,E708=$AB$60,$AC$60,E708=$AB$61,$AC$61,E708=$AB$62,$AC$62,E708=$AB$63,$AC$63,E708=$AB$64,$AC$64,E708=$AB$65,$AC$65,E708=$AB$66,$AC$66,TRUE,"0")</f>
        <v>#NAME?</v>
      </c>
      <c r="C708" s="161" t="str" cm="1">
        <f t="array" ref="C708">_xlfn.IFS(E708=$AB$42,$AF$42,E708=$AB$43,$AF$43,E708=$AB$44,$AF$44,E708=$AB$45,$AF$45,E708=$AB$46,$AF$46,E708=$AB$47,$AF$47,E708=$AB$48,$AF$48,E708=$AB$49,$AF$49,E708=$AB$50,$AF$50,E708=$AB$51,$AF$51,E708=$AB$52,$AF$52,E708=$AB$53,$AF$53,E708=$AB$54,$AF$54,E708=$AB$55,$AF$55,E708=$AB$56,$AF$56,E708=$AB$57,$AF$57,E708=$AB$58,$AF$58,E708=$AB$59,$AF$59,E708=$AB$60,$AF$60,E708=$AB$61,$AF$61,E708=$AB$62,$AF$62,E708=$AB$63,$AF$63,E708=$AB$64,$AF$64,E708=$AB$65,$AF$65,E708=$AB$66,$AF$66,TRUE,"0")</f>
        <v>B4 match BACK FT +1.5 goals. X AFTER  GOAL</v>
      </c>
      <c r="D708" s="270" t="str" cm="1">
        <f t="array" ref="D708">_xlfn.IFS(E708=$AB$42,$AD$42,E708=$AB$43,$AD$43,E708=$AB$44,$AD$44,E708=$AB$45,$AD$45,E708=$AB$46,$AD$46,E708=$AB$47,$AD$47,E708=$AB$48,$AD$48,E708=$AB$49,$AD$49,E708=$AB$50,$AD$50,E708=$AB$51,$AD$51,E708=$AB$52,$AD$52,E708=$AB$53,$AD$53,E708=$AB$54,$AD$54,E708=$AB$55,$AD$55,E708=$AB$56,$AD$56,E708=$AB$57,$AD$57,E708=$AB$58,$AD$58,E708=$AB$59,$AD$59,E708=$AB$60,$AD$60,E708=$AB$61,$AD$61,E708=$AB$62,$AD$62,E708=$AB$63,$AD$63,E708=$AB$64,$AD$64,E708=$AB$65,$AD$65,E708=$AB$66,$AD$66,TRUE,"0")</f>
        <v xml:space="preserve">BFM </v>
      </c>
      <c r="E708" s="163" t="s">
        <v>406</v>
      </c>
      <c r="F708" s="2" t="s">
        <v>13</v>
      </c>
      <c r="G708" s="2" t="s">
        <v>37</v>
      </c>
      <c r="H708" s="3">
        <v>45381.625</v>
      </c>
      <c r="I708" s="2" t="s">
        <v>79</v>
      </c>
      <c r="J708" s="2" t="s">
        <v>316</v>
      </c>
      <c r="K708" s="2">
        <v>1.25</v>
      </c>
      <c r="L708" s="2">
        <v>13</v>
      </c>
      <c r="M708" s="2">
        <v>3.25</v>
      </c>
      <c r="N708" s="2">
        <v>3.85</v>
      </c>
      <c r="O708" s="2">
        <v>3.05</v>
      </c>
      <c r="P708" s="2"/>
      <c r="Q708" s="2" t="s">
        <v>95</v>
      </c>
      <c r="R708" s="10" t="s">
        <v>222</v>
      </c>
      <c r="S708" s="14" t="s">
        <v>215</v>
      </c>
      <c r="T708" s="188">
        <v>1000</v>
      </c>
      <c r="U708" s="8">
        <f t="shared" si="86"/>
        <v>180</v>
      </c>
      <c r="V708" s="234">
        <f t="shared" si="85"/>
        <v>44304.155246160299</v>
      </c>
      <c r="W708" s="15">
        <v>25</v>
      </c>
      <c r="X708" s="8">
        <f t="shared" si="87"/>
        <v>4.5</v>
      </c>
      <c r="Y708" s="233">
        <f t="shared" si="88"/>
        <v>2973.5</v>
      </c>
    </row>
    <row r="709" spans="1:25">
      <c r="A709" s="156" t="e" cm="1">
        <f t="array" aca="1" ref="A709" ca="1">_xlfn.IFS(E709=$AB$42,$AC$42,E709=$AB$43,$AC$43,E709=$AB$44,$AC$44,E709=$AB$45,$AC$45,E709=$AB$46,$AC$46,E709=$AB$47,$AC$47,E709=$AB$48,$AC$48,E709=$AB$49,$AC$49,E709=$AB$50,$AC$50,E709=$AB$51,$AC$51,E709=$AB$52,$AC$52,E709=$AB$53,$AC$53,E709=$AB$54,$AC$54,E709=$AB$55,$AC$55,E709=$AB$56,$AC$56,E709=$AB$57,$AC$57,E709=$AB$58,$AC$58,E709=$AB$59,$AC$59,E709=$AB$60,$AC$60,E709=$AB$61,$AC$61,E709=$AB$62,$AC$62,E709=$AB$63,$AC$63,E709=$AB$64,$AC$64,E709=$AB$65,$AC$65,E709=$AB$66,$AC$66,TRUE,"0")</f>
        <v>#NAME?</v>
      </c>
      <c r="C709" s="161" t="str" cm="1">
        <f t="array" ref="C709">_xlfn.IFS(E709=$AB$42,$AF$42,E709=$AB$43,$AF$43,E709=$AB$44,$AF$44,E709=$AB$45,$AF$45,E709=$AB$46,$AF$46,E709=$AB$47,$AF$47,E709=$AB$48,$AF$48,E709=$AB$49,$AF$49,E709=$AB$50,$AF$50,E709=$AB$51,$AF$51,E709=$AB$52,$AF$52,E709=$AB$53,$AF$53,E709=$AB$54,$AF$54,E709=$AB$55,$AF$55,E709=$AB$56,$AF$56,E709=$AB$57,$AF$57,E709=$AB$58,$AF$58,E709=$AB$59,$AF$59,E709=$AB$60,$AF$60,E709=$AB$61,$AF$61,E709=$AB$62,$AF$62,E709=$AB$63,$AF$63,E709=$AB$64,$AF$64,E709=$AB$65,$AF$65,E709=$AB$66,$AF$66,TRUE,"0")</f>
        <v>B4 match BACK FT +1.5 goals. X AFTER  GOAL</v>
      </c>
      <c r="D709" s="270" t="str" cm="1">
        <f t="array" ref="D709">_xlfn.IFS(E709=$AB$42,$AD$42,E709=$AB$43,$AD$43,E709=$AB$44,$AD$44,E709=$AB$45,$AD$45,E709=$AB$46,$AD$46,E709=$AB$47,$AD$47,E709=$AB$48,$AD$48,E709=$AB$49,$AD$49,E709=$AB$50,$AD$50,E709=$AB$51,$AD$51,E709=$AB$52,$AD$52,E709=$AB$53,$AD$53,E709=$AB$54,$AD$54,E709=$AB$55,$AD$55,E709=$AB$56,$AD$56,E709=$AB$57,$AD$57,E709=$AB$58,$AD$58,E709=$AB$59,$AD$59,E709=$AB$60,$AD$60,E709=$AB$61,$AD$61,E709=$AB$62,$AD$62,E709=$AB$63,$AD$63,E709=$AB$64,$AD$64,E709=$AB$65,$AD$65,E709=$AB$66,$AD$66,TRUE,"0")</f>
        <v xml:space="preserve">BFM </v>
      </c>
      <c r="E709" s="163" t="s">
        <v>623</v>
      </c>
      <c r="F709" s="2" t="s">
        <v>13</v>
      </c>
      <c r="G709" s="2" t="s">
        <v>37</v>
      </c>
      <c r="H709" s="3">
        <v>45381.625</v>
      </c>
      <c r="I709" s="2" t="s">
        <v>79</v>
      </c>
      <c r="J709" s="2" t="s">
        <v>316</v>
      </c>
      <c r="K709" s="2">
        <v>3.85</v>
      </c>
      <c r="L709" s="2">
        <v>20</v>
      </c>
      <c r="M709" s="2">
        <v>3.25</v>
      </c>
      <c r="N709" s="2">
        <v>22</v>
      </c>
      <c r="O709" s="2">
        <v>1</v>
      </c>
      <c r="P709" s="2">
        <v>10</v>
      </c>
      <c r="Q709" s="2" t="s">
        <v>95</v>
      </c>
      <c r="R709" s="10" t="s">
        <v>222</v>
      </c>
      <c r="S709" s="14" t="s">
        <v>215</v>
      </c>
      <c r="T709" s="188">
        <v>1000</v>
      </c>
      <c r="U709" s="8">
        <f t="shared" si="86"/>
        <v>180</v>
      </c>
      <c r="V709" s="234">
        <f t="shared" si="85"/>
        <v>44484.155246160299</v>
      </c>
      <c r="W709" s="15">
        <v>25</v>
      </c>
      <c r="X709" s="8">
        <f t="shared" si="87"/>
        <v>4.5</v>
      </c>
      <c r="Y709" s="233">
        <f t="shared" si="88"/>
        <v>2978</v>
      </c>
    </row>
    <row r="710" spans="1:25">
      <c r="A710" s="156" t="e" cm="1">
        <f t="array" aca="1" ref="A710" ca="1">_xlfn.IFS(E710=$AB$42,$AC$42,E710=$AB$43,$AC$43,E710=$AB$44,$AC$44,E710=$AB$45,$AC$45,E710=$AB$46,$AC$46,E710=$AB$47,$AC$47,E710=$AB$48,$AC$48,E710=$AB$49,$AC$49,E710=$AB$50,$AC$50,E710=$AB$51,$AC$51,E710=$AB$52,$AC$52,E710=$AB$53,$AC$53,E710=$AB$54,$AC$54,E710=$AB$55,$AC$55,E710=$AB$56,$AC$56,E710=$AB$57,$AC$57,E710=$AB$58,$AC$58,E710=$AB$59,$AC$59,E710=$AB$60,$AC$60,E710=$AB$61,$AC$61,E710=$AB$62,$AC$62,E710=$AB$63,$AC$63,E710=$AB$64,$AC$64,E710=$AB$65,$AC$65,E710=$AB$66,$AC$66,TRUE,"0")</f>
        <v>#NAME?</v>
      </c>
      <c r="C710" s="161" t="str" cm="1">
        <f t="array" ref="C710">_xlfn.IFS(E710=$AB$42,$AF$42,E710=$AB$43,$AF$43,E710=$AB$44,$AF$44,E710=$AB$45,$AF$45,E710=$AB$46,$AF$46,E710=$AB$47,$AF$47,E710=$AB$48,$AF$48,E710=$AB$49,$AF$49,E710=$AB$50,$AF$50,E710=$AB$51,$AF$51,E710=$AB$52,$AF$52,E710=$AB$53,$AF$53,E710=$AB$54,$AF$54,E710=$AB$55,$AF$55,E710=$AB$56,$AF$56,E710=$AB$57,$AF$57,E710=$AB$58,$AF$58,E710=$AB$59,$AF$59,E710=$AB$60,$AF$60,E710=$AB$61,$AF$61,E710=$AB$62,$AF$62,E710=$AB$63,$AF$63,E710=$AB$64,$AF$64,E710=$AB$65,$AF$65,E710=$AB$66,$AF$66,TRUE,"0")</f>
        <v>B4 Match, lay HT 0-0 or BACK H1 +0.5 GOALS</v>
      </c>
      <c r="D710" s="270" t="str" cm="1">
        <f t="array" ref="D710">_xlfn.IFS(E710=$AB$42,$AD$42,E710=$AB$43,$AD$43,E710=$AB$44,$AD$44,E710=$AB$45,$AD$45,E710=$AB$46,$AD$46,E710=$AB$47,$AD$47,E710=$AB$48,$AD$48,E710=$AB$49,$AD$49,E710=$AB$50,$AD$50,E710=$AB$51,$AD$51,E710=$AB$52,$AD$52,E710=$AB$53,$AD$53,E710=$AB$54,$AD$54,E710=$AB$55,$AD$55,E710=$AB$56,$AD$56,E710=$AB$57,$AD$57,E710=$AB$58,$AD$58,E710=$AB$59,$AD$59,E710=$AB$60,$AD$60,E710=$AB$61,$AD$61,E710=$AB$62,$AD$62,E710=$AB$63,$AD$63,E710=$AB$64,$AD$64,E710=$AB$65,$AD$65,E710=$AB$66,$AD$66,TRUE,"0")</f>
        <v xml:space="preserve">BFM </v>
      </c>
      <c r="E710" s="163" t="s">
        <v>432</v>
      </c>
      <c r="F710" s="2" t="s">
        <v>13</v>
      </c>
      <c r="G710" s="2" t="s">
        <v>37</v>
      </c>
      <c r="H710" s="3">
        <v>45381.625</v>
      </c>
      <c r="I710" s="2" t="s">
        <v>79</v>
      </c>
      <c r="J710" s="2" t="s">
        <v>316</v>
      </c>
      <c r="K710" s="2">
        <v>5</v>
      </c>
      <c r="L710" s="2">
        <v>20</v>
      </c>
      <c r="M710" s="2">
        <v>20</v>
      </c>
      <c r="N710" s="2">
        <v>13</v>
      </c>
      <c r="O710" s="2">
        <v>22</v>
      </c>
      <c r="P710" s="2">
        <v>1.65</v>
      </c>
      <c r="Q710" s="2" t="s">
        <v>95</v>
      </c>
      <c r="R710" s="10" t="s">
        <v>222</v>
      </c>
      <c r="S710" s="14" t="s">
        <v>215</v>
      </c>
      <c r="T710" s="188">
        <v>1000</v>
      </c>
      <c r="U710" s="8">
        <f t="shared" si="86"/>
        <v>180</v>
      </c>
      <c r="V710" s="234">
        <f t="shared" si="85"/>
        <v>44664.155246160299</v>
      </c>
      <c r="W710" s="15">
        <v>25</v>
      </c>
      <c r="X710" s="8">
        <f t="shared" si="87"/>
        <v>4.5</v>
      </c>
      <c r="Y710" s="233">
        <f t="shared" si="88"/>
        <v>2982.5</v>
      </c>
    </row>
    <row r="711" spans="1:25">
      <c r="A711" s="156" t="e" cm="1">
        <f t="array" aca="1" ref="A711" ca="1">_xlfn.IFS(E711=$AB$42,$AC$42,E711=$AB$43,$AC$43,E711=$AB$44,$AC$44,E711=$AB$45,$AC$45,E711=$AB$46,$AC$46,E711=$AB$47,$AC$47,E711=$AB$48,$AC$48,E711=$AB$49,$AC$49,E711=$AB$50,$AC$50,E711=$AB$51,$AC$51,E711=$AB$52,$AC$52,E711=$AB$53,$AC$53,E711=$AB$54,$AC$54,E711=$AB$55,$AC$55,E711=$AB$56,$AC$56,E711=$AB$57,$AC$57,E711=$AB$58,$AC$58,E711=$AB$59,$AC$59,E711=$AB$60,$AC$60,E711=$AB$61,$AC$61,E711=$AB$62,$AC$62,E711=$AB$63,$AC$63,E711=$AB$64,$AC$64,E711=$AB$65,$AC$65,E711=$AB$66,$AC$66,TRUE,"0")</f>
        <v>#NAME?</v>
      </c>
      <c r="C711" s="161" t="str" cm="1">
        <f t="array" ref="C711">_xlfn.IFS(E711=$AB$42,$AF$42,E711=$AB$43,$AF$43,E711=$AB$44,$AF$44,E711=$AB$45,$AF$45,E711=$AB$46,$AF$46,E711=$AB$47,$AF$47,E711=$AB$48,$AF$48,E711=$AB$49,$AF$49,E711=$AB$50,$AF$50,E711=$AB$51,$AF$51,E711=$AB$52,$AF$52,E711=$AB$53,$AF$53,E711=$AB$54,$AF$54,E711=$AB$55,$AF$55,E711=$AB$56,$AF$56,E711=$AB$57,$AF$57,E711=$AB$58,$AF$58,E711=$AB$59,$AF$59,E711=$AB$60,$AF$60,E711=$AB$61,$AF$61,E711=$AB$62,$AF$62,E711=$AB$63,$AF$63,E711=$AB$64,$AF$64,E711=$AB$65,$AF$65,E711=$AB$66,$AF$66,TRUE,"0")</f>
        <v>if 0-0, BACK+ 0.5 GOALS  @ 1.15+odds.  or @ 40 mins</v>
      </c>
      <c r="D711" s="270" t="str" cm="1">
        <f t="array" ref="D711">_xlfn.IFS(E711=$AB$42,$AD$42,E711=$AB$43,$AD$43,E711=$AB$44,$AD$44,E711=$AB$45,$AD$45,E711=$AB$46,$AD$46,E711=$AB$47,$AD$47,E711=$AB$48,$AD$48,E711=$AB$49,$AD$49,E711=$AB$50,$AD$50,E711=$AB$51,$AD$51,E711=$AB$52,$AD$52,E711=$AB$53,$AD$53,E711=$AB$54,$AD$54,E711=$AB$55,$AD$55,E711=$AB$56,$AD$56,E711=$AB$57,$AD$57,E711=$AB$58,$AD$58,E711=$AB$59,$AD$59,E711=$AB$60,$AD$60,E711=$AB$61,$AD$61,E711=$AB$62,$AD$62,E711=$AB$63,$AD$63,E711=$AB$64,$AD$64,E711=$AB$65,$AD$65,E711=$AB$66,$AD$66,TRUE,"0")</f>
        <v>IP</v>
      </c>
      <c r="E711" s="163" t="s">
        <v>270</v>
      </c>
      <c r="F711" s="2" t="s">
        <v>6</v>
      </c>
      <c r="G711" s="2" t="s">
        <v>62</v>
      </c>
      <c r="H711" s="3">
        <v>45381.625</v>
      </c>
      <c r="I711" s="2" t="s">
        <v>116</v>
      </c>
      <c r="J711" s="2" t="s">
        <v>86</v>
      </c>
      <c r="K711" s="2">
        <v>67</v>
      </c>
      <c r="L711" s="2">
        <v>0</v>
      </c>
      <c r="M711" s="2">
        <v>20</v>
      </c>
      <c r="N711" s="2">
        <v>22</v>
      </c>
      <c r="O711" s="2">
        <v>3.37</v>
      </c>
      <c r="P711" s="2"/>
      <c r="Q711" s="2" t="s">
        <v>95</v>
      </c>
      <c r="R711" s="10" t="s">
        <v>193</v>
      </c>
      <c r="S711" s="14" t="s">
        <v>222</v>
      </c>
      <c r="T711" s="188">
        <v>1000</v>
      </c>
      <c r="U711" s="8">
        <f t="shared" si="86"/>
        <v>180</v>
      </c>
      <c r="V711" s="234">
        <f t="shared" ref="V711:V734" si="89">SUM(V710,U711)</f>
        <v>44844.155246160299</v>
      </c>
      <c r="W711" s="15">
        <v>25</v>
      </c>
      <c r="X711" s="8">
        <f t="shared" si="87"/>
        <v>4.5</v>
      </c>
      <c r="Y711" s="233">
        <f t="shared" si="88"/>
        <v>2987</v>
      </c>
    </row>
    <row r="712" spans="1:25">
      <c r="A712" s="156" t="e" cm="1">
        <f t="array" aca="1" ref="A712" ca="1">_xlfn.IFS(E712=$AB$42,$AC$42,E712=$AB$43,$AC$43,E712=$AB$44,$AC$44,E712=$AB$45,$AC$45,E712=$AB$46,$AC$46,E712=$AB$47,$AC$47,E712=$AB$48,$AC$48,E712=$AB$49,$AC$49,E712=$AB$50,$AC$50,E712=$AB$51,$AC$51,E712=$AB$52,$AC$52,E712=$AB$53,$AC$53,E712=$AB$54,$AC$54,E712=$AB$55,$AC$55,E712=$AB$56,$AC$56,E712=$AB$57,$AC$57,E712=$AB$58,$AC$58,E712=$AB$59,$AC$59,E712=$AB$60,$AC$60,E712=$AB$61,$AC$61,E712=$AB$62,$AC$62,E712=$AB$63,$AC$63,E712=$AB$64,$AC$64,E712=$AB$65,$AC$65,E712=$AB$66,$AC$66,TRUE,"0")</f>
        <v>#NAME?</v>
      </c>
      <c r="C712" s="161" t="str" cm="1">
        <f t="array" ref="C712">_xlfn.IFS(E712=$AB$42,$AF$42,E712=$AB$43,$AF$43,E712=$AB$44,$AF$44,E712=$AB$45,$AF$45,E712=$AB$46,$AF$46,E712=$AB$47,$AF$47,E712=$AB$48,$AF$48,E712=$AB$49,$AF$49,E712=$AB$50,$AF$50,E712=$AB$51,$AF$51,E712=$AB$52,$AF$52,E712=$AB$53,$AF$53,E712=$AB$54,$AF$54,E712=$AB$55,$AF$55,E712=$AB$56,$AF$56,E712=$AB$57,$AF$57,E712=$AB$58,$AF$58,E712=$AB$59,$AF$59,E712=$AB$60,$AF$60,E712=$AB$61,$AF$61,E712=$AB$62,$AF$62,E712=$AB$63,$AF$63,E712=$AB$64,$AF$64,E712=$AB$65,$AF$65,E712=$AB$66,$AF$66,TRUE,"0")</f>
        <v>40 mins Back ANother Goal</v>
      </c>
      <c r="D712" s="270" t="str" cm="1">
        <f t="array" ref="D712">_xlfn.IFS(E712=$AB$42,$AD$42,E712=$AB$43,$AD$43,E712=$AB$44,$AD$44,E712=$AB$45,$AD$45,E712=$AB$46,$AD$46,E712=$AB$47,$AD$47,E712=$AB$48,$AD$48,E712=$AB$49,$AD$49,E712=$AB$50,$AD$50,E712=$AB$51,$AD$51,E712=$AB$52,$AD$52,E712=$AB$53,$AD$53,E712=$AB$54,$AD$54,E712=$AB$55,$AD$55,E712=$AB$56,$AD$56,E712=$AB$57,$AD$57,E712=$AB$58,$AD$58,E712=$AB$59,$AD$59,E712=$AB$60,$AD$60,E712=$AB$61,$AD$61,E712=$AB$62,$AD$62,E712=$AB$63,$AD$63,E712=$AB$64,$AD$64,E712=$AB$65,$AD$65,E712=$AB$66,$AD$66,TRUE,"0")</f>
        <v xml:space="preserve">  BANG</v>
      </c>
      <c r="E712" s="163" t="s">
        <v>515</v>
      </c>
      <c r="F712" s="2" t="s">
        <v>119</v>
      </c>
      <c r="G712" s="2" t="s">
        <v>120</v>
      </c>
      <c r="H712" s="3">
        <v>45381.635416666664</v>
      </c>
      <c r="I712" s="2" t="s">
        <v>480</v>
      </c>
      <c r="J712" s="2" t="s">
        <v>348</v>
      </c>
      <c r="K712" s="2">
        <v>20</v>
      </c>
      <c r="L712" s="2">
        <v>70</v>
      </c>
      <c r="M712" s="2">
        <v>1.75</v>
      </c>
      <c r="N712" s="2"/>
      <c r="O712" s="2"/>
      <c r="P712" s="2"/>
      <c r="Q712" s="2" t="s">
        <v>95</v>
      </c>
      <c r="R712" s="10" t="s">
        <v>217</v>
      </c>
      <c r="S712" s="14" t="s">
        <v>218</v>
      </c>
      <c r="T712" s="188">
        <v>1000</v>
      </c>
      <c r="U712" s="8">
        <f t="shared" si="86"/>
        <v>180</v>
      </c>
      <c r="V712" s="234">
        <f t="shared" si="89"/>
        <v>45024.155246160299</v>
      </c>
      <c r="W712" s="15">
        <v>25</v>
      </c>
      <c r="X712" s="8">
        <f t="shared" si="87"/>
        <v>4.5</v>
      </c>
      <c r="Y712" s="233">
        <f t="shared" si="88"/>
        <v>2991.5</v>
      </c>
    </row>
    <row r="713" spans="1:25">
      <c r="A713" s="156" t="e" cm="1">
        <f t="array" aca="1" ref="A713" ca="1">_xlfn.IFS(E713=$AB$42,$AC$42,E713=$AB$43,$AC$43,E713=$AB$44,$AC$44,E713=$AB$45,$AC$45,E713=$AB$46,$AC$46,E713=$AB$47,$AC$47,E713=$AB$48,$AC$48,E713=$AB$49,$AC$49,E713=$AB$50,$AC$50,E713=$AB$51,$AC$51,E713=$AB$52,$AC$52,E713=$AB$53,$AC$53,E713=$AB$54,$AC$54,E713=$AB$55,$AC$55,E713=$AB$56,$AC$56,E713=$AB$57,$AC$57,E713=$AB$58,$AC$58,E713=$AB$59,$AC$59,E713=$AB$60,$AC$60,E713=$AB$61,$AC$61,E713=$AB$62,$AC$62,E713=$AB$63,$AC$63,E713=$AB$64,$AC$64,E713=$AB$65,$AC$65,E713=$AB$66,$AC$66,TRUE,"0")</f>
        <v>#NAME?</v>
      </c>
      <c r="C713" s="161" t="str" cm="1">
        <f t="array" ref="C713">_xlfn.IFS(E713=$AB$42,$AF$42,E713=$AB$43,$AF$43,E713=$AB$44,$AF$44,E713=$AB$45,$AF$45,E713=$AB$46,$AF$46,E713=$AB$47,$AF$47,E713=$AB$48,$AF$48,E713=$AB$49,$AF$49,E713=$AB$50,$AF$50,E713=$AB$51,$AF$51,E713=$AB$52,$AF$52,E713=$AB$53,$AF$53,E713=$AB$54,$AF$54,E713=$AB$55,$AF$55,E713=$AB$56,$AF$56,E713=$AB$57,$AF$57,E713=$AB$58,$AF$58,E713=$AB$59,$AF$59,E713=$AB$60,$AF$60,E713=$AB$61,$AF$61,E713=$AB$62,$AF$62,E713=$AB$63,$AF$63,E713=$AB$64,$AF$64,E713=$AB$65,$AF$65,E713=$AB$66,$AF$66,TRUE,"0")</f>
        <v>B4 match BACK FT +1.5 goals. X AFTER  GOAL</v>
      </c>
      <c r="D713" s="270" t="str" cm="1">
        <f t="array" ref="D713">_xlfn.IFS(E713=$AB$42,$AD$42,E713=$AB$43,$AD$43,E713=$AB$44,$AD$44,E713=$AB$45,$AD$45,E713=$AB$46,$AD$46,E713=$AB$47,$AD$47,E713=$AB$48,$AD$48,E713=$AB$49,$AD$49,E713=$AB$50,$AD$50,E713=$AB$51,$AD$51,E713=$AB$52,$AD$52,E713=$AB$53,$AD$53,E713=$AB$54,$AD$54,E713=$AB$55,$AD$55,E713=$AB$56,$AD$56,E713=$AB$57,$AD$57,E713=$AB$58,$AD$58,E713=$AB$59,$AD$59,E713=$AB$60,$AD$60,E713=$AB$61,$AD$61,E713=$AB$62,$AD$62,E713=$AB$63,$AD$63,E713=$AB$64,$AD$64,E713=$AB$65,$AD$65,E713=$AB$66,$AD$66,TRUE,"0")</f>
        <v xml:space="preserve">BFM </v>
      </c>
      <c r="E713" s="163" t="s">
        <v>531</v>
      </c>
      <c r="F713" s="2" t="s">
        <v>149</v>
      </c>
      <c r="G713" s="2" t="s">
        <v>153</v>
      </c>
      <c r="H713" s="3">
        <v>45381.645833333336</v>
      </c>
      <c r="I713" s="2" t="s">
        <v>241</v>
      </c>
      <c r="J713" s="2" t="s">
        <v>188</v>
      </c>
      <c r="K713" s="2">
        <v>4.3</v>
      </c>
      <c r="L713" s="2">
        <v>26</v>
      </c>
      <c r="M713" s="2">
        <v>3.65</v>
      </c>
      <c r="N713" s="2">
        <v>27</v>
      </c>
      <c r="O713" s="2">
        <v>7</v>
      </c>
      <c r="P713" s="2">
        <v>13</v>
      </c>
      <c r="Q713" s="2" t="s">
        <v>95</v>
      </c>
      <c r="R713" s="10" t="s">
        <v>216</v>
      </c>
      <c r="S713" s="14" t="s">
        <v>215</v>
      </c>
      <c r="T713" s="188">
        <v>1000</v>
      </c>
      <c r="U713" s="8">
        <f t="shared" si="86"/>
        <v>180</v>
      </c>
      <c r="V713" s="234">
        <f t="shared" si="89"/>
        <v>45204.155246160299</v>
      </c>
      <c r="W713" s="15">
        <v>25</v>
      </c>
      <c r="X713" s="8">
        <f t="shared" si="87"/>
        <v>4.5</v>
      </c>
      <c r="Y713" s="233">
        <f t="shared" si="88"/>
        <v>2996</v>
      </c>
    </row>
    <row r="714" spans="1:25">
      <c r="A714" s="156" t="e" cm="1">
        <f t="array" aca="1" ref="A714" ca="1">_xlfn.IFS(E714=$AB$42,$AC$42,E714=$AB$43,$AC$43,E714=$AB$44,$AC$44,E714=$AB$45,$AC$45,E714=$AB$46,$AC$46,E714=$AB$47,$AC$47,E714=$AB$48,$AC$48,E714=$AB$49,$AC$49,E714=$AB$50,$AC$50,E714=$AB$51,$AC$51,E714=$AB$52,$AC$52,E714=$AB$53,$AC$53,E714=$AB$54,$AC$54,E714=$AB$55,$AC$55,E714=$AB$56,$AC$56,E714=$AB$57,$AC$57,E714=$AB$58,$AC$58,E714=$AB$59,$AC$59,E714=$AB$60,$AC$60,E714=$AB$61,$AC$61,E714=$AB$62,$AC$62,E714=$AB$63,$AC$63,E714=$AB$64,$AC$64,E714=$AB$65,$AC$65,E714=$AB$66,$AC$66,TRUE,"0")</f>
        <v>#NAME?</v>
      </c>
      <c r="C714" s="161" t="str" cm="1">
        <f t="array" ref="C714">_xlfn.IFS(E714=$AB$42,$AF$42,E714=$AB$43,$AF$43,E714=$AB$44,$AF$44,E714=$AB$45,$AF$45,E714=$AB$46,$AF$46,E714=$AB$47,$AF$47,E714=$AB$48,$AF$48,E714=$AB$49,$AF$49,E714=$AB$50,$AF$50,E714=$AB$51,$AF$51,E714=$AB$52,$AF$52,E714=$AB$53,$AF$53,E714=$AB$54,$AF$54,E714=$AB$55,$AF$55,E714=$AB$56,$AF$56,E714=$AB$57,$AF$57,E714=$AB$58,$AF$58,E714=$AB$59,$AF$59,E714=$AB$60,$AF$60,E714=$AB$61,$AF$61,E714=$AB$62,$AF$62,E714=$AB$63,$AF$63,E714=$AB$64,$AF$64,E714=$AB$65,$AF$65,E714=$AB$66,$AF$66,TRUE,"0")</f>
        <v>if 0-0, BACK+ 0.5 GOALS  @ 1.15+odds.  or @ 40 mins</v>
      </c>
      <c r="D714" s="270" t="str" cm="1">
        <f t="array" ref="D714">_xlfn.IFS(E714=$AB$42,$AD$42,E714=$AB$43,$AD$43,E714=$AB$44,$AD$44,E714=$AB$45,$AD$45,E714=$AB$46,$AD$46,E714=$AB$47,$AD$47,E714=$AB$48,$AD$48,E714=$AB$49,$AD$49,E714=$AB$50,$AD$50,E714=$AB$51,$AD$51,E714=$AB$52,$AD$52,E714=$AB$53,$AD$53,E714=$AB$54,$AD$54,E714=$AB$55,$AD$55,E714=$AB$56,$AD$56,E714=$AB$57,$AD$57,E714=$AB$58,$AD$58,E714=$AB$59,$AD$59,E714=$AB$60,$AD$60,E714=$AB$61,$AD$61,E714=$AB$62,$AD$62,E714=$AB$63,$AD$63,E714=$AB$64,$AD$64,E714=$AB$65,$AD$65,E714=$AB$66,$AD$66,TRUE,"0")</f>
        <v>IP</v>
      </c>
      <c r="E714" s="163" t="s">
        <v>270</v>
      </c>
      <c r="F714" s="2" t="s">
        <v>296</v>
      </c>
      <c r="G714" s="2" t="s">
        <v>78</v>
      </c>
      <c r="H714" s="3">
        <v>45381.708333333336</v>
      </c>
      <c r="I714" s="2" t="s">
        <v>360</v>
      </c>
      <c r="J714" s="2" t="s">
        <v>368</v>
      </c>
      <c r="K714" s="2">
        <v>64</v>
      </c>
      <c r="L714" s="2">
        <v>0</v>
      </c>
      <c r="M714" s="2">
        <v>20</v>
      </c>
      <c r="N714" s="2">
        <v>33</v>
      </c>
      <c r="O714" s="2">
        <v>2.04</v>
      </c>
      <c r="P714" s="2"/>
      <c r="Q714" s="2" t="s">
        <v>95</v>
      </c>
      <c r="R714" s="10" t="s">
        <v>221</v>
      </c>
      <c r="S714" s="14" t="s">
        <v>211</v>
      </c>
      <c r="T714" s="188">
        <v>1000</v>
      </c>
      <c r="U714" s="8">
        <f t="shared" si="86"/>
        <v>180</v>
      </c>
      <c r="V714" s="234">
        <f t="shared" si="89"/>
        <v>45384.155246160299</v>
      </c>
      <c r="W714" s="15">
        <v>25</v>
      </c>
      <c r="X714" s="8">
        <f t="shared" si="87"/>
        <v>4.5</v>
      </c>
      <c r="Y714" s="233">
        <f t="shared" si="88"/>
        <v>3000.5</v>
      </c>
    </row>
    <row r="715" spans="1:25">
      <c r="A715" s="156" t="e" cm="1">
        <f t="array" aca="1" ref="A715" ca="1">_xlfn.IFS(E715=$AB$42,$AC$42,E715=$AB$43,$AC$43,E715=$AB$44,$AC$44,E715=$AB$45,$AC$45,E715=$AB$46,$AC$46,E715=$AB$47,$AC$47,E715=$AB$48,$AC$48,E715=$AB$49,$AC$49,E715=$AB$50,$AC$50,E715=$AB$51,$AC$51,E715=$AB$52,$AC$52,E715=$AB$53,$AC$53,E715=$AB$54,$AC$54,E715=$AB$55,$AC$55,E715=$AB$56,$AC$56,E715=$AB$57,$AC$57,E715=$AB$58,$AC$58,E715=$AB$59,$AC$59,E715=$AB$60,$AC$60,E715=$AB$61,$AC$61,E715=$AB$62,$AC$62,E715=$AB$63,$AC$63,E715=$AB$64,$AC$64,E715=$AB$65,$AC$65,E715=$AB$66,$AC$66,TRUE,"0")</f>
        <v>#NAME?</v>
      </c>
      <c r="C715" s="161" t="str" cm="1">
        <f t="array" ref="C715">_xlfn.IFS(E715=$AB$42,$AF$42,E715=$AB$43,$AF$43,E715=$AB$44,$AF$44,E715=$AB$45,$AF$45,E715=$AB$46,$AF$46,E715=$AB$47,$AF$47,E715=$AB$48,$AF$48,E715=$AB$49,$AF$49,E715=$AB$50,$AF$50,E715=$AB$51,$AF$51,E715=$AB$52,$AF$52,E715=$AB$53,$AF$53,E715=$AB$54,$AF$54,E715=$AB$55,$AF$55,E715=$AB$56,$AF$56,E715=$AB$57,$AF$57,E715=$AB$58,$AF$58,E715=$AB$59,$AF$59,E715=$AB$60,$AF$60,E715=$AB$61,$AF$61,E715=$AB$62,$AF$62,E715=$AB$63,$AF$63,E715=$AB$64,$AF$64,E715=$AB$65,$AF$65,E715=$AB$66,$AF$66,TRUE,"0")</f>
        <v>B4 MATCH bet H1 'under 2.5goals'- X at 40 minutes</v>
      </c>
      <c r="D715" s="270" t="str" cm="1">
        <f t="array" ref="D715">_xlfn.IFS(E715=$AB$42,$AD$42,E715=$AB$43,$AD$43,E715=$AB$44,$AD$44,E715=$AB$45,$AD$45,E715=$AB$46,$AD$46,E715=$AB$47,$AD$47,E715=$AB$48,$AD$48,E715=$AB$49,$AD$49,E715=$AB$50,$AD$50,E715=$AB$51,$AD$51,E715=$AB$52,$AD$52,E715=$AB$53,$AD$53,E715=$AB$54,$AD$54,E715=$AB$55,$AD$55,E715=$AB$56,$AD$56,E715=$AB$57,$AD$57,E715=$AB$58,$AD$58,E715=$AB$59,$AD$59,E715=$AB$60,$AD$60,E715=$AB$61,$AD$61,E715=$AB$62,$AD$62,E715=$AB$63,$AD$63,E715=$AB$64,$AD$64,E715=$AB$65,$AD$65,E715=$AB$66,$AD$66,TRUE,"0")</f>
        <v xml:space="preserve">BFM </v>
      </c>
      <c r="E715" s="164" t="s">
        <v>458</v>
      </c>
      <c r="F715" s="2" t="s">
        <v>119</v>
      </c>
      <c r="G715" s="2" t="s">
        <v>166</v>
      </c>
      <c r="H715" s="3">
        <v>45381.729166666664</v>
      </c>
      <c r="I715" s="2" t="s">
        <v>238</v>
      </c>
      <c r="J715" s="2" t="s">
        <v>606</v>
      </c>
      <c r="K715" s="2">
        <v>20</v>
      </c>
      <c r="L715" s="2">
        <v>80</v>
      </c>
      <c r="M715" s="2">
        <v>100</v>
      </c>
      <c r="N715" s="2">
        <v>49</v>
      </c>
      <c r="O715" s="2">
        <v>1.65</v>
      </c>
      <c r="P715" s="2"/>
      <c r="Q715" s="2" t="s">
        <v>95</v>
      </c>
      <c r="R715" s="10" t="s">
        <v>221</v>
      </c>
      <c r="S715" s="14" t="s">
        <v>216</v>
      </c>
      <c r="T715" s="188">
        <v>1000</v>
      </c>
      <c r="U715" s="8">
        <f t="shared" si="86"/>
        <v>180</v>
      </c>
      <c r="V715" s="234">
        <f t="shared" si="89"/>
        <v>45564.155246160299</v>
      </c>
      <c r="W715" s="15">
        <v>25</v>
      </c>
      <c r="X715" s="8">
        <f t="shared" si="87"/>
        <v>4.5</v>
      </c>
      <c r="Y715" s="233">
        <f t="shared" si="88"/>
        <v>3005</v>
      </c>
    </row>
    <row r="716" spans="1:25">
      <c r="A716" s="156" t="e" cm="1">
        <f t="array" aca="1" ref="A716" ca="1">_xlfn.IFS(E716=$AB$42,$AC$42,E716=$AB$43,$AC$43,E716=$AB$44,$AC$44,E716=$AB$45,$AC$45,E716=$AB$46,$AC$46,E716=$AB$47,$AC$47,E716=$AB$48,$AC$48,E716=$AB$49,$AC$49,E716=$AB$50,$AC$50,E716=$AB$51,$AC$51,E716=$AB$52,$AC$52,E716=$AB$53,$AC$53,E716=$AB$54,$AC$54,E716=$AB$55,$AC$55,E716=$AB$56,$AC$56,E716=$AB$57,$AC$57,E716=$AB$58,$AC$58,E716=$AB$59,$AC$59,E716=$AB$60,$AC$60,E716=$AB$61,$AC$61,E716=$AB$62,$AC$62,E716=$AB$63,$AC$63,E716=$AB$64,$AC$64,E716=$AB$65,$AC$65,E716=$AB$66,$AC$66,TRUE,"0")</f>
        <v>#NAME?</v>
      </c>
      <c r="C716" s="161" t="str" cm="1">
        <f t="array" ref="C716">_xlfn.IFS(E716=$AB$42,$AF$42,E716=$AB$43,$AF$43,E716=$AB$44,$AF$44,E716=$AB$45,$AF$45,E716=$AB$46,$AF$46,E716=$AB$47,$AF$47,E716=$AB$48,$AF$48,E716=$AB$49,$AF$49,E716=$AB$50,$AF$50,E716=$AB$51,$AF$51,E716=$AB$52,$AF$52,E716=$AB$53,$AF$53,E716=$AB$54,$AF$54,E716=$AB$55,$AF$55,E716=$AB$56,$AF$56,E716=$AB$57,$AF$57,E716=$AB$58,$AF$58,E716=$AB$59,$AF$59,E716=$AB$60,$AF$60,E716=$AB$61,$AF$61,E716=$AB$62,$AF$62,E716=$AB$63,$AF$63,E716=$AB$64,$AF$64,E716=$AB$65,$AF$65,E716=$AB$66,$AF$66,TRUE,"0")</f>
        <v>B4 match BACK FT +1.5 goals. X AFTER  GOAL</v>
      </c>
      <c r="D716" s="270" t="str" cm="1">
        <f t="array" ref="D716">_xlfn.IFS(E716=$AB$42,$AD$42,E716=$AB$43,$AD$43,E716=$AB$44,$AD$44,E716=$AB$45,$AD$45,E716=$AB$46,$AD$46,E716=$AB$47,$AD$47,E716=$AB$48,$AD$48,E716=$AB$49,$AD$49,E716=$AB$50,$AD$50,E716=$AB$51,$AD$51,E716=$AB$52,$AD$52,E716=$AB$53,$AD$53,E716=$AB$54,$AD$54,E716=$AB$55,$AD$55,E716=$AB$56,$AD$56,E716=$AB$57,$AD$57,E716=$AB$58,$AD$58,E716=$AB$59,$AD$59,E716=$AB$60,$AD$60,E716=$AB$61,$AD$61,E716=$AB$62,$AD$62,E716=$AB$63,$AD$63,E716=$AB$64,$AD$64,E716=$AB$65,$AD$65,E716=$AB$66,$AD$66,TRUE,"0")</f>
        <v xml:space="preserve">BFM </v>
      </c>
      <c r="E716" s="163" t="s">
        <v>623</v>
      </c>
      <c r="F716" s="2" t="s">
        <v>77</v>
      </c>
      <c r="G716" s="2" t="s">
        <v>156</v>
      </c>
      <c r="H716" s="3">
        <v>45381.729166666664</v>
      </c>
      <c r="I716" s="2" t="s">
        <v>157</v>
      </c>
      <c r="J716" s="2" t="s">
        <v>552</v>
      </c>
      <c r="K716" s="2">
        <v>2.98</v>
      </c>
      <c r="L716" s="2">
        <v>20</v>
      </c>
      <c r="M716" s="2">
        <v>3.4</v>
      </c>
      <c r="N716" s="2">
        <v>25</v>
      </c>
      <c r="O716" s="2">
        <v>3</v>
      </c>
      <c r="P716" s="2">
        <v>10</v>
      </c>
      <c r="Q716" s="2" t="s">
        <v>95</v>
      </c>
      <c r="R716" s="10" t="s">
        <v>193</v>
      </c>
      <c r="S716" s="14" t="s">
        <v>217</v>
      </c>
      <c r="T716" s="188">
        <v>1000</v>
      </c>
      <c r="U716" s="8">
        <f t="shared" si="86"/>
        <v>180</v>
      </c>
      <c r="V716" s="234">
        <f t="shared" si="89"/>
        <v>45744.155246160299</v>
      </c>
      <c r="W716" s="15">
        <v>25</v>
      </c>
      <c r="X716" s="8">
        <f t="shared" si="87"/>
        <v>4.5</v>
      </c>
      <c r="Y716" s="233">
        <f t="shared" si="88"/>
        <v>3009.5</v>
      </c>
    </row>
    <row r="717" spans="1:25">
      <c r="A717" s="156" t="e" cm="1">
        <f t="array" aca="1" ref="A717" ca="1">_xlfn.IFS(E717=$AB$42,$AC$42,E717=$AB$43,$AC$43,E717=$AB$44,$AC$44,E717=$AB$45,$AC$45,E717=$AB$46,$AC$46,E717=$AB$47,$AC$47,E717=$AB$48,$AC$48,E717=$AB$49,$AC$49,E717=$AB$50,$AC$50,E717=$AB$51,$AC$51,E717=$AB$52,$AC$52,E717=$AB$53,$AC$53,E717=$AB$54,$AC$54,E717=$AB$55,$AC$55,E717=$AB$56,$AC$56,E717=$AB$57,$AC$57,E717=$AB$58,$AC$58,E717=$AB$59,$AC$59,E717=$AB$60,$AC$60,E717=$AB$61,$AC$61,E717=$AB$62,$AC$62,E717=$AB$63,$AC$63,E717=$AB$64,$AC$64,E717=$AB$65,$AC$65,E717=$AB$66,$AC$66,TRUE,"0")</f>
        <v>#NAME?</v>
      </c>
      <c r="C717" s="161" t="str" cm="1">
        <f t="array" ref="C717">_xlfn.IFS(E717=$AB$42,$AF$42,E717=$AB$43,$AF$43,E717=$AB$44,$AF$44,E717=$AB$45,$AF$45,E717=$AB$46,$AF$46,E717=$AB$47,$AF$47,E717=$AB$48,$AF$48,E717=$AB$49,$AF$49,E717=$AB$50,$AF$50,E717=$AB$51,$AF$51,E717=$AB$52,$AF$52,E717=$AB$53,$AF$53,E717=$AB$54,$AF$54,E717=$AB$55,$AF$55,E717=$AB$56,$AF$56,E717=$AB$57,$AF$57,E717=$AB$58,$AF$58,E717=$AB$59,$AF$59,E717=$AB$60,$AF$60,E717=$AB$61,$AF$61,E717=$AB$62,$AF$62,E717=$AB$63,$AF$63,E717=$AB$64,$AF$64,E717=$AB$65,$AF$65,E717=$AB$66,$AF$66,TRUE,"0")</f>
        <v>B4 Match, lay HT 0-0 or BACK H1 +0.5 GOALS</v>
      </c>
      <c r="D717" s="270" t="str" cm="1">
        <f t="array" ref="D717">_xlfn.IFS(E717=$AB$42,$AD$42,E717=$AB$43,$AD$43,E717=$AB$44,$AD$44,E717=$AB$45,$AD$45,E717=$AB$46,$AD$46,E717=$AB$47,$AD$47,E717=$AB$48,$AD$48,E717=$AB$49,$AD$49,E717=$AB$50,$AD$50,E717=$AB$51,$AD$51,E717=$AB$52,$AD$52,E717=$AB$53,$AD$53,E717=$AB$54,$AD$54,E717=$AB$55,$AD$55,E717=$AB$56,$AD$56,E717=$AB$57,$AD$57,E717=$AB$58,$AD$58,E717=$AB$59,$AD$59,E717=$AB$60,$AD$60,E717=$AB$61,$AD$61,E717=$AB$62,$AD$62,E717=$AB$63,$AD$63,E717=$AB$64,$AD$64,E717=$AB$65,$AD$65,E717=$AB$66,$AD$66,TRUE,"0")</f>
        <v xml:space="preserve">BFM </v>
      </c>
      <c r="E717" s="163" t="s">
        <v>448</v>
      </c>
      <c r="F717" s="2" t="s">
        <v>145</v>
      </c>
      <c r="G717" s="2" t="s">
        <v>268</v>
      </c>
      <c r="H717" s="3">
        <v>45381.75</v>
      </c>
      <c r="I717" s="2" t="s">
        <v>638</v>
      </c>
      <c r="J717" s="2" t="s">
        <v>639</v>
      </c>
      <c r="K717" s="2">
        <v>20</v>
      </c>
      <c r="L717" s="2">
        <v>10</v>
      </c>
      <c r="M717" s="2">
        <v>37</v>
      </c>
      <c r="N717" s="2">
        <v>8</v>
      </c>
      <c r="O717" s="2">
        <v>4</v>
      </c>
      <c r="P717" s="2">
        <v>5</v>
      </c>
      <c r="Q717" s="2" t="s">
        <v>95</v>
      </c>
      <c r="R717" s="10" t="s">
        <v>193</v>
      </c>
      <c r="S717" s="14" t="s">
        <v>213</v>
      </c>
      <c r="T717" s="188">
        <v>1000</v>
      </c>
      <c r="U717" s="8">
        <f t="shared" si="86"/>
        <v>180</v>
      </c>
      <c r="V717" s="234">
        <f t="shared" si="89"/>
        <v>45924.155246160299</v>
      </c>
      <c r="W717" s="15">
        <v>25</v>
      </c>
      <c r="X717" s="8">
        <f t="shared" si="87"/>
        <v>4.5</v>
      </c>
      <c r="Y717" s="233">
        <f t="shared" si="88"/>
        <v>3014</v>
      </c>
    </row>
    <row r="718" spans="1:25">
      <c r="A718" s="156" t="e" cm="1">
        <f t="array" aca="1" ref="A718" ca="1">_xlfn.IFS(E718=$AB$42,$AC$42,E718=$AB$43,$AC$43,E718=$AB$44,$AC$44,E718=$AB$45,$AC$45,E718=$AB$46,$AC$46,E718=$AB$47,$AC$47,E718=$AB$48,$AC$48,E718=$AB$49,$AC$49,E718=$AB$50,$AC$50,E718=$AB$51,$AC$51,E718=$AB$52,$AC$52,E718=$AB$53,$AC$53,E718=$AB$54,$AC$54,E718=$AB$55,$AC$55,E718=$AB$56,$AC$56,E718=$AB$57,$AC$57,E718=$AB$58,$AC$58,E718=$AB$59,$AC$59,E718=$AB$60,$AC$60,E718=$AB$61,$AC$61,E718=$AB$62,$AC$62,E718=$AB$63,$AC$63,E718=$AB$64,$AC$64,E718=$AB$65,$AC$65,E718=$AB$66,$AC$66,TRUE,"0")</f>
        <v>#NAME?</v>
      </c>
      <c r="C718" s="161" t="str" cm="1">
        <f t="array" ref="C718">_xlfn.IFS(E718=$AB$42,$AF$42,E718=$AB$43,$AF$43,E718=$AB$44,$AF$44,E718=$AB$45,$AF$45,E718=$AB$46,$AF$46,E718=$AB$47,$AF$47,E718=$AB$48,$AF$48,E718=$AB$49,$AF$49,E718=$AB$50,$AF$50,E718=$AB$51,$AF$51,E718=$AB$52,$AF$52,E718=$AB$53,$AF$53,E718=$AB$54,$AF$54,E718=$AB$55,$AF$55,E718=$AB$56,$AF$56,E718=$AB$57,$AF$57,E718=$AB$58,$AF$58,E718=$AB$59,$AF$59,E718=$AB$60,$AF$60,E718=$AB$61,$AF$61,E718=$AB$62,$AF$62,E718=$AB$63,$AF$63,E718=$AB$64,$AF$64,E718=$AB$65,$AF$65,E718=$AB$66,$AF$66,TRUE,"0")</f>
        <v>20mins if  0-0, BACK over 1.5 goals X after goal OR LET RUN</v>
      </c>
      <c r="D718" s="270" t="str" cm="1">
        <f t="array" ref="D718">_xlfn.IFS(E718=$AB$42,$AD$42,E718=$AB$43,$AD$43,E718=$AB$44,$AD$44,E718=$AB$45,$AD$45,E718=$AB$46,$AD$46,E718=$AB$47,$AD$47,E718=$AB$48,$AD$48,E718=$AB$49,$AD$49,E718=$AB$50,$AD$50,E718=$AB$51,$AD$51,E718=$AB$52,$AD$52,E718=$AB$53,$AD$53,E718=$AB$54,$AD$54,E718=$AB$55,$AD$55,E718=$AB$56,$AD$56,E718=$AB$57,$AD$57,E718=$AB$58,$AD$58,E718=$AB$59,$AD$59,E718=$AB$60,$AD$60,E718=$AB$61,$AD$61,E718=$AB$62,$AD$62,E718=$AB$63,$AD$63,E718=$AB$64,$AD$64,E718=$AB$65,$AD$65,E718=$AB$66,$AD$66,TRUE,"0")</f>
        <v>IP</v>
      </c>
      <c r="E718" s="163" t="s">
        <v>474</v>
      </c>
      <c r="F718" s="2" t="s">
        <v>145</v>
      </c>
      <c r="G718" s="2" t="s">
        <v>268</v>
      </c>
      <c r="H718" s="3">
        <v>45381.75</v>
      </c>
      <c r="I718" s="2" t="s">
        <v>638</v>
      </c>
      <c r="J718" s="2" t="s">
        <v>639</v>
      </c>
      <c r="K718" s="2">
        <v>52</v>
      </c>
      <c r="L718" s="2">
        <v>2.9</v>
      </c>
      <c r="M718" s="2">
        <v>20</v>
      </c>
      <c r="N718" s="2">
        <v>60</v>
      </c>
      <c r="O718" s="2">
        <v>90</v>
      </c>
      <c r="P718" s="2"/>
      <c r="Q718" s="2" t="s">
        <v>95</v>
      </c>
      <c r="R718" s="10" t="s">
        <v>193</v>
      </c>
      <c r="S718" s="14" t="s">
        <v>213</v>
      </c>
      <c r="T718" s="188">
        <v>1000</v>
      </c>
      <c r="U718" s="8">
        <f t="shared" si="86"/>
        <v>180</v>
      </c>
      <c r="V718" s="234">
        <f t="shared" si="89"/>
        <v>46104.155246160299</v>
      </c>
      <c r="W718" s="15">
        <v>25</v>
      </c>
      <c r="X718" s="8">
        <f t="shared" si="87"/>
        <v>4.5</v>
      </c>
      <c r="Y718" s="233">
        <f t="shared" si="88"/>
        <v>3018.5</v>
      </c>
    </row>
    <row r="719" spans="1:25">
      <c r="A719" s="156" t="e" cm="1">
        <f t="array" aca="1" ref="A719" ca="1">_xlfn.IFS(E719=$AB$42,$AC$42,E719=$AB$43,$AC$43,E719=$AB$44,$AC$44,E719=$AB$45,$AC$45,E719=$AB$46,$AC$46,E719=$AB$47,$AC$47,E719=$AB$48,$AC$48,E719=$AB$49,$AC$49,E719=$AB$50,$AC$50,E719=$AB$51,$AC$51,E719=$AB$52,$AC$52,E719=$AB$53,$AC$53,E719=$AB$54,$AC$54,E719=$AB$55,$AC$55,E719=$AB$56,$AC$56,E719=$AB$57,$AC$57,E719=$AB$58,$AC$58,E719=$AB$59,$AC$59,E719=$AB$60,$AC$60,E719=$AB$61,$AC$61,E719=$AB$62,$AC$62,E719=$AB$63,$AC$63,E719=$AB$64,$AC$64,E719=$AB$65,$AC$65,E719=$AB$66,$AC$66,TRUE,"0")</f>
        <v>#NAME?</v>
      </c>
      <c r="C719" s="161" t="str" cm="1">
        <f t="array" ref="C719">_xlfn.IFS(E719=$AB$42,$AF$42,E719=$AB$43,$AF$43,E719=$AB$44,$AF$44,E719=$AB$45,$AF$45,E719=$AB$46,$AF$46,E719=$AB$47,$AF$47,E719=$AB$48,$AF$48,E719=$AB$49,$AF$49,E719=$AB$50,$AF$50,E719=$AB$51,$AF$51,E719=$AB$52,$AF$52,E719=$AB$53,$AF$53,E719=$AB$54,$AF$54,E719=$AB$55,$AF$55,E719=$AB$56,$AF$56,E719=$AB$57,$AF$57,E719=$AB$58,$AF$58,E719=$AB$59,$AF$59,E719=$AB$60,$AF$60,E719=$AB$61,$AF$61,E719=$AB$62,$AF$62,E719=$AB$63,$AF$63,E719=$AB$64,$AF$64,E719=$AB$65,$AF$65,E719=$AB$66,$AF$66,TRUE,"0")</f>
        <v>B4 match BACK FT +1.5 goals. X AFTER  GOAL</v>
      </c>
      <c r="D719" s="270" t="str" cm="1">
        <f t="array" ref="D719">_xlfn.IFS(E719=$AB$42,$AD$42,E719=$AB$43,$AD$43,E719=$AB$44,$AD$44,E719=$AB$45,$AD$45,E719=$AB$46,$AD$46,E719=$AB$47,$AD$47,E719=$AB$48,$AD$48,E719=$AB$49,$AD$49,E719=$AB$50,$AD$50,E719=$AB$51,$AD$51,E719=$AB$52,$AD$52,E719=$AB$53,$AD$53,E719=$AB$54,$AD$54,E719=$AB$55,$AD$55,E719=$AB$56,$AD$56,E719=$AB$57,$AD$57,E719=$AB$58,$AD$58,E719=$AB$59,$AD$59,E719=$AB$60,$AD$60,E719=$AB$61,$AD$61,E719=$AB$62,$AD$62,E719=$AB$63,$AD$63,E719=$AB$64,$AD$64,E719=$AB$65,$AD$65,E719=$AB$66,$AD$66,TRUE,"0")</f>
        <v xml:space="preserve">BFM </v>
      </c>
      <c r="E719" s="163" t="s">
        <v>623</v>
      </c>
      <c r="F719" s="2" t="s">
        <v>149</v>
      </c>
      <c r="G719" s="2" t="s">
        <v>153</v>
      </c>
      <c r="H719" s="3">
        <v>45381.791666666664</v>
      </c>
      <c r="I719" s="2" t="s">
        <v>369</v>
      </c>
      <c r="J719" s="2" t="s">
        <v>647</v>
      </c>
      <c r="K719" s="2">
        <v>5.9</v>
      </c>
      <c r="L719" s="2">
        <v>20</v>
      </c>
      <c r="M719" s="2">
        <v>3.55</v>
      </c>
      <c r="N719" s="2">
        <v>27</v>
      </c>
      <c r="O719" s="2">
        <v>2</v>
      </c>
      <c r="P719" s="2">
        <v>10</v>
      </c>
      <c r="Q719" s="2" t="s">
        <v>95</v>
      </c>
      <c r="R719" s="10" t="s">
        <v>214</v>
      </c>
      <c r="S719" s="14" t="s">
        <v>207</v>
      </c>
      <c r="T719" s="188">
        <v>1000</v>
      </c>
      <c r="U719" s="8">
        <f t="shared" si="86"/>
        <v>180</v>
      </c>
      <c r="V719" s="234">
        <f>SUM(V718,U719)</f>
        <v>46284.155246160299</v>
      </c>
      <c r="W719" s="15">
        <v>25</v>
      </c>
      <c r="X719" s="8">
        <f t="shared" si="87"/>
        <v>4.5</v>
      </c>
      <c r="Y719" s="233">
        <f t="shared" si="88"/>
        <v>3023</v>
      </c>
    </row>
    <row r="720" spans="1:25">
      <c r="A720" s="156" t="e" cm="1">
        <f t="array" aca="1" ref="A720" ca="1">_xlfn.IFS(E720=$AB$42,$AC$42,E720=$AB$43,$AC$43,E720=$AB$44,$AC$44,E720=$AB$45,$AC$45,E720=$AB$46,$AC$46,E720=$AB$47,$AC$47,E720=$AB$48,$AC$48,E720=$AB$49,$AC$49,E720=$AB$50,$AC$50,E720=$AB$51,$AC$51,E720=$AB$52,$AC$52,E720=$AB$53,$AC$53,E720=$AB$54,$AC$54,E720=$AB$55,$AC$55,E720=$AB$56,$AC$56,E720=$AB$57,$AC$57,E720=$AB$58,$AC$58,E720=$AB$59,$AC$59,E720=$AB$60,$AC$60,E720=$AB$61,$AC$61,E720=$AB$62,$AC$62,E720=$AB$63,$AC$63,E720=$AB$64,$AC$64,E720=$AB$65,$AC$65,E720=$AB$66,$AC$66,TRUE,"0")</f>
        <v>#NAME?</v>
      </c>
      <c r="C720" s="161" t="str" cm="1">
        <f t="array" ref="C720">_xlfn.IFS(E720=$AB$42,$AF$42,E720=$AB$43,$AF$43,E720=$AB$44,$AF$44,E720=$AB$45,$AF$45,E720=$AB$46,$AF$46,E720=$AB$47,$AF$47,E720=$AB$48,$AF$48,E720=$AB$49,$AF$49,E720=$AB$50,$AF$50,E720=$AB$51,$AF$51,E720=$AB$52,$AF$52,E720=$AB$53,$AF$53,E720=$AB$54,$AF$54,E720=$AB$55,$AF$55,E720=$AB$56,$AF$56,E720=$AB$57,$AF$57,E720=$AB$58,$AF$58,E720=$AB$59,$AF$59,E720=$AB$60,$AF$60,E720=$AB$61,$AF$61,E720=$AB$62,$AF$62,E720=$AB$63,$AF$63,E720=$AB$64,$AF$64,E720=$AB$65,$AF$65,E720=$AB$66,$AF$66,TRUE,"0")</f>
        <v>B4 match BACK FT +1.5 goals. X AFTER  GOAL</v>
      </c>
      <c r="D720" s="270" t="str" cm="1">
        <f t="array" ref="D720">_xlfn.IFS(E720=$AB$42,$AD$42,E720=$AB$43,$AD$43,E720=$AB$44,$AD$44,E720=$AB$45,$AD$45,E720=$AB$46,$AD$46,E720=$AB$47,$AD$47,E720=$AB$48,$AD$48,E720=$AB$49,$AD$49,E720=$AB$50,$AD$50,E720=$AB$51,$AD$51,E720=$AB$52,$AD$52,E720=$AB$53,$AD$53,E720=$AB$54,$AD$54,E720=$AB$55,$AD$55,E720=$AB$56,$AD$56,E720=$AB$57,$AD$57,E720=$AB$58,$AD$58,E720=$AB$59,$AD$59,E720=$AB$60,$AD$60,E720=$AB$61,$AD$61,E720=$AB$62,$AD$62,E720=$AB$63,$AD$63,E720=$AB$64,$AD$64,E720=$AB$65,$AD$65,E720=$AB$66,$AD$66,TRUE,"0")</f>
        <v xml:space="preserve">BFM </v>
      </c>
      <c r="E720" s="163" t="s">
        <v>406</v>
      </c>
      <c r="F720" s="2" t="s">
        <v>119</v>
      </c>
      <c r="G720" s="2" t="s">
        <v>120</v>
      </c>
      <c r="H720" s="3">
        <v>45381.833333333336</v>
      </c>
      <c r="I720" s="2" t="s">
        <v>361</v>
      </c>
      <c r="J720" s="2" t="s">
        <v>389</v>
      </c>
      <c r="K720" s="2">
        <v>1.29</v>
      </c>
      <c r="L720" s="2">
        <v>12.5</v>
      </c>
      <c r="M720" s="2">
        <v>3.2</v>
      </c>
      <c r="N720" s="2">
        <v>3.85</v>
      </c>
      <c r="O720" s="2">
        <v>2.86</v>
      </c>
      <c r="P720" s="2"/>
      <c r="Q720" s="2" t="s">
        <v>95</v>
      </c>
      <c r="R720" s="10" t="s">
        <v>221</v>
      </c>
      <c r="S720" s="14" t="s">
        <v>214</v>
      </c>
      <c r="T720" s="188">
        <v>1000</v>
      </c>
      <c r="U720" s="8">
        <f t="shared" si="86"/>
        <v>180</v>
      </c>
      <c r="V720" s="234">
        <f t="shared" si="89"/>
        <v>46464.155246160299</v>
      </c>
      <c r="W720" s="15">
        <v>25</v>
      </c>
      <c r="X720" s="8">
        <f t="shared" si="87"/>
        <v>4.5</v>
      </c>
      <c r="Y720" s="233">
        <f t="shared" si="88"/>
        <v>3027.5</v>
      </c>
    </row>
    <row r="721" spans="1:25">
      <c r="A721" s="156" t="e" cm="1">
        <f t="array" aca="1" ref="A721" ca="1">_xlfn.IFS(E721=$AB$42,$AC$42,E721=$AB$43,$AC$43,E721=$AB$44,$AC$44,E721=$AB$45,$AC$45,E721=$AB$46,$AC$46,E721=$AB$47,$AC$47,E721=$AB$48,$AC$48,E721=$AB$49,$AC$49,E721=$AB$50,$AC$50,E721=$AB$51,$AC$51,E721=$AB$52,$AC$52,E721=$AB$53,$AC$53,E721=$AB$54,$AC$54,E721=$AB$55,$AC$55,E721=$AB$56,$AC$56,E721=$AB$57,$AC$57,E721=$AB$58,$AC$58,E721=$AB$59,$AC$59,E721=$AB$60,$AC$60,E721=$AB$61,$AC$61,E721=$AB$62,$AC$62,E721=$AB$63,$AC$63,E721=$AB$64,$AC$64,E721=$AB$65,$AC$65,E721=$AB$66,$AC$66,TRUE,"0")</f>
        <v>#NAME?</v>
      </c>
      <c r="C721" s="161" t="str" cm="1">
        <f t="array" ref="C721">_xlfn.IFS(E721=$AB$42,$AF$42,E721=$AB$43,$AF$43,E721=$AB$44,$AF$44,E721=$AB$45,$AF$45,E721=$AB$46,$AF$46,E721=$AB$47,$AF$47,E721=$AB$48,$AF$48,E721=$AB$49,$AF$49,E721=$AB$50,$AF$50,E721=$AB$51,$AF$51,E721=$AB$52,$AF$52,E721=$AB$53,$AF$53,E721=$AB$54,$AF$54,E721=$AB$55,$AF$55,E721=$AB$56,$AF$56,E721=$AB$57,$AF$57,E721=$AB$58,$AF$58,E721=$AB$59,$AF$59,E721=$AB$60,$AF$60,E721=$AB$61,$AF$61,E721=$AB$62,$AF$62,E721=$AB$63,$AF$63,E721=$AB$64,$AF$64,E721=$AB$65,$AF$65,E721=$AB$66,$AF$66,TRUE,"0")</f>
        <v>B4 match BACK FT +1.5 goals. X AFTER  GOAL</v>
      </c>
      <c r="D721" s="270" t="str" cm="1">
        <f t="array" ref="D721">_xlfn.IFS(E721=$AB$42,$AD$42,E721=$AB$43,$AD$43,E721=$AB$44,$AD$44,E721=$AB$45,$AD$45,E721=$AB$46,$AD$46,E721=$AB$47,$AD$47,E721=$AB$48,$AD$48,E721=$AB$49,$AD$49,E721=$AB$50,$AD$50,E721=$AB$51,$AD$51,E721=$AB$52,$AD$52,E721=$AB$53,$AD$53,E721=$AB$54,$AD$54,E721=$AB$55,$AD$55,E721=$AB$56,$AD$56,E721=$AB$57,$AD$57,E721=$AB$58,$AD$58,E721=$AB$59,$AD$59,E721=$AB$60,$AD$60,E721=$AB$61,$AD$61,E721=$AB$62,$AD$62,E721=$AB$63,$AD$63,E721=$AB$64,$AD$64,E721=$AB$65,$AD$65,E721=$AB$66,$AD$66,TRUE,"0")</f>
        <v xml:space="preserve">BFM </v>
      </c>
      <c r="E721" s="163" t="s">
        <v>623</v>
      </c>
      <c r="F721" s="2" t="s">
        <v>119</v>
      </c>
      <c r="G721" s="2" t="s">
        <v>120</v>
      </c>
      <c r="H721" s="3">
        <v>45381.833333333336</v>
      </c>
      <c r="I721" s="2" t="s">
        <v>361</v>
      </c>
      <c r="J721" s="2" t="s">
        <v>389</v>
      </c>
      <c r="K721" s="2">
        <v>3.85</v>
      </c>
      <c r="L721" s="2">
        <v>20</v>
      </c>
      <c r="M721" s="2">
        <v>3.2</v>
      </c>
      <c r="N721" s="2">
        <v>34</v>
      </c>
      <c r="O721" s="2">
        <v>3</v>
      </c>
      <c r="P721" s="2">
        <v>10</v>
      </c>
      <c r="Q721" s="2" t="s">
        <v>95</v>
      </c>
      <c r="R721" s="10" t="s">
        <v>221</v>
      </c>
      <c r="S721" s="14" t="s">
        <v>214</v>
      </c>
      <c r="T721" s="188">
        <v>1000</v>
      </c>
      <c r="U721" s="8">
        <f t="shared" si="86"/>
        <v>180</v>
      </c>
      <c r="V721" s="234">
        <f t="shared" si="89"/>
        <v>46644.155246160299</v>
      </c>
      <c r="W721" s="15">
        <v>25</v>
      </c>
      <c r="X721" s="8">
        <f t="shared" si="87"/>
        <v>4.5</v>
      </c>
      <c r="Y721" s="233">
        <f t="shared" si="88"/>
        <v>3032</v>
      </c>
    </row>
    <row r="722" spans="1:25">
      <c r="A722" s="156" t="e" cm="1">
        <f t="array" aca="1" ref="A722" ca="1">_xlfn.IFS(E722=$AB$42,$AC$42,E722=$AB$43,$AC$43,E722=$AB$44,$AC$44,E722=$AB$45,$AC$45,E722=$AB$46,$AC$46,E722=$AB$47,$AC$47,E722=$AB$48,$AC$48,E722=$AB$49,$AC$49,E722=$AB$50,$AC$50,E722=$AB$51,$AC$51,E722=$AB$52,$AC$52,E722=$AB$53,$AC$53,E722=$AB$54,$AC$54,E722=$AB$55,$AC$55,E722=$AB$56,$AC$56,E722=$AB$57,$AC$57,E722=$AB$58,$AC$58,E722=$AB$59,$AC$59,E722=$AB$60,$AC$60,E722=$AB$61,$AC$61,E722=$AB$62,$AC$62,E722=$AB$63,$AC$63,E722=$AB$64,$AC$64,E722=$AB$65,$AC$65,E722=$AB$66,$AC$66,TRUE,"0")</f>
        <v>#NAME?</v>
      </c>
      <c r="C722" s="161" t="str" cm="1">
        <f t="array" ref="C722">_xlfn.IFS(E722=$AB$42,$AF$42,E722=$AB$43,$AF$43,E722=$AB$44,$AF$44,E722=$AB$45,$AF$45,E722=$AB$46,$AF$46,E722=$AB$47,$AF$47,E722=$AB$48,$AF$48,E722=$AB$49,$AF$49,E722=$AB$50,$AF$50,E722=$AB$51,$AF$51,E722=$AB$52,$AF$52,E722=$AB$53,$AF$53,E722=$AB$54,$AF$54,E722=$AB$55,$AF$55,E722=$AB$56,$AF$56,E722=$AB$57,$AF$57,E722=$AB$58,$AF$58,E722=$AB$59,$AF$59,E722=$AB$60,$AF$60,E722=$AB$61,$AF$61,E722=$AB$62,$AF$62,E722=$AB$63,$AF$63,E722=$AB$64,$AF$64,E722=$AB$65,$AF$65,E722=$AB$66,$AF$66,TRUE,"0")</f>
        <v>AT HT IF 0-0 BACK +0.5 GOALS</v>
      </c>
      <c r="D722" s="270" t="str" cm="1">
        <f t="array" ref="D722">_xlfn.IFS(E722=$AB$42,$AD$42,E722=$AB$43,$AD$43,E722=$AB$44,$AD$44,E722=$AB$45,$AD$45,E722=$AB$46,$AD$46,E722=$AB$47,$AD$47,E722=$AB$48,$AD$48,E722=$AB$49,$AD$49,E722=$AB$50,$AD$50,E722=$AB$51,$AD$51,E722=$AB$52,$AD$52,E722=$AB$53,$AD$53,E722=$AB$54,$AD$54,E722=$AB$55,$AD$55,E722=$AB$56,$AD$56,E722=$AB$57,$AD$57,E722=$AB$58,$AD$58,E722=$AB$59,$AD$59,E722=$AB$60,$AD$60,E722=$AB$61,$AD$61,E722=$AB$62,$AD$62,E722=$AB$63,$AD$63,E722=$AB$64,$AD$64,E722=$AB$65,$AD$65,E722=$AB$66,$AD$66,TRUE,"0")</f>
        <v>IP</v>
      </c>
      <c r="E722" s="163" t="s">
        <v>514</v>
      </c>
      <c r="F722" s="2" t="s">
        <v>119</v>
      </c>
      <c r="G722" s="2" t="s">
        <v>120</v>
      </c>
      <c r="H722" s="3">
        <v>45381.833333333336</v>
      </c>
      <c r="I722" s="2" t="s">
        <v>361</v>
      </c>
      <c r="J722" s="2" t="s">
        <v>389</v>
      </c>
      <c r="K722" s="2">
        <v>3.85</v>
      </c>
      <c r="L722" s="2">
        <v>140</v>
      </c>
      <c r="M722" s="2">
        <v>0</v>
      </c>
      <c r="N722" s="2">
        <v>20</v>
      </c>
      <c r="O722" s="2">
        <v>20</v>
      </c>
      <c r="P722" s="2">
        <v>34</v>
      </c>
      <c r="Q722" s="2" t="s">
        <v>95</v>
      </c>
      <c r="R722" s="10" t="s">
        <v>221</v>
      </c>
      <c r="S722" s="14" t="s">
        <v>214</v>
      </c>
      <c r="T722" s="188">
        <v>1000</v>
      </c>
      <c r="U722" s="8">
        <f t="shared" si="86"/>
        <v>180</v>
      </c>
      <c r="V722" s="234">
        <f t="shared" si="89"/>
        <v>46824.155246160299</v>
      </c>
      <c r="W722" s="15">
        <v>25</v>
      </c>
      <c r="X722" s="8">
        <f t="shared" si="87"/>
        <v>4.5</v>
      </c>
      <c r="Y722" s="233">
        <f t="shared" si="88"/>
        <v>3036.5</v>
      </c>
    </row>
    <row r="723" spans="1:25">
      <c r="A723" s="156" t="e" cm="1">
        <f t="array" aca="1" ref="A723" ca="1">_xlfn.IFS(E723=$AB$42,$AC$42,E723=$AB$43,$AC$43,E723=$AB$44,$AC$44,E723=$AB$45,$AC$45,E723=$AB$46,$AC$46,E723=$AB$47,$AC$47,E723=$AB$48,$AC$48,E723=$AB$49,$AC$49,E723=$AB$50,$AC$50,E723=$AB$51,$AC$51,E723=$AB$52,$AC$52,E723=$AB$53,$AC$53,E723=$AB$54,$AC$54,E723=$AB$55,$AC$55,E723=$AB$56,$AC$56,E723=$AB$57,$AC$57,E723=$AB$58,$AC$58,E723=$AB$59,$AC$59,E723=$AB$60,$AC$60,E723=$AB$61,$AC$61,E723=$AB$62,$AC$62,E723=$AB$63,$AC$63,E723=$AB$64,$AC$64,E723=$AB$65,$AC$65,E723=$AB$66,$AC$66,TRUE,"0")</f>
        <v>#NAME?</v>
      </c>
      <c r="C723" s="161" t="str" cm="1">
        <f t="array" ref="C723">_xlfn.IFS(E723=$AB$42,$AF$42,E723=$AB$43,$AF$43,E723=$AB$44,$AF$44,E723=$AB$45,$AF$45,E723=$AB$46,$AF$46,E723=$AB$47,$AF$47,E723=$AB$48,$AF$48,E723=$AB$49,$AF$49,E723=$AB$50,$AF$50,E723=$AB$51,$AF$51,E723=$AB$52,$AF$52,E723=$AB$53,$AF$53,E723=$AB$54,$AF$54,E723=$AB$55,$AF$55,E723=$AB$56,$AF$56,E723=$AB$57,$AF$57,E723=$AB$58,$AF$58,E723=$AB$59,$AF$59,E723=$AB$60,$AF$60,E723=$AB$61,$AF$61,E723=$AB$62,$AF$62,E723=$AB$63,$AF$63,E723=$AB$64,$AF$64,E723=$AB$65,$AF$65,E723=$AB$66,$AF$66,TRUE,"0")</f>
        <v>if 0-0, BACK+ 0.5 GOALS  @ 1.15+odds.  or @ 40 mins</v>
      </c>
      <c r="D723" s="270" t="str" cm="1">
        <f t="array" ref="D723">_xlfn.IFS(E723=$AB$42,$AD$42,E723=$AB$43,$AD$43,E723=$AB$44,$AD$44,E723=$AB$45,$AD$45,E723=$AB$46,$AD$46,E723=$AB$47,$AD$47,E723=$AB$48,$AD$48,E723=$AB$49,$AD$49,E723=$AB$50,$AD$50,E723=$AB$51,$AD$51,E723=$AB$52,$AD$52,E723=$AB$53,$AD$53,E723=$AB$54,$AD$54,E723=$AB$55,$AD$55,E723=$AB$56,$AD$56,E723=$AB$57,$AD$57,E723=$AB$58,$AD$58,E723=$AB$59,$AD$59,E723=$AB$60,$AD$60,E723=$AB$61,$AD$61,E723=$AB$62,$AD$62,E723=$AB$63,$AD$63,E723=$AB$64,$AD$64,E723=$AB$65,$AD$65,E723=$AB$66,$AD$66,TRUE,"0")</f>
        <v>IP</v>
      </c>
      <c r="E723" s="163" t="s">
        <v>270</v>
      </c>
      <c r="F723" s="2" t="s">
        <v>119</v>
      </c>
      <c r="G723" s="2" t="s">
        <v>120</v>
      </c>
      <c r="H723" s="3">
        <v>45381.833333333336</v>
      </c>
      <c r="I723" s="2" t="s">
        <v>361</v>
      </c>
      <c r="J723" s="2" t="s">
        <v>389</v>
      </c>
      <c r="K723" s="2">
        <v>63</v>
      </c>
      <c r="L723" s="2">
        <v>0</v>
      </c>
      <c r="M723" s="2">
        <v>20</v>
      </c>
      <c r="N723" s="2">
        <v>34</v>
      </c>
      <c r="O723" s="2">
        <v>2.86</v>
      </c>
      <c r="P723" s="2"/>
      <c r="Q723" s="2" t="s">
        <v>95</v>
      </c>
      <c r="R723" s="10" t="s">
        <v>221</v>
      </c>
      <c r="S723" s="14" t="s">
        <v>214</v>
      </c>
      <c r="T723" s="188">
        <v>1000</v>
      </c>
      <c r="U723" s="8">
        <f t="shared" si="86"/>
        <v>180</v>
      </c>
      <c r="V723" s="234">
        <f t="shared" si="89"/>
        <v>47004.155246160299</v>
      </c>
      <c r="W723" s="15">
        <v>25</v>
      </c>
      <c r="X723" s="8">
        <f t="shared" si="87"/>
        <v>4.5</v>
      </c>
      <c r="Y723" s="233">
        <f t="shared" si="88"/>
        <v>3041</v>
      </c>
    </row>
    <row r="724" spans="1:25">
      <c r="A724" s="156" t="e" cm="1">
        <f t="array" aca="1" ref="A724" ca="1">_xlfn.IFS(E724=$AB$42,$AC$42,E724=$AB$43,$AC$43,E724=$AB$44,$AC$44,E724=$AB$45,$AC$45,E724=$AB$46,$AC$46,E724=$AB$47,$AC$47,E724=$AB$48,$AC$48,E724=$AB$49,$AC$49,E724=$AB$50,$AC$50,E724=$AB$51,$AC$51,E724=$AB$52,$AC$52,E724=$AB$53,$AC$53,E724=$AB$54,$AC$54,E724=$AB$55,$AC$55,E724=$AB$56,$AC$56,E724=$AB$57,$AC$57,E724=$AB$58,$AC$58,E724=$AB$59,$AC$59,E724=$AB$60,$AC$60,E724=$AB$61,$AC$61,E724=$AB$62,$AC$62,E724=$AB$63,$AC$63,E724=$AB$64,$AC$64,E724=$AB$65,$AC$65,E724=$AB$66,$AC$66,TRUE,"0")</f>
        <v>#NAME?</v>
      </c>
      <c r="C724" s="161" t="str" cm="1">
        <f t="array" ref="C724">_xlfn.IFS(E724=$AB$42,$AF$42,E724=$AB$43,$AF$43,E724=$AB$44,$AF$44,E724=$AB$45,$AF$45,E724=$AB$46,$AF$46,E724=$AB$47,$AF$47,E724=$AB$48,$AF$48,E724=$AB$49,$AF$49,E724=$AB$50,$AF$50,E724=$AB$51,$AF$51,E724=$AB$52,$AF$52,E724=$AB$53,$AF$53,E724=$AB$54,$AF$54,E724=$AB$55,$AF$55,E724=$AB$56,$AF$56,E724=$AB$57,$AF$57,E724=$AB$58,$AF$58,E724=$AB$59,$AF$59,E724=$AB$60,$AF$60,E724=$AB$61,$AF$61,E724=$AB$62,$AF$62,E724=$AB$63,$AF$63,E724=$AB$64,$AF$64,E724=$AB$65,$AF$65,E724=$AB$66,$AF$66,TRUE,"0")</f>
        <v>B4 match BACK FT +1.5 goals. X AFTER  GOAL</v>
      </c>
      <c r="D724" s="270" t="str" cm="1">
        <f t="array" ref="D724">_xlfn.IFS(E724=$AB$42,$AD$42,E724=$AB$43,$AD$43,E724=$AB$44,$AD$44,E724=$AB$45,$AD$45,E724=$AB$46,$AD$46,E724=$AB$47,$AD$47,E724=$AB$48,$AD$48,E724=$AB$49,$AD$49,E724=$AB$50,$AD$50,E724=$AB$51,$AD$51,E724=$AB$52,$AD$52,E724=$AB$53,$AD$53,E724=$AB$54,$AD$54,E724=$AB$55,$AD$55,E724=$AB$56,$AD$56,E724=$AB$57,$AD$57,E724=$AB$58,$AD$58,E724=$AB$59,$AD$59,E724=$AB$60,$AD$60,E724=$AB$61,$AD$61,E724=$AB$62,$AD$62,E724=$AB$63,$AD$63,E724=$AB$64,$AD$64,E724=$AB$65,$AD$65,E724=$AB$66,$AD$66,TRUE,"0")</f>
        <v xml:space="preserve">BFM </v>
      </c>
      <c r="E724" s="163" t="s">
        <v>531</v>
      </c>
      <c r="F724" s="2" t="s">
        <v>149</v>
      </c>
      <c r="G724" s="2" t="s">
        <v>153</v>
      </c>
      <c r="H724" s="3">
        <v>45382.46875</v>
      </c>
      <c r="I724" s="2" t="s">
        <v>205</v>
      </c>
      <c r="J724" s="2" t="s">
        <v>363</v>
      </c>
      <c r="K724" s="2">
        <v>6.2</v>
      </c>
      <c r="L724" s="2">
        <v>26</v>
      </c>
      <c r="M724" s="2">
        <v>3.54</v>
      </c>
      <c r="N724" s="2">
        <v>31</v>
      </c>
      <c r="O724" s="2">
        <v>3</v>
      </c>
      <c r="P724" s="2">
        <v>13</v>
      </c>
      <c r="Q724" s="2" t="s">
        <v>95</v>
      </c>
      <c r="R724" s="10" t="s">
        <v>217</v>
      </c>
      <c r="S724" s="14" t="s">
        <v>211</v>
      </c>
      <c r="T724" s="188">
        <v>1000</v>
      </c>
      <c r="U724" s="8">
        <f t="shared" si="86"/>
        <v>180</v>
      </c>
      <c r="V724" s="234">
        <f t="shared" si="89"/>
        <v>47184.155246160299</v>
      </c>
      <c r="W724" s="15">
        <v>25</v>
      </c>
      <c r="X724" s="8">
        <f t="shared" si="87"/>
        <v>4.5</v>
      </c>
      <c r="Y724" s="233">
        <f t="shared" si="88"/>
        <v>3045.5</v>
      </c>
    </row>
    <row r="725" spans="1:25">
      <c r="A725" s="156" t="e" cm="1">
        <f t="array" aca="1" ref="A725" ca="1">_xlfn.IFS(E725=$AB$42,$AC$42,E725=$AB$43,$AC$43,E725=$AB$44,$AC$44,E725=$AB$45,$AC$45,E725=$AB$46,$AC$46,E725=$AB$47,$AC$47,E725=$AB$48,$AC$48,E725=$AB$49,$AC$49,E725=$AB$50,$AC$50,E725=$AB$51,$AC$51,E725=$AB$52,$AC$52,E725=$AB$53,$AC$53,E725=$AB$54,$AC$54,E725=$AB$55,$AC$55,E725=$AB$56,$AC$56,E725=$AB$57,$AC$57,E725=$AB$58,$AC$58,E725=$AB$59,$AC$59,E725=$AB$60,$AC$60,E725=$AB$61,$AC$61,E725=$AB$62,$AC$62,E725=$AB$63,$AC$63,E725=$AB$64,$AC$64,E725=$AB$65,$AC$65,E725=$AB$66,$AC$66,TRUE,"0")</f>
        <v>#NAME?</v>
      </c>
      <c r="C725" s="161" t="str" cm="1">
        <f t="array" ref="C725">_xlfn.IFS(E725=$AB$42,$AF$42,E725=$AB$43,$AF$43,E725=$AB$44,$AF$44,E725=$AB$45,$AF$45,E725=$AB$46,$AF$46,E725=$AB$47,$AF$47,E725=$AB$48,$AF$48,E725=$AB$49,$AF$49,E725=$AB$50,$AF$50,E725=$AB$51,$AF$51,E725=$AB$52,$AF$52,E725=$AB$53,$AF$53,E725=$AB$54,$AF$54,E725=$AB$55,$AF$55,E725=$AB$56,$AF$56,E725=$AB$57,$AF$57,E725=$AB$58,$AF$58,E725=$AB$59,$AF$59,E725=$AB$60,$AF$60,E725=$AB$61,$AF$61,E725=$AB$62,$AF$62,E725=$AB$63,$AF$63,E725=$AB$64,$AF$64,E725=$AB$65,$AF$65,E725=$AB$66,$AF$66,TRUE,"0")</f>
        <v>B4 match BACK FT +1.5 goals. X AFTER  GOAL</v>
      </c>
      <c r="D725" s="270" t="str" cm="1">
        <f t="array" ref="D725">_xlfn.IFS(E725=$AB$42,$AD$42,E725=$AB$43,$AD$43,E725=$AB$44,$AD$44,E725=$AB$45,$AD$45,E725=$AB$46,$AD$46,E725=$AB$47,$AD$47,E725=$AB$48,$AD$48,E725=$AB$49,$AD$49,E725=$AB$50,$AD$50,E725=$AB$51,$AD$51,E725=$AB$52,$AD$52,E725=$AB$53,$AD$53,E725=$AB$54,$AD$54,E725=$AB$55,$AD$55,E725=$AB$56,$AD$56,E725=$AB$57,$AD$57,E725=$AB$58,$AD$58,E725=$AB$59,$AD$59,E725=$AB$60,$AD$60,E725=$AB$61,$AD$61,E725=$AB$62,$AD$62,E725=$AB$63,$AD$63,E725=$AB$64,$AD$64,E725=$AB$65,$AD$65,E725=$AB$66,$AD$66,TRUE,"0")</f>
        <v xml:space="preserve">BFM </v>
      </c>
      <c r="E725" s="163" t="s">
        <v>623</v>
      </c>
      <c r="F725" s="2" t="s">
        <v>441</v>
      </c>
      <c r="G725" s="2" t="s">
        <v>442</v>
      </c>
      <c r="H725" s="3">
        <v>45382.479166666664</v>
      </c>
      <c r="I725" s="2" t="s">
        <v>648</v>
      </c>
      <c r="J725" s="2" t="s">
        <v>649</v>
      </c>
      <c r="K725" s="2">
        <v>4.8</v>
      </c>
      <c r="L725" s="2">
        <v>20</v>
      </c>
      <c r="M725" s="2">
        <v>2.95</v>
      </c>
      <c r="N725" s="2">
        <v>24</v>
      </c>
      <c r="O725" s="2">
        <v>5</v>
      </c>
      <c r="P725" s="2">
        <v>10</v>
      </c>
      <c r="Q725" s="2" t="s">
        <v>95</v>
      </c>
      <c r="R725" s="10" t="s">
        <v>216</v>
      </c>
      <c r="S725" s="14" t="s">
        <v>222</v>
      </c>
      <c r="T725" s="188">
        <v>1000</v>
      </c>
      <c r="U725" s="8">
        <f t="shared" si="86"/>
        <v>180</v>
      </c>
      <c r="V725" s="234">
        <f t="shared" si="89"/>
        <v>47364.155246160299</v>
      </c>
      <c r="W725" s="15">
        <v>25</v>
      </c>
      <c r="X725" s="8">
        <f t="shared" si="87"/>
        <v>4.5</v>
      </c>
      <c r="Y725" s="233">
        <f t="shared" si="88"/>
        <v>3050</v>
      </c>
    </row>
    <row r="726" spans="1:25">
      <c r="A726" s="156" t="e" cm="1">
        <f t="array" aca="1" ref="A726" ca="1">_xlfn.IFS(E726=$AB$42,$AC$42,E726=$AB$43,$AC$43,E726=$AB$44,$AC$44,E726=$AB$45,$AC$45,E726=$AB$46,$AC$46,E726=$AB$47,$AC$47,E726=$AB$48,$AC$48,E726=$AB$49,$AC$49,E726=$AB$50,$AC$50,E726=$AB$51,$AC$51,E726=$AB$52,$AC$52,E726=$AB$53,$AC$53,E726=$AB$54,$AC$54,E726=$AB$55,$AC$55,E726=$AB$56,$AC$56,E726=$AB$57,$AC$57,E726=$AB$58,$AC$58,E726=$AB$59,$AC$59,E726=$AB$60,$AC$60,E726=$AB$61,$AC$61,E726=$AB$62,$AC$62,E726=$AB$63,$AC$63,E726=$AB$64,$AC$64,E726=$AB$65,$AC$65,E726=$AB$66,$AC$66,TRUE,"0")</f>
        <v>#NAME?</v>
      </c>
      <c r="C726" s="161" t="str" cm="1">
        <f t="array" ref="C726">_xlfn.IFS(E726=$AB$42,$AF$42,E726=$AB$43,$AF$43,E726=$AB$44,$AF$44,E726=$AB$45,$AF$45,E726=$AB$46,$AF$46,E726=$AB$47,$AF$47,E726=$AB$48,$AF$48,E726=$AB$49,$AF$49,E726=$AB$50,$AF$50,E726=$AB$51,$AF$51,E726=$AB$52,$AF$52,E726=$AB$53,$AF$53,E726=$AB$54,$AF$54,E726=$AB$55,$AF$55,E726=$AB$56,$AF$56,E726=$AB$57,$AF$57,E726=$AB$58,$AF$58,E726=$AB$59,$AF$59,E726=$AB$60,$AF$60,E726=$AB$61,$AF$61,E726=$AB$62,$AF$62,E726=$AB$63,$AF$63,E726=$AB$64,$AF$64,E726=$AB$65,$AF$65,E726=$AB$66,$AF$66,TRUE,"0")</f>
        <v>B4 match BACK FT +1.5 goals. X AFTER  GOAL</v>
      </c>
      <c r="D726" s="270" t="str" cm="1">
        <f t="array" ref="D726">_xlfn.IFS(E726=$AB$42,$AD$42,E726=$AB$43,$AD$43,E726=$AB$44,$AD$44,E726=$AB$45,$AD$45,E726=$AB$46,$AD$46,E726=$AB$47,$AD$47,E726=$AB$48,$AD$48,E726=$AB$49,$AD$49,E726=$AB$50,$AD$50,E726=$AB$51,$AD$51,E726=$AB$52,$AD$52,E726=$AB$53,$AD$53,E726=$AB$54,$AD$54,E726=$AB$55,$AD$55,E726=$AB$56,$AD$56,E726=$AB$57,$AD$57,E726=$AB$58,$AD$58,E726=$AB$59,$AD$59,E726=$AB$60,$AD$60,E726=$AB$61,$AD$61,E726=$AB$62,$AD$62,E726=$AB$63,$AD$63,E726=$AB$64,$AD$64,E726=$AB$65,$AD$65,E726=$AB$66,$AD$66,TRUE,"0")</f>
        <v xml:space="preserve">BFM </v>
      </c>
      <c r="E726" s="163" t="s">
        <v>531</v>
      </c>
      <c r="F726" s="2" t="s">
        <v>13</v>
      </c>
      <c r="G726" s="2" t="s">
        <v>37</v>
      </c>
      <c r="H726" s="3">
        <v>45382.5</v>
      </c>
      <c r="I726" s="2" t="s">
        <v>39</v>
      </c>
      <c r="J726" s="2" t="s">
        <v>99</v>
      </c>
      <c r="K726" s="2">
        <v>3.45</v>
      </c>
      <c r="L726" s="2">
        <v>29</v>
      </c>
      <c r="M726" s="2">
        <v>2.48</v>
      </c>
      <c r="N726" s="2">
        <v>37</v>
      </c>
      <c r="O726" s="2">
        <v>1</v>
      </c>
      <c r="P726" s="2">
        <v>15</v>
      </c>
      <c r="Q726" s="2" t="s">
        <v>95</v>
      </c>
      <c r="R726" s="10" t="s">
        <v>221</v>
      </c>
      <c r="S726" s="14" t="s">
        <v>218</v>
      </c>
      <c r="T726" s="188">
        <v>1000</v>
      </c>
      <c r="U726" s="8">
        <f t="shared" si="86"/>
        <v>180</v>
      </c>
      <c r="V726" s="234">
        <f t="shared" si="89"/>
        <v>47544.155246160299</v>
      </c>
      <c r="W726" s="15">
        <v>25</v>
      </c>
      <c r="X726" s="8">
        <f t="shared" si="87"/>
        <v>4.5</v>
      </c>
      <c r="Y726" s="233">
        <f t="shared" si="88"/>
        <v>3054.5</v>
      </c>
    </row>
    <row r="727" spans="1:25">
      <c r="A727" s="156" t="e" cm="1">
        <f t="array" aca="1" ref="A727" ca="1">_xlfn.IFS(E727=$AB$42,$AC$42,E727=$AB$43,$AC$43,E727=$AB$44,$AC$44,E727=$AB$45,$AC$45,E727=$AB$46,$AC$46,E727=$AB$47,$AC$47,E727=$AB$48,$AC$48,E727=$AB$49,$AC$49,E727=$AB$50,$AC$50,E727=$AB$51,$AC$51,E727=$AB$52,$AC$52,E727=$AB$53,$AC$53,E727=$AB$54,$AC$54,E727=$AB$55,$AC$55,E727=$AB$56,$AC$56,E727=$AB$57,$AC$57,E727=$AB$58,$AC$58,E727=$AB$59,$AC$59,E727=$AB$60,$AC$60,E727=$AB$61,$AC$61,E727=$AB$62,$AC$62,E727=$AB$63,$AC$63,E727=$AB$64,$AC$64,E727=$AB$65,$AC$65,E727=$AB$66,$AC$66,TRUE,"0")</f>
        <v>#NAME?</v>
      </c>
      <c r="C727" s="161" t="str" cm="1">
        <f t="array" ref="C727">_xlfn.IFS(E727=$AB$42,$AF$42,E727=$AB$43,$AF$43,E727=$AB$44,$AF$44,E727=$AB$45,$AF$45,E727=$AB$46,$AF$46,E727=$AB$47,$AF$47,E727=$AB$48,$AF$48,E727=$AB$49,$AF$49,E727=$AB$50,$AF$50,E727=$AB$51,$AF$51,E727=$AB$52,$AF$52,E727=$AB$53,$AF$53,E727=$AB$54,$AF$54,E727=$AB$55,$AF$55,E727=$AB$56,$AF$56,E727=$AB$57,$AF$57,E727=$AB$58,$AF$58,E727=$AB$59,$AF$59,E727=$AB$60,$AF$60,E727=$AB$61,$AF$61,E727=$AB$62,$AF$62,E727=$AB$63,$AF$63,E727=$AB$64,$AF$64,E727=$AB$65,$AF$65,E727=$AB$66,$AF$66,TRUE,"0")</f>
        <v>AT HT IF 0-0 BACK +0.5 GOALS</v>
      </c>
      <c r="D727" s="270" t="str" cm="1">
        <f t="array" ref="D727">_xlfn.IFS(E727=$AB$42,$AD$42,E727=$AB$43,$AD$43,E727=$AB$44,$AD$44,E727=$AB$45,$AD$45,E727=$AB$46,$AD$46,E727=$AB$47,$AD$47,E727=$AB$48,$AD$48,E727=$AB$49,$AD$49,E727=$AB$50,$AD$50,E727=$AB$51,$AD$51,E727=$AB$52,$AD$52,E727=$AB$53,$AD$53,E727=$AB$54,$AD$54,E727=$AB$55,$AD$55,E727=$AB$56,$AD$56,E727=$AB$57,$AD$57,E727=$AB$58,$AD$58,E727=$AB$59,$AD$59,E727=$AB$60,$AD$60,E727=$AB$61,$AD$61,E727=$AB$62,$AD$62,E727=$AB$63,$AD$63,E727=$AB$64,$AD$64,E727=$AB$65,$AD$65,E727=$AB$66,$AD$66,TRUE,"0")</f>
        <v>IP</v>
      </c>
      <c r="E727" s="163" t="s">
        <v>514</v>
      </c>
      <c r="F727" s="2" t="s">
        <v>13</v>
      </c>
      <c r="G727" s="2" t="s">
        <v>37</v>
      </c>
      <c r="H727" s="3">
        <v>45382.5</v>
      </c>
      <c r="I727" s="2" t="s">
        <v>39</v>
      </c>
      <c r="J727" s="2" t="s">
        <v>99</v>
      </c>
      <c r="K727" s="2">
        <v>240</v>
      </c>
      <c r="L727" s="2">
        <v>3.45</v>
      </c>
      <c r="M727" s="2">
        <v>1000</v>
      </c>
      <c r="N727" s="2">
        <v>20</v>
      </c>
      <c r="O727" s="2">
        <v>5</v>
      </c>
      <c r="P727" s="2">
        <v>35</v>
      </c>
      <c r="Q727" s="2" t="s">
        <v>95</v>
      </c>
      <c r="R727" s="10" t="s">
        <v>221</v>
      </c>
      <c r="S727" s="14" t="s">
        <v>218</v>
      </c>
      <c r="T727" s="188">
        <v>1000</v>
      </c>
      <c r="U727" s="8">
        <f t="shared" si="86"/>
        <v>180</v>
      </c>
      <c r="V727" s="234">
        <f t="shared" si="89"/>
        <v>47724.155246160299</v>
      </c>
      <c r="W727" s="15">
        <v>25</v>
      </c>
      <c r="X727" s="8">
        <f t="shared" si="87"/>
        <v>4.5</v>
      </c>
      <c r="Y727" s="233">
        <f t="shared" si="88"/>
        <v>3059</v>
      </c>
    </row>
    <row r="728" spans="1:25">
      <c r="A728" s="156" t="e" cm="1">
        <f t="array" aca="1" ref="A728" ca="1">_xlfn.IFS(E728=$AB$42,$AC$42,E728=$AB$43,$AC$43,E728=$AB$44,$AC$44,E728=$AB$45,$AC$45,E728=$AB$46,$AC$46,E728=$AB$47,$AC$47,E728=$AB$48,$AC$48,E728=$AB$49,$AC$49,E728=$AB$50,$AC$50,E728=$AB$51,$AC$51,E728=$AB$52,$AC$52,E728=$AB$53,$AC$53,E728=$AB$54,$AC$54,E728=$AB$55,$AC$55,E728=$AB$56,$AC$56,E728=$AB$57,$AC$57,E728=$AB$58,$AC$58,E728=$AB$59,$AC$59,E728=$AB$60,$AC$60,E728=$AB$61,$AC$61,E728=$AB$62,$AC$62,E728=$AB$63,$AC$63,E728=$AB$64,$AC$64,E728=$AB$65,$AC$65,E728=$AB$66,$AC$66,TRUE,"0")</f>
        <v>#NAME?</v>
      </c>
      <c r="C728" s="161" t="str" cm="1">
        <f t="array" ref="C728">_xlfn.IFS(E728=$AB$42,$AF$42,E728=$AB$43,$AF$43,E728=$AB$44,$AF$44,E728=$AB$45,$AF$45,E728=$AB$46,$AF$46,E728=$AB$47,$AF$47,E728=$AB$48,$AF$48,E728=$AB$49,$AF$49,E728=$AB$50,$AF$50,E728=$AB$51,$AF$51,E728=$AB$52,$AF$52,E728=$AB$53,$AF$53,E728=$AB$54,$AF$54,E728=$AB$55,$AF$55,E728=$AB$56,$AF$56,E728=$AB$57,$AF$57,E728=$AB$58,$AF$58,E728=$AB$59,$AF$59,E728=$AB$60,$AF$60,E728=$AB$61,$AF$61,E728=$AB$62,$AF$62,E728=$AB$63,$AF$63,E728=$AB$64,$AF$64,E728=$AB$65,$AF$65,E728=$AB$66,$AF$66,TRUE,"0")</f>
        <v>if 0-0, BACK+ 0.5 GOALS  @ 1.15+odds.  or @ 40 mins</v>
      </c>
      <c r="D728" s="270" t="str" cm="1">
        <f t="array" ref="D728">_xlfn.IFS(E728=$AB$42,$AD$42,E728=$AB$43,$AD$43,E728=$AB$44,$AD$44,E728=$AB$45,$AD$45,E728=$AB$46,$AD$46,E728=$AB$47,$AD$47,E728=$AB$48,$AD$48,E728=$AB$49,$AD$49,E728=$AB$50,$AD$50,E728=$AB$51,$AD$51,E728=$AB$52,$AD$52,E728=$AB$53,$AD$53,E728=$AB$54,$AD$54,E728=$AB$55,$AD$55,E728=$AB$56,$AD$56,E728=$AB$57,$AD$57,E728=$AB$58,$AD$58,E728=$AB$59,$AD$59,E728=$AB$60,$AD$60,E728=$AB$61,$AD$61,E728=$AB$62,$AD$62,E728=$AB$63,$AD$63,E728=$AB$64,$AD$64,E728=$AB$65,$AD$65,E728=$AB$66,$AD$66,TRUE,"0")</f>
        <v>IP</v>
      </c>
      <c r="E728" s="163" t="s">
        <v>270</v>
      </c>
      <c r="F728" s="2" t="s">
        <v>77</v>
      </c>
      <c r="G728" s="2" t="s">
        <v>234</v>
      </c>
      <c r="H728" s="3">
        <v>45382.520833333336</v>
      </c>
      <c r="I728" s="2" t="s">
        <v>633</v>
      </c>
      <c r="J728" s="2" t="s">
        <v>247</v>
      </c>
      <c r="K728" s="2">
        <v>60</v>
      </c>
      <c r="L728" s="2">
        <v>0</v>
      </c>
      <c r="M728" s="2">
        <v>20</v>
      </c>
      <c r="N728" s="2">
        <v>34</v>
      </c>
      <c r="O728" s="2">
        <v>3.08</v>
      </c>
      <c r="P728" s="2"/>
      <c r="Q728" s="2" t="s">
        <v>95</v>
      </c>
      <c r="R728" s="10" t="s">
        <v>221</v>
      </c>
      <c r="S728" s="14" t="s">
        <v>216</v>
      </c>
      <c r="T728" s="188">
        <v>1000</v>
      </c>
      <c r="U728" s="8">
        <f t="shared" si="86"/>
        <v>180</v>
      </c>
      <c r="V728" s="234">
        <f t="shared" si="89"/>
        <v>47904.155246160299</v>
      </c>
      <c r="W728" s="15">
        <v>25</v>
      </c>
      <c r="X728" s="8">
        <f t="shared" si="87"/>
        <v>4.5</v>
      </c>
      <c r="Y728" s="233">
        <f t="shared" si="88"/>
        <v>3063.5</v>
      </c>
    </row>
    <row r="729" spans="1:25">
      <c r="A729" s="156" t="e" cm="1">
        <f t="array" aca="1" ref="A729" ca="1">_xlfn.IFS(E729=$AB$42,$AC$42,E729=$AB$43,$AC$43,E729=$AB$44,$AC$44,E729=$AB$45,$AC$45,E729=$AB$46,$AC$46,E729=$AB$47,$AC$47,E729=$AB$48,$AC$48,E729=$AB$49,$AC$49,E729=$AB$50,$AC$50,E729=$AB$51,$AC$51,E729=$AB$52,$AC$52,E729=$AB$53,$AC$53,E729=$AB$54,$AC$54,E729=$AB$55,$AC$55,E729=$AB$56,$AC$56,E729=$AB$57,$AC$57,E729=$AB$58,$AC$58,E729=$AB$59,$AC$59,E729=$AB$60,$AC$60,E729=$AB$61,$AC$61,E729=$AB$62,$AC$62,E729=$AB$63,$AC$63,E729=$AB$64,$AC$64,E729=$AB$65,$AC$65,E729=$AB$66,$AC$66,TRUE,"0")</f>
        <v>#NAME?</v>
      </c>
      <c r="C729" s="161" t="str" cm="1">
        <f t="array" ref="C729">_xlfn.IFS(E729=$AB$42,$AF$42,E729=$AB$43,$AF$43,E729=$AB$44,$AF$44,E729=$AB$45,$AF$45,E729=$AB$46,$AF$46,E729=$AB$47,$AF$47,E729=$AB$48,$AF$48,E729=$AB$49,$AF$49,E729=$AB$50,$AF$50,E729=$AB$51,$AF$51,E729=$AB$52,$AF$52,E729=$AB$53,$AF$53,E729=$AB$54,$AF$54,E729=$AB$55,$AF$55,E729=$AB$56,$AF$56,E729=$AB$57,$AF$57,E729=$AB$58,$AF$58,E729=$AB$59,$AF$59,E729=$AB$60,$AF$60,E729=$AB$61,$AF$61,E729=$AB$62,$AF$62,E729=$AB$63,$AF$63,E729=$AB$64,$AF$64,E729=$AB$65,$AF$65,E729=$AB$66,$AF$66,TRUE,"0")</f>
        <v>10mins if  0-0, BACK over 1.5 goals X after goal OR LET RUN</v>
      </c>
      <c r="D729" s="270" t="str" cm="1">
        <f t="array" ref="D729">_xlfn.IFS(E729=$AB$42,$AD$42,E729=$AB$43,$AD$43,E729=$AB$44,$AD$44,E729=$AB$45,$AD$45,E729=$AB$46,$AD$46,E729=$AB$47,$AD$47,E729=$AB$48,$AD$48,E729=$AB$49,$AD$49,E729=$AB$50,$AD$50,E729=$AB$51,$AD$51,E729=$AB$52,$AD$52,E729=$AB$53,$AD$53,E729=$AB$54,$AD$54,E729=$AB$55,$AD$55,E729=$AB$56,$AD$56,E729=$AB$57,$AD$57,E729=$AB$58,$AD$58,E729=$AB$59,$AD$59,E729=$AB$60,$AD$60,E729=$AB$61,$AD$61,E729=$AB$62,$AD$62,E729=$AB$63,$AD$63,E729=$AB$64,$AD$64,E729=$AB$65,$AD$65,E729=$AB$66,$AD$66,TRUE,"0")</f>
        <v>IP</v>
      </c>
      <c r="E729" s="163" t="s">
        <v>498</v>
      </c>
      <c r="F729" s="2" t="s">
        <v>77</v>
      </c>
      <c r="G729" s="2" t="s">
        <v>234</v>
      </c>
      <c r="H729" s="3">
        <v>45382.520833333336</v>
      </c>
      <c r="I729" s="2" t="s">
        <v>555</v>
      </c>
      <c r="J729" s="2" t="s">
        <v>424</v>
      </c>
      <c r="K729" s="2">
        <v>67</v>
      </c>
      <c r="L729" s="2">
        <v>85</v>
      </c>
      <c r="M729" s="2">
        <v>1.45</v>
      </c>
      <c r="N729" s="2">
        <v>20</v>
      </c>
      <c r="O729" s="2"/>
      <c r="P729" s="2"/>
      <c r="Q729" s="2" t="s">
        <v>95</v>
      </c>
      <c r="R729" s="10" t="s">
        <v>214</v>
      </c>
      <c r="S729" s="14" t="s">
        <v>222</v>
      </c>
      <c r="T729" s="188">
        <v>1000</v>
      </c>
      <c r="U729" s="8">
        <f t="shared" si="86"/>
        <v>180</v>
      </c>
      <c r="V729" s="234">
        <f t="shared" si="89"/>
        <v>48084.155246160299</v>
      </c>
      <c r="W729" s="15">
        <v>25</v>
      </c>
      <c r="X729" s="8">
        <f t="shared" si="87"/>
        <v>4.5</v>
      </c>
      <c r="Y729" s="233">
        <f t="shared" si="88"/>
        <v>3068</v>
      </c>
    </row>
    <row r="730" spans="1:25">
      <c r="A730" s="156" t="e" cm="1">
        <f t="array" aca="1" ref="A730" ca="1">_xlfn.IFS(E730=$AB$42,$AC$42,E730=$AB$43,$AC$43,E730=$AB$44,$AC$44,E730=$AB$45,$AC$45,E730=$AB$46,$AC$46,E730=$AB$47,$AC$47,E730=$AB$48,$AC$48,E730=$AB$49,$AC$49,E730=$AB$50,$AC$50,E730=$AB$51,$AC$51,E730=$AB$52,$AC$52,E730=$AB$53,$AC$53,E730=$AB$54,$AC$54,E730=$AB$55,$AC$55,E730=$AB$56,$AC$56,E730=$AB$57,$AC$57,E730=$AB$58,$AC$58,E730=$AB$59,$AC$59,E730=$AB$60,$AC$60,E730=$AB$61,$AC$61,E730=$AB$62,$AC$62,E730=$AB$63,$AC$63,E730=$AB$64,$AC$64,E730=$AB$65,$AC$65,E730=$AB$66,$AC$66,TRUE,"0")</f>
        <v>#NAME?</v>
      </c>
      <c r="C730" s="161" t="str" cm="1">
        <f t="array" ref="C730">_xlfn.IFS(E730=$AB$42,$AF$42,E730=$AB$43,$AF$43,E730=$AB$44,$AF$44,E730=$AB$45,$AF$45,E730=$AB$46,$AF$46,E730=$AB$47,$AF$47,E730=$AB$48,$AF$48,E730=$AB$49,$AF$49,E730=$AB$50,$AF$50,E730=$AB$51,$AF$51,E730=$AB$52,$AF$52,E730=$AB$53,$AF$53,E730=$AB$54,$AF$54,E730=$AB$55,$AF$55,E730=$AB$56,$AF$56,E730=$AB$57,$AF$57,E730=$AB$58,$AF$58,E730=$AB$59,$AF$59,E730=$AB$60,$AF$60,E730=$AB$61,$AF$61,E730=$AB$62,$AF$62,E730=$AB$63,$AF$63,E730=$AB$64,$AF$64,E730=$AB$65,$AF$65,E730=$AB$66,$AF$66,TRUE,"0")</f>
        <v>20mins if  0-0, BACK over 1.5 goals X after goal OR LET RUN</v>
      </c>
      <c r="D730" s="270" t="str" cm="1">
        <f t="array" ref="D730">_xlfn.IFS(E730=$AB$42,$AD$42,E730=$AB$43,$AD$43,E730=$AB$44,$AD$44,E730=$AB$45,$AD$45,E730=$AB$46,$AD$46,E730=$AB$47,$AD$47,E730=$AB$48,$AD$48,E730=$AB$49,$AD$49,E730=$AB$50,$AD$50,E730=$AB$51,$AD$51,E730=$AB$52,$AD$52,E730=$AB$53,$AD$53,E730=$AB$54,$AD$54,E730=$AB$55,$AD$55,E730=$AB$56,$AD$56,E730=$AB$57,$AD$57,E730=$AB$58,$AD$58,E730=$AB$59,$AD$59,E730=$AB$60,$AD$60,E730=$AB$61,$AD$61,E730=$AB$62,$AD$62,E730=$AB$63,$AD$63,E730=$AB$64,$AD$64,E730=$AB$65,$AD$65,E730=$AB$66,$AD$66,TRUE,"0")</f>
        <v>IP</v>
      </c>
      <c r="E730" s="163" t="s">
        <v>474</v>
      </c>
      <c r="F730" s="2" t="s">
        <v>77</v>
      </c>
      <c r="G730" s="2" t="s">
        <v>234</v>
      </c>
      <c r="H730" s="3">
        <v>45382.520833333336</v>
      </c>
      <c r="I730" s="2" t="s">
        <v>407</v>
      </c>
      <c r="J730" s="2" t="s">
        <v>650</v>
      </c>
      <c r="K730" s="2">
        <v>53</v>
      </c>
      <c r="L730" s="2">
        <v>2.95</v>
      </c>
      <c r="M730" s="2">
        <v>20</v>
      </c>
      <c r="N730" s="2">
        <v>60</v>
      </c>
      <c r="O730" s="2">
        <v>90</v>
      </c>
      <c r="P730" s="2"/>
      <c r="Q730" s="2" t="s">
        <v>95</v>
      </c>
      <c r="R730" s="10" t="s">
        <v>193</v>
      </c>
      <c r="S730" s="14" t="s">
        <v>193</v>
      </c>
      <c r="T730" s="188">
        <v>1000</v>
      </c>
      <c r="U730" s="8">
        <f t="shared" si="86"/>
        <v>180</v>
      </c>
      <c r="V730" s="234">
        <f t="shared" si="89"/>
        <v>48264.155246160299</v>
      </c>
      <c r="W730" s="15">
        <v>25</v>
      </c>
      <c r="X730" s="8">
        <f t="shared" si="87"/>
        <v>4.5</v>
      </c>
      <c r="Y730" s="233">
        <f t="shared" si="88"/>
        <v>3072.5</v>
      </c>
    </row>
    <row r="731" spans="1:25">
      <c r="A731" s="156" t="e" cm="1">
        <f t="array" aca="1" ref="A731" ca="1">_xlfn.IFS(E731=$AB$42,$AC$42,E731=$AB$43,$AC$43,E731=$AB$44,$AC$44,E731=$AB$45,$AC$45,E731=$AB$46,$AC$46,E731=$AB$47,$AC$47,E731=$AB$48,$AC$48,E731=$AB$49,$AC$49,E731=$AB$50,$AC$50,E731=$AB$51,$AC$51,E731=$AB$52,$AC$52,E731=$AB$53,$AC$53,E731=$AB$54,$AC$54,E731=$AB$55,$AC$55,E731=$AB$56,$AC$56,E731=$AB$57,$AC$57,E731=$AB$58,$AC$58,E731=$AB$59,$AC$59,E731=$AB$60,$AC$60,E731=$AB$61,$AC$61,E731=$AB$62,$AC$62,E731=$AB$63,$AC$63,E731=$AB$64,$AC$64,E731=$AB$65,$AC$65,E731=$AB$66,$AC$66,TRUE,"0")</f>
        <v>#NAME?</v>
      </c>
      <c r="C731" s="161" t="str" cm="1">
        <f t="array" ref="C731">_xlfn.IFS(E731=$AB$42,$AF$42,E731=$AB$43,$AF$43,E731=$AB$44,$AF$44,E731=$AB$45,$AF$45,E731=$AB$46,$AF$46,E731=$AB$47,$AF$47,E731=$AB$48,$AF$48,E731=$AB$49,$AF$49,E731=$AB$50,$AF$50,E731=$AB$51,$AF$51,E731=$AB$52,$AF$52,E731=$AB$53,$AF$53,E731=$AB$54,$AF$54,E731=$AB$55,$AF$55,E731=$AB$56,$AF$56,E731=$AB$57,$AF$57,E731=$AB$58,$AF$58,E731=$AB$59,$AF$59,E731=$AB$60,$AF$60,E731=$AB$61,$AF$61,E731=$AB$62,$AF$62,E731=$AB$63,$AF$63,E731=$AB$64,$AF$64,E731=$AB$65,$AF$65,E731=$AB$66,$AF$66,TRUE,"0")</f>
        <v>B4 MATCH bet H1 'under 2.5goals'- X at 40 minutes</v>
      </c>
      <c r="D731" s="270" t="str" cm="1">
        <f t="array" ref="D731">_xlfn.IFS(E731=$AB$42,$AD$42,E731=$AB$43,$AD$43,E731=$AB$44,$AD$44,E731=$AB$45,$AD$45,E731=$AB$46,$AD$46,E731=$AB$47,$AD$47,E731=$AB$48,$AD$48,E731=$AB$49,$AD$49,E731=$AB$50,$AD$50,E731=$AB$51,$AD$51,E731=$AB$52,$AD$52,E731=$AB$53,$AD$53,E731=$AB$54,$AD$54,E731=$AB$55,$AD$55,E731=$AB$56,$AD$56,E731=$AB$57,$AD$57,E731=$AB$58,$AD$58,E731=$AB$59,$AD$59,E731=$AB$60,$AD$60,E731=$AB$61,$AD$61,E731=$AB$62,$AD$62,E731=$AB$63,$AD$63,E731=$AB$64,$AD$64,E731=$AB$65,$AD$65,E731=$AB$66,$AD$66,TRUE,"0")</f>
        <v xml:space="preserve">BFM </v>
      </c>
      <c r="E731" s="164" t="s">
        <v>458</v>
      </c>
      <c r="F731" s="2" t="s">
        <v>119</v>
      </c>
      <c r="G731" s="2" t="s">
        <v>166</v>
      </c>
      <c r="H731" s="3">
        <v>45382.541666666664</v>
      </c>
      <c r="I731" s="2" t="s">
        <v>651</v>
      </c>
      <c r="J731" s="2" t="s">
        <v>561</v>
      </c>
      <c r="K731" s="2">
        <v>20</v>
      </c>
      <c r="L731" s="2">
        <v>85</v>
      </c>
      <c r="M731" s="2">
        <v>100</v>
      </c>
      <c r="N731" s="2">
        <v>46</v>
      </c>
      <c r="O731" s="2">
        <v>1.65</v>
      </c>
      <c r="P731" s="2"/>
      <c r="Q731" s="2" t="s">
        <v>95</v>
      </c>
      <c r="R731" s="10" t="s">
        <v>216</v>
      </c>
      <c r="S731" s="14" t="s">
        <v>216</v>
      </c>
      <c r="T731" s="188">
        <v>1000</v>
      </c>
      <c r="U731" s="8">
        <f t="shared" si="86"/>
        <v>180</v>
      </c>
      <c r="V731" s="234">
        <f t="shared" si="89"/>
        <v>48444.155246160299</v>
      </c>
      <c r="W731" s="15">
        <v>25</v>
      </c>
      <c r="X731" s="8">
        <f t="shared" si="87"/>
        <v>4.5</v>
      </c>
      <c r="Y731" s="233">
        <f t="shared" si="88"/>
        <v>3077</v>
      </c>
    </row>
    <row r="732" spans="1:25">
      <c r="A732" s="156" t="e" cm="1">
        <f t="array" aca="1" ref="A732" ca="1">_xlfn.IFS(E732=$AB$42,$AC$42,E732=$AB$43,$AC$43,E732=$AB$44,$AC$44,E732=$AB$45,$AC$45,E732=$AB$46,$AC$46,E732=$AB$47,$AC$47,E732=$AB$48,$AC$48,E732=$AB$49,$AC$49,E732=$AB$50,$AC$50,E732=$AB$51,$AC$51,E732=$AB$52,$AC$52,E732=$AB$53,$AC$53,E732=$AB$54,$AC$54,E732=$AB$55,$AC$55,E732=$AB$56,$AC$56,E732=$AB$57,$AC$57,E732=$AB$58,$AC$58,E732=$AB$59,$AC$59,E732=$AB$60,$AC$60,E732=$AB$61,$AC$61,E732=$AB$62,$AC$62,E732=$AB$63,$AC$63,E732=$AB$64,$AC$64,E732=$AB$65,$AC$65,E732=$AB$66,$AC$66,TRUE,"0")</f>
        <v>#NAME?</v>
      </c>
      <c r="C732" s="161" t="str" cm="1">
        <f t="array" ref="C732">_xlfn.IFS(E732=$AB$42,$AF$42,E732=$AB$43,$AF$43,E732=$AB$44,$AF$44,E732=$AB$45,$AF$45,E732=$AB$46,$AF$46,E732=$AB$47,$AF$47,E732=$AB$48,$AF$48,E732=$AB$49,$AF$49,E732=$AB$50,$AF$50,E732=$AB$51,$AF$51,E732=$AB$52,$AF$52,E732=$AB$53,$AF$53,E732=$AB$54,$AF$54,E732=$AB$55,$AF$55,E732=$AB$56,$AF$56,E732=$AB$57,$AF$57,E732=$AB$58,$AF$58,E732=$AB$59,$AF$59,E732=$AB$60,$AF$60,E732=$AB$61,$AF$61,E732=$AB$62,$AF$62,E732=$AB$63,$AF$63,E732=$AB$64,$AF$64,E732=$AB$65,$AF$65,E732=$AB$66,$AF$66,TRUE,"0")</f>
        <v>B4 match BACK FT +1.5 goals. X AFTER  GOAL</v>
      </c>
      <c r="D732" s="270" t="str" cm="1">
        <f t="array" ref="D732">_xlfn.IFS(E732=$AB$42,$AD$42,E732=$AB$43,$AD$43,E732=$AB$44,$AD$44,E732=$AB$45,$AD$45,E732=$AB$46,$AD$46,E732=$AB$47,$AD$47,E732=$AB$48,$AD$48,E732=$AB$49,$AD$49,E732=$AB$50,$AD$50,E732=$AB$51,$AD$51,E732=$AB$52,$AD$52,E732=$AB$53,$AD$53,E732=$AB$54,$AD$54,E732=$AB$55,$AD$55,E732=$AB$56,$AD$56,E732=$AB$57,$AD$57,E732=$AB$58,$AD$58,E732=$AB$59,$AD$59,E732=$AB$60,$AD$60,E732=$AB$61,$AD$61,E732=$AB$62,$AD$62,E732=$AB$63,$AD$63,E732=$AB$64,$AD$64,E732=$AB$65,$AD$65,E732=$AB$66,$AD$66,TRUE,"0")</f>
        <v xml:space="preserve">BFM </v>
      </c>
      <c r="E732" s="163" t="s">
        <v>623</v>
      </c>
      <c r="F732" s="2" t="s">
        <v>149</v>
      </c>
      <c r="G732" s="2" t="s">
        <v>153</v>
      </c>
      <c r="H732" s="3">
        <v>45382.5625</v>
      </c>
      <c r="I732" s="2" t="s">
        <v>282</v>
      </c>
      <c r="J732" s="2" t="s">
        <v>250</v>
      </c>
      <c r="K732" s="2">
        <v>4</v>
      </c>
      <c r="L732" s="2">
        <v>20</v>
      </c>
      <c r="M732" s="2">
        <v>2.1</v>
      </c>
      <c r="N732" s="2">
        <v>34</v>
      </c>
      <c r="O732" s="2">
        <v>1</v>
      </c>
      <c r="P732" s="2">
        <v>10</v>
      </c>
      <c r="Q732" s="2" t="s">
        <v>95</v>
      </c>
      <c r="R732" s="10" t="s">
        <v>223</v>
      </c>
      <c r="S732" s="14" t="s">
        <v>277</v>
      </c>
      <c r="T732" s="188">
        <v>1000</v>
      </c>
      <c r="U732" s="8">
        <f t="shared" si="86"/>
        <v>180</v>
      </c>
      <c r="V732" s="234">
        <f t="shared" si="89"/>
        <v>48624.155246160299</v>
      </c>
      <c r="W732" s="15">
        <v>25</v>
      </c>
      <c r="X732" s="8">
        <f t="shared" si="87"/>
        <v>4.5</v>
      </c>
      <c r="Y732" s="233">
        <f t="shared" si="88"/>
        <v>3081.5</v>
      </c>
    </row>
    <row r="733" spans="1:25">
      <c r="A733" s="156" t="e" cm="1">
        <f t="array" aca="1" ref="A733" ca="1">_xlfn.IFS(E733=$AB$42,$AC$42,E733=$AB$43,$AC$43,E733=$AB$44,$AC$44,E733=$AB$45,$AC$45,E733=$AB$46,$AC$46,E733=$AB$47,$AC$47,E733=$AB$48,$AC$48,E733=$AB$49,$AC$49,E733=$AB$50,$AC$50,E733=$AB$51,$AC$51,E733=$AB$52,$AC$52,E733=$AB$53,$AC$53,E733=$AB$54,$AC$54,E733=$AB$55,$AC$55,E733=$AB$56,$AC$56,E733=$AB$57,$AC$57,E733=$AB$58,$AC$58,E733=$AB$59,$AC$59,E733=$AB$60,$AC$60,E733=$AB$61,$AC$61,E733=$AB$62,$AC$62,E733=$AB$63,$AC$63,E733=$AB$64,$AC$64,E733=$AB$65,$AC$65,E733=$AB$66,$AC$66,TRUE,"0")</f>
        <v>#NAME?</v>
      </c>
      <c r="C733" s="161" t="str" cm="1">
        <f t="array" ref="C733">_xlfn.IFS(E733=$AB$42,$AF$42,E733=$AB$43,$AF$43,E733=$AB$44,$AF$44,E733=$AB$45,$AF$45,E733=$AB$46,$AF$46,E733=$AB$47,$AF$47,E733=$AB$48,$AF$48,E733=$AB$49,$AF$49,E733=$AB$50,$AF$50,E733=$AB$51,$AF$51,E733=$AB$52,$AF$52,E733=$AB$53,$AF$53,E733=$AB$54,$AF$54,E733=$AB$55,$AF$55,E733=$AB$56,$AF$56,E733=$AB$57,$AF$57,E733=$AB$58,$AF$58,E733=$AB$59,$AF$59,E733=$AB$60,$AF$60,E733=$AB$61,$AF$61,E733=$AB$62,$AF$62,E733=$AB$63,$AF$63,E733=$AB$64,$AF$64,E733=$AB$65,$AF$65,E733=$AB$66,$AF$66,TRUE,"0")</f>
        <v>B4 match BACK FT +1.5 goals. X AFTER  GOAL</v>
      </c>
      <c r="D733" s="270" t="str" cm="1">
        <f t="array" ref="D733">_xlfn.IFS(E733=$AB$42,$AD$42,E733=$AB$43,$AD$43,E733=$AB$44,$AD$44,E733=$AB$45,$AD$45,E733=$AB$46,$AD$46,E733=$AB$47,$AD$47,E733=$AB$48,$AD$48,E733=$AB$49,$AD$49,E733=$AB$50,$AD$50,E733=$AB$51,$AD$51,E733=$AB$52,$AD$52,E733=$AB$53,$AD$53,E733=$AB$54,$AD$54,E733=$AB$55,$AD$55,E733=$AB$56,$AD$56,E733=$AB$57,$AD$57,E733=$AB$58,$AD$58,E733=$AB$59,$AD$59,E733=$AB$60,$AD$60,E733=$AB$61,$AD$61,E733=$AB$62,$AD$62,E733=$AB$63,$AD$63,E733=$AB$64,$AD$64,E733=$AB$65,$AD$65,E733=$AB$66,$AD$66,TRUE,"0")</f>
        <v xml:space="preserve">BFM </v>
      </c>
      <c r="E733" s="163" t="s">
        <v>623</v>
      </c>
      <c r="F733" s="2" t="s">
        <v>149</v>
      </c>
      <c r="G733" s="2" t="s">
        <v>153</v>
      </c>
      <c r="H733" s="3">
        <v>45382.5625</v>
      </c>
      <c r="I733" s="2" t="s">
        <v>242</v>
      </c>
      <c r="J733" s="2" t="s">
        <v>155</v>
      </c>
      <c r="K733" s="2">
        <v>3.45</v>
      </c>
      <c r="L733" s="2">
        <v>20</v>
      </c>
      <c r="M733" s="2">
        <v>3.2</v>
      </c>
      <c r="N733" s="2">
        <v>24</v>
      </c>
      <c r="O733" s="2">
        <v>1</v>
      </c>
      <c r="P733" s="2">
        <v>10</v>
      </c>
      <c r="Q733" s="2" t="s">
        <v>95</v>
      </c>
      <c r="R733" s="10" t="s">
        <v>221</v>
      </c>
      <c r="S733" s="14" t="s">
        <v>214</v>
      </c>
      <c r="T733" s="188">
        <v>1000</v>
      </c>
      <c r="U733" s="8">
        <f t="shared" si="86"/>
        <v>180</v>
      </c>
      <c r="V733" s="234">
        <f t="shared" si="89"/>
        <v>48804.155246160299</v>
      </c>
      <c r="W733" s="15">
        <v>25</v>
      </c>
      <c r="X733" s="8">
        <f t="shared" si="87"/>
        <v>4.5</v>
      </c>
      <c r="Y733" s="233">
        <f t="shared" si="88"/>
        <v>3086</v>
      </c>
    </row>
    <row r="734" spans="1:25">
      <c r="A734" s="156" t="e" cm="1">
        <f t="array" aca="1" ref="A734" ca="1">_xlfn.IFS(E734=$AB$42,$AC$42,E734=$AB$43,$AC$43,E734=$AB$44,$AC$44,E734=$AB$45,$AC$45,E734=$AB$46,$AC$46,E734=$AB$47,$AC$47,E734=$AB$48,$AC$48,E734=$AB$49,$AC$49,E734=$AB$50,$AC$50,E734=$AB$51,$AC$51,E734=$AB$52,$AC$52,E734=$AB$53,$AC$53,E734=$AB$54,$AC$54,E734=$AB$55,$AC$55,E734=$AB$56,$AC$56,E734=$AB$57,$AC$57,E734=$AB$58,$AC$58,E734=$AB$59,$AC$59,E734=$AB$60,$AC$60,E734=$AB$61,$AC$61,E734=$AB$62,$AC$62,E734=$AB$63,$AC$63,E734=$AB$64,$AC$64,E734=$AB$65,$AC$65,E734=$AB$66,$AC$66,TRUE,"0")</f>
        <v>#NAME?</v>
      </c>
      <c r="C734" s="161" t="str" cm="1">
        <f t="array" ref="C734">_xlfn.IFS(E734=$AB$42,$AF$42,E734=$AB$43,$AF$43,E734=$AB$44,$AF$44,E734=$AB$45,$AF$45,E734=$AB$46,$AF$46,E734=$AB$47,$AF$47,E734=$AB$48,$AF$48,E734=$AB$49,$AF$49,E734=$AB$50,$AF$50,E734=$AB$51,$AF$51,E734=$AB$52,$AF$52,E734=$AB$53,$AF$53,E734=$AB$54,$AF$54,E734=$AB$55,$AF$55,E734=$AB$56,$AF$56,E734=$AB$57,$AF$57,E734=$AB$58,$AF$58,E734=$AB$59,$AF$59,E734=$AB$60,$AF$60,E734=$AB$61,$AF$61,E734=$AB$62,$AF$62,E734=$AB$63,$AF$63,E734=$AB$64,$AF$64,E734=$AB$65,$AF$65,E734=$AB$66,$AF$66,TRUE,"0")</f>
        <v>AT HT IF 0-0 BACK +0.5 GOALS</v>
      </c>
      <c r="D734" s="270" t="str" cm="1">
        <f t="array" ref="D734">_xlfn.IFS(E734=$AB$42,$AD$42,E734=$AB$43,$AD$43,E734=$AB$44,$AD$44,E734=$AB$45,$AD$45,E734=$AB$46,$AD$46,E734=$AB$47,$AD$47,E734=$AB$48,$AD$48,E734=$AB$49,$AD$49,E734=$AB$50,$AD$50,E734=$AB$51,$AD$51,E734=$AB$52,$AD$52,E734=$AB$53,$AD$53,E734=$AB$54,$AD$54,E734=$AB$55,$AD$55,E734=$AB$56,$AD$56,E734=$AB$57,$AD$57,E734=$AB$58,$AD$58,E734=$AB$59,$AD$59,E734=$AB$60,$AD$60,E734=$AB$61,$AD$61,E734=$AB$62,$AD$62,E734=$AB$63,$AD$63,E734=$AB$64,$AD$64,E734=$AB$65,$AD$65,E734=$AB$66,$AD$66,TRUE,"0")</f>
        <v>IP</v>
      </c>
      <c r="E734" s="163" t="s">
        <v>514</v>
      </c>
      <c r="F734" s="2" t="s">
        <v>149</v>
      </c>
      <c r="G734" s="2" t="s">
        <v>153</v>
      </c>
      <c r="H734" s="3">
        <v>45382.5625</v>
      </c>
      <c r="I734" s="2" t="s">
        <v>242</v>
      </c>
      <c r="J734" s="2" t="s">
        <v>155</v>
      </c>
      <c r="K734" s="2">
        <v>3.45</v>
      </c>
      <c r="L734" s="2">
        <v>310</v>
      </c>
      <c r="M734" s="2">
        <v>0</v>
      </c>
      <c r="N734" s="2">
        <v>20</v>
      </c>
      <c r="O734" s="2">
        <v>20</v>
      </c>
      <c r="P734" s="2">
        <v>24</v>
      </c>
      <c r="Q734" s="2" t="s">
        <v>95</v>
      </c>
      <c r="R734" s="10" t="s">
        <v>221</v>
      </c>
      <c r="S734" s="14" t="s">
        <v>214</v>
      </c>
      <c r="T734" s="188">
        <v>1000</v>
      </c>
      <c r="U734" s="8">
        <f t="shared" si="86"/>
        <v>180</v>
      </c>
      <c r="V734" s="234">
        <f t="shared" si="89"/>
        <v>48984.155246160299</v>
      </c>
      <c r="W734" s="15">
        <v>25</v>
      </c>
      <c r="X734" s="8">
        <f t="shared" si="87"/>
        <v>4.5</v>
      </c>
      <c r="Y734" s="233">
        <f t="shared" si="88"/>
        <v>3090.5</v>
      </c>
    </row>
    <row r="735" spans="1:25">
      <c r="A735" s="156" t="e" cm="1">
        <f t="array" aca="1" ref="A735" ca="1">_xlfn.IFS(E735=$AB$42,$AC$42,E735=$AB$43,$AC$43,E735=$AB$44,$AC$44,E735=$AB$45,$AC$45,E735=$AB$46,$AC$46,E735=$AB$47,$AC$47,E735=$AB$48,$AC$48,E735=$AB$49,$AC$49,E735=$AB$50,$AC$50,E735=$AB$51,$AC$51,E735=$AB$52,$AC$52,E735=$AB$53,$AC$53,E735=$AB$54,$AC$54,E735=$AB$55,$AC$55,E735=$AB$56,$AC$56,E735=$AB$57,$AC$57,E735=$AB$58,$AC$58,E735=$AB$59,$AC$59,E735=$AB$60,$AC$60,E735=$AB$61,$AC$61,E735=$AB$62,$AC$62,E735=$AB$63,$AC$63,E735=$AB$64,$AC$64,E735=$AB$65,$AC$65,E735=$AB$66,$AC$66,TRUE,"0")</f>
        <v>#NAME?</v>
      </c>
      <c r="C735" s="161" t="str" cm="1">
        <f t="array" ref="C735">_xlfn.IFS(E735=$AB$42,$AF$42,E735=$AB$43,$AF$43,E735=$AB$44,$AF$44,E735=$AB$45,$AF$45,E735=$AB$46,$AF$46,E735=$AB$47,$AF$47,E735=$AB$48,$AF$48,E735=$AB$49,$AF$49,E735=$AB$50,$AF$50,E735=$AB$51,$AF$51,E735=$AB$52,$AF$52,E735=$AB$53,$AF$53,E735=$AB$54,$AF$54,E735=$AB$55,$AF$55,E735=$AB$56,$AF$56,E735=$AB$57,$AF$57,E735=$AB$58,$AF$58,E735=$AB$59,$AF$59,E735=$AB$60,$AF$60,E735=$AB$61,$AF$61,E735=$AB$62,$AF$62,E735=$AB$63,$AF$63,E735=$AB$64,$AF$64,E735=$AB$65,$AF$65,E735=$AB$66,$AF$66,TRUE,"0")</f>
        <v>B4 match BACK FT +1.5 goals. X AFTER  GOAL</v>
      </c>
      <c r="D735" s="270" t="str" cm="1">
        <f t="array" ref="D735">_xlfn.IFS(E735=$AB$42,$AD$42,E735=$AB$43,$AD$43,E735=$AB$44,$AD$44,E735=$AB$45,$AD$45,E735=$AB$46,$AD$46,E735=$AB$47,$AD$47,E735=$AB$48,$AD$48,E735=$AB$49,$AD$49,E735=$AB$50,$AD$50,E735=$AB$51,$AD$51,E735=$AB$52,$AD$52,E735=$AB$53,$AD$53,E735=$AB$54,$AD$54,E735=$AB$55,$AD$55,E735=$AB$56,$AD$56,E735=$AB$57,$AD$57,E735=$AB$58,$AD$58,E735=$AB$59,$AD$59,E735=$AB$60,$AD$60,E735=$AB$61,$AD$61,E735=$AB$62,$AD$62,E735=$AB$63,$AD$63,E735=$AB$64,$AD$64,E735=$AB$65,$AD$65,E735=$AB$66,$AD$66,TRUE,"0")</f>
        <v xml:space="preserve">BFM </v>
      </c>
      <c r="E735" s="163" t="s">
        <v>406</v>
      </c>
      <c r="F735" s="2" t="s">
        <v>6</v>
      </c>
      <c r="G735" s="2" t="s">
        <v>62</v>
      </c>
      <c r="H735" s="3">
        <v>45382.583333333336</v>
      </c>
      <c r="I735" s="2" t="s">
        <v>285</v>
      </c>
      <c r="J735" s="2" t="s">
        <v>267</v>
      </c>
      <c r="K735" s="2">
        <v>1.33</v>
      </c>
      <c r="L735" s="2">
        <v>9.8000000000000007</v>
      </c>
      <c r="M735" s="2">
        <v>3.4</v>
      </c>
      <c r="N735" s="2">
        <v>3.25</v>
      </c>
      <c r="O735" s="2">
        <v>3.25</v>
      </c>
      <c r="P735" s="2"/>
      <c r="Q735" s="2" t="s">
        <v>95</v>
      </c>
      <c r="R735" s="10" t="s">
        <v>216</v>
      </c>
      <c r="S735" s="14" t="s">
        <v>222</v>
      </c>
      <c r="T735" s="188">
        <v>1000</v>
      </c>
      <c r="U735" s="8">
        <f t="shared" si="86"/>
        <v>180</v>
      </c>
      <c r="V735" s="234">
        <f t="shared" ref="V735:V736" si="90">SUM(V734,U735)</f>
        <v>49164.155246160299</v>
      </c>
      <c r="W735" s="15">
        <v>25</v>
      </c>
      <c r="X735" s="8">
        <f t="shared" si="87"/>
        <v>4.5</v>
      </c>
      <c r="Y735" s="233">
        <f t="shared" si="88"/>
        <v>3095</v>
      </c>
    </row>
    <row r="736" spans="1:25">
      <c r="A736" s="156" t="e" cm="1">
        <f t="array" aca="1" ref="A736" ca="1">_xlfn.IFS(E736=$AB$42,$AC$42,E736=$AB$43,$AC$43,E736=$AB$44,$AC$44,E736=$AB$45,$AC$45,E736=$AB$46,$AC$46,E736=$AB$47,$AC$47,E736=$AB$48,$AC$48,E736=$AB$49,$AC$49,E736=$AB$50,$AC$50,E736=$AB$51,$AC$51,E736=$AB$52,$AC$52,E736=$AB$53,$AC$53,E736=$AB$54,$AC$54,E736=$AB$55,$AC$55,E736=$AB$56,$AC$56,E736=$AB$57,$AC$57,E736=$AB$58,$AC$58,E736=$AB$59,$AC$59,E736=$AB$60,$AC$60,E736=$AB$61,$AC$61,E736=$AB$62,$AC$62,E736=$AB$63,$AC$63,E736=$AB$64,$AC$64,E736=$AB$65,$AC$65,E736=$AB$66,$AC$66,TRUE,"0")</f>
        <v>#NAME?</v>
      </c>
      <c r="C736" s="161" t="str" cm="1">
        <f t="array" ref="C736">_xlfn.IFS(E736=$AB$42,$AF$42,E736=$AB$43,$AF$43,E736=$AB$44,$AF$44,E736=$AB$45,$AF$45,E736=$AB$46,$AF$46,E736=$AB$47,$AF$47,E736=$AB$48,$AF$48,E736=$AB$49,$AF$49,E736=$AB$50,$AF$50,E736=$AB$51,$AF$51,E736=$AB$52,$AF$52,E736=$AB$53,$AF$53,E736=$AB$54,$AF$54,E736=$AB$55,$AF$55,E736=$AB$56,$AF$56,E736=$AB$57,$AF$57,E736=$AB$58,$AF$58,E736=$AB$59,$AF$59,E736=$AB$60,$AF$60,E736=$AB$61,$AF$61,E736=$AB$62,$AF$62,E736=$AB$63,$AF$63,E736=$AB$64,$AF$64,E736=$AB$65,$AF$65,E736=$AB$66,$AF$66,TRUE,"0")</f>
        <v>B4 match BACK FT +1.5 goals. X AFTER  GOAL</v>
      </c>
      <c r="D736" s="270" t="str" cm="1">
        <f t="array" ref="D736">_xlfn.IFS(E736=$AB$42,$AD$42,E736=$AB$43,$AD$43,E736=$AB$44,$AD$44,E736=$AB$45,$AD$45,E736=$AB$46,$AD$46,E736=$AB$47,$AD$47,E736=$AB$48,$AD$48,E736=$AB$49,$AD$49,E736=$AB$50,$AD$50,E736=$AB$51,$AD$51,E736=$AB$52,$AD$52,E736=$AB$53,$AD$53,E736=$AB$54,$AD$54,E736=$AB$55,$AD$55,E736=$AB$56,$AD$56,E736=$AB$57,$AD$57,E736=$AB$58,$AD$58,E736=$AB$59,$AD$59,E736=$AB$60,$AD$60,E736=$AB$61,$AD$61,E736=$AB$62,$AD$62,E736=$AB$63,$AD$63,E736=$AB$64,$AD$64,E736=$AB$65,$AD$65,E736=$AB$66,$AD$66,TRUE,"0")</f>
        <v xml:space="preserve">BFM </v>
      </c>
      <c r="E736" s="163" t="s">
        <v>623</v>
      </c>
      <c r="F736" s="2" t="s">
        <v>6</v>
      </c>
      <c r="G736" s="2" t="s">
        <v>62</v>
      </c>
      <c r="H736" s="3">
        <v>45382.583333333336</v>
      </c>
      <c r="I736" s="2" t="s">
        <v>285</v>
      </c>
      <c r="J736" s="2" t="s">
        <v>267</v>
      </c>
      <c r="K736" s="2">
        <v>3.25</v>
      </c>
      <c r="L736" s="2">
        <v>20</v>
      </c>
      <c r="M736" s="2">
        <v>3.4</v>
      </c>
      <c r="N736" s="2">
        <v>23</v>
      </c>
      <c r="O736" s="2">
        <v>4</v>
      </c>
      <c r="P736" s="2">
        <v>10</v>
      </c>
      <c r="Q736" s="2" t="s">
        <v>95</v>
      </c>
      <c r="R736" s="10" t="s">
        <v>216</v>
      </c>
      <c r="S736" s="14" t="s">
        <v>222</v>
      </c>
      <c r="T736" s="188">
        <v>1000</v>
      </c>
      <c r="U736" s="8">
        <f t="shared" si="86"/>
        <v>180</v>
      </c>
      <c r="V736" s="234">
        <f t="shared" si="90"/>
        <v>49344.155246160299</v>
      </c>
      <c r="W736" s="15">
        <v>25</v>
      </c>
      <c r="X736" s="8">
        <f t="shared" si="87"/>
        <v>4.5</v>
      </c>
      <c r="Y736" s="233">
        <f t="shared" si="88"/>
        <v>3099.5</v>
      </c>
    </row>
    <row r="737" spans="1:25">
      <c r="A737" s="156" t="e" cm="1">
        <f t="array" aca="1" ref="A737" ca="1">_xlfn.IFS(E737=$AB$42,$AC$42,E737=$AB$43,$AC$43,E737=$AB$44,$AC$44,E737=$AB$45,$AC$45,E737=$AB$46,$AC$46,E737=$AB$47,$AC$47,E737=$AB$48,$AC$48,E737=$AB$49,$AC$49,E737=$AB$50,$AC$50,E737=$AB$51,$AC$51,E737=$AB$52,$AC$52,E737=$AB$53,$AC$53,E737=$AB$54,$AC$54,E737=$AB$55,$AC$55,E737=$AB$56,$AC$56,E737=$AB$57,$AC$57,E737=$AB$58,$AC$58,E737=$AB$59,$AC$59,E737=$AB$60,$AC$60,E737=$AB$61,$AC$61,E737=$AB$62,$AC$62,E737=$AB$63,$AC$63,E737=$AB$64,$AC$64,E737=$AB$65,$AC$65,E737=$AB$66,$AC$66,TRUE,"0")</f>
        <v>#NAME?</v>
      </c>
      <c r="C737" s="161" t="str" cm="1">
        <f t="array" ref="C737">_xlfn.IFS(E737=$AB$42,$AF$42,E737=$AB$43,$AF$43,E737=$AB$44,$AF$44,E737=$AB$45,$AF$45,E737=$AB$46,$AF$46,E737=$AB$47,$AF$47,E737=$AB$48,$AF$48,E737=$AB$49,$AF$49,E737=$AB$50,$AF$50,E737=$AB$51,$AF$51,E737=$AB$52,$AF$52,E737=$AB$53,$AF$53,E737=$AB$54,$AF$54,E737=$AB$55,$AF$55,E737=$AB$56,$AF$56,E737=$AB$57,$AF$57,E737=$AB$58,$AF$58,E737=$AB$59,$AF$59,E737=$AB$60,$AF$60,E737=$AB$61,$AF$61,E737=$AB$62,$AF$62,E737=$AB$63,$AF$63,E737=$AB$64,$AF$64,E737=$AB$65,$AF$65,E737=$AB$66,$AF$66,TRUE,"0")</f>
        <v>40 mins Back ANother Goal</v>
      </c>
      <c r="D737" s="270" t="str" cm="1">
        <f t="array" ref="D737">_xlfn.IFS(E737=$AB$42,$AD$42,E737=$AB$43,$AD$43,E737=$AB$44,$AD$44,E737=$AB$45,$AD$45,E737=$AB$46,$AD$46,E737=$AB$47,$AD$47,E737=$AB$48,$AD$48,E737=$AB$49,$AD$49,E737=$AB$50,$AD$50,E737=$AB$51,$AD$51,E737=$AB$52,$AD$52,E737=$AB$53,$AD$53,E737=$AB$54,$AD$54,E737=$AB$55,$AD$55,E737=$AB$56,$AD$56,E737=$AB$57,$AD$57,E737=$AB$58,$AD$58,E737=$AB$59,$AD$59,E737=$AB$60,$AD$60,E737=$AB$61,$AD$61,E737=$AB$62,$AD$62,E737=$AB$63,$AD$63,E737=$AB$64,$AD$64,E737=$AB$65,$AD$65,E737=$AB$66,$AD$66,TRUE,"0")</f>
        <v xml:space="preserve">  BANG</v>
      </c>
      <c r="E737" s="163" t="s">
        <v>515</v>
      </c>
      <c r="F737" s="2" t="s">
        <v>119</v>
      </c>
      <c r="G737" s="2" t="s">
        <v>166</v>
      </c>
      <c r="H737" s="3">
        <v>45382.635416666664</v>
      </c>
      <c r="I737" s="2" t="s">
        <v>637</v>
      </c>
      <c r="J737" s="2" t="s">
        <v>327</v>
      </c>
      <c r="K737" s="2">
        <v>20</v>
      </c>
      <c r="L737" s="2">
        <v>70</v>
      </c>
      <c r="M737" s="2">
        <v>1.6</v>
      </c>
      <c r="N737" s="2"/>
      <c r="O737" s="2"/>
      <c r="P737" s="2"/>
      <c r="Q737" s="2" t="s">
        <v>95</v>
      </c>
      <c r="R737" s="10" t="s">
        <v>222</v>
      </c>
      <c r="S737" s="14" t="s">
        <v>215</v>
      </c>
      <c r="T737" s="188">
        <v>1000</v>
      </c>
      <c r="U737" s="8">
        <f t="shared" si="86"/>
        <v>180</v>
      </c>
      <c r="V737" s="234">
        <f t="shared" ref="V737:V744" si="91">SUM(V736,U737)</f>
        <v>49524.155246160299</v>
      </c>
      <c r="W737" s="15">
        <v>25</v>
      </c>
      <c r="X737" s="8">
        <f t="shared" si="87"/>
        <v>4.5</v>
      </c>
      <c r="Y737" s="233">
        <f t="shared" si="88"/>
        <v>3104</v>
      </c>
    </row>
    <row r="738" spans="1:25">
      <c r="A738" s="156" t="e" cm="1">
        <f t="array" aca="1" ref="A738" ca="1">_xlfn.IFS(E738=$AB$42,$AC$42,E738=$AB$43,$AC$43,E738=$AB$44,$AC$44,E738=$AB$45,$AC$45,E738=$AB$46,$AC$46,E738=$AB$47,$AC$47,E738=$AB$48,$AC$48,E738=$AB$49,$AC$49,E738=$AB$50,$AC$50,E738=$AB$51,$AC$51,E738=$AB$52,$AC$52,E738=$AB$53,$AC$53,E738=$AB$54,$AC$54,E738=$AB$55,$AC$55,E738=$AB$56,$AC$56,E738=$AB$57,$AC$57,E738=$AB$58,$AC$58,E738=$AB$59,$AC$59,E738=$AB$60,$AC$60,E738=$AB$61,$AC$61,E738=$AB$62,$AC$62,E738=$AB$63,$AC$63,E738=$AB$64,$AC$64,E738=$AB$65,$AC$65,E738=$AB$66,$AC$66,TRUE,"0")</f>
        <v>#NAME?</v>
      </c>
      <c r="C738" s="161" t="str" cm="1">
        <f t="array" ref="C738">_xlfn.IFS(E738=$AB$42,$AF$42,E738=$AB$43,$AF$43,E738=$AB$44,$AF$44,E738=$AB$45,$AF$45,E738=$AB$46,$AF$46,E738=$AB$47,$AF$47,E738=$AB$48,$AF$48,E738=$AB$49,$AF$49,E738=$AB$50,$AF$50,E738=$AB$51,$AF$51,E738=$AB$52,$AF$52,E738=$AB$53,$AF$53,E738=$AB$54,$AF$54,E738=$AB$55,$AF$55,E738=$AB$56,$AF$56,E738=$AB$57,$AF$57,E738=$AB$58,$AF$58,E738=$AB$59,$AF$59,E738=$AB$60,$AF$60,E738=$AB$61,$AF$61,E738=$AB$62,$AF$62,E738=$AB$63,$AF$63,E738=$AB$64,$AF$64,E738=$AB$65,$AF$65,E738=$AB$66,$AF$66,TRUE,"0")</f>
        <v>40 mins Back ANother Goal</v>
      </c>
      <c r="D738" s="270" t="str" cm="1">
        <f t="array" ref="D738">_xlfn.IFS(E738=$AB$42,$AD$42,E738=$AB$43,$AD$43,E738=$AB$44,$AD$44,E738=$AB$45,$AD$45,E738=$AB$46,$AD$46,E738=$AB$47,$AD$47,E738=$AB$48,$AD$48,E738=$AB$49,$AD$49,E738=$AB$50,$AD$50,E738=$AB$51,$AD$51,E738=$AB$52,$AD$52,E738=$AB$53,$AD$53,E738=$AB$54,$AD$54,E738=$AB$55,$AD$55,E738=$AB$56,$AD$56,E738=$AB$57,$AD$57,E738=$AB$58,$AD$58,E738=$AB$59,$AD$59,E738=$AB$60,$AD$60,E738=$AB$61,$AD$61,E738=$AB$62,$AD$62,E738=$AB$63,$AD$63,E738=$AB$64,$AD$64,E738=$AB$65,$AD$65,E738=$AB$66,$AD$66,TRUE,"0")</f>
        <v xml:space="preserve">  BANG</v>
      </c>
      <c r="E738" s="163" t="s">
        <v>28</v>
      </c>
      <c r="F738" s="2" t="s">
        <v>133</v>
      </c>
      <c r="G738" s="2" t="s">
        <v>78</v>
      </c>
      <c r="H738" s="3">
        <v>45382.666666666664</v>
      </c>
      <c r="I738" s="2" t="s">
        <v>466</v>
      </c>
      <c r="J738" s="2" t="s">
        <v>137</v>
      </c>
      <c r="K738" s="2">
        <v>2.2999999999999998</v>
      </c>
      <c r="L738" s="2">
        <v>5.1100000000000003</v>
      </c>
      <c r="M738" s="2">
        <v>60</v>
      </c>
      <c r="N738" s="2">
        <v>0</v>
      </c>
      <c r="O738" s="2">
        <v>20</v>
      </c>
      <c r="P738" s="2">
        <v>1.17</v>
      </c>
      <c r="Q738" s="2" t="s">
        <v>95</v>
      </c>
      <c r="R738" s="10" t="s">
        <v>223</v>
      </c>
      <c r="S738" s="14" t="s">
        <v>213</v>
      </c>
      <c r="T738" s="188">
        <v>1000</v>
      </c>
      <c r="U738" s="8">
        <f t="shared" si="86"/>
        <v>180</v>
      </c>
      <c r="V738" s="234">
        <f t="shared" si="91"/>
        <v>49704.155246160299</v>
      </c>
      <c r="W738" s="15">
        <v>25</v>
      </c>
      <c r="X738" s="8">
        <f t="shared" si="87"/>
        <v>4.5</v>
      </c>
      <c r="Y738" s="233">
        <f t="shared" si="88"/>
        <v>3108.5</v>
      </c>
    </row>
    <row r="739" spans="1:25">
      <c r="A739" s="156" t="e" cm="1">
        <f t="array" aca="1" ref="A739" ca="1">_xlfn.IFS(E739=$AB$42,$AC$42,E739=$AB$43,$AC$43,E739=$AB$44,$AC$44,E739=$AB$45,$AC$45,E739=$AB$46,$AC$46,E739=$AB$47,$AC$47,E739=$AB$48,$AC$48,E739=$AB$49,$AC$49,E739=$AB$50,$AC$50,E739=$AB$51,$AC$51,E739=$AB$52,$AC$52,E739=$AB$53,$AC$53,E739=$AB$54,$AC$54,E739=$AB$55,$AC$55,E739=$AB$56,$AC$56,E739=$AB$57,$AC$57,E739=$AB$58,$AC$58,E739=$AB$59,$AC$59,E739=$AB$60,$AC$60,E739=$AB$61,$AC$61,E739=$AB$62,$AC$62,E739=$AB$63,$AC$63,E739=$AB$64,$AC$64,E739=$AB$65,$AC$65,E739=$AB$66,$AC$66,TRUE,"0")</f>
        <v>#NAME?</v>
      </c>
      <c r="C739" s="161" t="str" cm="1">
        <f t="array" ref="C739">_xlfn.IFS(E739=$AB$42,$AF$42,E739=$AB$43,$AF$43,E739=$AB$44,$AF$44,E739=$AB$45,$AF$45,E739=$AB$46,$AF$46,E739=$AB$47,$AF$47,E739=$AB$48,$AF$48,E739=$AB$49,$AF$49,E739=$AB$50,$AF$50,E739=$AB$51,$AF$51,E739=$AB$52,$AF$52,E739=$AB$53,$AF$53,E739=$AB$54,$AF$54,E739=$AB$55,$AF$55,E739=$AB$56,$AF$56,E739=$AB$57,$AF$57,E739=$AB$58,$AF$58,E739=$AB$59,$AF$59,E739=$AB$60,$AF$60,E739=$AB$61,$AF$61,E739=$AB$62,$AF$62,E739=$AB$63,$AF$63,E739=$AB$64,$AF$64,E739=$AB$65,$AF$65,E739=$AB$66,$AF$66,TRUE,"0")</f>
        <v>if 0-0, BACK+ 0.5 GOALS  @ 1.15+odds.  or @ 40 mins</v>
      </c>
      <c r="D739" s="270" t="str" cm="1">
        <f t="array" ref="D739">_xlfn.IFS(E739=$AB$42,$AD$42,E739=$AB$43,$AD$43,E739=$AB$44,$AD$44,E739=$AB$45,$AD$45,E739=$AB$46,$AD$46,E739=$AB$47,$AD$47,E739=$AB$48,$AD$48,E739=$AB$49,$AD$49,E739=$AB$50,$AD$50,E739=$AB$51,$AD$51,E739=$AB$52,$AD$52,E739=$AB$53,$AD$53,E739=$AB$54,$AD$54,E739=$AB$55,$AD$55,E739=$AB$56,$AD$56,E739=$AB$57,$AD$57,E739=$AB$58,$AD$58,E739=$AB$59,$AD$59,E739=$AB$60,$AD$60,E739=$AB$61,$AD$61,E739=$AB$62,$AD$62,E739=$AB$63,$AD$63,E739=$AB$64,$AD$64,E739=$AB$65,$AD$65,E739=$AB$66,$AD$66,TRUE,"0")</f>
        <v>IP</v>
      </c>
      <c r="E739" s="163" t="s">
        <v>270</v>
      </c>
      <c r="F739" s="2" t="s">
        <v>133</v>
      </c>
      <c r="G739" s="2" t="s">
        <v>78</v>
      </c>
      <c r="H739" s="3">
        <v>45382.666666666664</v>
      </c>
      <c r="I739" s="2" t="s">
        <v>466</v>
      </c>
      <c r="J739" s="2" t="s">
        <v>137</v>
      </c>
      <c r="K739" s="2">
        <v>67</v>
      </c>
      <c r="L739" s="2">
        <v>0</v>
      </c>
      <c r="M739" s="2">
        <v>20</v>
      </c>
      <c r="N739" s="2">
        <v>31</v>
      </c>
      <c r="O739" s="2">
        <v>2.12</v>
      </c>
      <c r="P739" s="2"/>
      <c r="Q739" s="2" t="s">
        <v>95</v>
      </c>
      <c r="R739" s="10" t="s">
        <v>223</v>
      </c>
      <c r="S739" s="14" t="s">
        <v>213</v>
      </c>
      <c r="T739" s="188">
        <v>1000</v>
      </c>
      <c r="U739" s="8">
        <f t="shared" si="86"/>
        <v>180</v>
      </c>
      <c r="V739" s="234">
        <f t="shared" si="91"/>
        <v>49884.155246160299</v>
      </c>
      <c r="W739" s="15">
        <v>25</v>
      </c>
      <c r="X739" s="8">
        <f t="shared" si="87"/>
        <v>4.5</v>
      </c>
      <c r="Y739" s="233">
        <f t="shared" si="88"/>
        <v>3113</v>
      </c>
    </row>
    <row r="740" spans="1:25">
      <c r="A740" s="156" t="e" cm="1">
        <f t="array" aca="1" ref="A740" ca="1">_xlfn.IFS(E740=$AB$42,$AC$42,E740=$AB$43,$AC$43,E740=$AB$44,$AC$44,E740=$AB$45,$AC$45,E740=$AB$46,$AC$46,E740=$AB$47,$AC$47,E740=$AB$48,$AC$48,E740=$AB$49,$AC$49,E740=$AB$50,$AC$50,E740=$AB$51,$AC$51,E740=$AB$52,$AC$52,E740=$AB$53,$AC$53,E740=$AB$54,$AC$54,E740=$AB$55,$AC$55,E740=$AB$56,$AC$56,E740=$AB$57,$AC$57,E740=$AB$58,$AC$58,E740=$AB$59,$AC$59,E740=$AB$60,$AC$60,E740=$AB$61,$AC$61,E740=$AB$62,$AC$62,E740=$AB$63,$AC$63,E740=$AB$64,$AC$64,E740=$AB$65,$AC$65,E740=$AB$66,$AC$66,TRUE,"0")</f>
        <v>#NAME?</v>
      </c>
      <c r="C740" s="161" t="str" cm="1">
        <f t="array" ref="C740">_xlfn.IFS(E740=$AB$42,$AF$42,E740=$AB$43,$AF$43,E740=$AB$44,$AF$44,E740=$AB$45,$AF$45,E740=$AB$46,$AF$46,E740=$AB$47,$AF$47,E740=$AB$48,$AF$48,E740=$AB$49,$AF$49,E740=$AB$50,$AF$50,E740=$AB$51,$AF$51,E740=$AB$52,$AF$52,E740=$AB$53,$AF$53,E740=$AB$54,$AF$54,E740=$AB$55,$AF$55,E740=$AB$56,$AF$56,E740=$AB$57,$AF$57,E740=$AB$58,$AF$58,E740=$AB$59,$AF$59,E740=$AB$60,$AF$60,E740=$AB$61,$AF$61,E740=$AB$62,$AF$62,E740=$AB$63,$AF$63,E740=$AB$64,$AF$64,E740=$AB$65,$AF$65,E740=$AB$66,$AF$66,TRUE,"0")</f>
        <v>B4 match BACK FT +1.5 goals. X AFTER  GOAL</v>
      </c>
      <c r="D740" s="270" t="str" cm="1">
        <f t="array" ref="D740">_xlfn.IFS(E740=$AB$42,$AD$42,E740=$AB$43,$AD$43,E740=$AB$44,$AD$44,E740=$AB$45,$AD$45,E740=$AB$46,$AD$46,E740=$AB$47,$AD$47,E740=$AB$48,$AD$48,E740=$AB$49,$AD$49,E740=$AB$50,$AD$50,E740=$AB$51,$AD$51,E740=$AB$52,$AD$52,E740=$AB$53,$AD$53,E740=$AB$54,$AD$54,E740=$AB$55,$AD$55,E740=$AB$56,$AD$56,E740=$AB$57,$AD$57,E740=$AB$58,$AD$58,E740=$AB$59,$AD$59,E740=$AB$60,$AD$60,E740=$AB$61,$AD$61,E740=$AB$62,$AD$62,E740=$AB$63,$AD$63,E740=$AB$64,$AD$64,E740=$AB$65,$AD$65,E740=$AB$66,$AD$66,TRUE,"0")</f>
        <v xml:space="preserve">BFM </v>
      </c>
      <c r="E740" s="163" t="s">
        <v>406</v>
      </c>
      <c r="F740" s="2" t="s">
        <v>77</v>
      </c>
      <c r="G740" s="2" t="s">
        <v>156</v>
      </c>
      <c r="H740" s="3">
        <v>45382.6875</v>
      </c>
      <c r="I740" s="2" t="s">
        <v>168</v>
      </c>
      <c r="J740" s="2" t="s">
        <v>260</v>
      </c>
      <c r="K740" s="2">
        <v>1.29</v>
      </c>
      <c r="L740" s="2">
        <v>12.5</v>
      </c>
      <c r="M740" s="2">
        <v>3.05</v>
      </c>
      <c r="N740" s="2">
        <v>3.7</v>
      </c>
      <c r="O740" s="2">
        <v>3.29</v>
      </c>
      <c r="P740" s="2"/>
      <c r="Q740" s="2" t="s">
        <v>95</v>
      </c>
      <c r="R740" s="10" t="s">
        <v>214</v>
      </c>
      <c r="S740" s="14" t="s">
        <v>279</v>
      </c>
      <c r="T740" s="188">
        <v>1000</v>
      </c>
      <c r="U740" s="8">
        <f t="shared" si="86"/>
        <v>180</v>
      </c>
      <c r="V740" s="234">
        <f t="shared" si="91"/>
        <v>50064.155246160299</v>
      </c>
      <c r="W740" s="15">
        <v>25</v>
      </c>
      <c r="X740" s="8">
        <f t="shared" si="87"/>
        <v>4.5</v>
      </c>
      <c r="Y740" s="233">
        <f t="shared" si="88"/>
        <v>3117.5</v>
      </c>
    </row>
    <row r="741" spans="1:25">
      <c r="A741" s="156" t="e" cm="1">
        <f t="array" aca="1" ref="A741" ca="1">_xlfn.IFS(E741=$AB$42,$AC$42,E741=$AB$43,$AC$43,E741=$AB$44,$AC$44,E741=$AB$45,$AC$45,E741=$AB$46,$AC$46,E741=$AB$47,$AC$47,E741=$AB$48,$AC$48,E741=$AB$49,$AC$49,E741=$AB$50,$AC$50,E741=$AB$51,$AC$51,E741=$AB$52,$AC$52,E741=$AB$53,$AC$53,E741=$AB$54,$AC$54,E741=$AB$55,$AC$55,E741=$AB$56,$AC$56,E741=$AB$57,$AC$57,E741=$AB$58,$AC$58,E741=$AB$59,$AC$59,E741=$AB$60,$AC$60,E741=$AB$61,$AC$61,E741=$AB$62,$AC$62,E741=$AB$63,$AC$63,E741=$AB$64,$AC$64,E741=$AB$65,$AC$65,E741=$AB$66,$AC$66,TRUE,"0")</f>
        <v>#NAME?</v>
      </c>
      <c r="C741" s="161" t="str" cm="1">
        <f t="array" ref="C741">_xlfn.IFS(E741=$AB$42,$AF$42,E741=$AB$43,$AF$43,E741=$AB$44,$AF$44,E741=$AB$45,$AF$45,E741=$AB$46,$AF$46,E741=$AB$47,$AF$47,E741=$AB$48,$AF$48,E741=$AB$49,$AF$49,E741=$AB$50,$AF$50,E741=$AB$51,$AF$51,E741=$AB$52,$AF$52,E741=$AB$53,$AF$53,E741=$AB$54,$AF$54,E741=$AB$55,$AF$55,E741=$AB$56,$AF$56,E741=$AB$57,$AF$57,E741=$AB$58,$AF$58,E741=$AB$59,$AF$59,E741=$AB$60,$AF$60,E741=$AB$61,$AF$61,E741=$AB$62,$AF$62,E741=$AB$63,$AF$63,E741=$AB$64,$AF$64,E741=$AB$65,$AF$65,E741=$AB$66,$AF$66,TRUE,"0")</f>
        <v>B4 match BACK FT +1.5 goals. X AFTER  GOAL</v>
      </c>
      <c r="D741" s="270" t="str" cm="1">
        <f t="array" ref="D741">_xlfn.IFS(E741=$AB$42,$AD$42,E741=$AB$43,$AD$43,E741=$AB$44,$AD$44,E741=$AB$45,$AD$45,E741=$AB$46,$AD$46,E741=$AB$47,$AD$47,E741=$AB$48,$AD$48,E741=$AB$49,$AD$49,E741=$AB$50,$AD$50,E741=$AB$51,$AD$51,E741=$AB$52,$AD$52,E741=$AB$53,$AD$53,E741=$AB$54,$AD$54,E741=$AB$55,$AD$55,E741=$AB$56,$AD$56,E741=$AB$57,$AD$57,E741=$AB$58,$AD$58,E741=$AB$59,$AD$59,E741=$AB$60,$AD$60,E741=$AB$61,$AD$61,E741=$AB$62,$AD$62,E741=$AB$63,$AD$63,E741=$AB$64,$AD$64,E741=$AB$65,$AD$65,E741=$AB$66,$AD$66,TRUE,"0")</f>
        <v xml:space="preserve">BFM </v>
      </c>
      <c r="E741" s="163" t="s">
        <v>623</v>
      </c>
      <c r="F741" s="2" t="s">
        <v>77</v>
      </c>
      <c r="G741" s="2" t="s">
        <v>156</v>
      </c>
      <c r="H741" s="3">
        <v>45382.6875</v>
      </c>
      <c r="I741" s="2" t="s">
        <v>168</v>
      </c>
      <c r="J741" s="2" t="s">
        <v>260</v>
      </c>
      <c r="K741" s="2">
        <v>3.7</v>
      </c>
      <c r="L741" s="2">
        <v>20</v>
      </c>
      <c r="M741" s="2">
        <v>3.05</v>
      </c>
      <c r="N741" s="2">
        <v>24</v>
      </c>
      <c r="O741" s="2">
        <v>1</v>
      </c>
      <c r="P741" s="2">
        <v>10</v>
      </c>
      <c r="Q741" s="2" t="s">
        <v>95</v>
      </c>
      <c r="R741" s="10" t="s">
        <v>214</v>
      </c>
      <c r="S741" s="14" t="s">
        <v>279</v>
      </c>
      <c r="T741" s="188">
        <v>1000</v>
      </c>
      <c r="U741" s="8">
        <f t="shared" si="86"/>
        <v>180</v>
      </c>
      <c r="V741" s="234">
        <f t="shared" si="91"/>
        <v>50244.155246160299</v>
      </c>
      <c r="W741" s="15">
        <v>25</v>
      </c>
      <c r="X741" s="8">
        <f t="shared" si="87"/>
        <v>4.5</v>
      </c>
      <c r="Y741" s="233">
        <f t="shared" si="88"/>
        <v>3122</v>
      </c>
    </row>
    <row r="742" spans="1:25">
      <c r="A742" s="156" t="e" cm="1">
        <f t="array" aca="1" ref="A742" ca="1">_xlfn.IFS(E742=$AB$42,$AC$42,E742=$AB$43,$AC$43,E742=$AB$44,$AC$44,E742=$AB$45,$AC$45,E742=$AB$46,$AC$46,E742=$AB$47,$AC$47,E742=$AB$48,$AC$48,E742=$AB$49,$AC$49,E742=$AB$50,$AC$50,E742=$AB$51,$AC$51,E742=$AB$52,$AC$52,E742=$AB$53,$AC$53,E742=$AB$54,$AC$54,E742=$AB$55,$AC$55,E742=$AB$56,$AC$56,E742=$AB$57,$AC$57,E742=$AB$58,$AC$58,E742=$AB$59,$AC$59,E742=$AB$60,$AC$60,E742=$AB$61,$AC$61,E742=$AB$62,$AC$62,E742=$AB$63,$AC$63,E742=$AB$64,$AC$64,E742=$AB$65,$AC$65,E742=$AB$66,$AC$66,TRUE,"0")</f>
        <v>#NAME?</v>
      </c>
      <c r="C742" s="161" t="str" cm="1">
        <f t="array" ref="C742">_xlfn.IFS(E742=$AB$42,$AF$42,E742=$AB$43,$AF$43,E742=$AB$44,$AF$44,E742=$AB$45,$AF$45,E742=$AB$46,$AF$46,E742=$AB$47,$AF$47,E742=$AB$48,$AF$48,E742=$AB$49,$AF$49,E742=$AB$50,$AF$50,E742=$AB$51,$AF$51,E742=$AB$52,$AF$52,E742=$AB$53,$AF$53,E742=$AB$54,$AF$54,E742=$AB$55,$AF$55,E742=$AB$56,$AF$56,E742=$AB$57,$AF$57,E742=$AB$58,$AF$58,E742=$AB$59,$AF$59,E742=$AB$60,$AF$60,E742=$AB$61,$AF$61,E742=$AB$62,$AF$62,E742=$AB$63,$AF$63,E742=$AB$64,$AF$64,E742=$AB$65,$AF$65,E742=$AB$66,$AF$66,TRUE,"0")</f>
        <v>B4 Match, lay HT 0-0 or BACK H1 +0.5 GOALS</v>
      </c>
      <c r="D742" s="270" t="str" cm="1">
        <f t="array" ref="D742">_xlfn.IFS(E742=$AB$42,$AD$42,E742=$AB$43,$AD$43,E742=$AB$44,$AD$44,E742=$AB$45,$AD$45,E742=$AB$46,$AD$46,E742=$AB$47,$AD$47,E742=$AB$48,$AD$48,E742=$AB$49,$AD$49,E742=$AB$50,$AD$50,E742=$AB$51,$AD$51,E742=$AB$52,$AD$52,E742=$AB$53,$AD$53,E742=$AB$54,$AD$54,E742=$AB$55,$AD$55,E742=$AB$56,$AD$56,E742=$AB$57,$AD$57,E742=$AB$58,$AD$58,E742=$AB$59,$AD$59,E742=$AB$60,$AD$60,E742=$AB$61,$AD$61,E742=$AB$62,$AD$62,E742=$AB$63,$AD$63,E742=$AB$64,$AD$64,E742=$AB$65,$AD$65,E742=$AB$66,$AD$66,TRUE,"0")</f>
        <v xml:space="preserve">BFM </v>
      </c>
      <c r="E742" s="163" t="s">
        <v>432</v>
      </c>
      <c r="F742" s="2" t="s">
        <v>77</v>
      </c>
      <c r="G742" s="2" t="s">
        <v>156</v>
      </c>
      <c r="H742" s="3">
        <v>45382.6875</v>
      </c>
      <c r="I742" s="2" t="s">
        <v>168</v>
      </c>
      <c r="J742" s="2" t="s">
        <v>260</v>
      </c>
      <c r="K742" s="2">
        <v>5</v>
      </c>
      <c r="L742" s="2">
        <v>20</v>
      </c>
      <c r="M742" s="2">
        <v>14</v>
      </c>
      <c r="N742" s="2">
        <v>19</v>
      </c>
      <c r="O742" s="2">
        <v>24</v>
      </c>
      <c r="P742" s="2">
        <v>1.7</v>
      </c>
      <c r="Q742" s="2" t="s">
        <v>95</v>
      </c>
      <c r="R742" s="10" t="s">
        <v>214</v>
      </c>
      <c r="S742" s="14" t="s">
        <v>279</v>
      </c>
      <c r="T742" s="188">
        <v>1000</v>
      </c>
      <c r="U742" s="8">
        <f t="shared" si="86"/>
        <v>180</v>
      </c>
      <c r="V742" s="234">
        <f t="shared" si="91"/>
        <v>50424.155246160299</v>
      </c>
      <c r="W742" s="15">
        <v>25</v>
      </c>
      <c r="X742" s="8">
        <f t="shared" si="87"/>
        <v>4.5</v>
      </c>
      <c r="Y742" s="233">
        <f t="shared" si="88"/>
        <v>3126.5</v>
      </c>
    </row>
    <row r="743" spans="1:25">
      <c r="A743" s="156" t="e" cm="1">
        <f t="array" aca="1" ref="A743" ca="1">_xlfn.IFS(E743=$AB$42,$AC$42,E743=$AB$43,$AC$43,E743=$AB$44,$AC$44,E743=$AB$45,$AC$45,E743=$AB$46,$AC$46,E743=$AB$47,$AC$47,E743=$AB$48,$AC$48,E743=$AB$49,$AC$49,E743=$AB$50,$AC$50,E743=$AB$51,$AC$51,E743=$AB$52,$AC$52,E743=$AB$53,$AC$53,E743=$AB$54,$AC$54,E743=$AB$55,$AC$55,E743=$AB$56,$AC$56,E743=$AB$57,$AC$57,E743=$AB$58,$AC$58,E743=$AB$59,$AC$59,E743=$AB$60,$AC$60,E743=$AB$61,$AC$61,E743=$AB$62,$AC$62,E743=$AB$63,$AC$63,E743=$AB$64,$AC$64,E743=$AB$65,$AC$65,E743=$AB$66,$AC$66,TRUE,"0")</f>
        <v>#NAME?</v>
      </c>
      <c r="C743" s="161" t="str" cm="1">
        <f t="array" ref="C743">_xlfn.IFS(E743=$AB$42,$AF$42,E743=$AB$43,$AF$43,E743=$AB$44,$AF$44,E743=$AB$45,$AF$45,E743=$AB$46,$AF$46,E743=$AB$47,$AF$47,E743=$AB$48,$AF$48,E743=$AB$49,$AF$49,E743=$AB$50,$AF$50,E743=$AB$51,$AF$51,E743=$AB$52,$AF$52,E743=$AB$53,$AF$53,E743=$AB$54,$AF$54,E743=$AB$55,$AF$55,E743=$AB$56,$AF$56,E743=$AB$57,$AF$57,E743=$AB$58,$AF$58,E743=$AB$59,$AF$59,E743=$AB$60,$AF$60,E743=$AB$61,$AF$61,E743=$AB$62,$AF$62,E743=$AB$63,$AF$63,E743=$AB$64,$AF$64,E743=$AB$65,$AF$65,E743=$AB$66,$AF$66,TRUE,"0")</f>
        <v>if 0-0, BACK+ 0.5 GOALS  @ 1.15+odds.  or @ 40 mins</v>
      </c>
      <c r="D743" s="270" t="str" cm="1">
        <f t="array" ref="D743">_xlfn.IFS(E743=$AB$42,$AD$42,E743=$AB$43,$AD$43,E743=$AB$44,$AD$44,E743=$AB$45,$AD$45,E743=$AB$46,$AD$46,E743=$AB$47,$AD$47,E743=$AB$48,$AD$48,E743=$AB$49,$AD$49,E743=$AB$50,$AD$50,E743=$AB$51,$AD$51,E743=$AB$52,$AD$52,E743=$AB$53,$AD$53,E743=$AB$54,$AD$54,E743=$AB$55,$AD$55,E743=$AB$56,$AD$56,E743=$AB$57,$AD$57,E743=$AB$58,$AD$58,E743=$AB$59,$AD$59,E743=$AB$60,$AD$60,E743=$AB$61,$AD$61,E743=$AB$62,$AD$62,E743=$AB$63,$AD$63,E743=$AB$64,$AD$64,E743=$AB$65,$AD$65,E743=$AB$66,$AD$66,TRUE,"0")</f>
        <v>IP</v>
      </c>
      <c r="E743" s="163" t="s">
        <v>270</v>
      </c>
      <c r="F743" s="2" t="s">
        <v>133</v>
      </c>
      <c r="G743" s="2" t="s">
        <v>78</v>
      </c>
      <c r="H743" s="3">
        <v>45382.770833333336</v>
      </c>
      <c r="I743" s="2" t="s">
        <v>136</v>
      </c>
      <c r="J743" s="2" t="s">
        <v>394</v>
      </c>
      <c r="K743" s="2">
        <v>61</v>
      </c>
      <c r="L743" s="2">
        <v>0</v>
      </c>
      <c r="M743" s="2">
        <v>20</v>
      </c>
      <c r="N743" s="2">
        <v>36</v>
      </c>
      <c r="O743" s="2">
        <v>2.59</v>
      </c>
      <c r="P743" s="2"/>
      <c r="Q743" s="2" t="s">
        <v>95</v>
      </c>
      <c r="R743" s="10" t="s">
        <v>193</v>
      </c>
      <c r="S743" s="14" t="s">
        <v>216</v>
      </c>
      <c r="T743" s="188">
        <v>1000</v>
      </c>
      <c r="U743" s="8">
        <f t="shared" si="86"/>
        <v>180</v>
      </c>
      <c r="V743" s="234">
        <f t="shared" si="91"/>
        <v>50604.155246160299</v>
      </c>
      <c r="W743" s="15">
        <v>25</v>
      </c>
      <c r="X743" s="8">
        <f t="shared" si="87"/>
        <v>4.5</v>
      </c>
      <c r="Y743" s="233">
        <f t="shared" si="88"/>
        <v>3131</v>
      </c>
    </row>
    <row r="744" spans="1:25">
      <c r="A744" s="156" t="e" cm="1">
        <f t="array" aca="1" ref="A744" ca="1">_xlfn.IFS(E744=$AB$42,$AC$42,E744=$AB$43,$AC$43,E744=$AB$44,$AC$44,E744=$AB$45,$AC$45,E744=$AB$46,$AC$46,E744=$AB$47,$AC$47,E744=$AB$48,$AC$48,E744=$AB$49,$AC$49,E744=$AB$50,$AC$50,E744=$AB$51,$AC$51,E744=$AB$52,$AC$52,E744=$AB$53,$AC$53,E744=$AB$54,$AC$54,E744=$AB$55,$AC$55,E744=$AB$56,$AC$56,E744=$AB$57,$AC$57,E744=$AB$58,$AC$58,E744=$AB$59,$AC$59,E744=$AB$60,$AC$60,E744=$AB$61,$AC$61,E744=$AB$62,$AC$62,E744=$AB$63,$AC$63,E744=$AB$64,$AC$64,E744=$AB$65,$AC$65,E744=$AB$66,$AC$66,TRUE,"0")</f>
        <v>#NAME?</v>
      </c>
      <c r="C744" s="161" t="str" cm="1">
        <f t="array" ref="C744">_xlfn.IFS(E744=$AB$42,$AF$42,E744=$AB$43,$AF$43,E744=$AB$44,$AF$44,E744=$AB$45,$AF$45,E744=$AB$46,$AF$46,E744=$AB$47,$AF$47,E744=$AB$48,$AF$48,E744=$AB$49,$AF$49,E744=$AB$50,$AF$50,E744=$AB$51,$AF$51,E744=$AB$52,$AF$52,E744=$AB$53,$AF$53,E744=$AB$54,$AF$54,E744=$AB$55,$AF$55,E744=$AB$56,$AF$56,E744=$AB$57,$AF$57,E744=$AB$58,$AF$58,E744=$AB$59,$AF$59,E744=$AB$60,$AF$60,E744=$AB$61,$AF$61,E744=$AB$62,$AF$62,E744=$AB$63,$AF$63,E744=$AB$64,$AF$64,E744=$AB$65,$AF$65,E744=$AB$66,$AF$66,TRUE,"0")</f>
        <v>B4 match BACK FT +1.5 goals. X AFTER  GOAL</v>
      </c>
      <c r="D744" s="270" t="str" cm="1">
        <f t="array" ref="D744">_xlfn.IFS(E744=$AB$42,$AD$42,E744=$AB$43,$AD$43,E744=$AB$44,$AD$44,E744=$AB$45,$AD$45,E744=$AB$46,$AD$46,E744=$AB$47,$AD$47,E744=$AB$48,$AD$48,E744=$AB$49,$AD$49,E744=$AB$50,$AD$50,E744=$AB$51,$AD$51,E744=$AB$52,$AD$52,E744=$AB$53,$AD$53,E744=$AB$54,$AD$54,E744=$AB$55,$AD$55,E744=$AB$56,$AD$56,E744=$AB$57,$AD$57,E744=$AB$58,$AD$58,E744=$AB$59,$AD$59,E744=$AB$60,$AD$60,E744=$AB$61,$AD$61,E744=$AB$62,$AD$62,E744=$AB$63,$AD$63,E744=$AB$64,$AD$64,E744=$AB$65,$AD$65,E744=$AB$66,$AD$66,TRUE,"0")</f>
        <v xml:space="preserve">BFM </v>
      </c>
      <c r="E744" s="163" t="s">
        <v>623</v>
      </c>
      <c r="F744" s="2" t="s">
        <v>77</v>
      </c>
      <c r="G744" s="2" t="s">
        <v>156</v>
      </c>
      <c r="H744" s="3">
        <v>45382.770833333336</v>
      </c>
      <c r="I744" s="2" t="s">
        <v>239</v>
      </c>
      <c r="J744" s="2" t="s">
        <v>345</v>
      </c>
      <c r="K744" s="2">
        <v>5.8</v>
      </c>
      <c r="L744" s="2">
        <v>20</v>
      </c>
      <c r="M744" s="2">
        <v>3.2</v>
      </c>
      <c r="N744" s="2">
        <v>31</v>
      </c>
      <c r="O744" s="2">
        <v>1</v>
      </c>
      <c r="P744" s="2">
        <v>10</v>
      </c>
      <c r="Q744" s="2" t="s">
        <v>95</v>
      </c>
      <c r="R744" s="10" t="s">
        <v>214</v>
      </c>
      <c r="S744" s="14" t="s">
        <v>210</v>
      </c>
      <c r="T744" s="188">
        <v>1000</v>
      </c>
      <c r="U744" s="8">
        <f t="shared" si="86"/>
        <v>180</v>
      </c>
      <c r="V744" s="234">
        <f t="shared" si="91"/>
        <v>50784.155246160299</v>
      </c>
      <c r="W744" s="15">
        <v>25</v>
      </c>
      <c r="X744" s="8">
        <f t="shared" si="87"/>
        <v>4.5</v>
      </c>
      <c r="Y744" s="233">
        <f t="shared" si="88"/>
        <v>3135.5</v>
      </c>
    </row>
    <row r="745" spans="1:25">
      <c r="A745" s="156" t="e" cm="1">
        <f t="array" aca="1" ref="A745" ca="1">_xlfn.IFS(E745=$AB$42,$AC$42,E745=$AB$43,$AC$43,E745=$AB$44,$AC$44,E745=$AB$45,$AC$45,E745=$AB$46,$AC$46,E745=$AB$47,$AC$47,E745=$AB$48,$AC$48,E745=$AB$49,$AC$49,E745=$AB$50,$AC$50,E745=$AB$51,$AC$51,E745=$AB$52,$AC$52,E745=$AB$53,$AC$53,E745=$AB$54,$AC$54,E745=$AB$55,$AC$55,E745=$AB$56,$AC$56,E745=$AB$57,$AC$57,E745=$AB$58,$AC$58,E745=$AB$59,$AC$59,E745=$AB$60,$AC$60,E745=$AB$61,$AC$61,E745=$AB$62,$AC$62,E745=$AB$63,$AC$63,E745=$AB$64,$AC$64,E745=$AB$65,$AC$65,E745=$AB$66,$AC$66,TRUE,"0")</f>
        <v>#NAME?</v>
      </c>
      <c r="C745" s="161" t="str" cm="1">
        <f t="array" ref="C745">_xlfn.IFS(E745=$AB$42,$AF$42,E745=$AB$43,$AF$43,E745=$AB$44,$AF$44,E745=$AB$45,$AF$45,E745=$AB$46,$AF$46,E745=$AB$47,$AF$47,E745=$AB$48,$AF$48,E745=$AB$49,$AF$49,E745=$AB$50,$AF$50,E745=$AB$51,$AF$51,E745=$AB$52,$AF$52,E745=$AB$53,$AF$53,E745=$AB$54,$AF$54,E745=$AB$55,$AF$55,E745=$AB$56,$AF$56,E745=$AB$57,$AF$57,E745=$AB$58,$AF$58,E745=$AB$59,$AF$59,E745=$AB$60,$AF$60,E745=$AB$61,$AF$61,E745=$AB$62,$AF$62,E745=$AB$63,$AF$63,E745=$AB$64,$AF$64,E745=$AB$65,$AF$65,E745=$AB$66,$AF$66,TRUE,"0")</f>
        <v>15mins if  0-0, BACK over 1.5 goals X after goal OR LET RUN</v>
      </c>
      <c r="D745" s="270" t="str" cm="1">
        <f t="array" ref="D745">_xlfn.IFS(E745=$AB$42,$AD$42,E745=$AB$43,$AD$43,E745=$AB$44,$AD$44,E745=$AB$45,$AD$45,E745=$AB$46,$AD$46,E745=$AB$47,$AD$47,E745=$AB$48,$AD$48,E745=$AB$49,$AD$49,E745=$AB$50,$AD$50,E745=$AB$51,$AD$51,E745=$AB$52,$AD$52,E745=$AB$53,$AD$53,E745=$AB$54,$AD$54,E745=$AB$55,$AD$55,E745=$AB$56,$AD$56,E745=$AB$57,$AD$57,E745=$AB$58,$AD$58,E745=$AB$59,$AD$59,E745=$AB$60,$AD$60,E745=$AB$61,$AD$61,E745=$AB$62,$AD$62,E745=$AB$63,$AD$63,E745=$AB$64,$AD$64,E745=$AB$65,$AD$65,E745=$AB$66,$AD$66,TRUE,"0")</f>
        <v>IP</v>
      </c>
      <c r="E745" s="163" t="s">
        <v>473</v>
      </c>
      <c r="F745" s="2" t="s">
        <v>145</v>
      </c>
      <c r="G745" s="2" t="s">
        <v>190</v>
      </c>
      <c r="H745" s="3">
        <v>45382.822916666664</v>
      </c>
      <c r="I745" s="2" t="s">
        <v>191</v>
      </c>
      <c r="J745" s="2" t="s">
        <v>553</v>
      </c>
      <c r="K745" s="2">
        <v>66</v>
      </c>
      <c r="L745" s="2">
        <v>90</v>
      </c>
      <c r="M745" s="2">
        <v>20</v>
      </c>
      <c r="N745" s="2">
        <v>2.85</v>
      </c>
      <c r="O745" s="2"/>
      <c r="P745" s="2"/>
      <c r="Q745" s="2" t="s">
        <v>95</v>
      </c>
      <c r="R745" s="10" t="s">
        <v>221</v>
      </c>
      <c r="S745" s="14" t="s">
        <v>217</v>
      </c>
      <c r="T745" s="188">
        <v>1000</v>
      </c>
      <c r="U745" s="8">
        <f t="shared" si="86"/>
        <v>180</v>
      </c>
      <c r="V745" s="234">
        <f t="shared" ref="V745:V746" si="92">SUM(V744,U745)</f>
        <v>50964.155246160299</v>
      </c>
      <c r="W745" s="15">
        <v>25</v>
      </c>
      <c r="X745" s="8">
        <f t="shared" si="87"/>
        <v>4.5</v>
      </c>
      <c r="Y745" s="233">
        <f t="shared" si="88"/>
        <v>3140</v>
      </c>
    </row>
    <row r="746" spans="1:25">
      <c r="A746" s="156" t="e" cm="1">
        <f t="array" aca="1" ref="A746" ca="1">_xlfn.IFS(E746=$AB$42,$AC$42,E746=$AB$43,$AC$43,E746=$AB$44,$AC$44,E746=$AB$45,$AC$45,E746=$AB$46,$AC$46,E746=$AB$47,$AC$47,E746=$AB$48,$AC$48,E746=$AB$49,$AC$49,E746=$AB$50,$AC$50,E746=$AB$51,$AC$51,E746=$AB$52,$AC$52,E746=$AB$53,$AC$53,E746=$AB$54,$AC$54,E746=$AB$55,$AC$55,E746=$AB$56,$AC$56,E746=$AB$57,$AC$57,E746=$AB$58,$AC$58,E746=$AB$59,$AC$59,E746=$AB$60,$AC$60,E746=$AB$61,$AC$61,E746=$AB$62,$AC$62,E746=$AB$63,$AC$63,E746=$AB$64,$AC$64,E746=$AB$65,$AC$65,E746=$AB$66,$AC$66,TRUE,"0")</f>
        <v>#NAME?</v>
      </c>
      <c r="C746" s="161" t="str" cm="1">
        <f t="array" ref="C746">_xlfn.IFS(E746=$AB$42,$AF$42,E746=$AB$43,$AF$43,E746=$AB$44,$AF$44,E746=$AB$45,$AF$45,E746=$AB$46,$AF$46,E746=$AB$47,$AF$47,E746=$AB$48,$AF$48,E746=$AB$49,$AF$49,E746=$AB$50,$AF$50,E746=$AB$51,$AF$51,E746=$AB$52,$AF$52,E746=$AB$53,$AF$53,E746=$AB$54,$AF$54,E746=$AB$55,$AF$55,E746=$AB$56,$AF$56,E746=$AB$57,$AF$57,E746=$AB$58,$AF$58,E746=$AB$59,$AF$59,E746=$AB$60,$AF$60,E746=$AB$61,$AF$61,E746=$AB$62,$AF$62,E746=$AB$63,$AF$63,E746=$AB$64,$AF$64,E746=$AB$65,$AF$65,E746=$AB$66,$AF$66,TRUE,"0")</f>
        <v>B4 match BACK FT +1.5 goals. X AFTER  GOAL</v>
      </c>
      <c r="D746" s="270" t="str" cm="1">
        <f t="array" ref="D746">_xlfn.IFS(E746=$AB$42,$AD$42,E746=$AB$43,$AD$43,E746=$AB$44,$AD$44,E746=$AB$45,$AD$45,E746=$AB$46,$AD$46,E746=$AB$47,$AD$47,E746=$AB$48,$AD$48,E746=$AB$49,$AD$49,E746=$AB$50,$AD$50,E746=$AB$51,$AD$51,E746=$AB$52,$AD$52,E746=$AB$53,$AD$53,E746=$AB$54,$AD$54,E746=$AB$55,$AD$55,E746=$AB$56,$AD$56,E746=$AB$57,$AD$57,E746=$AB$58,$AD$58,E746=$AB$59,$AD$59,E746=$AB$60,$AD$60,E746=$AB$61,$AD$61,E746=$AB$62,$AD$62,E746=$AB$63,$AD$63,E746=$AB$64,$AD$64,E746=$AB$65,$AD$65,E746=$AB$66,$AD$66,TRUE,"0")</f>
        <v xml:space="preserve">BFM </v>
      </c>
      <c r="E746" s="163" t="s">
        <v>406</v>
      </c>
      <c r="F746" s="2" t="s">
        <v>20</v>
      </c>
      <c r="G746" s="2" t="s">
        <v>21</v>
      </c>
      <c r="H746" s="3">
        <v>45383.479166666664</v>
      </c>
      <c r="I746" s="2" t="s">
        <v>101</v>
      </c>
      <c r="J746" s="2" t="s">
        <v>110</v>
      </c>
      <c r="K746" s="2">
        <v>1.3</v>
      </c>
      <c r="L746" s="2">
        <v>14.5</v>
      </c>
      <c r="M746" s="2">
        <v>2.6</v>
      </c>
      <c r="N746" s="2">
        <v>5.2</v>
      </c>
      <c r="O746" s="2">
        <v>2.27</v>
      </c>
      <c r="P746" s="2"/>
      <c r="Q746" s="2" t="s">
        <v>95</v>
      </c>
      <c r="R746" s="10" t="s">
        <v>220</v>
      </c>
      <c r="S746" s="14" t="s">
        <v>207</v>
      </c>
      <c r="T746" s="188">
        <v>1000</v>
      </c>
      <c r="U746" s="8">
        <f t="shared" si="86"/>
        <v>180</v>
      </c>
      <c r="V746" s="234">
        <f t="shared" si="92"/>
        <v>51144.155246160299</v>
      </c>
      <c r="W746" s="15">
        <v>25</v>
      </c>
      <c r="X746" s="8">
        <f t="shared" si="87"/>
        <v>4.5</v>
      </c>
      <c r="Y746" s="233">
        <f t="shared" si="88"/>
        <v>3144.5</v>
      </c>
    </row>
    <row r="747" spans="1:25">
      <c r="A747" s="156" t="e" cm="1">
        <f t="array" aca="1" ref="A747" ca="1">_xlfn.IFS(E747=$AB$42,$AC$42,E747=$AB$43,$AC$43,E747=$AB$44,$AC$44,E747=$AB$45,$AC$45,E747=$AB$46,$AC$46,E747=$AB$47,$AC$47,E747=$AB$48,$AC$48,E747=$AB$49,$AC$49,E747=$AB$50,$AC$50,E747=$AB$51,$AC$51,E747=$AB$52,$AC$52,E747=$AB$53,$AC$53,E747=$AB$54,$AC$54,E747=$AB$55,$AC$55,E747=$AB$56,$AC$56,E747=$AB$57,$AC$57,E747=$AB$58,$AC$58,E747=$AB$59,$AC$59,E747=$AB$60,$AC$60,E747=$AB$61,$AC$61,E747=$AB$62,$AC$62,E747=$AB$63,$AC$63,E747=$AB$64,$AC$64,E747=$AB$65,$AC$65,E747=$AB$66,$AC$66,TRUE,"0")</f>
        <v>#NAME?</v>
      </c>
      <c r="C747" s="161" t="str" cm="1">
        <f t="array" ref="C747">_xlfn.IFS(E747=$AB$42,$AF$42,E747=$AB$43,$AF$43,E747=$AB$44,$AF$44,E747=$AB$45,$AF$45,E747=$AB$46,$AF$46,E747=$AB$47,$AF$47,E747=$AB$48,$AF$48,E747=$AB$49,$AF$49,E747=$AB$50,$AF$50,E747=$AB$51,$AF$51,E747=$AB$52,$AF$52,E747=$AB$53,$AF$53,E747=$AB$54,$AF$54,E747=$AB$55,$AF$55,E747=$AB$56,$AF$56,E747=$AB$57,$AF$57,E747=$AB$58,$AF$58,E747=$AB$59,$AF$59,E747=$AB$60,$AF$60,E747=$AB$61,$AF$61,E747=$AB$62,$AF$62,E747=$AB$63,$AF$63,E747=$AB$64,$AF$64,E747=$AB$65,$AF$65,E747=$AB$66,$AF$66,TRUE,"0")</f>
        <v>B4 match BACK FT +1.5 goals. X AFTER  GOAL</v>
      </c>
      <c r="D747" s="270" t="str" cm="1">
        <f t="array" ref="D747">_xlfn.IFS(E747=$AB$42,$AD$42,E747=$AB$43,$AD$43,E747=$AB$44,$AD$44,E747=$AB$45,$AD$45,E747=$AB$46,$AD$46,E747=$AB$47,$AD$47,E747=$AB$48,$AD$48,E747=$AB$49,$AD$49,E747=$AB$50,$AD$50,E747=$AB$51,$AD$51,E747=$AB$52,$AD$52,E747=$AB$53,$AD$53,E747=$AB$54,$AD$54,E747=$AB$55,$AD$55,E747=$AB$56,$AD$56,E747=$AB$57,$AD$57,E747=$AB$58,$AD$58,E747=$AB$59,$AD$59,E747=$AB$60,$AD$60,E747=$AB$61,$AD$61,E747=$AB$62,$AD$62,E747=$AB$63,$AD$63,E747=$AB$64,$AD$64,E747=$AB$65,$AD$65,E747=$AB$66,$AD$66,TRUE,"0")</f>
        <v xml:space="preserve">BFM </v>
      </c>
      <c r="E747" s="163" t="s">
        <v>623</v>
      </c>
      <c r="F747" s="2" t="s">
        <v>20</v>
      </c>
      <c r="G747" s="2" t="s">
        <v>21</v>
      </c>
      <c r="H747" s="3">
        <v>45383.479166666664</v>
      </c>
      <c r="I747" s="2" t="s">
        <v>101</v>
      </c>
      <c r="J747" s="2" t="s">
        <v>110</v>
      </c>
      <c r="K747" s="2">
        <v>5.2</v>
      </c>
      <c r="L747" s="2">
        <v>20</v>
      </c>
      <c r="M747" s="2">
        <v>2.6</v>
      </c>
      <c r="N747" s="2">
        <v>27</v>
      </c>
      <c r="O747" s="2">
        <v>2</v>
      </c>
      <c r="P747" s="2">
        <v>10</v>
      </c>
      <c r="Q747" s="2" t="s">
        <v>95</v>
      </c>
      <c r="R747" s="10" t="s">
        <v>220</v>
      </c>
      <c r="S747" s="14" t="s">
        <v>207</v>
      </c>
      <c r="T747" s="188">
        <v>1000</v>
      </c>
      <c r="U747" s="8">
        <f t="shared" si="86"/>
        <v>180</v>
      </c>
      <c r="V747" s="234">
        <f t="shared" ref="V747:V753" si="93">SUM(V746,U747)</f>
        <v>51324.155246160299</v>
      </c>
      <c r="W747" s="15">
        <v>25</v>
      </c>
      <c r="X747" s="8">
        <f t="shared" si="87"/>
        <v>4.5</v>
      </c>
      <c r="Y747" s="233">
        <f t="shared" si="88"/>
        <v>3149</v>
      </c>
    </row>
    <row r="748" spans="1:25">
      <c r="A748" s="156" t="e" cm="1">
        <f t="array" aca="1" ref="A748" ca="1">_xlfn.IFS(E748=$AB$42,$AC$42,E748=$AB$43,$AC$43,E748=$AB$44,$AC$44,E748=$AB$45,$AC$45,E748=$AB$46,$AC$46,E748=$AB$47,$AC$47,E748=$AB$48,$AC$48,E748=$AB$49,$AC$49,E748=$AB$50,$AC$50,E748=$AB$51,$AC$51,E748=$AB$52,$AC$52,E748=$AB$53,$AC$53,E748=$AB$54,$AC$54,E748=$AB$55,$AC$55,E748=$AB$56,$AC$56,E748=$AB$57,$AC$57,E748=$AB$58,$AC$58,E748=$AB$59,$AC$59,E748=$AB$60,$AC$60,E748=$AB$61,$AC$61,E748=$AB$62,$AC$62,E748=$AB$63,$AC$63,E748=$AB$64,$AC$64,E748=$AB$65,$AC$65,E748=$AB$66,$AC$66,TRUE,"0")</f>
        <v>#NAME?</v>
      </c>
      <c r="C748" s="161" t="str" cm="1">
        <f t="array" ref="C748">_xlfn.IFS(E748=$AB$42,$AF$42,E748=$AB$43,$AF$43,E748=$AB$44,$AF$44,E748=$AB$45,$AF$45,E748=$AB$46,$AF$46,E748=$AB$47,$AF$47,E748=$AB$48,$AF$48,E748=$AB$49,$AF$49,E748=$AB$50,$AF$50,E748=$AB$51,$AF$51,E748=$AB$52,$AF$52,E748=$AB$53,$AF$53,E748=$AB$54,$AF$54,E748=$AB$55,$AF$55,E748=$AB$56,$AF$56,E748=$AB$57,$AF$57,E748=$AB$58,$AF$58,E748=$AB$59,$AF$59,E748=$AB$60,$AF$60,E748=$AB$61,$AF$61,E748=$AB$62,$AF$62,E748=$AB$63,$AF$63,E748=$AB$64,$AF$64,E748=$AB$65,$AF$65,E748=$AB$66,$AF$66,TRUE,"0")</f>
        <v>if 0-0, BACK+ 0.5 GOALS  @ 1.15+odds.  or @ 40 mins</v>
      </c>
      <c r="D748" s="270" t="str" cm="1">
        <f t="array" ref="D748">_xlfn.IFS(E748=$AB$42,$AD$42,E748=$AB$43,$AD$43,E748=$AB$44,$AD$44,E748=$AB$45,$AD$45,E748=$AB$46,$AD$46,E748=$AB$47,$AD$47,E748=$AB$48,$AD$48,E748=$AB$49,$AD$49,E748=$AB$50,$AD$50,E748=$AB$51,$AD$51,E748=$AB$52,$AD$52,E748=$AB$53,$AD$53,E748=$AB$54,$AD$54,E748=$AB$55,$AD$55,E748=$AB$56,$AD$56,E748=$AB$57,$AD$57,E748=$AB$58,$AD$58,E748=$AB$59,$AD$59,E748=$AB$60,$AD$60,E748=$AB$61,$AD$61,E748=$AB$62,$AD$62,E748=$AB$63,$AD$63,E748=$AB$64,$AD$64,E748=$AB$65,$AD$65,E748=$AB$66,$AD$66,TRUE,"0")</f>
        <v>IP</v>
      </c>
      <c r="E748" s="163" t="s">
        <v>270</v>
      </c>
      <c r="F748" s="2" t="s">
        <v>6</v>
      </c>
      <c r="G748" s="2" t="s">
        <v>14</v>
      </c>
      <c r="H748" s="3">
        <v>45383.520833333336</v>
      </c>
      <c r="I748" s="2" t="s">
        <v>290</v>
      </c>
      <c r="J748" s="2" t="s">
        <v>317</v>
      </c>
      <c r="K748" s="2">
        <v>61</v>
      </c>
      <c r="L748" s="2">
        <v>0</v>
      </c>
      <c r="M748" s="2">
        <v>20</v>
      </c>
      <c r="N748" s="2">
        <v>29</v>
      </c>
      <c r="O748" s="2">
        <v>2.73</v>
      </c>
      <c r="P748" s="2"/>
      <c r="Q748" s="2" t="s">
        <v>95</v>
      </c>
      <c r="R748" s="10" t="s">
        <v>216</v>
      </c>
      <c r="S748" s="14" t="s">
        <v>215</v>
      </c>
      <c r="T748" s="188">
        <v>1000</v>
      </c>
      <c r="U748" s="8">
        <f t="shared" si="86"/>
        <v>180</v>
      </c>
      <c r="V748" s="234">
        <f t="shared" si="93"/>
        <v>51504.155246160299</v>
      </c>
      <c r="W748" s="15">
        <v>25</v>
      </c>
      <c r="X748" s="8">
        <f t="shared" si="87"/>
        <v>4.5</v>
      </c>
      <c r="Y748" s="233">
        <f t="shared" si="88"/>
        <v>3153.5</v>
      </c>
    </row>
    <row r="749" spans="1:25">
      <c r="A749" s="156" t="e" cm="1">
        <f t="array" aca="1" ref="A749" ca="1">_xlfn.IFS(E749=$AB$42,$AC$42,E749=$AB$43,$AC$43,E749=$AB$44,$AC$44,E749=$AB$45,$AC$45,E749=$AB$46,$AC$46,E749=$AB$47,$AC$47,E749=$AB$48,$AC$48,E749=$AB$49,$AC$49,E749=$AB$50,$AC$50,E749=$AB$51,$AC$51,E749=$AB$52,$AC$52,E749=$AB$53,$AC$53,E749=$AB$54,$AC$54,E749=$AB$55,$AC$55,E749=$AB$56,$AC$56,E749=$AB$57,$AC$57,E749=$AB$58,$AC$58,E749=$AB$59,$AC$59,E749=$AB$60,$AC$60,E749=$AB$61,$AC$61,E749=$AB$62,$AC$62,E749=$AB$63,$AC$63,E749=$AB$64,$AC$64,E749=$AB$65,$AC$65,E749=$AB$66,$AC$66,TRUE,"0")</f>
        <v>#NAME?</v>
      </c>
      <c r="C749" s="161" t="str" cm="1">
        <f t="array" ref="C749">_xlfn.IFS(E749=$AB$42,$AF$42,E749=$AB$43,$AF$43,E749=$AB$44,$AF$44,E749=$AB$45,$AF$45,E749=$AB$46,$AF$46,E749=$AB$47,$AF$47,E749=$AB$48,$AF$48,E749=$AB$49,$AF$49,E749=$AB$50,$AF$50,E749=$AB$51,$AF$51,E749=$AB$52,$AF$52,E749=$AB$53,$AF$53,E749=$AB$54,$AF$54,E749=$AB$55,$AF$55,E749=$AB$56,$AF$56,E749=$AB$57,$AF$57,E749=$AB$58,$AF$58,E749=$AB$59,$AF$59,E749=$AB$60,$AF$60,E749=$AB$61,$AF$61,E749=$AB$62,$AF$62,E749=$AB$63,$AF$63,E749=$AB$64,$AF$64,E749=$AB$65,$AF$65,E749=$AB$66,$AF$66,TRUE,"0")</f>
        <v>B4 Match, lay HT 0-0 or BACK H1 +0.5 GOALS</v>
      </c>
      <c r="D749" s="270" t="str" cm="1">
        <f t="array" ref="D749">_xlfn.IFS(E749=$AB$42,$AD$42,E749=$AB$43,$AD$43,E749=$AB$44,$AD$44,E749=$AB$45,$AD$45,E749=$AB$46,$AD$46,E749=$AB$47,$AD$47,E749=$AB$48,$AD$48,E749=$AB$49,$AD$49,E749=$AB$50,$AD$50,E749=$AB$51,$AD$51,E749=$AB$52,$AD$52,E749=$AB$53,$AD$53,E749=$AB$54,$AD$54,E749=$AB$55,$AD$55,E749=$AB$56,$AD$56,E749=$AB$57,$AD$57,E749=$AB$58,$AD$58,E749=$AB$59,$AD$59,E749=$AB$60,$AD$60,E749=$AB$61,$AD$61,E749=$AB$62,$AD$62,E749=$AB$63,$AD$63,E749=$AB$64,$AD$64,E749=$AB$65,$AD$65,E749=$AB$66,$AD$66,TRUE,"0")</f>
        <v xml:space="preserve">BFM </v>
      </c>
      <c r="E749" s="163" t="s">
        <v>432</v>
      </c>
      <c r="F749" s="2" t="s">
        <v>6</v>
      </c>
      <c r="G749" s="2" t="s">
        <v>7</v>
      </c>
      <c r="H749" s="3">
        <v>45383.541666666664</v>
      </c>
      <c r="I749" s="2" t="s">
        <v>113</v>
      </c>
      <c r="J749" s="2" t="s">
        <v>619</v>
      </c>
      <c r="K749" s="2">
        <v>5</v>
      </c>
      <c r="L749" s="2">
        <v>20</v>
      </c>
      <c r="M749" s="2">
        <v>16</v>
      </c>
      <c r="N749" s="2">
        <v>18</v>
      </c>
      <c r="O749" s="2">
        <v>22</v>
      </c>
      <c r="P749" s="2">
        <v>2.0499999999999998</v>
      </c>
      <c r="Q749" s="2" t="s">
        <v>96</v>
      </c>
      <c r="R749" s="10" t="s">
        <v>221</v>
      </c>
      <c r="S749" s="14" t="s">
        <v>216</v>
      </c>
      <c r="T749" s="188">
        <v>1000</v>
      </c>
      <c r="U749" s="8">
        <f t="shared" si="86"/>
        <v>-1000</v>
      </c>
      <c r="V749" s="234">
        <f t="shared" si="93"/>
        <v>50504.155246160299</v>
      </c>
      <c r="W749" s="15">
        <v>25</v>
      </c>
      <c r="X749" s="8">
        <f t="shared" si="87"/>
        <v>-25</v>
      </c>
      <c r="Y749" s="233">
        <f t="shared" si="88"/>
        <v>3128.5</v>
      </c>
    </row>
    <row r="750" spans="1:25">
      <c r="A750" s="156" t="e" cm="1">
        <f t="array" aca="1" ref="A750" ca="1">_xlfn.IFS(E750=$AB$42,$AC$42,E750=$AB$43,$AC$43,E750=$AB$44,$AC$44,E750=$AB$45,$AC$45,E750=$AB$46,$AC$46,E750=$AB$47,$AC$47,E750=$AB$48,$AC$48,E750=$AB$49,$AC$49,E750=$AB$50,$AC$50,E750=$AB$51,$AC$51,E750=$AB$52,$AC$52,E750=$AB$53,$AC$53,E750=$AB$54,$AC$54,E750=$AB$55,$AC$55,E750=$AB$56,$AC$56,E750=$AB$57,$AC$57,E750=$AB$58,$AC$58,E750=$AB$59,$AC$59,E750=$AB$60,$AC$60,E750=$AB$61,$AC$61,E750=$AB$62,$AC$62,E750=$AB$63,$AC$63,E750=$AB$64,$AC$64,E750=$AB$65,$AC$65,E750=$AB$66,$AC$66,TRUE,"0")</f>
        <v>#NAME?</v>
      </c>
      <c r="C750" s="161" t="str" cm="1">
        <f t="array" ref="C750">_xlfn.IFS(E750=$AB$42,$AF$42,E750=$AB$43,$AF$43,E750=$AB$44,$AF$44,E750=$AB$45,$AF$45,E750=$AB$46,$AF$46,E750=$AB$47,$AF$47,E750=$AB$48,$AF$48,E750=$AB$49,$AF$49,E750=$AB$50,$AF$50,E750=$AB$51,$AF$51,E750=$AB$52,$AF$52,E750=$AB$53,$AF$53,E750=$AB$54,$AF$54,E750=$AB$55,$AF$55,E750=$AB$56,$AF$56,E750=$AB$57,$AF$57,E750=$AB$58,$AF$58,E750=$AB$59,$AF$59,E750=$AB$60,$AF$60,E750=$AB$61,$AF$61,E750=$AB$62,$AF$62,E750=$AB$63,$AF$63,E750=$AB$64,$AF$64,E750=$AB$65,$AF$65,E750=$AB$66,$AF$66,TRUE,"0")</f>
        <v>B4 Match, lay HT 0-0 or BACK H1 +0.5 GOALS</v>
      </c>
      <c r="D750" s="270" t="str" cm="1">
        <f t="array" ref="D750">_xlfn.IFS(E750=$AB$42,$AD$42,E750=$AB$43,$AD$43,E750=$AB$44,$AD$44,E750=$AB$45,$AD$45,E750=$AB$46,$AD$46,E750=$AB$47,$AD$47,E750=$AB$48,$AD$48,E750=$AB$49,$AD$49,E750=$AB$50,$AD$50,E750=$AB$51,$AD$51,E750=$AB$52,$AD$52,E750=$AB$53,$AD$53,E750=$AB$54,$AD$54,E750=$AB$55,$AD$55,E750=$AB$56,$AD$56,E750=$AB$57,$AD$57,E750=$AB$58,$AD$58,E750=$AB$59,$AD$59,E750=$AB$60,$AD$60,E750=$AB$61,$AD$61,E750=$AB$62,$AD$62,E750=$AB$63,$AD$63,E750=$AB$64,$AD$64,E750=$AB$65,$AD$65,E750=$AB$66,$AD$66,TRUE,"0")</f>
        <v xml:space="preserve">BFM </v>
      </c>
      <c r="E750" s="163" t="s">
        <v>448</v>
      </c>
      <c r="F750" s="2" t="s">
        <v>6</v>
      </c>
      <c r="G750" s="2" t="s">
        <v>7</v>
      </c>
      <c r="H750" s="3">
        <v>45383.541666666664</v>
      </c>
      <c r="I750" s="2" t="s">
        <v>113</v>
      </c>
      <c r="J750" s="2" t="s">
        <v>619</v>
      </c>
      <c r="K750" s="2">
        <v>20</v>
      </c>
      <c r="L750" s="2">
        <v>5</v>
      </c>
      <c r="M750" s="2">
        <v>41</v>
      </c>
      <c r="N750" s="2">
        <v>9</v>
      </c>
      <c r="O750" s="2">
        <v>7</v>
      </c>
      <c r="P750" s="2">
        <v>6</v>
      </c>
      <c r="Q750" s="2" t="s">
        <v>96</v>
      </c>
      <c r="R750" s="10" t="s">
        <v>221</v>
      </c>
      <c r="S750" s="14" t="s">
        <v>216</v>
      </c>
      <c r="T750" s="188">
        <v>1000</v>
      </c>
      <c r="U750" s="8">
        <f t="shared" ref="U750:U813" si="94">IF(Q750="won",T750*0.18,-T750)</f>
        <v>-1000</v>
      </c>
      <c r="V750" s="234">
        <f t="shared" si="93"/>
        <v>49504.155246160299</v>
      </c>
      <c r="W750" s="15">
        <v>25</v>
      </c>
      <c r="X750" s="8">
        <f t="shared" si="87"/>
        <v>-25</v>
      </c>
      <c r="Y750" s="233">
        <f t="shared" si="88"/>
        <v>3103.5</v>
      </c>
    </row>
    <row r="751" spans="1:25">
      <c r="A751" s="156" t="e" cm="1">
        <f t="array" aca="1" ref="A751" ca="1">_xlfn.IFS(E751=$AB$42,$AC$42,E751=$AB$43,$AC$43,E751=$AB$44,$AC$44,E751=$AB$45,$AC$45,E751=$AB$46,$AC$46,E751=$AB$47,$AC$47,E751=$AB$48,$AC$48,E751=$AB$49,$AC$49,E751=$AB$50,$AC$50,E751=$AB$51,$AC$51,E751=$AB$52,$AC$52,E751=$AB$53,$AC$53,E751=$AB$54,$AC$54,E751=$AB$55,$AC$55,E751=$AB$56,$AC$56,E751=$AB$57,$AC$57,E751=$AB$58,$AC$58,E751=$AB$59,$AC$59,E751=$AB$60,$AC$60,E751=$AB$61,$AC$61,E751=$AB$62,$AC$62,E751=$AB$63,$AC$63,E751=$AB$64,$AC$64,E751=$AB$65,$AC$65,E751=$AB$66,$AC$66,TRUE,"0")</f>
        <v>#NAME?</v>
      </c>
      <c r="C751" s="161" t="str" cm="1">
        <f t="array" ref="C751">_xlfn.IFS(E751=$AB$42,$AF$42,E751=$AB$43,$AF$43,E751=$AB$44,$AF$44,E751=$AB$45,$AF$45,E751=$AB$46,$AF$46,E751=$AB$47,$AF$47,E751=$AB$48,$AF$48,E751=$AB$49,$AF$49,E751=$AB$50,$AF$50,E751=$AB$51,$AF$51,E751=$AB$52,$AF$52,E751=$AB$53,$AF$53,E751=$AB$54,$AF$54,E751=$AB$55,$AF$55,E751=$AB$56,$AF$56,E751=$AB$57,$AF$57,E751=$AB$58,$AF$58,E751=$AB$59,$AF$59,E751=$AB$60,$AF$60,E751=$AB$61,$AF$61,E751=$AB$62,$AF$62,E751=$AB$63,$AF$63,E751=$AB$64,$AF$64,E751=$AB$65,$AF$65,E751=$AB$66,$AF$66,TRUE,"0")</f>
        <v>15mins if  0-0, BACK over 1.5 goals X after goal OR LET RUN</v>
      </c>
      <c r="D751" s="270" t="str" cm="1">
        <f t="array" ref="D751">_xlfn.IFS(E751=$AB$42,$AD$42,E751=$AB$43,$AD$43,E751=$AB$44,$AD$44,E751=$AB$45,$AD$45,E751=$AB$46,$AD$46,E751=$AB$47,$AD$47,E751=$AB$48,$AD$48,E751=$AB$49,$AD$49,E751=$AB$50,$AD$50,E751=$AB$51,$AD$51,E751=$AB$52,$AD$52,E751=$AB$53,$AD$53,E751=$AB$54,$AD$54,E751=$AB$55,$AD$55,E751=$AB$56,$AD$56,E751=$AB$57,$AD$57,E751=$AB$58,$AD$58,E751=$AB$59,$AD$59,E751=$AB$60,$AD$60,E751=$AB$61,$AD$61,E751=$AB$62,$AD$62,E751=$AB$63,$AD$63,E751=$AB$64,$AD$64,E751=$AB$65,$AD$65,E751=$AB$66,$AD$66,TRUE,"0")</f>
        <v>IP</v>
      </c>
      <c r="E751" s="163" t="s">
        <v>473</v>
      </c>
      <c r="F751" s="2" t="s">
        <v>640</v>
      </c>
      <c r="G751" s="2" t="s">
        <v>641</v>
      </c>
      <c r="H751" s="3">
        <v>45383.5625</v>
      </c>
      <c r="I751" s="2" t="s">
        <v>642</v>
      </c>
      <c r="J751" s="2" t="s">
        <v>643</v>
      </c>
      <c r="K751" s="2">
        <v>66</v>
      </c>
      <c r="L751" s="2">
        <v>90</v>
      </c>
      <c r="M751" s="2">
        <v>20</v>
      </c>
      <c r="N751" s="2">
        <v>3.65</v>
      </c>
      <c r="O751" s="2"/>
      <c r="P751" s="2"/>
      <c r="Q751" s="2" t="s">
        <v>95</v>
      </c>
      <c r="R751" s="10" t="s">
        <v>221</v>
      </c>
      <c r="S751" s="14" t="s">
        <v>217</v>
      </c>
      <c r="T751" s="188">
        <v>1000</v>
      </c>
      <c r="U751" s="8">
        <f t="shared" si="94"/>
        <v>180</v>
      </c>
      <c r="V751" s="234">
        <f t="shared" si="93"/>
        <v>49684.155246160299</v>
      </c>
      <c r="W751" s="15">
        <v>25</v>
      </c>
      <c r="X751" s="8">
        <f t="shared" si="87"/>
        <v>4.5</v>
      </c>
      <c r="Y751" s="233">
        <f t="shared" si="88"/>
        <v>3108</v>
      </c>
    </row>
    <row r="752" spans="1:25">
      <c r="A752" s="156" t="e" cm="1">
        <f t="array" aca="1" ref="A752" ca="1">_xlfn.IFS(E752=$AB$42,$AC$42,E752=$AB$43,$AC$43,E752=$AB$44,$AC$44,E752=$AB$45,$AC$45,E752=$AB$46,$AC$46,E752=$AB$47,$AC$47,E752=$AB$48,$AC$48,E752=$AB$49,$AC$49,E752=$AB$50,$AC$50,E752=$AB$51,$AC$51,E752=$AB$52,$AC$52,E752=$AB$53,$AC$53,E752=$AB$54,$AC$54,E752=$AB$55,$AC$55,E752=$AB$56,$AC$56,E752=$AB$57,$AC$57,E752=$AB$58,$AC$58,E752=$AB$59,$AC$59,E752=$AB$60,$AC$60,E752=$AB$61,$AC$61,E752=$AB$62,$AC$62,E752=$AB$63,$AC$63,E752=$AB$64,$AC$64,E752=$AB$65,$AC$65,E752=$AB$66,$AC$66,TRUE,"0")</f>
        <v>#NAME?</v>
      </c>
      <c r="C752" s="161" t="str" cm="1">
        <f t="array" ref="C752">_xlfn.IFS(E752=$AB$42,$AF$42,E752=$AB$43,$AF$43,E752=$AB$44,$AF$44,E752=$AB$45,$AF$45,E752=$AB$46,$AF$46,E752=$AB$47,$AF$47,E752=$AB$48,$AF$48,E752=$AB$49,$AF$49,E752=$AB$50,$AF$50,E752=$AB$51,$AF$51,E752=$AB$52,$AF$52,E752=$AB$53,$AF$53,E752=$AB$54,$AF$54,E752=$AB$55,$AF$55,E752=$AB$56,$AF$56,E752=$AB$57,$AF$57,E752=$AB$58,$AF$58,E752=$AB$59,$AF$59,E752=$AB$60,$AF$60,E752=$AB$61,$AF$61,E752=$AB$62,$AF$62,E752=$AB$63,$AF$63,E752=$AB$64,$AF$64,E752=$AB$65,$AF$65,E752=$AB$66,$AF$66,TRUE,"0")</f>
        <v>15mins if  0-0, BACK over 1.5 goals X after goal OR LET RUN</v>
      </c>
      <c r="D752" s="270" t="str" cm="1">
        <f t="array" ref="D752">_xlfn.IFS(E752=$AB$42,$AD$42,E752=$AB$43,$AD$43,E752=$AB$44,$AD$44,E752=$AB$45,$AD$45,E752=$AB$46,$AD$46,E752=$AB$47,$AD$47,E752=$AB$48,$AD$48,E752=$AB$49,$AD$49,E752=$AB$50,$AD$50,E752=$AB$51,$AD$51,E752=$AB$52,$AD$52,E752=$AB$53,$AD$53,E752=$AB$54,$AD$54,E752=$AB$55,$AD$55,E752=$AB$56,$AD$56,E752=$AB$57,$AD$57,E752=$AB$58,$AD$58,E752=$AB$59,$AD$59,E752=$AB$60,$AD$60,E752=$AB$61,$AD$61,E752=$AB$62,$AD$62,E752=$AB$63,$AD$63,E752=$AB$64,$AD$64,E752=$AB$65,$AD$65,E752=$AB$66,$AD$66,TRUE,"0")</f>
        <v>IP</v>
      </c>
      <c r="E752" s="163" t="s">
        <v>473</v>
      </c>
      <c r="F752" s="2" t="s">
        <v>6</v>
      </c>
      <c r="G752" s="2" t="s">
        <v>7</v>
      </c>
      <c r="H752" s="3">
        <v>45383.625</v>
      </c>
      <c r="I752" s="2" t="s">
        <v>378</v>
      </c>
      <c r="J752" s="2" t="s">
        <v>429</v>
      </c>
      <c r="K752" s="2">
        <v>64</v>
      </c>
      <c r="L752" s="2">
        <v>80</v>
      </c>
      <c r="M752" s="2">
        <v>20</v>
      </c>
      <c r="N752" s="2">
        <v>2.7</v>
      </c>
      <c r="O752" s="2"/>
      <c r="P752" s="2"/>
      <c r="Q752" s="2" t="s">
        <v>95</v>
      </c>
      <c r="R752" s="10" t="s">
        <v>193</v>
      </c>
      <c r="S752" s="14" t="s">
        <v>197</v>
      </c>
      <c r="T752" s="188">
        <v>1000</v>
      </c>
      <c r="U752" s="8">
        <f t="shared" si="94"/>
        <v>180</v>
      </c>
      <c r="V752" s="234">
        <f t="shared" si="93"/>
        <v>49864.155246160299</v>
      </c>
      <c r="W752" s="15">
        <v>25</v>
      </c>
      <c r="X752" s="8">
        <f t="shared" si="87"/>
        <v>4.5</v>
      </c>
      <c r="Y752" s="233">
        <f t="shared" si="88"/>
        <v>3112.5</v>
      </c>
    </row>
    <row r="753" spans="1:25">
      <c r="A753" s="156" t="e" cm="1">
        <f t="array" aca="1" ref="A753" ca="1">_xlfn.IFS(E753=$AB$42,$AC$42,E753=$AB$43,$AC$43,E753=$AB$44,$AC$44,E753=$AB$45,$AC$45,E753=$AB$46,$AC$46,E753=$AB$47,$AC$47,E753=$AB$48,$AC$48,E753=$AB$49,$AC$49,E753=$AB$50,$AC$50,E753=$AB$51,$AC$51,E753=$AB$52,$AC$52,E753=$AB$53,$AC$53,E753=$AB$54,$AC$54,E753=$AB$55,$AC$55,E753=$AB$56,$AC$56,E753=$AB$57,$AC$57,E753=$AB$58,$AC$58,E753=$AB$59,$AC$59,E753=$AB$60,$AC$60,E753=$AB$61,$AC$61,E753=$AB$62,$AC$62,E753=$AB$63,$AC$63,E753=$AB$64,$AC$64,E753=$AB$65,$AC$65,E753=$AB$66,$AC$66,TRUE,"0")</f>
        <v>#NAME?</v>
      </c>
      <c r="C753" s="161" t="str" cm="1">
        <f t="array" ref="C753">_xlfn.IFS(E753=$AB$42,$AF$42,E753=$AB$43,$AF$43,E753=$AB$44,$AF$44,E753=$AB$45,$AF$45,E753=$AB$46,$AF$46,E753=$AB$47,$AF$47,E753=$AB$48,$AF$48,E753=$AB$49,$AF$49,E753=$AB$50,$AF$50,E753=$AB$51,$AF$51,E753=$AB$52,$AF$52,E753=$AB$53,$AF$53,E753=$AB$54,$AF$54,E753=$AB$55,$AF$55,E753=$AB$56,$AF$56,E753=$AB$57,$AF$57,E753=$AB$58,$AF$58,E753=$AB$59,$AF$59,E753=$AB$60,$AF$60,E753=$AB$61,$AF$61,E753=$AB$62,$AF$62,E753=$AB$63,$AF$63,E753=$AB$64,$AF$64,E753=$AB$65,$AF$65,E753=$AB$66,$AF$66,TRUE,"0")</f>
        <v>40 mins Back ANother Goal</v>
      </c>
      <c r="D753" s="270" t="str" cm="1">
        <f t="array" ref="D753">_xlfn.IFS(E753=$AB$42,$AD$42,E753=$AB$43,$AD$43,E753=$AB$44,$AD$44,E753=$AB$45,$AD$45,E753=$AB$46,$AD$46,E753=$AB$47,$AD$47,E753=$AB$48,$AD$48,E753=$AB$49,$AD$49,E753=$AB$50,$AD$50,E753=$AB$51,$AD$51,E753=$AB$52,$AD$52,E753=$AB$53,$AD$53,E753=$AB$54,$AD$54,E753=$AB$55,$AD$55,E753=$AB$56,$AD$56,E753=$AB$57,$AD$57,E753=$AB$58,$AD$58,E753=$AB$59,$AD$59,E753=$AB$60,$AD$60,E753=$AB$61,$AD$61,E753=$AB$62,$AD$62,E753=$AB$63,$AD$63,E753=$AB$64,$AD$64,E753=$AB$65,$AD$65,E753=$AB$66,$AD$66,TRUE,"0")</f>
        <v xml:space="preserve">  BANG</v>
      </c>
      <c r="E753" s="163" t="s">
        <v>43</v>
      </c>
      <c r="F753" s="2" t="s">
        <v>434</v>
      </c>
      <c r="G753" s="2" t="s">
        <v>435</v>
      </c>
      <c r="H753" s="3">
        <v>45383.625</v>
      </c>
      <c r="I753" s="2" t="s">
        <v>437</v>
      </c>
      <c r="J753" s="2" t="s">
        <v>533</v>
      </c>
      <c r="K753" s="2">
        <v>67</v>
      </c>
      <c r="L753" s="2">
        <v>67</v>
      </c>
      <c r="M753" s="2">
        <v>64</v>
      </c>
      <c r="N753" s="2">
        <v>1.7</v>
      </c>
      <c r="O753" s="2">
        <v>1.1599999999999999</v>
      </c>
      <c r="P753" s="2"/>
      <c r="Q753" s="2" t="s">
        <v>95</v>
      </c>
      <c r="R753" s="10" t="s">
        <v>193</v>
      </c>
      <c r="S753" s="14" t="s">
        <v>213</v>
      </c>
      <c r="T753" s="188">
        <v>1000</v>
      </c>
      <c r="U753" s="8">
        <f t="shared" si="94"/>
        <v>180</v>
      </c>
      <c r="V753" s="234">
        <f t="shared" si="93"/>
        <v>50044.155246160299</v>
      </c>
      <c r="W753" s="15">
        <v>25</v>
      </c>
      <c r="X753" s="8">
        <f t="shared" si="87"/>
        <v>4.5</v>
      </c>
      <c r="Y753" s="233">
        <f t="shared" si="88"/>
        <v>3117</v>
      </c>
    </row>
    <row r="754" spans="1:25">
      <c r="A754" s="156" t="e" cm="1">
        <f t="array" aca="1" ref="A754" ca="1">_xlfn.IFS(E754=$AB$42,$AC$42,E754=$AB$43,$AC$43,E754=$AB$44,$AC$44,E754=$AB$45,$AC$45,E754=$AB$46,$AC$46,E754=$AB$47,$AC$47,E754=$AB$48,$AC$48,E754=$AB$49,$AC$49,E754=$AB$50,$AC$50,E754=$AB$51,$AC$51,E754=$AB$52,$AC$52,E754=$AB$53,$AC$53,E754=$AB$54,$AC$54,E754=$AB$55,$AC$55,E754=$AB$56,$AC$56,E754=$AB$57,$AC$57,E754=$AB$58,$AC$58,E754=$AB$59,$AC$59,E754=$AB$60,$AC$60,E754=$AB$61,$AC$61,E754=$AB$62,$AC$62,E754=$AB$63,$AC$63,E754=$AB$64,$AC$64,E754=$AB$65,$AC$65,E754=$AB$66,$AC$66,TRUE,"0")</f>
        <v>#NAME?</v>
      </c>
      <c r="C754" s="161" t="str" cm="1">
        <f t="array" ref="C754">_xlfn.IFS(E754=$AB$42,$AF$42,E754=$AB$43,$AF$43,E754=$AB$44,$AF$44,E754=$AB$45,$AF$45,E754=$AB$46,$AF$46,E754=$AB$47,$AF$47,E754=$AB$48,$AF$48,E754=$AB$49,$AF$49,E754=$AB$50,$AF$50,E754=$AB$51,$AF$51,E754=$AB$52,$AF$52,E754=$AB$53,$AF$53,E754=$AB$54,$AF$54,E754=$AB$55,$AF$55,E754=$AB$56,$AF$56,E754=$AB$57,$AF$57,E754=$AB$58,$AF$58,E754=$AB$59,$AF$59,E754=$AB$60,$AF$60,E754=$AB$61,$AF$61,E754=$AB$62,$AF$62,E754=$AB$63,$AF$63,E754=$AB$64,$AF$64,E754=$AB$65,$AF$65,E754=$AB$66,$AF$66,TRUE,"0")</f>
        <v>if 0-0, BACK+ 0.5 GOALS  @ 1.15+odds.  or @ 40 mins</v>
      </c>
      <c r="D754" s="270" t="str" cm="1">
        <f t="array" ref="D754">_xlfn.IFS(E754=$AB$42,$AD$42,E754=$AB$43,$AD$43,E754=$AB$44,$AD$44,E754=$AB$45,$AD$45,E754=$AB$46,$AD$46,E754=$AB$47,$AD$47,E754=$AB$48,$AD$48,E754=$AB$49,$AD$49,E754=$AB$50,$AD$50,E754=$AB$51,$AD$51,E754=$AB$52,$AD$52,E754=$AB$53,$AD$53,E754=$AB$54,$AD$54,E754=$AB$55,$AD$55,E754=$AB$56,$AD$56,E754=$AB$57,$AD$57,E754=$AB$58,$AD$58,E754=$AB$59,$AD$59,E754=$AB$60,$AD$60,E754=$AB$61,$AD$61,E754=$AB$62,$AD$62,E754=$AB$63,$AD$63,E754=$AB$64,$AD$64,E754=$AB$65,$AD$65,E754=$AB$66,$AD$66,TRUE,"0")</f>
        <v>IP</v>
      </c>
      <c r="E754" s="163" t="s">
        <v>270</v>
      </c>
      <c r="F754" s="2" t="s">
        <v>6</v>
      </c>
      <c r="G754" s="2" t="s">
        <v>7</v>
      </c>
      <c r="H754" s="3">
        <v>45383.625</v>
      </c>
      <c r="I754" s="2" t="s">
        <v>397</v>
      </c>
      <c r="J754" s="2" t="s">
        <v>55</v>
      </c>
      <c r="K754" s="2">
        <v>69</v>
      </c>
      <c r="L754" s="2">
        <v>0</v>
      </c>
      <c r="M754" s="2">
        <v>20</v>
      </c>
      <c r="N754" s="2">
        <v>39</v>
      </c>
      <c r="O754" s="2">
        <v>2.76</v>
      </c>
      <c r="P754" s="2"/>
      <c r="Q754" s="2" t="s">
        <v>95</v>
      </c>
      <c r="R754" s="10" t="s">
        <v>217</v>
      </c>
      <c r="S754" s="14" t="s">
        <v>288</v>
      </c>
      <c r="T754" s="188">
        <v>1000</v>
      </c>
      <c r="U754" s="8">
        <f t="shared" si="94"/>
        <v>180</v>
      </c>
      <c r="V754" s="234">
        <f t="shared" ref="V754:V798" si="95">SUM(V753,U754)</f>
        <v>50224.155246160299</v>
      </c>
      <c r="W754" s="15">
        <v>25</v>
      </c>
      <c r="X754" s="8">
        <f t="shared" si="87"/>
        <v>4.5</v>
      </c>
      <c r="Y754" s="233">
        <f t="shared" si="88"/>
        <v>3121.5</v>
      </c>
    </row>
    <row r="755" spans="1:25">
      <c r="A755" s="156" t="e" cm="1">
        <f t="array" aca="1" ref="A755" ca="1">_xlfn.IFS(E755=$AB$42,$AC$42,E755=$AB$43,$AC$43,E755=$AB$44,$AC$44,E755=$AB$45,$AC$45,E755=$AB$46,$AC$46,E755=$AB$47,$AC$47,E755=$AB$48,$AC$48,E755=$AB$49,$AC$49,E755=$AB$50,$AC$50,E755=$AB$51,$AC$51,E755=$AB$52,$AC$52,E755=$AB$53,$AC$53,E755=$AB$54,$AC$54,E755=$AB$55,$AC$55,E755=$AB$56,$AC$56,E755=$AB$57,$AC$57,E755=$AB$58,$AC$58,E755=$AB$59,$AC$59,E755=$AB$60,$AC$60,E755=$AB$61,$AC$61,E755=$AB$62,$AC$62,E755=$AB$63,$AC$63,E755=$AB$64,$AC$64,E755=$AB$65,$AC$65,E755=$AB$66,$AC$66,TRUE,"0")</f>
        <v>#NAME?</v>
      </c>
      <c r="C755" s="161" t="str" cm="1">
        <f t="array" ref="C755">_xlfn.IFS(E755=$AB$42,$AF$42,E755=$AB$43,$AF$43,E755=$AB$44,$AF$44,E755=$AB$45,$AF$45,E755=$AB$46,$AF$46,E755=$AB$47,$AF$47,E755=$AB$48,$AF$48,E755=$AB$49,$AF$49,E755=$AB$50,$AF$50,E755=$AB$51,$AF$51,E755=$AB$52,$AF$52,E755=$AB$53,$AF$53,E755=$AB$54,$AF$54,E755=$AB$55,$AF$55,E755=$AB$56,$AF$56,E755=$AB$57,$AF$57,E755=$AB$58,$AF$58,E755=$AB$59,$AF$59,E755=$AB$60,$AF$60,E755=$AB$61,$AF$61,E755=$AB$62,$AF$62,E755=$AB$63,$AF$63,E755=$AB$64,$AF$64,E755=$AB$65,$AF$65,E755=$AB$66,$AF$66,TRUE,"0")</f>
        <v>40 mins Back ANother Goal</v>
      </c>
      <c r="D755" s="270" t="str" cm="1">
        <f t="array" ref="D755">_xlfn.IFS(E755=$AB$42,$AD$42,E755=$AB$43,$AD$43,E755=$AB$44,$AD$44,E755=$AB$45,$AD$45,E755=$AB$46,$AD$46,E755=$AB$47,$AD$47,E755=$AB$48,$AD$48,E755=$AB$49,$AD$49,E755=$AB$50,$AD$50,E755=$AB$51,$AD$51,E755=$AB$52,$AD$52,E755=$AB$53,$AD$53,E755=$AB$54,$AD$54,E755=$AB$55,$AD$55,E755=$AB$56,$AD$56,E755=$AB$57,$AD$57,E755=$AB$58,$AD$58,E755=$AB$59,$AD$59,E755=$AB$60,$AD$60,E755=$AB$61,$AD$61,E755=$AB$62,$AD$62,E755=$AB$63,$AD$63,E755=$AB$64,$AD$64,E755=$AB$65,$AD$65,E755=$AB$66,$AD$66,TRUE,"0")</f>
        <v xml:space="preserve">  BANG</v>
      </c>
      <c r="E755" s="163" t="s">
        <v>43</v>
      </c>
      <c r="F755" s="2" t="s">
        <v>20</v>
      </c>
      <c r="G755" s="2" t="s">
        <v>21</v>
      </c>
      <c r="H755" s="3">
        <v>45383.708333333336</v>
      </c>
      <c r="I755" s="2" t="s">
        <v>98</v>
      </c>
      <c r="J755" s="2" t="s">
        <v>380</v>
      </c>
      <c r="K755" s="2">
        <v>70</v>
      </c>
      <c r="L755" s="2">
        <v>79</v>
      </c>
      <c r="M755" s="2">
        <v>62</v>
      </c>
      <c r="N755" s="2">
        <v>1.8</v>
      </c>
      <c r="O755" s="2">
        <v>1.48</v>
      </c>
      <c r="P755" s="2"/>
      <c r="Q755" s="2" t="s">
        <v>96</v>
      </c>
      <c r="R755" s="10" t="s">
        <v>221</v>
      </c>
      <c r="S755" s="14" t="s">
        <v>221</v>
      </c>
      <c r="T755" s="188">
        <v>1000</v>
      </c>
      <c r="U755" s="8">
        <f t="shared" si="94"/>
        <v>-1000</v>
      </c>
      <c r="V755" s="234">
        <f t="shared" si="95"/>
        <v>49224.155246160299</v>
      </c>
      <c r="W755" s="15">
        <v>25</v>
      </c>
      <c r="X755" s="8">
        <f t="shared" si="87"/>
        <v>-25</v>
      </c>
      <c r="Y755" s="233">
        <f t="shared" si="88"/>
        <v>3096.5</v>
      </c>
    </row>
    <row r="756" spans="1:25">
      <c r="A756" s="156" t="e" cm="1">
        <f t="array" aca="1" ref="A756" ca="1">_xlfn.IFS(E756=$AB$42,$AC$42,E756=$AB$43,$AC$43,E756=$AB$44,$AC$44,E756=$AB$45,$AC$45,E756=$AB$46,$AC$46,E756=$AB$47,$AC$47,E756=$AB$48,$AC$48,E756=$AB$49,$AC$49,E756=$AB$50,$AC$50,E756=$AB$51,$AC$51,E756=$AB$52,$AC$52,E756=$AB$53,$AC$53,E756=$AB$54,$AC$54,E756=$AB$55,$AC$55,E756=$AB$56,$AC$56,E756=$AB$57,$AC$57,E756=$AB$58,$AC$58,E756=$AB$59,$AC$59,E756=$AB$60,$AC$60,E756=$AB$61,$AC$61,E756=$AB$62,$AC$62,E756=$AB$63,$AC$63,E756=$AB$64,$AC$64,E756=$AB$65,$AC$65,E756=$AB$66,$AC$66,TRUE,"0")</f>
        <v>#NAME?</v>
      </c>
      <c r="C756" s="161" t="str" cm="1">
        <f t="array" ref="C756">_xlfn.IFS(E756=$AB$42,$AF$42,E756=$AB$43,$AF$43,E756=$AB$44,$AF$44,E756=$AB$45,$AF$45,E756=$AB$46,$AF$46,E756=$AB$47,$AF$47,E756=$AB$48,$AF$48,E756=$AB$49,$AF$49,E756=$AB$50,$AF$50,E756=$AB$51,$AF$51,E756=$AB$52,$AF$52,E756=$AB$53,$AF$53,E756=$AB$54,$AF$54,E756=$AB$55,$AF$55,E756=$AB$56,$AF$56,E756=$AB$57,$AF$57,E756=$AB$58,$AF$58,E756=$AB$59,$AF$59,E756=$AB$60,$AF$60,E756=$AB$61,$AF$61,E756=$AB$62,$AF$62,E756=$AB$63,$AF$63,E756=$AB$64,$AF$64,E756=$AB$65,$AF$65,E756=$AB$66,$AF$66,TRUE,"0")</f>
        <v>B4 match BACK FT +1.5 goals. X AFTER  GOAL</v>
      </c>
      <c r="D756" s="270" t="str" cm="1">
        <f t="array" ref="D756">_xlfn.IFS(E756=$AB$42,$AD$42,E756=$AB$43,$AD$43,E756=$AB$44,$AD$44,E756=$AB$45,$AD$45,E756=$AB$46,$AD$46,E756=$AB$47,$AD$47,E756=$AB$48,$AD$48,E756=$AB$49,$AD$49,E756=$AB$50,$AD$50,E756=$AB$51,$AD$51,E756=$AB$52,$AD$52,E756=$AB$53,$AD$53,E756=$AB$54,$AD$54,E756=$AB$55,$AD$55,E756=$AB$56,$AD$56,E756=$AB$57,$AD$57,E756=$AB$58,$AD$58,E756=$AB$59,$AD$59,E756=$AB$60,$AD$60,E756=$AB$61,$AD$61,E756=$AB$62,$AD$62,E756=$AB$63,$AD$63,E756=$AB$64,$AD$64,E756=$AB$65,$AD$65,E756=$AB$66,$AD$66,TRUE,"0")</f>
        <v xml:space="preserve">BFM </v>
      </c>
      <c r="E756" s="163" t="s">
        <v>531</v>
      </c>
      <c r="F756" s="2" t="s">
        <v>149</v>
      </c>
      <c r="G756" s="2" t="s">
        <v>150</v>
      </c>
      <c r="H756" s="3">
        <v>45383.791666666664</v>
      </c>
      <c r="I756" s="2" t="s">
        <v>493</v>
      </c>
      <c r="J756" s="2" t="s">
        <v>607</v>
      </c>
      <c r="K756" s="2">
        <v>3.3</v>
      </c>
      <c r="L756" s="2">
        <v>31</v>
      </c>
      <c r="M756" s="2">
        <v>2.84</v>
      </c>
      <c r="N756" s="2">
        <v>32</v>
      </c>
      <c r="O756" s="2">
        <v>0</v>
      </c>
      <c r="P756" s="2">
        <v>15</v>
      </c>
      <c r="Q756" s="2" t="s">
        <v>95</v>
      </c>
      <c r="R756" s="10" t="s">
        <v>210</v>
      </c>
      <c r="S756" s="14" t="s">
        <v>213</v>
      </c>
      <c r="T756" s="188">
        <v>1000</v>
      </c>
      <c r="U756" s="8">
        <f t="shared" si="94"/>
        <v>180</v>
      </c>
      <c r="V756" s="234">
        <f t="shared" si="95"/>
        <v>49404.155246160299</v>
      </c>
      <c r="W756" s="15">
        <v>25</v>
      </c>
      <c r="X756" s="8">
        <f t="shared" si="87"/>
        <v>4.5</v>
      </c>
      <c r="Y756" s="233">
        <f t="shared" si="88"/>
        <v>3101</v>
      </c>
    </row>
    <row r="757" spans="1:25">
      <c r="A757" s="156" t="e" cm="1">
        <f t="array" aca="1" ref="A757" ca="1">_xlfn.IFS(E757=$AB$42,$AC$42,E757=$AB$43,$AC$43,E757=$AB$44,$AC$44,E757=$AB$45,$AC$45,E757=$AB$46,$AC$46,E757=$AB$47,$AC$47,E757=$AB$48,$AC$48,E757=$AB$49,$AC$49,E757=$AB$50,$AC$50,E757=$AB$51,$AC$51,E757=$AB$52,$AC$52,E757=$AB$53,$AC$53,E757=$AB$54,$AC$54,E757=$AB$55,$AC$55,E757=$AB$56,$AC$56,E757=$AB$57,$AC$57,E757=$AB$58,$AC$58,E757=$AB$59,$AC$59,E757=$AB$60,$AC$60,E757=$AB$61,$AC$61,E757=$AB$62,$AC$62,E757=$AB$63,$AC$63,E757=$AB$64,$AC$64,E757=$AB$65,$AC$65,E757=$AB$66,$AC$66,TRUE,"0")</f>
        <v>#NAME?</v>
      </c>
      <c r="C757" s="161" t="str" cm="1">
        <f t="array" ref="C757">_xlfn.IFS(E757=$AB$42,$AF$42,E757=$AB$43,$AF$43,E757=$AB$44,$AF$44,E757=$AB$45,$AF$45,E757=$AB$46,$AF$46,E757=$AB$47,$AF$47,E757=$AB$48,$AF$48,E757=$AB$49,$AF$49,E757=$AB$50,$AF$50,E757=$AB$51,$AF$51,E757=$AB$52,$AF$52,E757=$AB$53,$AF$53,E757=$AB$54,$AF$54,E757=$AB$55,$AF$55,E757=$AB$56,$AF$56,E757=$AB$57,$AF$57,E757=$AB$58,$AF$58,E757=$AB$59,$AF$59,E757=$AB$60,$AF$60,E757=$AB$61,$AF$61,E757=$AB$62,$AF$62,E757=$AB$63,$AF$63,E757=$AB$64,$AF$64,E757=$AB$65,$AF$65,E757=$AB$66,$AF$66,TRUE,"0")</f>
        <v>B4 match BACK FT +1.5 goals. X AFTER  GOAL</v>
      </c>
      <c r="D757" s="270" t="str" cm="1">
        <f t="array" ref="D757">_xlfn.IFS(E757=$AB$42,$AD$42,E757=$AB$43,$AD$43,E757=$AB$44,$AD$44,E757=$AB$45,$AD$45,E757=$AB$46,$AD$46,E757=$AB$47,$AD$47,E757=$AB$48,$AD$48,E757=$AB$49,$AD$49,E757=$AB$50,$AD$50,E757=$AB$51,$AD$51,E757=$AB$52,$AD$52,E757=$AB$53,$AD$53,E757=$AB$54,$AD$54,E757=$AB$55,$AD$55,E757=$AB$56,$AD$56,E757=$AB$57,$AD$57,E757=$AB$58,$AD$58,E757=$AB$59,$AD$59,E757=$AB$60,$AD$60,E757=$AB$61,$AD$61,E757=$AB$62,$AD$62,E757=$AB$63,$AD$63,E757=$AB$64,$AD$64,E757=$AB$65,$AD$65,E757=$AB$66,$AD$66,TRUE,"0")</f>
        <v xml:space="preserve">BFM </v>
      </c>
      <c r="E757" s="163" t="s">
        <v>623</v>
      </c>
      <c r="F757" s="2" t="s">
        <v>20</v>
      </c>
      <c r="G757" s="2" t="s">
        <v>21</v>
      </c>
      <c r="H757" s="3">
        <v>45383.822916666664</v>
      </c>
      <c r="I757" s="2" t="s">
        <v>25</v>
      </c>
      <c r="J757" s="2" t="s">
        <v>359</v>
      </c>
      <c r="K757" s="2">
        <v>3.6</v>
      </c>
      <c r="L757" s="2">
        <v>20</v>
      </c>
      <c r="M757" s="2">
        <v>2.4</v>
      </c>
      <c r="N757" s="2">
        <v>37</v>
      </c>
      <c r="O757" s="2">
        <v>3</v>
      </c>
      <c r="P757" s="2">
        <v>10</v>
      </c>
      <c r="Q757" s="2" t="s">
        <v>95</v>
      </c>
      <c r="R757" s="10" t="s">
        <v>214</v>
      </c>
      <c r="S757" s="14" t="s">
        <v>210</v>
      </c>
      <c r="T757" s="188">
        <v>1000</v>
      </c>
      <c r="U757" s="8">
        <f t="shared" si="94"/>
        <v>180</v>
      </c>
      <c r="V757" s="234">
        <f t="shared" si="95"/>
        <v>49584.155246160299</v>
      </c>
      <c r="W757" s="15">
        <v>25</v>
      </c>
      <c r="X757" s="8">
        <f t="shared" si="87"/>
        <v>4.5</v>
      </c>
      <c r="Y757" s="233">
        <f t="shared" si="88"/>
        <v>3105.5</v>
      </c>
    </row>
    <row r="758" spans="1:25">
      <c r="A758" s="156" t="e" cm="1">
        <f t="array" aca="1" ref="A758" ca="1">_xlfn.IFS(E758=$AB$42,$AC$42,E758=$AB$43,$AC$43,E758=$AB$44,$AC$44,E758=$AB$45,$AC$45,E758=$AB$46,$AC$46,E758=$AB$47,$AC$47,E758=$AB$48,$AC$48,E758=$AB$49,$AC$49,E758=$AB$50,$AC$50,E758=$AB$51,$AC$51,E758=$AB$52,$AC$52,E758=$AB$53,$AC$53,E758=$AB$54,$AC$54,E758=$AB$55,$AC$55,E758=$AB$56,$AC$56,E758=$AB$57,$AC$57,E758=$AB$58,$AC$58,E758=$AB$59,$AC$59,E758=$AB$60,$AC$60,E758=$AB$61,$AC$61,E758=$AB$62,$AC$62,E758=$AB$63,$AC$63,E758=$AB$64,$AC$64,E758=$AB$65,$AC$65,E758=$AB$66,$AC$66,TRUE,"0")</f>
        <v>#NAME?</v>
      </c>
      <c r="C758" s="161" t="str" cm="1">
        <f t="array" ref="C758">_xlfn.IFS(E758=$AB$42,$AF$42,E758=$AB$43,$AF$43,E758=$AB$44,$AF$44,E758=$AB$45,$AF$45,E758=$AB$46,$AF$46,E758=$AB$47,$AF$47,E758=$AB$48,$AF$48,E758=$AB$49,$AF$49,E758=$AB$50,$AF$50,E758=$AB$51,$AF$51,E758=$AB$52,$AF$52,E758=$AB$53,$AF$53,E758=$AB$54,$AF$54,E758=$AB$55,$AF$55,E758=$AB$56,$AF$56,E758=$AB$57,$AF$57,E758=$AB$58,$AF$58,E758=$AB$59,$AF$59,E758=$AB$60,$AF$60,E758=$AB$61,$AF$61,E758=$AB$62,$AF$62,E758=$AB$63,$AF$63,E758=$AB$64,$AF$64,E758=$AB$65,$AF$65,E758=$AB$66,$AF$66,TRUE,"0")</f>
        <v>B4 match BACK FT +1.5 goals. X AFTER  GOAL</v>
      </c>
      <c r="D758" s="270" t="str" cm="1">
        <f t="array" ref="D758">_xlfn.IFS(E758=$AB$42,$AD$42,E758=$AB$43,$AD$43,E758=$AB$44,$AD$44,E758=$AB$45,$AD$45,E758=$AB$46,$AD$46,E758=$AB$47,$AD$47,E758=$AB$48,$AD$48,E758=$AB$49,$AD$49,E758=$AB$50,$AD$50,E758=$AB$51,$AD$51,E758=$AB$52,$AD$52,E758=$AB$53,$AD$53,E758=$AB$54,$AD$54,E758=$AB$55,$AD$55,E758=$AB$56,$AD$56,E758=$AB$57,$AD$57,E758=$AB$58,$AD$58,E758=$AB$59,$AD$59,E758=$AB$60,$AD$60,E758=$AB$61,$AD$61,E758=$AB$62,$AD$62,E758=$AB$63,$AD$63,E758=$AB$64,$AD$64,E758=$AB$65,$AD$65,E758=$AB$66,$AD$66,TRUE,"0")</f>
        <v xml:space="preserve">BFM </v>
      </c>
      <c r="E758" s="163" t="s">
        <v>623</v>
      </c>
      <c r="F758" s="2" t="s">
        <v>6</v>
      </c>
      <c r="G758" s="2" t="s">
        <v>14</v>
      </c>
      <c r="H758" s="3">
        <v>45383.833333333336</v>
      </c>
      <c r="I758" s="2" t="s">
        <v>280</v>
      </c>
      <c r="J758" s="2" t="s">
        <v>387</v>
      </c>
      <c r="K758" s="2">
        <v>5.7</v>
      </c>
      <c r="L758" s="2">
        <v>20</v>
      </c>
      <c r="M758" s="2">
        <v>2.8</v>
      </c>
      <c r="N758" s="2">
        <v>24</v>
      </c>
      <c r="O758" s="2">
        <v>1</v>
      </c>
      <c r="P758" s="2">
        <v>10</v>
      </c>
      <c r="Q758" s="2" t="s">
        <v>95</v>
      </c>
      <c r="R758" s="10" t="s">
        <v>216</v>
      </c>
      <c r="S758" s="14" t="s">
        <v>215</v>
      </c>
      <c r="T758" s="188">
        <v>1000</v>
      </c>
      <c r="U758" s="8">
        <f t="shared" si="94"/>
        <v>180</v>
      </c>
      <c r="V758" s="234">
        <f t="shared" ref="V758" si="96">SUM(V757,U758)</f>
        <v>49764.155246160299</v>
      </c>
      <c r="W758" s="15">
        <v>25</v>
      </c>
      <c r="X758" s="8">
        <f t="shared" si="87"/>
        <v>4.5</v>
      </c>
      <c r="Y758" s="233">
        <f t="shared" si="88"/>
        <v>3110</v>
      </c>
    </row>
    <row r="759" spans="1:25">
      <c r="A759" s="156" t="e" cm="1">
        <f t="array" aca="1" ref="A759" ca="1">_xlfn.IFS(E759=$AB$42,$AC$42,E759=$AB$43,$AC$43,E759=$AB$44,$AC$44,E759=$AB$45,$AC$45,E759=$AB$46,$AC$46,E759=$AB$47,$AC$47,E759=$AB$48,$AC$48,E759=$AB$49,$AC$49,E759=$AB$50,$AC$50,E759=$AB$51,$AC$51,E759=$AB$52,$AC$52,E759=$AB$53,$AC$53,E759=$AB$54,$AC$54,E759=$AB$55,$AC$55,E759=$AB$56,$AC$56,E759=$AB$57,$AC$57,E759=$AB$58,$AC$58,E759=$AB$59,$AC$59,E759=$AB$60,$AC$60,E759=$AB$61,$AC$61,E759=$AB$62,$AC$62,E759=$AB$63,$AC$63,E759=$AB$64,$AC$64,E759=$AB$65,$AC$65,E759=$AB$66,$AC$66,TRUE,"0")</f>
        <v>#NAME?</v>
      </c>
      <c r="C759" s="161" t="str" cm="1">
        <f t="array" ref="C759">_xlfn.IFS(E759=$AB$42,$AF$42,E759=$AB$43,$AF$43,E759=$AB$44,$AF$44,E759=$AB$45,$AF$45,E759=$AB$46,$AF$46,E759=$AB$47,$AF$47,E759=$AB$48,$AF$48,E759=$AB$49,$AF$49,E759=$AB$50,$AF$50,E759=$AB$51,$AF$51,E759=$AB$52,$AF$52,E759=$AB$53,$AF$53,E759=$AB$54,$AF$54,E759=$AB$55,$AF$55,E759=$AB$56,$AF$56,E759=$AB$57,$AF$57,E759=$AB$58,$AF$58,E759=$AB$59,$AF$59,E759=$AB$60,$AF$60,E759=$AB$61,$AF$61,E759=$AB$62,$AF$62,E759=$AB$63,$AF$63,E759=$AB$64,$AF$64,E759=$AB$65,$AF$65,E759=$AB$66,$AF$66,TRUE,"0")</f>
        <v>40 mins Back ANother Goal</v>
      </c>
      <c r="D759" s="270" t="str" cm="1">
        <f t="array" ref="D759">_xlfn.IFS(E759=$AB$42,$AD$42,E759=$AB$43,$AD$43,E759=$AB$44,$AD$44,E759=$AB$45,$AD$45,E759=$AB$46,$AD$46,E759=$AB$47,$AD$47,E759=$AB$48,$AD$48,E759=$AB$49,$AD$49,E759=$AB$50,$AD$50,E759=$AB$51,$AD$51,E759=$AB$52,$AD$52,E759=$AB$53,$AD$53,E759=$AB$54,$AD$54,E759=$AB$55,$AD$55,E759=$AB$56,$AD$56,E759=$AB$57,$AD$57,E759=$AB$58,$AD$58,E759=$AB$59,$AD$59,E759=$AB$60,$AD$60,E759=$AB$61,$AD$61,E759=$AB$62,$AD$62,E759=$AB$63,$AD$63,E759=$AB$64,$AD$64,E759=$AB$65,$AD$65,E759=$AB$66,$AD$66,TRUE,"0")</f>
        <v xml:space="preserve">  BANG</v>
      </c>
      <c r="E759" s="163" t="s">
        <v>515</v>
      </c>
      <c r="F759" s="2" t="s">
        <v>58</v>
      </c>
      <c r="G759" s="2" t="s">
        <v>59</v>
      </c>
      <c r="H759" s="3">
        <v>45383.84375</v>
      </c>
      <c r="I759" s="2" t="s">
        <v>128</v>
      </c>
      <c r="J759" s="2" t="s">
        <v>112</v>
      </c>
      <c r="K759" s="2">
        <v>20</v>
      </c>
      <c r="L759" s="2">
        <v>71</v>
      </c>
      <c r="M759" s="2">
        <v>1.95</v>
      </c>
      <c r="N759" s="2"/>
      <c r="O759" s="2"/>
      <c r="P759" s="2"/>
      <c r="Q759" s="2" t="s">
        <v>95</v>
      </c>
      <c r="R759" s="10" t="s">
        <v>223</v>
      </c>
      <c r="S759" s="14" t="s">
        <v>366</v>
      </c>
      <c r="T759" s="188">
        <v>1000</v>
      </c>
      <c r="U759" s="8">
        <f t="shared" si="94"/>
        <v>180</v>
      </c>
      <c r="V759" s="234">
        <f t="shared" si="95"/>
        <v>49944.155246160299</v>
      </c>
      <c r="W759" s="15">
        <v>25</v>
      </c>
      <c r="X759" s="8">
        <f t="shared" si="87"/>
        <v>4.5</v>
      </c>
      <c r="Y759" s="233">
        <f t="shared" si="88"/>
        <v>3114.5</v>
      </c>
    </row>
    <row r="760" spans="1:25">
      <c r="A760" s="156" t="e" cm="1">
        <f t="array" aca="1" ref="A760" ca="1">_xlfn.IFS(E760=$AB$42,$AC$42,E760=$AB$43,$AC$43,E760=$AB$44,$AC$44,E760=$AB$45,$AC$45,E760=$AB$46,$AC$46,E760=$AB$47,$AC$47,E760=$AB$48,$AC$48,E760=$AB$49,$AC$49,E760=$AB$50,$AC$50,E760=$AB$51,$AC$51,E760=$AB$52,$AC$52,E760=$AB$53,$AC$53,E760=$AB$54,$AC$54,E760=$AB$55,$AC$55,E760=$AB$56,$AC$56,E760=$AB$57,$AC$57,E760=$AB$58,$AC$58,E760=$AB$59,$AC$59,E760=$AB$60,$AC$60,E760=$AB$61,$AC$61,E760=$AB$62,$AC$62,E760=$AB$63,$AC$63,E760=$AB$64,$AC$64,E760=$AB$65,$AC$65,E760=$AB$66,$AC$66,TRUE,"0")</f>
        <v>#NAME?</v>
      </c>
      <c r="C760" s="161" t="str" cm="1">
        <f t="array" ref="C760">_xlfn.IFS(E760=$AB$42,$AF$42,E760=$AB$43,$AF$43,E760=$AB$44,$AF$44,E760=$AB$45,$AF$45,E760=$AB$46,$AF$46,E760=$AB$47,$AF$47,E760=$AB$48,$AF$48,E760=$AB$49,$AF$49,E760=$AB$50,$AF$50,E760=$AB$51,$AF$51,E760=$AB$52,$AF$52,E760=$AB$53,$AF$53,E760=$AB$54,$AF$54,E760=$AB$55,$AF$55,E760=$AB$56,$AF$56,E760=$AB$57,$AF$57,E760=$AB$58,$AF$58,E760=$AB$59,$AF$59,E760=$AB$60,$AF$60,E760=$AB$61,$AF$61,E760=$AB$62,$AF$62,E760=$AB$63,$AF$63,E760=$AB$64,$AF$64,E760=$AB$65,$AF$65,E760=$AB$66,$AF$66,TRUE,"0")</f>
        <v>B4 match BACK FT +1.5 goals. X AFTER  GOAL</v>
      </c>
      <c r="D760" s="270" t="str" cm="1">
        <f t="array" ref="D760">_xlfn.IFS(E760=$AB$42,$AD$42,E760=$AB$43,$AD$43,E760=$AB$44,$AD$44,E760=$AB$45,$AD$45,E760=$AB$46,$AD$46,E760=$AB$47,$AD$47,E760=$AB$48,$AD$48,E760=$AB$49,$AD$49,E760=$AB$50,$AD$50,E760=$AB$51,$AD$51,E760=$AB$52,$AD$52,E760=$AB$53,$AD$53,E760=$AB$54,$AD$54,E760=$AB$55,$AD$55,E760=$AB$56,$AD$56,E760=$AB$57,$AD$57,E760=$AB$58,$AD$58,E760=$AB$59,$AD$59,E760=$AB$60,$AD$60,E760=$AB$61,$AD$61,E760=$AB$62,$AD$62,E760=$AB$63,$AD$63,E760=$AB$64,$AD$64,E760=$AB$65,$AD$65,E760=$AB$66,$AD$66,TRUE,"0")</f>
        <v xml:space="preserve">BFM </v>
      </c>
      <c r="E760" s="163" t="s">
        <v>623</v>
      </c>
      <c r="F760" s="2" t="s">
        <v>80</v>
      </c>
      <c r="G760" s="2" t="s">
        <v>81</v>
      </c>
      <c r="H760" s="3">
        <v>45384.770833333336</v>
      </c>
      <c r="I760" s="2" t="s">
        <v>144</v>
      </c>
      <c r="J760" s="2" t="s">
        <v>292</v>
      </c>
      <c r="K760" s="2">
        <v>2.98</v>
      </c>
      <c r="L760" s="2">
        <v>20</v>
      </c>
      <c r="M760" s="2">
        <v>2.7</v>
      </c>
      <c r="N760" s="2">
        <v>32</v>
      </c>
      <c r="O760" s="2">
        <v>2</v>
      </c>
      <c r="P760" s="2">
        <v>10</v>
      </c>
      <c r="Q760" s="2" t="s">
        <v>95</v>
      </c>
      <c r="R760" s="10" t="s">
        <v>214</v>
      </c>
      <c r="S760" s="14" t="s">
        <v>214</v>
      </c>
      <c r="T760" s="188">
        <v>1000</v>
      </c>
      <c r="U760" s="8">
        <f t="shared" si="94"/>
        <v>180</v>
      </c>
      <c r="V760" s="234">
        <f t="shared" si="95"/>
        <v>50124.155246160299</v>
      </c>
      <c r="W760" s="15">
        <v>25</v>
      </c>
      <c r="X760" s="8">
        <f t="shared" si="87"/>
        <v>4.5</v>
      </c>
      <c r="Y760" s="233">
        <f t="shared" si="88"/>
        <v>3119</v>
      </c>
    </row>
    <row r="761" spans="1:25">
      <c r="A761" s="156" t="e" cm="1">
        <f t="array" aca="1" ref="A761" ca="1">_xlfn.IFS(E761=$AB$42,$AC$42,E761=$AB$43,$AC$43,E761=$AB$44,$AC$44,E761=$AB$45,$AC$45,E761=$AB$46,$AC$46,E761=$AB$47,$AC$47,E761=$AB$48,$AC$48,E761=$AB$49,$AC$49,E761=$AB$50,$AC$50,E761=$AB$51,$AC$51,E761=$AB$52,$AC$52,E761=$AB$53,$AC$53,E761=$AB$54,$AC$54,E761=$AB$55,$AC$55,E761=$AB$56,$AC$56,E761=$AB$57,$AC$57,E761=$AB$58,$AC$58,E761=$AB$59,$AC$59,E761=$AB$60,$AC$60,E761=$AB$61,$AC$61,E761=$AB$62,$AC$62,E761=$AB$63,$AC$63,E761=$AB$64,$AC$64,E761=$AB$65,$AC$65,E761=$AB$66,$AC$66,TRUE,"0")</f>
        <v>#NAME?</v>
      </c>
      <c r="C761" s="161" t="str" cm="1">
        <f t="array" ref="C761">_xlfn.IFS(E761=$AB$42,$AF$42,E761=$AB$43,$AF$43,E761=$AB$44,$AF$44,E761=$AB$45,$AF$45,E761=$AB$46,$AF$46,E761=$AB$47,$AF$47,E761=$AB$48,$AF$48,E761=$AB$49,$AF$49,E761=$AB$50,$AF$50,E761=$AB$51,$AF$51,E761=$AB$52,$AF$52,E761=$AB$53,$AF$53,E761=$AB$54,$AF$54,E761=$AB$55,$AF$55,E761=$AB$56,$AF$56,E761=$AB$57,$AF$57,E761=$AB$58,$AF$58,E761=$AB$59,$AF$59,E761=$AB$60,$AF$60,E761=$AB$61,$AF$61,E761=$AB$62,$AF$62,E761=$AB$63,$AF$63,E761=$AB$64,$AF$64,E761=$AB$65,$AF$65,E761=$AB$66,$AF$66,TRUE,"0")</f>
        <v>B4 match BACK FT +1.5 goals. X AFTER  GOAL</v>
      </c>
      <c r="D761" s="270" t="str" cm="1">
        <f t="array" ref="D761">_xlfn.IFS(E761=$AB$42,$AD$42,E761=$AB$43,$AD$43,E761=$AB$44,$AD$44,E761=$AB$45,$AD$45,E761=$AB$46,$AD$46,E761=$AB$47,$AD$47,E761=$AB$48,$AD$48,E761=$AB$49,$AD$49,E761=$AB$50,$AD$50,E761=$AB$51,$AD$51,E761=$AB$52,$AD$52,E761=$AB$53,$AD$53,E761=$AB$54,$AD$54,E761=$AB$55,$AD$55,E761=$AB$56,$AD$56,E761=$AB$57,$AD$57,E761=$AB$58,$AD$58,E761=$AB$59,$AD$59,E761=$AB$60,$AD$60,E761=$AB$61,$AD$61,E761=$AB$62,$AD$62,E761=$AB$63,$AD$63,E761=$AB$64,$AD$64,E761=$AB$65,$AD$65,E761=$AB$66,$AD$66,TRUE,"0")</f>
        <v xml:space="preserve">BFM </v>
      </c>
      <c r="E761" s="163" t="s">
        <v>531</v>
      </c>
      <c r="F761" s="2" t="s">
        <v>149</v>
      </c>
      <c r="G761" s="2" t="s">
        <v>153</v>
      </c>
      <c r="H761" s="3">
        <v>45384.791666666664</v>
      </c>
      <c r="I761" s="2" t="s">
        <v>647</v>
      </c>
      <c r="J761" s="2" t="s">
        <v>188</v>
      </c>
      <c r="K761" s="2">
        <v>2.02</v>
      </c>
      <c r="L761" s="2">
        <v>27</v>
      </c>
      <c r="M761" s="2">
        <v>3.52</v>
      </c>
      <c r="N761" s="2">
        <v>31</v>
      </c>
      <c r="O761" s="2">
        <v>7</v>
      </c>
      <c r="P761" s="2">
        <v>14</v>
      </c>
      <c r="Q761" s="2" t="s">
        <v>95</v>
      </c>
      <c r="R761" s="10" t="s">
        <v>221</v>
      </c>
      <c r="S761" s="14" t="s">
        <v>217</v>
      </c>
      <c r="T761" s="188">
        <v>1000</v>
      </c>
      <c r="U761" s="8">
        <f t="shared" si="94"/>
        <v>180</v>
      </c>
      <c r="V761" s="234">
        <f t="shared" si="95"/>
        <v>50304.155246160299</v>
      </c>
      <c r="W761" s="15">
        <v>25</v>
      </c>
      <c r="X761" s="8">
        <f t="shared" si="87"/>
        <v>4.5</v>
      </c>
      <c r="Y761" s="233">
        <f t="shared" si="88"/>
        <v>3123.5</v>
      </c>
    </row>
    <row r="762" spans="1:25">
      <c r="A762" s="156" t="e" cm="1">
        <f t="array" aca="1" ref="A762" ca="1">_xlfn.IFS(E762=$AB$42,$AC$42,E762=$AB$43,$AC$43,E762=$AB$44,$AC$44,E762=$AB$45,$AC$45,E762=$AB$46,$AC$46,E762=$AB$47,$AC$47,E762=$AB$48,$AC$48,E762=$AB$49,$AC$49,E762=$AB$50,$AC$50,E762=$AB$51,$AC$51,E762=$AB$52,$AC$52,E762=$AB$53,$AC$53,E762=$AB$54,$AC$54,E762=$AB$55,$AC$55,E762=$AB$56,$AC$56,E762=$AB$57,$AC$57,E762=$AB$58,$AC$58,E762=$AB$59,$AC$59,E762=$AB$60,$AC$60,E762=$AB$61,$AC$61,E762=$AB$62,$AC$62,E762=$AB$63,$AC$63,E762=$AB$64,$AC$64,E762=$AB$65,$AC$65,E762=$AB$66,$AC$66,TRUE,"0")</f>
        <v>#NAME?</v>
      </c>
      <c r="C762" s="161" t="str" cm="1">
        <f t="array" ref="C762">_xlfn.IFS(E762=$AB$42,$AF$42,E762=$AB$43,$AF$43,E762=$AB$44,$AF$44,E762=$AB$45,$AF$45,E762=$AB$46,$AF$46,E762=$AB$47,$AF$47,E762=$AB$48,$AF$48,E762=$AB$49,$AF$49,E762=$AB$50,$AF$50,E762=$AB$51,$AF$51,E762=$AB$52,$AF$52,E762=$AB$53,$AF$53,E762=$AB$54,$AF$54,E762=$AB$55,$AF$55,E762=$AB$56,$AF$56,E762=$AB$57,$AF$57,E762=$AB$58,$AF$58,E762=$AB$59,$AF$59,E762=$AB$60,$AF$60,E762=$AB$61,$AF$61,E762=$AB$62,$AF$62,E762=$AB$63,$AF$63,E762=$AB$64,$AF$64,E762=$AB$65,$AF$65,E762=$AB$66,$AF$66,TRUE,"0")</f>
        <v>AT HT IF 0-0 BACK +0.5 GOALS</v>
      </c>
      <c r="D762" s="270" t="str" cm="1">
        <f t="array" ref="D762">_xlfn.IFS(E762=$AB$42,$AD$42,E762=$AB$43,$AD$43,E762=$AB$44,$AD$44,E762=$AB$45,$AD$45,E762=$AB$46,$AD$46,E762=$AB$47,$AD$47,E762=$AB$48,$AD$48,E762=$AB$49,$AD$49,E762=$AB$50,$AD$50,E762=$AB$51,$AD$51,E762=$AB$52,$AD$52,E762=$AB$53,$AD$53,E762=$AB$54,$AD$54,E762=$AB$55,$AD$55,E762=$AB$56,$AD$56,E762=$AB$57,$AD$57,E762=$AB$58,$AD$58,E762=$AB$59,$AD$59,E762=$AB$60,$AD$60,E762=$AB$61,$AD$61,E762=$AB$62,$AD$62,E762=$AB$63,$AD$63,E762=$AB$64,$AD$64,E762=$AB$65,$AD$65,E762=$AB$66,$AD$66,TRUE,"0")</f>
        <v>IP</v>
      </c>
      <c r="E762" s="163" t="s">
        <v>514</v>
      </c>
      <c r="F762" s="2" t="s">
        <v>149</v>
      </c>
      <c r="G762" s="2" t="s">
        <v>153</v>
      </c>
      <c r="H762" s="3">
        <v>45384.791666666664</v>
      </c>
      <c r="I762" s="2" t="s">
        <v>647</v>
      </c>
      <c r="J762" s="2" t="s">
        <v>188</v>
      </c>
      <c r="K762" s="2">
        <v>200</v>
      </c>
      <c r="L762" s="2">
        <v>2.02</v>
      </c>
      <c r="M762" s="2">
        <v>770</v>
      </c>
      <c r="N762" s="2">
        <v>20</v>
      </c>
      <c r="O762" s="2">
        <v>30</v>
      </c>
      <c r="P762" s="2">
        <v>31</v>
      </c>
      <c r="Q762" s="2" t="s">
        <v>95</v>
      </c>
      <c r="R762" s="10" t="s">
        <v>221</v>
      </c>
      <c r="S762" s="14" t="s">
        <v>217</v>
      </c>
      <c r="T762" s="188">
        <v>1000</v>
      </c>
      <c r="U762" s="8">
        <f t="shared" si="94"/>
        <v>180</v>
      </c>
      <c r="V762" s="234">
        <f t="shared" si="95"/>
        <v>50484.155246160299</v>
      </c>
      <c r="W762" s="15">
        <v>25</v>
      </c>
      <c r="X762" s="8">
        <f t="shared" si="87"/>
        <v>4.5</v>
      </c>
      <c r="Y762" s="233">
        <f t="shared" si="88"/>
        <v>3128</v>
      </c>
    </row>
    <row r="763" spans="1:25">
      <c r="A763" s="156" t="e" cm="1">
        <f t="array" aca="1" ref="A763" ca="1">_xlfn.IFS(E763=$AB$42,$AC$42,E763=$AB$43,$AC$43,E763=$AB$44,$AC$44,E763=$AB$45,$AC$45,E763=$AB$46,$AC$46,E763=$AB$47,$AC$47,E763=$AB$48,$AC$48,E763=$AB$49,$AC$49,E763=$AB$50,$AC$50,E763=$AB$51,$AC$51,E763=$AB$52,$AC$52,E763=$AB$53,$AC$53,E763=$AB$54,$AC$54,E763=$AB$55,$AC$55,E763=$AB$56,$AC$56,E763=$AB$57,$AC$57,E763=$AB$58,$AC$58,E763=$AB$59,$AC$59,E763=$AB$60,$AC$60,E763=$AB$61,$AC$61,E763=$AB$62,$AC$62,E763=$AB$63,$AC$63,E763=$AB$64,$AC$64,E763=$AB$65,$AC$65,E763=$AB$66,$AC$66,TRUE,"0")</f>
        <v>#NAME?</v>
      </c>
      <c r="C763" s="161" t="str" cm="1">
        <f t="array" ref="C763">_xlfn.IFS(E763=$AB$42,$AF$42,E763=$AB$43,$AF$43,E763=$AB$44,$AF$44,E763=$AB$45,$AF$45,E763=$AB$46,$AF$46,E763=$AB$47,$AF$47,E763=$AB$48,$AF$48,E763=$AB$49,$AF$49,E763=$AB$50,$AF$50,E763=$AB$51,$AF$51,E763=$AB$52,$AF$52,E763=$AB$53,$AF$53,E763=$AB$54,$AF$54,E763=$AB$55,$AF$55,E763=$AB$56,$AF$56,E763=$AB$57,$AF$57,E763=$AB$58,$AF$58,E763=$AB$59,$AF$59,E763=$AB$60,$AF$60,E763=$AB$61,$AF$61,E763=$AB$62,$AF$62,E763=$AB$63,$AF$63,E763=$AB$64,$AF$64,E763=$AB$65,$AF$65,E763=$AB$66,$AF$66,TRUE,"0")</f>
        <v>40 mins Back ANother Goal</v>
      </c>
      <c r="D763" s="270" t="str" cm="1">
        <f t="array" ref="D763">_xlfn.IFS(E763=$AB$42,$AD$42,E763=$AB$43,$AD$43,E763=$AB$44,$AD$44,E763=$AB$45,$AD$45,E763=$AB$46,$AD$46,E763=$AB$47,$AD$47,E763=$AB$48,$AD$48,E763=$AB$49,$AD$49,E763=$AB$50,$AD$50,E763=$AB$51,$AD$51,E763=$AB$52,$AD$52,E763=$AB$53,$AD$53,E763=$AB$54,$AD$54,E763=$AB$55,$AD$55,E763=$AB$56,$AD$56,E763=$AB$57,$AD$57,E763=$AB$58,$AD$58,E763=$AB$59,$AD$59,E763=$AB$60,$AD$60,E763=$AB$61,$AD$61,E763=$AB$62,$AD$62,E763=$AB$63,$AD$63,E763=$AB$64,$AD$64,E763=$AB$65,$AD$65,E763=$AB$66,$AD$66,TRUE,"0")</f>
        <v xml:space="preserve">  BANG</v>
      </c>
      <c r="E763" s="163" t="s">
        <v>35</v>
      </c>
      <c r="F763" s="2" t="s">
        <v>6</v>
      </c>
      <c r="G763" s="2" t="s">
        <v>62</v>
      </c>
      <c r="H763" s="3">
        <v>45384.8125</v>
      </c>
      <c r="I763" s="2" t="s">
        <v>264</v>
      </c>
      <c r="J763" s="2" t="s">
        <v>115</v>
      </c>
      <c r="K763" s="2">
        <v>68</v>
      </c>
      <c r="L763" s="2">
        <v>95</v>
      </c>
      <c r="M763" s="2">
        <v>60</v>
      </c>
      <c r="N763" s="2">
        <v>40</v>
      </c>
      <c r="O763" s="2">
        <v>20</v>
      </c>
      <c r="P763" s="2">
        <v>1.68</v>
      </c>
      <c r="Q763" s="2" t="s">
        <v>95</v>
      </c>
      <c r="R763" s="10" t="s">
        <v>207</v>
      </c>
      <c r="S763" s="14" t="s">
        <v>215</v>
      </c>
      <c r="T763" s="188">
        <v>1000</v>
      </c>
      <c r="U763" s="8">
        <f t="shared" si="94"/>
        <v>180</v>
      </c>
      <c r="V763" s="234">
        <f t="shared" si="95"/>
        <v>50664.155246160299</v>
      </c>
      <c r="W763" s="15">
        <v>25</v>
      </c>
      <c r="X763" s="8">
        <f t="shared" si="87"/>
        <v>4.5</v>
      </c>
      <c r="Y763" s="233">
        <f t="shared" si="88"/>
        <v>3132.5</v>
      </c>
    </row>
    <row r="764" spans="1:25">
      <c r="A764" s="156" t="e" cm="1">
        <f t="array" aca="1" ref="A764" ca="1">_xlfn.IFS(E764=$AB$42,$AC$42,E764=$AB$43,$AC$43,E764=$AB$44,$AC$44,E764=$AB$45,$AC$45,E764=$AB$46,$AC$46,E764=$AB$47,$AC$47,E764=$AB$48,$AC$48,E764=$AB$49,$AC$49,E764=$AB$50,$AC$50,E764=$AB$51,$AC$51,E764=$AB$52,$AC$52,E764=$AB$53,$AC$53,E764=$AB$54,$AC$54,E764=$AB$55,$AC$55,E764=$AB$56,$AC$56,E764=$AB$57,$AC$57,E764=$AB$58,$AC$58,E764=$AB$59,$AC$59,E764=$AB$60,$AC$60,E764=$AB$61,$AC$61,E764=$AB$62,$AC$62,E764=$AB$63,$AC$63,E764=$AB$64,$AC$64,E764=$AB$65,$AC$65,E764=$AB$66,$AC$66,TRUE,"0")</f>
        <v>#NAME?</v>
      </c>
      <c r="C764" s="161" t="str" cm="1">
        <f t="array" ref="C764">_xlfn.IFS(E764=$AB$42,$AF$42,E764=$AB$43,$AF$43,E764=$AB$44,$AF$44,E764=$AB$45,$AF$45,E764=$AB$46,$AF$46,E764=$AB$47,$AF$47,E764=$AB$48,$AF$48,E764=$AB$49,$AF$49,E764=$AB$50,$AF$50,E764=$AB$51,$AF$51,E764=$AB$52,$AF$52,E764=$AB$53,$AF$53,E764=$AB$54,$AF$54,E764=$AB$55,$AF$55,E764=$AB$56,$AF$56,E764=$AB$57,$AF$57,E764=$AB$58,$AF$58,E764=$AB$59,$AF$59,E764=$AB$60,$AF$60,E764=$AB$61,$AF$61,E764=$AB$62,$AF$62,E764=$AB$63,$AF$63,E764=$AB$64,$AF$64,E764=$AB$65,$AF$65,E764=$AB$66,$AF$66,TRUE,"0")</f>
        <v>if 0-0, BACK+ 0.5 GOALS  @ 1.15+odds.  or @ 40 mins</v>
      </c>
      <c r="D764" s="270" t="str" cm="1">
        <f t="array" ref="D764">_xlfn.IFS(E764=$AB$42,$AD$42,E764=$AB$43,$AD$43,E764=$AB$44,$AD$44,E764=$AB$45,$AD$45,E764=$AB$46,$AD$46,E764=$AB$47,$AD$47,E764=$AB$48,$AD$48,E764=$AB$49,$AD$49,E764=$AB$50,$AD$50,E764=$AB$51,$AD$51,E764=$AB$52,$AD$52,E764=$AB$53,$AD$53,E764=$AB$54,$AD$54,E764=$AB$55,$AD$55,E764=$AB$56,$AD$56,E764=$AB$57,$AD$57,E764=$AB$58,$AD$58,E764=$AB$59,$AD$59,E764=$AB$60,$AD$60,E764=$AB$61,$AD$61,E764=$AB$62,$AD$62,E764=$AB$63,$AD$63,E764=$AB$64,$AD$64,E764=$AB$65,$AD$65,E764=$AB$66,$AD$66,TRUE,"0")</f>
        <v>IP</v>
      </c>
      <c r="E764" s="163" t="s">
        <v>270</v>
      </c>
      <c r="F764" s="2" t="s">
        <v>6</v>
      </c>
      <c r="G764" s="2" t="s">
        <v>62</v>
      </c>
      <c r="H764" s="3">
        <v>45384.8125</v>
      </c>
      <c r="I764" s="2" t="s">
        <v>264</v>
      </c>
      <c r="J764" s="2" t="s">
        <v>115</v>
      </c>
      <c r="K764" s="2">
        <v>68</v>
      </c>
      <c r="L764" s="2">
        <v>0</v>
      </c>
      <c r="M764" s="2">
        <v>20</v>
      </c>
      <c r="N764" s="2">
        <v>43</v>
      </c>
      <c r="O764" s="2">
        <v>2.66</v>
      </c>
      <c r="P764" s="2"/>
      <c r="Q764" s="2" t="s">
        <v>95</v>
      </c>
      <c r="R764" s="10" t="s">
        <v>207</v>
      </c>
      <c r="S764" s="14" t="s">
        <v>215</v>
      </c>
      <c r="T764" s="188">
        <v>1000</v>
      </c>
      <c r="U764" s="8">
        <f t="shared" si="94"/>
        <v>180</v>
      </c>
      <c r="V764" s="234">
        <f t="shared" si="95"/>
        <v>50844.155246160299</v>
      </c>
      <c r="W764" s="15">
        <v>25</v>
      </c>
      <c r="X764" s="8">
        <f t="shared" si="87"/>
        <v>4.5</v>
      </c>
      <c r="Y764" s="233">
        <f t="shared" si="88"/>
        <v>3137</v>
      </c>
    </row>
    <row r="765" spans="1:25">
      <c r="A765" s="156" t="e" cm="1">
        <f t="array" aca="1" ref="A765" ca="1">_xlfn.IFS(E765=$AB$42,$AC$42,E765=$AB$43,$AC$43,E765=$AB$44,$AC$44,E765=$AB$45,$AC$45,E765=$AB$46,$AC$46,E765=$AB$47,$AC$47,E765=$AB$48,$AC$48,E765=$AB$49,$AC$49,E765=$AB$50,$AC$50,E765=$AB$51,$AC$51,E765=$AB$52,$AC$52,E765=$AB$53,$AC$53,E765=$AB$54,$AC$54,E765=$AB$55,$AC$55,E765=$AB$56,$AC$56,E765=$AB$57,$AC$57,E765=$AB$58,$AC$58,E765=$AB$59,$AC$59,E765=$AB$60,$AC$60,E765=$AB$61,$AC$61,E765=$AB$62,$AC$62,E765=$AB$63,$AC$63,E765=$AB$64,$AC$64,E765=$AB$65,$AC$65,E765=$AB$66,$AC$66,TRUE,"0")</f>
        <v>#NAME?</v>
      </c>
      <c r="C765" s="161" t="str" cm="1">
        <f t="array" ref="C765">_xlfn.IFS(E765=$AB$42,$AF$42,E765=$AB$43,$AF$43,E765=$AB$44,$AF$44,E765=$AB$45,$AF$45,E765=$AB$46,$AF$46,E765=$AB$47,$AF$47,E765=$AB$48,$AF$48,E765=$AB$49,$AF$49,E765=$AB$50,$AF$50,E765=$AB$51,$AF$51,E765=$AB$52,$AF$52,E765=$AB$53,$AF$53,E765=$AB$54,$AF$54,E765=$AB$55,$AF$55,E765=$AB$56,$AF$56,E765=$AB$57,$AF$57,E765=$AB$58,$AF$58,E765=$AB$59,$AF$59,E765=$AB$60,$AF$60,E765=$AB$61,$AF$61,E765=$AB$62,$AF$62,E765=$AB$63,$AF$63,E765=$AB$64,$AF$64,E765=$AB$65,$AF$65,E765=$AB$66,$AF$66,TRUE,"0")</f>
        <v>if 0-0, BACK+ 0.5 GOALS  @ 1.15+odds.  or @ 40 mins</v>
      </c>
      <c r="D765" s="270" t="str" cm="1">
        <f t="array" ref="D765">_xlfn.IFS(E765=$AB$42,$AD$42,E765=$AB$43,$AD$43,E765=$AB$44,$AD$44,E765=$AB$45,$AD$45,E765=$AB$46,$AD$46,E765=$AB$47,$AD$47,E765=$AB$48,$AD$48,E765=$AB$49,$AD$49,E765=$AB$50,$AD$50,E765=$AB$51,$AD$51,E765=$AB$52,$AD$52,E765=$AB$53,$AD$53,E765=$AB$54,$AD$54,E765=$AB$55,$AD$55,E765=$AB$56,$AD$56,E765=$AB$57,$AD$57,E765=$AB$58,$AD$58,E765=$AB$59,$AD$59,E765=$AB$60,$AD$60,E765=$AB$61,$AD$61,E765=$AB$62,$AD$62,E765=$AB$63,$AD$63,E765=$AB$64,$AD$64,E765=$AB$65,$AD$65,E765=$AB$66,$AD$66,TRUE,"0")</f>
        <v>IP</v>
      </c>
      <c r="E765" s="163" t="s">
        <v>270</v>
      </c>
      <c r="F765" s="2" t="s">
        <v>6</v>
      </c>
      <c r="G765" s="2" t="s">
        <v>62</v>
      </c>
      <c r="H765" s="3">
        <v>45384.822916666664</v>
      </c>
      <c r="I765" s="2" t="s">
        <v>117</v>
      </c>
      <c r="J765" s="2" t="s">
        <v>66</v>
      </c>
      <c r="K765" s="2">
        <v>66</v>
      </c>
      <c r="L765" s="2">
        <v>0</v>
      </c>
      <c r="M765" s="2">
        <v>20</v>
      </c>
      <c r="N765" s="2">
        <v>29</v>
      </c>
      <c r="O765" s="2">
        <v>2.52</v>
      </c>
      <c r="P765" s="2"/>
      <c r="Q765" s="2" t="s">
        <v>95</v>
      </c>
      <c r="R765" s="10" t="s">
        <v>221</v>
      </c>
      <c r="S765" s="14" t="s">
        <v>214</v>
      </c>
      <c r="T765" s="188">
        <v>1000</v>
      </c>
      <c r="U765" s="8">
        <f t="shared" si="94"/>
        <v>180</v>
      </c>
      <c r="V765" s="234">
        <f t="shared" si="95"/>
        <v>51024.155246160299</v>
      </c>
      <c r="W765" s="15">
        <v>25</v>
      </c>
      <c r="X765" s="8">
        <f t="shared" si="87"/>
        <v>4.5</v>
      </c>
      <c r="Y765" s="233">
        <f t="shared" si="88"/>
        <v>3141.5</v>
      </c>
    </row>
    <row r="766" spans="1:25">
      <c r="A766" s="156" t="e" cm="1">
        <f t="array" aca="1" ref="A766" ca="1">_xlfn.IFS(E766=$AB$42,$AC$42,E766=$AB$43,$AC$43,E766=$AB$44,$AC$44,E766=$AB$45,$AC$45,E766=$AB$46,$AC$46,E766=$AB$47,$AC$47,E766=$AB$48,$AC$48,E766=$AB$49,$AC$49,E766=$AB$50,$AC$50,E766=$AB$51,$AC$51,E766=$AB$52,$AC$52,E766=$AB$53,$AC$53,E766=$AB$54,$AC$54,E766=$AB$55,$AC$55,E766=$AB$56,$AC$56,E766=$AB$57,$AC$57,E766=$AB$58,$AC$58,E766=$AB$59,$AC$59,E766=$AB$60,$AC$60,E766=$AB$61,$AC$61,E766=$AB$62,$AC$62,E766=$AB$63,$AC$63,E766=$AB$64,$AC$64,E766=$AB$65,$AC$65,E766=$AB$66,$AC$66,TRUE,"0")</f>
        <v>#NAME?</v>
      </c>
      <c r="C766" s="161" t="str" cm="1">
        <f t="array" ref="C766">_xlfn.IFS(E766=$AB$42,$AF$42,E766=$AB$43,$AF$43,E766=$AB$44,$AF$44,E766=$AB$45,$AF$45,E766=$AB$46,$AF$46,E766=$AB$47,$AF$47,E766=$AB$48,$AF$48,E766=$AB$49,$AF$49,E766=$AB$50,$AF$50,E766=$AB$51,$AF$51,E766=$AB$52,$AF$52,E766=$AB$53,$AF$53,E766=$AB$54,$AF$54,E766=$AB$55,$AF$55,E766=$AB$56,$AF$56,E766=$AB$57,$AF$57,E766=$AB$58,$AF$58,E766=$AB$59,$AF$59,E766=$AB$60,$AF$60,E766=$AB$61,$AF$61,E766=$AB$62,$AF$62,E766=$AB$63,$AF$63,E766=$AB$64,$AF$64,E766=$AB$65,$AF$65,E766=$AB$66,$AF$66,TRUE,"0")</f>
        <v>B4 MATCH bet H1 'under 2.5goals'- X at 40 minutes</v>
      </c>
      <c r="D766" s="270" t="str" cm="1">
        <f t="array" ref="D766">_xlfn.IFS(E766=$AB$42,$AD$42,E766=$AB$43,$AD$43,E766=$AB$44,$AD$44,E766=$AB$45,$AD$45,E766=$AB$46,$AD$46,E766=$AB$47,$AD$47,E766=$AB$48,$AD$48,E766=$AB$49,$AD$49,E766=$AB$50,$AD$50,E766=$AB$51,$AD$51,E766=$AB$52,$AD$52,E766=$AB$53,$AD$53,E766=$AB$54,$AD$54,E766=$AB$55,$AD$55,E766=$AB$56,$AD$56,E766=$AB$57,$AD$57,E766=$AB$58,$AD$58,E766=$AB$59,$AD$59,E766=$AB$60,$AD$60,E766=$AB$61,$AD$61,E766=$AB$62,$AD$62,E766=$AB$63,$AD$63,E766=$AB$64,$AD$64,E766=$AB$65,$AD$65,E766=$AB$66,$AD$66,TRUE,"0")</f>
        <v xml:space="preserve">BFM </v>
      </c>
      <c r="E766" s="164" t="s">
        <v>458</v>
      </c>
      <c r="F766" s="2" t="s">
        <v>572</v>
      </c>
      <c r="G766" s="2" t="s">
        <v>670</v>
      </c>
      <c r="H766" s="3">
        <v>45385.458333333336</v>
      </c>
      <c r="I766" s="2" t="s">
        <v>671</v>
      </c>
      <c r="J766" s="2" t="s">
        <v>672</v>
      </c>
      <c r="K766" s="2">
        <v>20</v>
      </c>
      <c r="L766" s="2">
        <v>85</v>
      </c>
      <c r="M766" s="2">
        <v>95</v>
      </c>
      <c r="N766" s="2">
        <v>36</v>
      </c>
      <c r="O766" s="2">
        <v>1.75</v>
      </c>
      <c r="P766" s="2"/>
      <c r="Q766" s="2" t="s">
        <v>95</v>
      </c>
      <c r="R766" s="10" t="s">
        <v>216</v>
      </c>
      <c r="S766" s="14" t="s">
        <v>216</v>
      </c>
      <c r="T766" s="188">
        <v>1000</v>
      </c>
      <c r="U766" s="8">
        <f t="shared" si="94"/>
        <v>180</v>
      </c>
      <c r="V766" s="234">
        <f t="shared" si="95"/>
        <v>51204.155246160299</v>
      </c>
      <c r="W766" s="15">
        <v>25</v>
      </c>
      <c r="X766" s="8">
        <f t="shared" si="87"/>
        <v>4.5</v>
      </c>
      <c r="Y766" s="233">
        <f t="shared" si="88"/>
        <v>3146</v>
      </c>
    </row>
    <row r="767" spans="1:25">
      <c r="A767" s="156" t="e" cm="1">
        <f t="array" aca="1" ref="A767" ca="1">_xlfn.IFS(E767=$AB$42,$AC$42,E767=$AB$43,$AC$43,E767=$AB$44,$AC$44,E767=$AB$45,$AC$45,E767=$AB$46,$AC$46,E767=$AB$47,$AC$47,E767=$AB$48,$AC$48,E767=$AB$49,$AC$49,E767=$AB$50,$AC$50,E767=$AB$51,$AC$51,E767=$AB$52,$AC$52,E767=$AB$53,$AC$53,E767=$AB$54,$AC$54,E767=$AB$55,$AC$55,E767=$AB$56,$AC$56,E767=$AB$57,$AC$57,E767=$AB$58,$AC$58,E767=$AB$59,$AC$59,E767=$AB$60,$AC$60,E767=$AB$61,$AC$61,E767=$AB$62,$AC$62,E767=$AB$63,$AC$63,E767=$AB$64,$AC$64,E767=$AB$65,$AC$65,E767=$AB$66,$AC$66,TRUE,"0")</f>
        <v>#NAME?</v>
      </c>
      <c r="C767" s="161" t="str" cm="1">
        <f t="array" ref="C767">_xlfn.IFS(E767=$AB$42,$AF$42,E767=$AB$43,$AF$43,E767=$AB$44,$AF$44,E767=$AB$45,$AF$45,E767=$AB$46,$AF$46,E767=$AB$47,$AF$47,E767=$AB$48,$AF$48,E767=$AB$49,$AF$49,E767=$AB$50,$AF$50,E767=$AB$51,$AF$51,E767=$AB$52,$AF$52,E767=$AB$53,$AF$53,E767=$AB$54,$AF$54,E767=$AB$55,$AF$55,E767=$AB$56,$AF$56,E767=$AB$57,$AF$57,E767=$AB$58,$AF$58,E767=$AB$59,$AF$59,E767=$AB$60,$AF$60,E767=$AB$61,$AF$61,E767=$AB$62,$AF$62,E767=$AB$63,$AF$63,E767=$AB$64,$AF$64,E767=$AB$65,$AF$65,E767=$AB$66,$AF$66,TRUE,"0")</f>
        <v>B4 match BACK FT +1.5 goals. X AFTER  GOAL</v>
      </c>
      <c r="D767" s="270" t="str" cm="1">
        <f t="array" ref="D767">_xlfn.IFS(E767=$AB$42,$AD$42,E767=$AB$43,$AD$43,E767=$AB$44,$AD$44,E767=$AB$45,$AD$45,E767=$AB$46,$AD$46,E767=$AB$47,$AD$47,E767=$AB$48,$AD$48,E767=$AB$49,$AD$49,E767=$AB$50,$AD$50,E767=$AB$51,$AD$51,E767=$AB$52,$AD$52,E767=$AB$53,$AD$53,E767=$AB$54,$AD$54,E767=$AB$55,$AD$55,E767=$AB$56,$AD$56,E767=$AB$57,$AD$57,E767=$AB$58,$AD$58,E767=$AB$59,$AD$59,E767=$AB$60,$AD$60,E767=$AB$61,$AD$61,E767=$AB$62,$AD$62,E767=$AB$63,$AD$63,E767=$AB$64,$AD$64,E767=$AB$65,$AD$65,E767=$AB$66,$AD$66,TRUE,"0")</f>
        <v xml:space="preserve">BFM </v>
      </c>
      <c r="E767" s="163" t="s">
        <v>531</v>
      </c>
      <c r="F767" s="2" t="s">
        <v>44</v>
      </c>
      <c r="G767" s="2" t="s">
        <v>45</v>
      </c>
      <c r="H767" s="3">
        <v>45385.489583333336</v>
      </c>
      <c r="I767" s="2" t="s">
        <v>131</v>
      </c>
      <c r="J767" s="2" t="s">
        <v>46</v>
      </c>
      <c r="K767" s="2">
        <v>5.6</v>
      </c>
      <c r="L767" s="2">
        <v>22</v>
      </c>
      <c r="M767" s="2">
        <v>3.91</v>
      </c>
      <c r="N767" s="2">
        <v>18</v>
      </c>
      <c r="O767" s="2">
        <v>3</v>
      </c>
      <c r="P767" s="2">
        <v>11</v>
      </c>
      <c r="Q767" s="2" t="s">
        <v>95</v>
      </c>
      <c r="R767" s="10" t="s">
        <v>216</v>
      </c>
      <c r="S767" s="14" t="s">
        <v>216</v>
      </c>
      <c r="T767" s="188">
        <v>1000</v>
      </c>
      <c r="U767" s="8">
        <f t="shared" si="94"/>
        <v>180</v>
      </c>
      <c r="V767" s="234">
        <f t="shared" si="95"/>
        <v>51384.155246160299</v>
      </c>
      <c r="W767" s="15">
        <v>25</v>
      </c>
      <c r="X767" s="8">
        <f t="shared" si="87"/>
        <v>4.5</v>
      </c>
      <c r="Y767" s="233">
        <f t="shared" si="88"/>
        <v>3150.5</v>
      </c>
    </row>
    <row r="768" spans="1:25">
      <c r="A768" s="156" t="e" cm="1">
        <f t="array" aca="1" ref="A768" ca="1">_xlfn.IFS(E768=$AB$42,$AC$42,E768=$AB$43,$AC$43,E768=$AB$44,$AC$44,E768=$AB$45,$AC$45,E768=$AB$46,$AC$46,E768=$AB$47,$AC$47,E768=$AB$48,$AC$48,E768=$AB$49,$AC$49,E768=$AB$50,$AC$50,E768=$AB$51,$AC$51,E768=$AB$52,$AC$52,E768=$AB$53,$AC$53,E768=$AB$54,$AC$54,E768=$AB$55,$AC$55,E768=$AB$56,$AC$56,E768=$AB$57,$AC$57,E768=$AB$58,$AC$58,E768=$AB$59,$AC$59,E768=$AB$60,$AC$60,E768=$AB$61,$AC$61,E768=$AB$62,$AC$62,E768=$AB$63,$AC$63,E768=$AB$64,$AC$64,E768=$AB$65,$AC$65,E768=$AB$66,$AC$66,TRUE,"0")</f>
        <v>#NAME?</v>
      </c>
      <c r="C768" s="161" t="str" cm="1">
        <f t="array" ref="C768">_xlfn.IFS(E768=$AB$42,$AF$42,E768=$AB$43,$AF$43,E768=$AB$44,$AF$44,E768=$AB$45,$AF$45,E768=$AB$46,$AF$46,E768=$AB$47,$AF$47,E768=$AB$48,$AF$48,E768=$AB$49,$AF$49,E768=$AB$50,$AF$50,E768=$AB$51,$AF$51,E768=$AB$52,$AF$52,E768=$AB$53,$AF$53,E768=$AB$54,$AF$54,E768=$AB$55,$AF$55,E768=$AB$56,$AF$56,E768=$AB$57,$AF$57,E768=$AB$58,$AF$58,E768=$AB$59,$AF$59,E768=$AB$60,$AF$60,E768=$AB$61,$AF$61,E768=$AB$62,$AF$62,E768=$AB$63,$AF$63,E768=$AB$64,$AF$64,E768=$AB$65,$AF$65,E768=$AB$66,$AF$66,TRUE,"0")</f>
        <v>B4 Match, lay HT 0-0 or BACK H1 +0.5 GOALS</v>
      </c>
      <c r="D768" s="270" t="str" cm="1">
        <f t="array" ref="D768">_xlfn.IFS(E768=$AB$42,$AD$42,E768=$AB$43,$AD$43,E768=$AB$44,$AD$44,E768=$AB$45,$AD$45,E768=$AB$46,$AD$46,E768=$AB$47,$AD$47,E768=$AB$48,$AD$48,E768=$AB$49,$AD$49,E768=$AB$50,$AD$50,E768=$AB$51,$AD$51,E768=$AB$52,$AD$52,E768=$AB$53,$AD$53,E768=$AB$54,$AD$54,E768=$AB$55,$AD$55,E768=$AB$56,$AD$56,E768=$AB$57,$AD$57,E768=$AB$58,$AD$58,E768=$AB$59,$AD$59,E768=$AB$60,$AD$60,E768=$AB$61,$AD$61,E768=$AB$62,$AD$62,E768=$AB$63,$AD$63,E768=$AB$64,$AD$64,E768=$AB$65,$AD$65,E768=$AB$66,$AD$66,TRUE,"0")</f>
        <v xml:space="preserve">BFM </v>
      </c>
      <c r="E768" s="163" t="s">
        <v>448</v>
      </c>
      <c r="F768" s="2" t="s">
        <v>44</v>
      </c>
      <c r="G768" s="2" t="s">
        <v>45</v>
      </c>
      <c r="H768" s="3">
        <v>45385.489583333336</v>
      </c>
      <c r="I768" s="2" t="s">
        <v>131</v>
      </c>
      <c r="J768" s="2" t="s">
        <v>46</v>
      </c>
      <c r="K768" s="2">
        <v>20</v>
      </c>
      <c r="L768" s="2">
        <v>10</v>
      </c>
      <c r="M768" s="2">
        <v>42</v>
      </c>
      <c r="N768" s="2">
        <v>10</v>
      </c>
      <c r="O768" s="2">
        <v>6</v>
      </c>
      <c r="P768" s="2">
        <v>7</v>
      </c>
      <c r="Q768" s="2" t="s">
        <v>95</v>
      </c>
      <c r="R768" s="10" t="s">
        <v>216</v>
      </c>
      <c r="S768" s="14" t="s">
        <v>216</v>
      </c>
      <c r="T768" s="188">
        <v>1000</v>
      </c>
      <c r="U768" s="8">
        <f t="shared" si="94"/>
        <v>180</v>
      </c>
      <c r="V768" s="234">
        <f t="shared" si="95"/>
        <v>51564.155246160299</v>
      </c>
      <c r="W768" s="15">
        <v>25</v>
      </c>
      <c r="X768" s="8">
        <f t="shared" si="87"/>
        <v>4.5</v>
      </c>
      <c r="Y768" s="233">
        <f t="shared" si="88"/>
        <v>3155</v>
      </c>
    </row>
    <row r="769" spans="1:25">
      <c r="A769" s="156" t="e" cm="1">
        <f t="array" aca="1" ref="A769" ca="1">_xlfn.IFS(E769=$AB$42,$AC$42,E769=$AB$43,$AC$43,E769=$AB$44,$AC$44,E769=$AB$45,$AC$45,E769=$AB$46,$AC$46,E769=$AB$47,$AC$47,E769=$AB$48,$AC$48,E769=$AB$49,$AC$49,E769=$AB$50,$AC$50,E769=$AB$51,$AC$51,E769=$AB$52,$AC$52,E769=$AB$53,$AC$53,E769=$AB$54,$AC$54,E769=$AB$55,$AC$55,E769=$AB$56,$AC$56,E769=$AB$57,$AC$57,E769=$AB$58,$AC$58,E769=$AB$59,$AC$59,E769=$AB$60,$AC$60,E769=$AB$61,$AC$61,E769=$AB$62,$AC$62,E769=$AB$63,$AC$63,E769=$AB$64,$AC$64,E769=$AB$65,$AC$65,E769=$AB$66,$AC$66,TRUE,"0")</f>
        <v>#NAME?</v>
      </c>
      <c r="C769" s="161" t="str" cm="1">
        <f t="array" ref="C769">_xlfn.IFS(E769=$AB$42,$AF$42,E769=$AB$43,$AF$43,E769=$AB$44,$AF$44,E769=$AB$45,$AF$45,E769=$AB$46,$AF$46,E769=$AB$47,$AF$47,E769=$AB$48,$AF$48,E769=$AB$49,$AF$49,E769=$AB$50,$AF$50,E769=$AB$51,$AF$51,E769=$AB$52,$AF$52,E769=$AB$53,$AF$53,E769=$AB$54,$AF$54,E769=$AB$55,$AF$55,E769=$AB$56,$AF$56,E769=$AB$57,$AF$57,E769=$AB$58,$AF$58,E769=$AB$59,$AF$59,E769=$AB$60,$AF$60,E769=$AB$61,$AF$61,E769=$AB$62,$AF$62,E769=$AB$63,$AF$63,E769=$AB$64,$AF$64,E769=$AB$65,$AF$65,E769=$AB$66,$AF$66,TRUE,"0")</f>
        <v>if 0-0, BACK+ 0.5 GOALS  @ 1.15+odds.  or @ 40 mins</v>
      </c>
      <c r="D769" s="270" t="str" cm="1">
        <f t="array" ref="D769">_xlfn.IFS(E769=$AB$42,$AD$42,E769=$AB$43,$AD$43,E769=$AB$44,$AD$44,E769=$AB$45,$AD$45,E769=$AB$46,$AD$46,E769=$AB$47,$AD$47,E769=$AB$48,$AD$48,E769=$AB$49,$AD$49,E769=$AB$50,$AD$50,E769=$AB$51,$AD$51,E769=$AB$52,$AD$52,E769=$AB$53,$AD$53,E769=$AB$54,$AD$54,E769=$AB$55,$AD$55,E769=$AB$56,$AD$56,E769=$AB$57,$AD$57,E769=$AB$58,$AD$58,E769=$AB$59,$AD$59,E769=$AB$60,$AD$60,E769=$AB$61,$AD$61,E769=$AB$62,$AD$62,E769=$AB$63,$AD$63,E769=$AB$64,$AD$64,E769=$AB$65,$AD$65,E769=$AB$66,$AD$66,TRUE,"0")</f>
        <v>IP</v>
      </c>
      <c r="E769" s="163" t="s">
        <v>270</v>
      </c>
      <c r="F769" s="2" t="s">
        <v>441</v>
      </c>
      <c r="G769" s="2" t="s">
        <v>442</v>
      </c>
      <c r="H769" s="3">
        <v>45385.541666666664</v>
      </c>
      <c r="I769" s="2" t="s">
        <v>443</v>
      </c>
      <c r="J769" s="2" t="s">
        <v>445</v>
      </c>
      <c r="K769" s="2">
        <v>64</v>
      </c>
      <c r="L769" s="2">
        <v>0</v>
      </c>
      <c r="M769" s="2">
        <v>20</v>
      </c>
      <c r="N769" s="2">
        <v>28</v>
      </c>
      <c r="O769" s="2">
        <v>1.54</v>
      </c>
      <c r="P769" s="2"/>
      <c r="Q769" s="2" t="s">
        <v>95</v>
      </c>
      <c r="R769" s="10" t="s">
        <v>217</v>
      </c>
      <c r="S769" s="14" t="s">
        <v>208</v>
      </c>
      <c r="T769" s="188">
        <v>1000</v>
      </c>
      <c r="U769" s="8">
        <f t="shared" si="94"/>
        <v>180</v>
      </c>
      <c r="V769" s="234">
        <f t="shared" si="95"/>
        <v>51744.155246160299</v>
      </c>
      <c r="W769" s="15">
        <v>25</v>
      </c>
      <c r="X769" s="8">
        <f t="shared" si="87"/>
        <v>4.5</v>
      </c>
      <c r="Y769" s="233">
        <f t="shared" si="88"/>
        <v>3159.5</v>
      </c>
    </row>
    <row r="770" spans="1:25">
      <c r="A770" s="156" t="e" cm="1">
        <f t="array" aca="1" ref="A770" ca="1">_xlfn.IFS(E770=$AB$42,$AC$42,E770=$AB$43,$AC$43,E770=$AB$44,$AC$44,E770=$AB$45,$AC$45,E770=$AB$46,$AC$46,E770=$AB$47,$AC$47,E770=$AB$48,$AC$48,E770=$AB$49,$AC$49,E770=$AB$50,$AC$50,E770=$AB$51,$AC$51,E770=$AB$52,$AC$52,E770=$AB$53,$AC$53,E770=$AB$54,$AC$54,E770=$AB$55,$AC$55,E770=$AB$56,$AC$56,E770=$AB$57,$AC$57,E770=$AB$58,$AC$58,E770=$AB$59,$AC$59,E770=$AB$60,$AC$60,E770=$AB$61,$AC$61,E770=$AB$62,$AC$62,E770=$AB$63,$AC$63,E770=$AB$64,$AC$64,E770=$AB$65,$AC$65,E770=$AB$66,$AC$66,TRUE,"0")</f>
        <v>#NAME?</v>
      </c>
      <c r="C770" s="161" t="str" cm="1">
        <f t="array" ref="C770">_xlfn.IFS(E770=$AB$42,$AF$42,E770=$AB$43,$AF$43,E770=$AB$44,$AF$44,E770=$AB$45,$AF$45,E770=$AB$46,$AF$46,E770=$AB$47,$AF$47,E770=$AB$48,$AF$48,E770=$AB$49,$AF$49,E770=$AB$50,$AF$50,E770=$AB$51,$AF$51,E770=$AB$52,$AF$52,E770=$AB$53,$AF$53,E770=$AB$54,$AF$54,E770=$AB$55,$AF$55,E770=$AB$56,$AF$56,E770=$AB$57,$AF$57,E770=$AB$58,$AF$58,E770=$AB$59,$AF$59,E770=$AB$60,$AF$60,E770=$AB$61,$AF$61,E770=$AB$62,$AF$62,E770=$AB$63,$AF$63,E770=$AB$64,$AF$64,E770=$AB$65,$AF$65,E770=$AB$66,$AF$66,TRUE,"0")</f>
        <v>if 0-0, BACK+ 0.5 GOALS  @ 1.15+odds.  or @ 40 mins</v>
      </c>
      <c r="D770" s="270" t="str" cm="1">
        <f t="array" ref="D770">_xlfn.IFS(E770=$AB$42,$AD$42,E770=$AB$43,$AD$43,E770=$AB$44,$AD$44,E770=$AB$45,$AD$45,E770=$AB$46,$AD$46,E770=$AB$47,$AD$47,E770=$AB$48,$AD$48,E770=$AB$49,$AD$49,E770=$AB$50,$AD$50,E770=$AB$51,$AD$51,E770=$AB$52,$AD$52,E770=$AB$53,$AD$53,E770=$AB$54,$AD$54,E770=$AB$55,$AD$55,E770=$AB$56,$AD$56,E770=$AB$57,$AD$57,E770=$AB$58,$AD$58,E770=$AB$59,$AD$59,E770=$AB$60,$AD$60,E770=$AB$61,$AD$61,E770=$AB$62,$AD$62,E770=$AB$63,$AD$63,E770=$AB$64,$AD$64,E770=$AB$65,$AD$65,E770=$AB$66,$AD$66,TRUE,"0")</f>
        <v>IP</v>
      </c>
      <c r="E770" s="163" t="s">
        <v>270</v>
      </c>
      <c r="F770" s="2" t="s">
        <v>626</v>
      </c>
      <c r="G770" s="2" t="s">
        <v>627</v>
      </c>
      <c r="H770" s="3">
        <v>45385.663194444445</v>
      </c>
      <c r="I770" s="2" t="s">
        <v>628</v>
      </c>
      <c r="J770" s="2" t="s">
        <v>653</v>
      </c>
      <c r="K770" s="2">
        <v>61</v>
      </c>
      <c r="L770" s="2">
        <v>0</v>
      </c>
      <c r="M770" s="2">
        <v>20</v>
      </c>
      <c r="N770" s="2">
        <v>38</v>
      </c>
      <c r="O770" s="2">
        <v>0</v>
      </c>
      <c r="P770" s="2"/>
      <c r="Q770" s="2" t="s">
        <v>95</v>
      </c>
      <c r="R770" s="10" t="s">
        <v>193</v>
      </c>
      <c r="S770" s="14" t="s">
        <v>213</v>
      </c>
      <c r="T770" s="188">
        <v>1000</v>
      </c>
      <c r="U770" s="8">
        <f t="shared" si="94"/>
        <v>180</v>
      </c>
      <c r="V770" s="234">
        <f t="shared" si="95"/>
        <v>51924.155246160299</v>
      </c>
      <c r="W770" s="15">
        <v>25</v>
      </c>
      <c r="X770" s="8">
        <f t="shared" si="87"/>
        <v>4.5</v>
      </c>
      <c r="Y770" s="233">
        <f t="shared" si="88"/>
        <v>3164</v>
      </c>
    </row>
    <row r="771" spans="1:25">
      <c r="A771" s="156" t="e" cm="1">
        <f t="array" aca="1" ref="A771" ca="1">_xlfn.IFS(E771=$AB$42,$AC$42,E771=$AB$43,$AC$43,E771=$AB$44,$AC$44,E771=$AB$45,$AC$45,E771=$AB$46,$AC$46,E771=$AB$47,$AC$47,E771=$AB$48,$AC$48,E771=$AB$49,$AC$49,E771=$AB$50,$AC$50,E771=$AB$51,$AC$51,E771=$AB$52,$AC$52,E771=$AB$53,$AC$53,E771=$AB$54,$AC$54,E771=$AB$55,$AC$55,E771=$AB$56,$AC$56,E771=$AB$57,$AC$57,E771=$AB$58,$AC$58,E771=$AB$59,$AC$59,E771=$AB$60,$AC$60,E771=$AB$61,$AC$61,E771=$AB$62,$AC$62,E771=$AB$63,$AC$63,E771=$AB$64,$AC$64,E771=$AB$65,$AC$65,E771=$AB$66,$AC$66,TRUE,"0")</f>
        <v>#NAME?</v>
      </c>
      <c r="C771" s="161" t="str" cm="1">
        <f t="array" ref="C771">_xlfn.IFS(E771=$AB$42,$AF$42,E771=$AB$43,$AF$43,E771=$AB$44,$AF$44,E771=$AB$45,$AF$45,E771=$AB$46,$AF$46,E771=$AB$47,$AF$47,E771=$AB$48,$AF$48,E771=$AB$49,$AF$49,E771=$AB$50,$AF$50,E771=$AB$51,$AF$51,E771=$AB$52,$AF$52,E771=$AB$53,$AF$53,E771=$AB$54,$AF$54,E771=$AB$55,$AF$55,E771=$AB$56,$AF$56,E771=$AB$57,$AF$57,E771=$AB$58,$AF$58,E771=$AB$59,$AF$59,E771=$AB$60,$AF$60,E771=$AB$61,$AF$61,E771=$AB$62,$AF$62,E771=$AB$63,$AF$63,E771=$AB$64,$AF$64,E771=$AB$65,$AF$65,E771=$AB$66,$AF$66,TRUE,"0")</f>
        <v>B4 match BACK FT +1.5 goals. X AFTER  GOAL</v>
      </c>
      <c r="D771" s="270" t="str" cm="1">
        <f t="array" ref="D771">_xlfn.IFS(E771=$AB$42,$AD$42,E771=$AB$43,$AD$43,E771=$AB$44,$AD$44,E771=$AB$45,$AD$45,E771=$AB$46,$AD$46,E771=$AB$47,$AD$47,E771=$AB$48,$AD$48,E771=$AB$49,$AD$49,E771=$AB$50,$AD$50,E771=$AB$51,$AD$51,E771=$AB$52,$AD$52,E771=$AB$53,$AD$53,E771=$AB$54,$AD$54,E771=$AB$55,$AD$55,E771=$AB$56,$AD$56,E771=$AB$57,$AD$57,E771=$AB$58,$AD$58,E771=$AB$59,$AD$59,E771=$AB$60,$AD$60,E771=$AB$61,$AD$61,E771=$AB$62,$AD$62,E771=$AB$63,$AD$63,E771=$AB$64,$AD$64,E771=$AB$65,$AD$65,E771=$AB$66,$AD$66,TRUE,"0")</f>
        <v xml:space="preserve">BFM </v>
      </c>
      <c r="E771" s="163" t="s">
        <v>623</v>
      </c>
      <c r="F771" s="2" t="s">
        <v>133</v>
      </c>
      <c r="G771" s="2" t="s">
        <v>78</v>
      </c>
      <c r="H771" s="3">
        <v>45385.708333333336</v>
      </c>
      <c r="I771" s="2" t="s">
        <v>488</v>
      </c>
      <c r="J771" s="2" t="s">
        <v>136</v>
      </c>
      <c r="K771" s="2">
        <v>5.3</v>
      </c>
      <c r="L771" s="2">
        <v>20</v>
      </c>
      <c r="M771" s="2">
        <v>2.9</v>
      </c>
      <c r="N771" s="2">
        <v>30</v>
      </c>
      <c r="O771" s="2">
        <v>3</v>
      </c>
      <c r="P771" s="2">
        <v>10</v>
      </c>
      <c r="Q771" s="2" t="s">
        <v>95</v>
      </c>
      <c r="R771" s="10" t="s">
        <v>214</v>
      </c>
      <c r="S771" s="14" t="s">
        <v>207</v>
      </c>
      <c r="T771" s="188">
        <v>1000</v>
      </c>
      <c r="U771" s="8">
        <f t="shared" si="94"/>
        <v>180</v>
      </c>
      <c r="V771" s="234">
        <f t="shared" si="95"/>
        <v>52104.155246160299</v>
      </c>
      <c r="W771" s="15">
        <v>25</v>
      </c>
      <c r="X771" s="8">
        <f t="shared" ref="X771:X834" si="97">IF(Q771="won",W771*0.18,-W771)</f>
        <v>4.5</v>
      </c>
      <c r="Y771" s="233">
        <f t="shared" ref="Y771:Y834" si="98">SUM(Y770,X771)</f>
        <v>3168.5</v>
      </c>
    </row>
    <row r="772" spans="1:25">
      <c r="A772" s="156" t="e" cm="1">
        <f t="array" aca="1" ref="A772" ca="1">_xlfn.IFS(E772=$AB$42,$AC$42,E772=$AB$43,$AC$43,E772=$AB$44,$AC$44,E772=$AB$45,$AC$45,E772=$AB$46,$AC$46,E772=$AB$47,$AC$47,E772=$AB$48,$AC$48,E772=$AB$49,$AC$49,E772=$AB$50,$AC$50,E772=$AB$51,$AC$51,E772=$AB$52,$AC$52,E772=$AB$53,$AC$53,E772=$AB$54,$AC$54,E772=$AB$55,$AC$55,E772=$AB$56,$AC$56,E772=$AB$57,$AC$57,E772=$AB$58,$AC$58,E772=$AB$59,$AC$59,E772=$AB$60,$AC$60,E772=$AB$61,$AC$61,E772=$AB$62,$AC$62,E772=$AB$63,$AC$63,E772=$AB$64,$AC$64,E772=$AB$65,$AC$65,E772=$AB$66,$AC$66,TRUE,"0")</f>
        <v>#NAME?</v>
      </c>
      <c r="C772" s="161" t="str" cm="1">
        <f t="array" ref="C772">_xlfn.IFS(E772=$AB$42,$AF$42,E772=$AB$43,$AF$43,E772=$AB$44,$AF$44,E772=$AB$45,$AF$45,E772=$AB$46,$AF$46,E772=$AB$47,$AF$47,E772=$AB$48,$AF$48,E772=$AB$49,$AF$49,E772=$AB$50,$AF$50,E772=$AB$51,$AF$51,E772=$AB$52,$AF$52,E772=$AB$53,$AF$53,E772=$AB$54,$AF$54,E772=$AB$55,$AF$55,E772=$AB$56,$AF$56,E772=$AB$57,$AF$57,E772=$AB$58,$AF$58,E772=$AB$59,$AF$59,E772=$AB$60,$AF$60,E772=$AB$61,$AF$61,E772=$AB$62,$AF$62,E772=$AB$63,$AF$63,E772=$AB$64,$AF$64,E772=$AB$65,$AF$65,E772=$AB$66,$AF$66,TRUE,"0")</f>
        <v>B4 match BACK FT +1.5 goals. X AFTER  GOAL</v>
      </c>
      <c r="D772" s="270" t="str" cm="1">
        <f t="array" ref="D772">_xlfn.IFS(E772=$AB$42,$AD$42,E772=$AB$43,$AD$43,E772=$AB$44,$AD$44,E772=$AB$45,$AD$45,E772=$AB$46,$AD$46,E772=$AB$47,$AD$47,E772=$AB$48,$AD$48,E772=$AB$49,$AD$49,E772=$AB$50,$AD$50,E772=$AB$51,$AD$51,E772=$AB$52,$AD$52,E772=$AB$53,$AD$53,E772=$AB$54,$AD$54,E772=$AB$55,$AD$55,E772=$AB$56,$AD$56,E772=$AB$57,$AD$57,E772=$AB$58,$AD$58,E772=$AB$59,$AD$59,E772=$AB$60,$AD$60,E772=$AB$61,$AD$61,E772=$AB$62,$AD$62,E772=$AB$63,$AD$63,E772=$AB$64,$AD$64,E772=$AB$65,$AD$65,E772=$AB$66,$AD$66,TRUE,"0")</f>
        <v xml:space="preserve">BFM </v>
      </c>
      <c r="E772" s="163" t="s">
        <v>406</v>
      </c>
      <c r="F772" s="2" t="s">
        <v>80</v>
      </c>
      <c r="G772" s="2" t="s">
        <v>81</v>
      </c>
      <c r="H772" s="3">
        <v>45385.770833333336</v>
      </c>
      <c r="I772" s="2" t="s">
        <v>314</v>
      </c>
      <c r="J772" s="2" t="s">
        <v>676</v>
      </c>
      <c r="K772" s="2">
        <v>1.25</v>
      </c>
      <c r="L772" s="2">
        <v>14</v>
      </c>
      <c r="M772" s="2">
        <v>3.15</v>
      </c>
      <c r="N772" s="2">
        <v>3.5</v>
      </c>
      <c r="O772" s="2">
        <v>2.67</v>
      </c>
      <c r="P772" s="2"/>
      <c r="Q772" s="2" t="s">
        <v>95</v>
      </c>
      <c r="R772" s="10" t="s">
        <v>216</v>
      </c>
      <c r="S772" s="14" t="s">
        <v>277</v>
      </c>
      <c r="T772" s="188">
        <v>1000</v>
      </c>
      <c r="U772" s="8">
        <f t="shared" si="94"/>
        <v>180</v>
      </c>
      <c r="V772" s="234">
        <f t="shared" si="95"/>
        <v>52284.155246160299</v>
      </c>
      <c r="W772" s="15">
        <v>25</v>
      </c>
      <c r="X772" s="8">
        <f t="shared" si="97"/>
        <v>4.5</v>
      </c>
      <c r="Y772" s="233">
        <f t="shared" si="98"/>
        <v>3173</v>
      </c>
    </row>
    <row r="773" spans="1:25">
      <c r="A773" s="156" t="e" cm="1">
        <f t="array" aca="1" ref="A773" ca="1">_xlfn.IFS(E773=$AB$42,$AC$42,E773=$AB$43,$AC$43,E773=$AB$44,$AC$44,E773=$AB$45,$AC$45,E773=$AB$46,$AC$46,E773=$AB$47,$AC$47,E773=$AB$48,$AC$48,E773=$AB$49,$AC$49,E773=$AB$50,$AC$50,E773=$AB$51,$AC$51,E773=$AB$52,$AC$52,E773=$AB$53,$AC$53,E773=$AB$54,$AC$54,E773=$AB$55,$AC$55,E773=$AB$56,$AC$56,E773=$AB$57,$AC$57,E773=$AB$58,$AC$58,E773=$AB$59,$AC$59,E773=$AB$60,$AC$60,E773=$AB$61,$AC$61,E773=$AB$62,$AC$62,E773=$AB$63,$AC$63,E773=$AB$64,$AC$64,E773=$AB$65,$AC$65,E773=$AB$66,$AC$66,TRUE,"0")</f>
        <v>#NAME?</v>
      </c>
      <c r="C773" s="161" t="str" cm="1">
        <f t="array" ref="C773">_xlfn.IFS(E773=$AB$42,$AF$42,E773=$AB$43,$AF$43,E773=$AB$44,$AF$44,E773=$AB$45,$AF$45,E773=$AB$46,$AF$46,E773=$AB$47,$AF$47,E773=$AB$48,$AF$48,E773=$AB$49,$AF$49,E773=$AB$50,$AF$50,E773=$AB$51,$AF$51,E773=$AB$52,$AF$52,E773=$AB$53,$AF$53,E773=$AB$54,$AF$54,E773=$AB$55,$AF$55,E773=$AB$56,$AF$56,E773=$AB$57,$AF$57,E773=$AB$58,$AF$58,E773=$AB$59,$AF$59,E773=$AB$60,$AF$60,E773=$AB$61,$AF$61,E773=$AB$62,$AF$62,E773=$AB$63,$AF$63,E773=$AB$64,$AF$64,E773=$AB$65,$AF$65,E773=$AB$66,$AF$66,TRUE,"0")</f>
        <v>B4 match BACK FT +1.5 goals. X AFTER  GOAL</v>
      </c>
      <c r="D773" s="270" t="str" cm="1">
        <f t="array" ref="D773">_xlfn.IFS(E773=$AB$42,$AD$42,E773=$AB$43,$AD$43,E773=$AB$44,$AD$44,E773=$AB$45,$AD$45,E773=$AB$46,$AD$46,E773=$AB$47,$AD$47,E773=$AB$48,$AD$48,E773=$AB$49,$AD$49,E773=$AB$50,$AD$50,E773=$AB$51,$AD$51,E773=$AB$52,$AD$52,E773=$AB$53,$AD$53,E773=$AB$54,$AD$54,E773=$AB$55,$AD$55,E773=$AB$56,$AD$56,E773=$AB$57,$AD$57,E773=$AB$58,$AD$58,E773=$AB$59,$AD$59,E773=$AB$60,$AD$60,E773=$AB$61,$AD$61,E773=$AB$62,$AD$62,E773=$AB$63,$AD$63,E773=$AB$64,$AD$64,E773=$AB$65,$AD$65,E773=$AB$66,$AD$66,TRUE,"0")</f>
        <v xml:space="preserve">BFM </v>
      </c>
      <c r="E773" s="163" t="s">
        <v>623</v>
      </c>
      <c r="F773" s="2" t="s">
        <v>80</v>
      </c>
      <c r="G773" s="2" t="s">
        <v>81</v>
      </c>
      <c r="H773" s="3">
        <v>45385.770833333336</v>
      </c>
      <c r="I773" s="2" t="s">
        <v>314</v>
      </c>
      <c r="J773" s="2" t="s">
        <v>676</v>
      </c>
      <c r="K773" s="2">
        <v>3.5</v>
      </c>
      <c r="L773" s="2">
        <v>20</v>
      </c>
      <c r="M773" s="2">
        <v>3.15</v>
      </c>
      <c r="N773" s="2">
        <v>24</v>
      </c>
      <c r="O773" s="2">
        <v>3</v>
      </c>
      <c r="P773" s="2">
        <v>10</v>
      </c>
      <c r="Q773" s="2" t="s">
        <v>95</v>
      </c>
      <c r="R773" s="10" t="s">
        <v>216</v>
      </c>
      <c r="S773" s="14" t="s">
        <v>277</v>
      </c>
      <c r="T773" s="188">
        <v>1000</v>
      </c>
      <c r="U773" s="8">
        <f t="shared" si="94"/>
        <v>180</v>
      </c>
      <c r="V773" s="234">
        <f t="shared" si="95"/>
        <v>52464.155246160299</v>
      </c>
      <c r="W773" s="15">
        <v>25</v>
      </c>
      <c r="X773" s="8">
        <f t="shared" si="97"/>
        <v>4.5</v>
      </c>
      <c r="Y773" s="233">
        <f t="shared" si="98"/>
        <v>3177.5</v>
      </c>
    </row>
    <row r="774" spans="1:25">
      <c r="A774" s="156" t="e" cm="1">
        <f t="array" aca="1" ref="A774" ca="1">_xlfn.IFS(E774=$AB$42,$AC$42,E774=$AB$43,$AC$43,E774=$AB$44,$AC$44,E774=$AB$45,$AC$45,E774=$AB$46,$AC$46,E774=$AB$47,$AC$47,E774=$AB$48,$AC$48,E774=$AB$49,$AC$49,E774=$AB$50,$AC$50,E774=$AB$51,$AC$51,E774=$AB$52,$AC$52,E774=$AB$53,$AC$53,E774=$AB$54,$AC$54,E774=$AB$55,$AC$55,E774=$AB$56,$AC$56,E774=$AB$57,$AC$57,E774=$AB$58,$AC$58,E774=$AB$59,$AC$59,E774=$AB$60,$AC$60,E774=$AB$61,$AC$61,E774=$AB$62,$AC$62,E774=$AB$63,$AC$63,E774=$AB$64,$AC$64,E774=$AB$65,$AC$65,E774=$AB$66,$AC$66,TRUE,"0")</f>
        <v>#NAME?</v>
      </c>
      <c r="C774" s="161" t="str" cm="1">
        <f t="array" ref="C774">_xlfn.IFS(E774=$AB$42,$AF$42,E774=$AB$43,$AF$43,E774=$AB$44,$AF$44,E774=$AB$45,$AF$45,E774=$AB$46,$AF$46,E774=$AB$47,$AF$47,E774=$AB$48,$AF$48,E774=$AB$49,$AF$49,E774=$AB$50,$AF$50,E774=$AB$51,$AF$51,E774=$AB$52,$AF$52,E774=$AB$53,$AF$53,E774=$AB$54,$AF$54,E774=$AB$55,$AF$55,E774=$AB$56,$AF$56,E774=$AB$57,$AF$57,E774=$AB$58,$AF$58,E774=$AB$59,$AF$59,E774=$AB$60,$AF$60,E774=$AB$61,$AF$61,E774=$AB$62,$AF$62,E774=$AB$63,$AF$63,E774=$AB$64,$AF$64,E774=$AB$65,$AF$65,E774=$AB$66,$AF$66,TRUE,"0")</f>
        <v>if 0-0, BACK+ 0.5 GOALS  @ 1.15+odds.  or @ 40 mins</v>
      </c>
      <c r="D774" s="270" t="str" cm="1">
        <f t="array" ref="D774">_xlfn.IFS(E774=$AB$42,$AD$42,E774=$AB$43,$AD$43,E774=$AB$44,$AD$44,E774=$AB$45,$AD$45,E774=$AB$46,$AD$46,E774=$AB$47,$AD$47,E774=$AB$48,$AD$48,E774=$AB$49,$AD$49,E774=$AB$50,$AD$50,E774=$AB$51,$AD$51,E774=$AB$52,$AD$52,E774=$AB$53,$AD$53,E774=$AB$54,$AD$54,E774=$AB$55,$AD$55,E774=$AB$56,$AD$56,E774=$AB$57,$AD$57,E774=$AB$58,$AD$58,E774=$AB$59,$AD$59,E774=$AB$60,$AD$60,E774=$AB$61,$AD$61,E774=$AB$62,$AD$62,E774=$AB$63,$AD$63,E774=$AB$64,$AD$64,E774=$AB$65,$AD$65,E774=$AB$66,$AD$66,TRUE,"0")</f>
        <v>IP</v>
      </c>
      <c r="E774" s="163" t="s">
        <v>270</v>
      </c>
      <c r="F774" s="2" t="s">
        <v>80</v>
      </c>
      <c r="G774" s="2" t="s">
        <v>81</v>
      </c>
      <c r="H774" s="3">
        <v>45385.770833333336</v>
      </c>
      <c r="I774" s="2" t="s">
        <v>82</v>
      </c>
      <c r="J774" s="2" t="s">
        <v>550</v>
      </c>
      <c r="K774" s="2">
        <v>63</v>
      </c>
      <c r="L774" s="2">
        <v>0</v>
      </c>
      <c r="M774" s="2">
        <v>20</v>
      </c>
      <c r="N774" s="2">
        <v>34</v>
      </c>
      <c r="O774" s="2">
        <v>2.04</v>
      </c>
      <c r="P774" s="2"/>
      <c r="Q774" s="2" t="s">
        <v>95</v>
      </c>
      <c r="R774" s="10" t="s">
        <v>193</v>
      </c>
      <c r="S774" s="14" t="s">
        <v>211</v>
      </c>
      <c r="T774" s="188">
        <v>1000</v>
      </c>
      <c r="U774" s="8">
        <f t="shared" si="94"/>
        <v>180</v>
      </c>
      <c r="V774" s="234">
        <f t="shared" si="95"/>
        <v>52644.155246160299</v>
      </c>
      <c r="W774" s="15">
        <v>25</v>
      </c>
      <c r="X774" s="8">
        <f t="shared" si="97"/>
        <v>4.5</v>
      </c>
      <c r="Y774" s="233">
        <f t="shared" si="98"/>
        <v>3182</v>
      </c>
    </row>
    <row r="775" spans="1:25">
      <c r="A775" s="156" t="e" cm="1">
        <f t="array" aca="1" ref="A775" ca="1">_xlfn.IFS(E775=$AB$42,$AC$42,E775=$AB$43,$AC$43,E775=$AB$44,$AC$44,E775=$AB$45,$AC$45,E775=$AB$46,$AC$46,E775=$AB$47,$AC$47,E775=$AB$48,$AC$48,E775=$AB$49,$AC$49,E775=$AB$50,$AC$50,E775=$AB$51,$AC$51,E775=$AB$52,$AC$52,E775=$AB$53,$AC$53,E775=$AB$54,$AC$54,E775=$AB$55,$AC$55,E775=$AB$56,$AC$56,E775=$AB$57,$AC$57,E775=$AB$58,$AC$58,E775=$AB$59,$AC$59,E775=$AB$60,$AC$60,E775=$AB$61,$AC$61,E775=$AB$62,$AC$62,E775=$AB$63,$AC$63,E775=$AB$64,$AC$64,E775=$AB$65,$AC$65,E775=$AB$66,$AC$66,TRUE,"0")</f>
        <v>#NAME?</v>
      </c>
      <c r="C775" s="161" t="str" cm="1">
        <f t="array" ref="C775">_xlfn.IFS(E775=$AB$42,$AF$42,E775=$AB$43,$AF$43,E775=$AB$44,$AF$44,E775=$AB$45,$AF$45,E775=$AB$46,$AF$46,E775=$AB$47,$AF$47,E775=$AB$48,$AF$48,E775=$AB$49,$AF$49,E775=$AB$50,$AF$50,E775=$AB$51,$AF$51,E775=$AB$52,$AF$52,E775=$AB$53,$AF$53,E775=$AB$54,$AF$54,E775=$AB$55,$AF$55,E775=$AB$56,$AF$56,E775=$AB$57,$AF$57,E775=$AB$58,$AF$58,E775=$AB$59,$AF$59,E775=$AB$60,$AF$60,E775=$AB$61,$AF$61,E775=$AB$62,$AF$62,E775=$AB$63,$AF$63,E775=$AB$64,$AF$64,E775=$AB$65,$AF$65,E775=$AB$66,$AF$66,TRUE,"0")</f>
        <v>40 mins Back ANother Goal</v>
      </c>
      <c r="D775" s="270" t="str" cm="1">
        <f t="array" ref="D775">_xlfn.IFS(E775=$AB$42,$AD$42,E775=$AB$43,$AD$43,E775=$AB$44,$AD$44,E775=$AB$45,$AD$45,E775=$AB$46,$AD$46,E775=$AB$47,$AD$47,E775=$AB$48,$AD$48,E775=$AB$49,$AD$49,E775=$AB$50,$AD$50,E775=$AB$51,$AD$51,E775=$AB$52,$AD$52,E775=$AB$53,$AD$53,E775=$AB$54,$AD$54,E775=$AB$55,$AD$55,E775=$AB$56,$AD$56,E775=$AB$57,$AD$57,E775=$AB$58,$AD$58,E775=$AB$59,$AD$59,E775=$AB$60,$AD$60,E775=$AB$61,$AD$61,E775=$AB$62,$AD$62,E775=$AB$63,$AD$63,E775=$AB$64,$AD$64,E775=$AB$65,$AD$65,E775=$AB$66,$AD$66,TRUE,"0")</f>
        <v xml:space="preserve">  BANG</v>
      </c>
      <c r="E775" s="163" t="s">
        <v>35</v>
      </c>
      <c r="F775" s="2" t="s">
        <v>149</v>
      </c>
      <c r="G775" s="2" t="s">
        <v>153</v>
      </c>
      <c r="H775" s="3">
        <v>45385.791666666664</v>
      </c>
      <c r="I775" s="2" t="s">
        <v>250</v>
      </c>
      <c r="J775" s="2" t="s">
        <v>205</v>
      </c>
      <c r="K775" s="2">
        <v>71</v>
      </c>
      <c r="L775" s="2">
        <v>90</v>
      </c>
      <c r="M775" s="2">
        <v>55</v>
      </c>
      <c r="N775" s="2">
        <v>45</v>
      </c>
      <c r="O775" s="2">
        <v>20</v>
      </c>
      <c r="P775" s="2">
        <v>1.78</v>
      </c>
      <c r="Q775" s="2" t="s">
        <v>95</v>
      </c>
      <c r="R775" s="10" t="s">
        <v>221</v>
      </c>
      <c r="S775" s="14" t="s">
        <v>197</v>
      </c>
      <c r="T775" s="188">
        <v>1000</v>
      </c>
      <c r="U775" s="8">
        <f t="shared" si="94"/>
        <v>180</v>
      </c>
      <c r="V775" s="234">
        <f t="shared" si="95"/>
        <v>52824.155246160299</v>
      </c>
      <c r="W775" s="15">
        <v>25</v>
      </c>
      <c r="X775" s="8">
        <f t="shared" si="97"/>
        <v>4.5</v>
      </c>
      <c r="Y775" s="233">
        <f t="shared" si="98"/>
        <v>3186.5</v>
      </c>
    </row>
    <row r="776" spans="1:25">
      <c r="A776" s="156" t="e" cm="1">
        <f t="array" aca="1" ref="A776" ca="1">_xlfn.IFS(E776=$AB$42,$AC$42,E776=$AB$43,$AC$43,E776=$AB$44,$AC$44,E776=$AB$45,$AC$45,E776=$AB$46,$AC$46,E776=$AB$47,$AC$47,E776=$AB$48,$AC$48,E776=$AB$49,$AC$49,E776=$AB$50,$AC$50,E776=$AB$51,$AC$51,E776=$AB$52,$AC$52,E776=$AB$53,$AC$53,E776=$AB$54,$AC$54,E776=$AB$55,$AC$55,E776=$AB$56,$AC$56,E776=$AB$57,$AC$57,E776=$AB$58,$AC$58,E776=$AB$59,$AC$59,E776=$AB$60,$AC$60,E776=$AB$61,$AC$61,E776=$AB$62,$AC$62,E776=$AB$63,$AC$63,E776=$AB$64,$AC$64,E776=$AB$65,$AC$65,E776=$AB$66,$AC$66,TRUE,"0")</f>
        <v>#NAME?</v>
      </c>
      <c r="C776" s="161" t="str" cm="1">
        <f t="array" ref="C776">_xlfn.IFS(E776=$AB$42,$AF$42,E776=$AB$43,$AF$43,E776=$AB$44,$AF$44,E776=$AB$45,$AF$45,E776=$AB$46,$AF$46,E776=$AB$47,$AF$47,E776=$AB$48,$AF$48,E776=$AB$49,$AF$49,E776=$AB$50,$AF$50,E776=$AB$51,$AF$51,E776=$AB$52,$AF$52,E776=$AB$53,$AF$53,E776=$AB$54,$AF$54,E776=$AB$55,$AF$55,E776=$AB$56,$AF$56,E776=$AB$57,$AF$57,E776=$AB$58,$AF$58,E776=$AB$59,$AF$59,E776=$AB$60,$AF$60,E776=$AB$61,$AF$61,E776=$AB$62,$AF$62,E776=$AB$63,$AF$63,E776=$AB$64,$AF$64,E776=$AB$65,$AF$65,E776=$AB$66,$AF$66,TRUE,"0")</f>
        <v>B4 match BACK FT +1.5 goals. X AFTER  GOAL</v>
      </c>
      <c r="D776" s="270" t="str" cm="1">
        <f t="array" ref="D776">_xlfn.IFS(E776=$AB$42,$AD$42,E776=$AB$43,$AD$43,E776=$AB$44,$AD$44,E776=$AB$45,$AD$45,E776=$AB$46,$AD$46,E776=$AB$47,$AD$47,E776=$AB$48,$AD$48,E776=$AB$49,$AD$49,E776=$AB$50,$AD$50,E776=$AB$51,$AD$51,E776=$AB$52,$AD$52,E776=$AB$53,$AD$53,E776=$AB$54,$AD$54,E776=$AB$55,$AD$55,E776=$AB$56,$AD$56,E776=$AB$57,$AD$57,E776=$AB$58,$AD$58,E776=$AB$59,$AD$59,E776=$AB$60,$AD$60,E776=$AB$61,$AD$61,E776=$AB$62,$AD$62,E776=$AB$63,$AD$63,E776=$AB$64,$AD$64,E776=$AB$65,$AD$65,E776=$AB$66,$AD$66,TRUE,"0")</f>
        <v xml:space="preserve">BFM </v>
      </c>
      <c r="E776" s="163" t="s">
        <v>623</v>
      </c>
      <c r="F776" s="2" t="s">
        <v>149</v>
      </c>
      <c r="G776" s="2" t="s">
        <v>153</v>
      </c>
      <c r="H776" s="3">
        <v>45385.791666666664</v>
      </c>
      <c r="I776" s="2" t="s">
        <v>250</v>
      </c>
      <c r="J776" s="2" t="s">
        <v>205</v>
      </c>
      <c r="K776" s="2">
        <v>6.2</v>
      </c>
      <c r="L776" s="2">
        <v>20</v>
      </c>
      <c r="M776" s="2">
        <v>3.3</v>
      </c>
      <c r="N776" s="2">
        <v>39</v>
      </c>
      <c r="O776" s="2">
        <v>3</v>
      </c>
      <c r="P776" s="2">
        <v>10</v>
      </c>
      <c r="Q776" s="2" t="s">
        <v>95</v>
      </c>
      <c r="R776" s="10" t="s">
        <v>221</v>
      </c>
      <c r="S776" s="14" t="s">
        <v>197</v>
      </c>
      <c r="T776" s="188">
        <v>1000</v>
      </c>
      <c r="U776" s="8">
        <f t="shared" si="94"/>
        <v>180</v>
      </c>
      <c r="V776" s="234">
        <f t="shared" si="95"/>
        <v>53004.155246160299</v>
      </c>
      <c r="W776" s="15">
        <v>25</v>
      </c>
      <c r="X776" s="8">
        <f t="shared" si="97"/>
        <v>4.5</v>
      </c>
      <c r="Y776" s="233">
        <f t="shared" si="98"/>
        <v>3191</v>
      </c>
    </row>
    <row r="777" spans="1:25">
      <c r="A777" s="156" t="e" cm="1">
        <f t="array" aca="1" ref="A777" ca="1">_xlfn.IFS(E777=$AB$42,$AC$42,E777=$AB$43,$AC$43,E777=$AB$44,$AC$44,E777=$AB$45,$AC$45,E777=$AB$46,$AC$46,E777=$AB$47,$AC$47,E777=$AB$48,$AC$48,E777=$AB$49,$AC$49,E777=$AB$50,$AC$50,E777=$AB$51,$AC$51,E777=$AB$52,$AC$52,E777=$AB$53,$AC$53,E777=$AB$54,$AC$54,E777=$AB$55,$AC$55,E777=$AB$56,$AC$56,E777=$AB$57,$AC$57,E777=$AB$58,$AC$58,E777=$AB$59,$AC$59,E777=$AB$60,$AC$60,E777=$AB$61,$AC$61,E777=$AB$62,$AC$62,E777=$AB$63,$AC$63,E777=$AB$64,$AC$64,E777=$AB$65,$AC$65,E777=$AB$66,$AC$66,TRUE,"0")</f>
        <v>#NAME?</v>
      </c>
      <c r="C777" s="161" t="str" cm="1">
        <f t="array" ref="C777">_xlfn.IFS(E777=$AB$42,$AF$42,E777=$AB$43,$AF$43,E777=$AB$44,$AF$44,E777=$AB$45,$AF$45,E777=$AB$46,$AF$46,E777=$AB$47,$AF$47,E777=$AB$48,$AF$48,E777=$AB$49,$AF$49,E777=$AB$50,$AF$50,E777=$AB$51,$AF$51,E777=$AB$52,$AF$52,E777=$AB$53,$AF$53,E777=$AB$54,$AF$54,E777=$AB$55,$AF$55,E777=$AB$56,$AF$56,E777=$AB$57,$AF$57,E777=$AB$58,$AF$58,E777=$AB$59,$AF$59,E777=$AB$60,$AF$60,E777=$AB$61,$AF$61,E777=$AB$62,$AF$62,E777=$AB$63,$AF$63,E777=$AB$64,$AF$64,E777=$AB$65,$AF$65,E777=$AB$66,$AF$66,TRUE,"0")</f>
        <v>AT HT IF 0-0 BACK +0.5 GOALS</v>
      </c>
      <c r="D777" s="270" t="str" cm="1">
        <f t="array" ref="D777">_xlfn.IFS(E777=$AB$42,$AD$42,E777=$AB$43,$AD$43,E777=$AB$44,$AD$44,E777=$AB$45,$AD$45,E777=$AB$46,$AD$46,E777=$AB$47,$AD$47,E777=$AB$48,$AD$48,E777=$AB$49,$AD$49,E777=$AB$50,$AD$50,E777=$AB$51,$AD$51,E777=$AB$52,$AD$52,E777=$AB$53,$AD$53,E777=$AB$54,$AD$54,E777=$AB$55,$AD$55,E777=$AB$56,$AD$56,E777=$AB$57,$AD$57,E777=$AB$58,$AD$58,E777=$AB$59,$AD$59,E777=$AB$60,$AD$60,E777=$AB$61,$AD$61,E777=$AB$62,$AD$62,E777=$AB$63,$AD$63,E777=$AB$64,$AD$64,E777=$AB$65,$AD$65,E777=$AB$66,$AD$66,TRUE,"0")</f>
        <v>IP</v>
      </c>
      <c r="E777" s="163" t="s">
        <v>514</v>
      </c>
      <c r="F777" s="2" t="s">
        <v>149</v>
      </c>
      <c r="G777" s="2" t="s">
        <v>153</v>
      </c>
      <c r="H777" s="3">
        <v>45385.791666666664</v>
      </c>
      <c r="I777" s="2" t="s">
        <v>250</v>
      </c>
      <c r="J777" s="2" t="s">
        <v>205</v>
      </c>
      <c r="K777" s="2">
        <v>6.2</v>
      </c>
      <c r="L777" s="2">
        <v>110</v>
      </c>
      <c r="M777" s="2">
        <v>0</v>
      </c>
      <c r="N777" s="2">
        <v>20</v>
      </c>
      <c r="O777" s="2">
        <v>30</v>
      </c>
      <c r="P777" s="2">
        <v>39</v>
      </c>
      <c r="Q777" s="2" t="s">
        <v>95</v>
      </c>
      <c r="R777" s="10" t="s">
        <v>221</v>
      </c>
      <c r="S777" s="14" t="s">
        <v>197</v>
      </c>
      <c r="T777" s="188">
        <v>1000</v>
      </c>
      <c r="U777" s="8">
        <f t="shared" si="94"/>
        <v>180</v>
      </c>
      <c r="V777" s="234">
        <f t="shared" si="95"/>
        <v>53184.155246160299</v>
      </c>
      <c r="W777" s="15">
        <v>25</v>
      </c>
      <c r="X777" s="8">
        <f t="shared" si="97"/>
        <v>4.5</v>
      </c>
      <c r="Y777" s="233">
        <f t="shared" si="98"/>
        <v>3195.5</v>
      </c>
    </row>
    <row r="778" spans="1:25">
      <c r="A778" s="156" t="e" cm="1">
        <f t="array" aca="1" ref="A778" ca="1">_xlfn.IFS(E778=$AB$42,$AC$42,E778=$AB$43,$AC$43,E778=$AB$44,$AC$44,E778=$AB$45,$AC$45,E778=$AB$46,$AC$46,E778=$AB$47,$AC$47,E778=$AB$48,$AC$48,E778=$AB$49,$AC$49,E778=$AB$50,$AC$50,E778=$AB$51,$AC$51,E778=$AB$52,$AC$52,E778=$AB$53,$AC$53,E778=$AB$54,$AC$54,E778=$AB$55,$AC$55,E778=$AB$56,$AC$56,E778=$AB$57,$AC$57,E778=$AB$58,$AC$58,E778=$AB$59,$AC$59,E778=$AB$60,$AC$60,E778=$AB$61,$AC$61,E778=$AB$62,$AC$62,E778=$AB$63,$AC$63,E778=$AB$64,$AC$64,E778=$AB$65,$AC$65,E778=$AB$66,$AC$66,TRUE,"0")</f>
        <v>#NAME?</v>
      </c>
      <c r="C778" s="161" t="str" cm="1">
        <f t="array" ref="C778">_xlfn.IFS(E778=$AB$42,$AF$42,E778=$AB$43,$AF$43,E778=$AB$44,$AF$44,E778=$AB$45,$AF$45,E778=$AB$46,$AF$46,E778=$AB$47,$AF$47,E778=$AB$48,$AF$48,E778=$AB$49,$AF$49,E778=$AB$50,$AF$50,E778=$AB$51,$AF$51,E778=$AB$52,$AF$52,E778=$AB$53,$AF$53,E778=$AB$54,$AF$54,E778=$AB$55,$AF$55,E778=$AB$56,$AF$56,E778=$AB$57,$AF$57,E778=$AB$58,$AF$58,E778=$AB$59,$AF$59,E778=$AB$60,$AF$60,E778=$AB$61,$AF$61,E778=$AB$62,$AF$62,E778=$AB$63,$AF$63,E778=$AB$64,$AF$64,E778=$AB$65,$AF$65,E778=$AB$66,$AF$66,TRUE,"0")</f>
        <v>40 mins Back ANother Goal</v>
      </c>
      <c r="D778" s="270" t="str" cm="1">
        <f t="array" ref="D778">_xlfn.IFS(E778=$AB$42,$AD$42,E778=$AB$43,$AD$43,E778=$AB$44,$AD$44,E778=$AB$45,$AD$45,E778=$AB$46,$AD$46,E778=$AB$47,$AD$47,E778=$AB$48,$AD$48,E778=$AB$49,$AD$49,E778=$AB$50,$AD$50,E778=$AB$51,$AD$51,E778=$AB$52,$AD$52,E778=$AB$53,$AD$53,E778=$AB$54,$AD$54,E778=$AB$55,$AD$55,E778=$AB$56,$AD$56,E778=$AB$57,$AD$57,E778=$AB$58,$AD$58,E778=$AB$59,$AD$59,E778=$AB$60,$AD$60,E778=$AB$61,$AD$61,E778=$AB$62,$AD$62,E778=$AB$63,$AD$63,E778=$AB$64,$AD$64,E778=$AB$65,$AD$65,E778=$AB$66,$AD$66,TRUE,"0")</f>
        <v xml:space="preserve">  BANG</v>
      </c>
      <c r="E778" s="163" t="s">
        <v>522</v>
      </c>
      <c r="F778" s="2" t="s">
        <v>149</v>
      </c>
      <c r="G778" s="2" t="s">
        <v>153</v>
      </c>
      <c r="H778" s="3">
        <v>45385.791666666664</v>
      </c>
      <c r="I778" s="2" t="s">
        <v>250</v>
      </c>
      <c r="J778" s="2" t="s">
        <v>205</v>
      </c>
      <c r="K778" s="2">
        <v>71</v>
      </c>
      <c r="L778" s="2">
        <v>20</v>
      </c>
      <c r="M778" s="2">
        <v>90</v>
      </c>
      <c r="N778" s="2">
        <v>55</v>
      </c>
      <c r="O778" s="2">
        <v>2.35</v>
      </c>
      <c r="P778" s="2"/>
      <c r="Q778" s="2" t="s">
        <v>95</v>
      </c>
      <c r="R778" s="10" t="s">
        <v>221</v>
      </c>
      <c r="S778" s="14" t="s">
        <v>197</v>
      </c>
      <c r="T778" s="188">
        <v>1000</v>
      </c>
      <c r="U778" s="8">
        <f t="shared" si="94"/>
        <v>180</v>
      </c>
      <c r="V778" s="234">
        <f t="shared" si="95"/>
        <v>53364.155246160299</v>
      </c>
      <c r="W778" s="15">
        <v>25</v>
      </c>
      <c r="X778" s="8">
        <f t="shared" si="97"/>
        <v>4.5</v>
      </c>
      <c r="Y778" s="233">
        <f t="shared" si="98"/>
        <v>3200</v>
      </c>
    </row>
    <row r="779" spans="1:25">
      <c r="A779" s="156" t="e" cm="1">
        <f t="array" aca="1" ref="A779" ca="1">_xlfn.IFS(E779=$AB$42,$AC$42,E779=$AB$43,$AC$43,E779=$AB$44,$AC$44,E779=$AB$45,$AC$45,E779=$AB$46,$AC$46,E779=$AB$47,$AC$47,E779=$AB$48,$AC$48,E779=$AB$49,$AC$49,E779=$AB$50,$AC$50,E779=$AB$51,$AC$51,E779=$AB$52,$AC$52,E779=$AB$53,$AC$53,E779=$AB$54,$AC$54,E779=$AB$55,$AC$55,E779=$AB$56,$AC$56,E779=$AB$57,$AC$57,E779=$AB$58,$AC$58,E779=$AB$59,$AC$59,E779=$AB$60,$AC$60,E779=$AB$61,$AC$61,E779=$AB$62,$AC$62,E779=$AB$63,$AC$63,E779=$AB$64,$AC$64,E779=$AB$65,$AC$65,E779=$AB$66,$AC$66,TRUE,"0")</f>
        <v>#NAME?</v>
      </c>
      <c r="C779" s="161" t="str" cm="1">
        <f t="array" ref="C779">_xlfn.IFS(E779=$AB$42,$AF$42,E779=$AB$43,$AF$43,E779=$AB$44,$AF$44,E779=$AB$45,$AF$45,E779=$AB$46,$AF$46,E779=$AB$47,$AF$47,E779=$AB$48,$AF$48,E779=$AB$49,$AF$49,E779=$AB$50,$AF$50,E779=$AB$51,$AF$51,E779=$AB$52,$AF$52,E779=$AB$53,$AF$53,E779=$AB$54,$AF$54,E779=$AB$55,$AF$55,E779=$AB$56,$AF$56,E779=$AB$57,$AF$57,E779=$AB$58,$AF$58,E779=$AB$59,$AF$59,E779=$AB$60,$AF$60,E779=$AB$61,$AF$61,E779=$AB$62,$AF$62,E779=$AB$63,$AF$63,E779=$AB$64,$AF$64,E779=$AB$65,$AF$65,E779=$AB$66,$AF$66,TRUE,"0")</f>
        <v>40 mins Back ANother Goal</v>
      </c>
      <c r="D779" s="270" t="str" cm="1">
        <f t="array" ref="D779">_xlfn.IFS(E779=$AB$42,$AD$42,E779=$AB$43,$AD$43,E779=$AB$44,$AD$44,E779=$AB$45,$AD$45,E779=$AB$46,$AD$46,E779=$AB$47,$AD$47,E779=$AB$48,$AD$48,E779=$AB$49,$AD$49,E779=$AB$50,$AD$50,E779=$AB$51,$AD$51,E779=$AB$52,$AD$52,E779=$AB$53,$AD$53,E779=$AB$54,$AD$54,E779=$AB$55,$AD$55,E779=$AB$56,$AD$56,E779=$AB$57,$AD$57,E779=$AB$58,$AD$58,E779=$AB$59,$AD$59,E779=$AB$60,$AD$60,E779=$AB$61,$AD$61,E779=$AB$62,$AD$62,E779=$AB$63,$AD$63,E779=$AB$64,$AD$64,E779=$AB$65,$AD$65,E779=$AB$66,$AD$66,TRUE,"0")</f>
        <v xml:space="preserve">  BANG</v>
      </c>
      <c r="E779" s="163" t="s">
        <v>515</v>
      </c>
      <c r="F779" s="2" t="s">
        <v>149</v>
      </c>
      <c r="G779" s="2" t="s">
        <v>153</v>
      </c>
      <c r="H779" s="3">
        <v>45385.791666666664</v>
      </c>
      <c r="I779" s="2" t="s">
        <v>250</v>
      </c>
      <c r="J779" s="2" t="s">
        <v>205</v>
      </c>
      <c r="K779" s="2">
        <v>20</v>
      </c>
      <c r="L779" s="2">
        <v>71</v>
      </c>
      <c r="M779" s="2">
        <v>2.35</v>
      </c>
      <c r="N779" s="2"/>
      <c r="O779" s="2"/>
      <c r="P779" s="2"/>
      <c r="Q779" s="2" t="s">
        <v>95</v>
      </c>
      <c r="R779" s="10" t="s">
        <v>221</v>
      </c>
      <c r="S779" s="14" t="s">
        <v>197</v>
      </c>
      <c r="T779" s="188">
        <v>1000</v>
      </c>
      <c r="U779" s="8">
        <f t="shared" si="94"/>
        <v>180</v>
      </c>
      <c r="V779" s="234">
        <f t="shared" si="95"/>
        <v>53544.155246160299</v>
      </c>
      <c r="W779" s="15">
        <v>25</v>
      </c>
      <c r="X779" s="8">
        <f t="shared" si="97"/>
        <v>4.5</v>
      </c>
      <c r="Y779" s="233">
        <f t="shared" si="98"/>
        <v>3204.5</v>
      </c>
    </row>
    <row r="780" spans="1:25">
      <c r="A780" s="156" t="e" cm="1">
        <f t="array" aca="1" ref="A780" ca="1">_xlfn.IFS(E780=$AB$42,$AC$42,E780=$AB$43,$AC$43,E780=$AB$44,$AC$44,E780=$AB$45,$AC$45,E780=$AB$46,$AC$46,E780=$AB$47,$AC$47,E780=$AB$48,$AC$48,E780=$AB$49,$AC$49,E780=$AB$50,$AC$50,E780=$AB$51,$AC$51,E780=$AB$52,$AC$52,E780=$AB$53,$AC$53,E780=$AB$54,$AC$54,E780=$AB$55,$AC$55,E780=$AB$56,$AC$56,E780=$AB$57,$AC$57,E780=$AB$58,$AC$58,E780=$AB$59,$AC$59,E780=$AB$60,$AC$60,E780=$AB$61,$AC$61,E780=$AB$62,$AC$62,E780=$AB$63,$AC$63,E780=$AB$64,$AC$64,E780=$AB$65,$AC$65,E780=$AB$66,$AC$66,TRUE,"0")</f>
        <v>#NAME?</v>
      </c>
      <c r="C780" s="161" t="str" cm="1">
        <f t="array" ref="C780">_xlfn.IFS(E780=$AB$42,$AF$42,E780=$AB$43,$AF$43,E780=$AB$44,$AF$44,E780=$AB$45,$AF$45,E780=$AB$46,$AF$46,E780=$AB$47,$AF$47,E780=$AB$48,$AF$48,E780=$AB$49,$AF$49,E780=$AB$50,$AF$50,E780=$AB$51,$AF$51,E780=$AB$52,$AF$52,E780=$AB$53,$AF$53,E780=$AB$54,$AF$54,E780=$AB$55,$AF$55,E780=$AB$56,$AF$56,E780=$AB$57,$AF$57,E780=$AB$58,$AF$58,E780=$AB$59,$AF$59,E780=$AB$60,$AF$60,E780=$AB$61,$AF$61,E780=$AB$62,$AF$62,E780=$AB$63,$AF$63,E780=$AB$64,$AF$64,E780=$AB$65,$AF$65,E780=$AB$66,$AF$66,TRUE,"0")</f>
        <v>if 0-0, BACK+ 0.5 GOALS  @ 1.15+odds.  or @ 40 mins</v>
      </c>
      <c r="D780" s="270" t="str" cm="1">
        <f t="array" ref="D780">_xlfn.IFS(E780=$AB$42,$AD$42,E780=$AB$43,$AD$43,E780=$AB$44,$AD$44,E780=$AB$45,$AD$45,E780=$AB$46,$AD$46,E780=$AB$47,$AD$47,E780=$AB$48,$AD$48,E780=$AB$49,$AD$49,E780=$AB$50,$AD$50,E780=$AB$51,$AD$51,E780=$AB$52,$AD$52,E780=$AB$53,$AD$53,E780=$AB$54,$AD$54,E780=$AB$55,$AD$55,E780=$AB$56,$AD$56,E780=$AB$57,$AD$57,E780=$AB$58,$AD$58,E780=$AB$59,$AD$59,E780=$AB$60,$AD$60,E780=$AB$61,$AD$61,E780=$AB$62,$AD$62,E780=$AB$63,$AD$63,E780=$AB$64,$AD$64,E780=$AB$65,$AD$65,E780=$AB$66,$AD$66,TRUE,"0")</f>
        <v>IP</v>
      </c>
      <c r="E780" s="163" t="s">
        <v>270</v>
      </c>
      <c r="F780" s="2" t="s">
        <v>6</v>
      </c>
      <c r="G780" s="2" t="s">
        <v>62</v>
      </c>
      <c r="H780" s="3">
        <v>45385.8125</v>
      </c>
      <c r="I780" s="2" t="s">
        <v>73</v>
      </c>
      <c r="J780" s="2" t="s">
        <v>86</v>
      </c>
      <c r="K780" s="2">
        <v>64</v>
      </c>
      <c r="L780" s="2">
        <v>0</v>
      </c>
      <c r="M780" s="2">
        <v>20</v>
      </c>
      <c r="N780" s="2">
        <v>25</v>
      </c>
      <c r="O780" s="2">
        <v>3.04</v>
      </c>
      <c r="P780" s="2"/>
      <c r="Q780" s="2" t="s">
        <v>95</v>
      </c>
      <c r="R780" s="10" t="s">
        <v>220</v>
      </c>
      <c r="S780" s="14" t="s">
        <v>220</v>
      </c>
      <c r="T780" s="188">
        <v>1000</v>
      </c>
      <c r="U780" s="8">
        <f t="shared" si="94"/>
        <v>180</v>
      </c>
      <c r="V780" s="234">
        <f t="shared" si="95"/>
        <v>53724.155246160299</v>
      </c>
      <c r="W780" s="15">
        <v>25</v>
      </c>
      <c r="X780" s="8">
        <f t="shared" si="97"/>
        <v>4.5</v>
      </c>
      <c r="Y780" s="233">
        <f t="shared" si="98"/>
        <v>3209</v>
      </c>
    </row>
    <row r="781" spans="1:25">
      <c r="A781" s="156" t="e" cm="1">
        <f t="array" aca="1" ref="A781" ca="1">_xlfn.IFS(E781=$AB$42,$AC$42,E781=$AB$43,$AC$43,E781=$AB$44,$AC$44,E781=$AB$45,$AC$45,E781=$AB$46,$AC$46,E781=$AB$47,$AC$47,E781=$AB$48,$AC$48,E781=$AB$49,$AC$49,E781=$AB$50,$AC$50,E781=$AB$51,$AC$51,E781=$AB$52,$AC$52,E781=$AB$53,$AC$53,E781=$AB$54,$AC$54,E781=$AB$55,$AC$55,E781=$AB$56,$AC$56,E781=$AB$57,$AC$57,E781=$AB$58,$AC$58,E781=$AB$59,$AC$59,E781=$AB$60,$AC$60,E781=$AB$61,$AC$61,E781=$AB$62,$AC$62,E781=$AB$63,$AC$63,E781=$AB$64,$AC$64,E781=$AB$65,$AC$65,E781=$AB$66,$AC$66,TRUE,"0")</f>
        <v>#NAME?</v>
      </c>
      <c r="C781" s="161" t="str" cm="1">
        <f t="array" ref="C781">_xlfn.IFS(E781=$AB$42,$AF$42,E781=$AB$43,$AF$43,E781=$AB$44,$AF$44,E781=$AB$45,$AF$45,E781=$AB$46,$AF$46,E781=$AB$47,$AF$47,E781=$AB$48,$AF$48,E781=$AB$49,$AF$49,E781=$AB$50,$AF$50,E781=$AB$51,$AF$51,E781=$AB$52,$AF$52,E781=$AB$53,$AF$53,E781=$AB$54,$AF$54,E781=$AB$55,$AF$55,E781=$AB$56,$AF$56,E781=$AB$57,$AF$57,E781=$AB$58,$AF$58,E781=$AB$59,$AF$59,E781=$AB$60,$AF$60,E781=$AB$61,$AF$61,E781=$AB$62,$AF$62,E781=$AB$63,$AF$63,E781=$AB$64,$AF$64,E781=$AB$65,$AF$65,E781=$AB$66,$AF$66,TRUE,"0")</f>
        <v>B4 match BACK FT +1.5 goals. X AFTER  GOAL</v>
      </c>
      <c r="D781" s="270" t="str" cm="1">
        <f t="array" ref="D781">_xlfn.IFS(E781=$AB$42,$AD$42,E781=$AB$43,$AD$43,E781=$AB$44,$AD$44,E781=$AB$45,$AD$45,E781=$AB$46,$AD$46,E781=$AB$47,$AD$47,E781=$AB$48,$AD$48,E781=$AB$49,$AD$49,E781=$AB$50,$AD$50,E781=$AB$51,$AD$51,E781=$AB$52,$AD$52,E781=$AB$53,$AD$53,E781=$AB$54,$AD$54,E781=$AB$55,$AD$55,E781=$AB$56,$AD$56,E781=$AB$57,$AD$57,E781=$AB$58,$AD$58,E781=$AB$59,$AD$59,E781=$AB$60,$AD$60,E781=$AB$61,$AD$61,E781=$AB$62,$AD$62,E781=$AB$63,$AD$63,E781=$AB$64,$AD$64,E781=$AB$65,$AD$65,E781=$AB$66,$AD$66,TRUE,"0")</f>
        <v xml:space="preserve">BFM </v>
      </c>
      <c r="E781" s="163" t="s">
        <v>406</v>
      </c>
      <c r="F781" s="2" t="s">
        <v>296</v>
      </c>
      <c r="G781" s="2" t="s">
        <v>78</v>
      </c>
      <c r="H781" s="3">
        <v>45385.8125</v>
      </c>
      <c r="I781" s="2" t="s">
        <v>298</v>
      </c>
      <c r="J781" s="2" t="s">
        <v>360</v>
      </c>
      <c r="K781" s="2">
        <v>1.27</v>
      </c>
      <c r="L781" s="2">
        <v>14</v>
      </c>
      <c r="M781" s="2">
        <v>3.15</v>
      </c>
      <c r="N781" s="2">
        <v>3.8</v>
      </c>
      <c r="O781" s="2">
        <v>2.52</v>
      </c>
      <c r="P781" s="2"/>
      <c r="Q781" s="2" t="s">
        <v>95</v>
      </c>
      <c r="R781" s="10" t="s">
        <v>193</v>
      </c>
      <c r="S781" s="14" t="s">
        <v>223</v>
      </c>
      <c r="T781" s="188">
        <v>1000</v>
      </c>
      <c r="U781" s="8">
        <f t="shared" si="94"/>
        <v>180</v>
      </c>
      <c r="V781" s="234">
        <f t="shared" si="95"/>
        <v>53904.155246160299</v>
      </c>
      <c r="W781" s="15">
        <v>25</v>
      </c>
      <c r="X781" s="8">
        <f t="shared" si="97"/>
        <v>4.5</v>
      </c>
      <c r="Y781" s="233">
        <f t="shared" si="98"/>
        <v>3213.5</v>
      </c>
    </row>
    <row r="782" spans="1:25">
      <c r="A782" s="156" t="e" cm="1">
        <f t="array" aca="1" ref="A782" ca="1">_xlfn.IFS(E782=$AB$42,$AC$42,E782=$AB$43,$AC$43,E782=$AB$44,$AC$44,E782=$AB$45,$AC$45,E782=$AB$46,$AC$46,E782=$AB$47,$AC$47,E782=$AB$48,$AC$48,E782=$AB$49,$AC$49,E782=$AB$50,$AC$50,E782=$AB$51,$AC$51,E782=$AB$52,$AC$52,E782=$AB$53,$AC$53,E782=$AB$54,$AC$54,E782=$AB$55,$AC$55,E782=$AB$56,$AC$56,E782=$AB$57,$AC$57,E782=$AB$58,$AC$58,E782=$AB$59,$AC$59,E782=$AB$60,$AC$60,E782=$AB$61,$AC$61,E782=$AB$62,$AC$62,E782=$AB$63,$AC$63,E782=$AB$64,$AC$64,E782=$AB$65,$AC$65,E782=$AB$66,$AC$66,TRUE,"0")</f>
        <v>#NAME?</v>
      </c>
      <c r="C782" s="161" t="str" cm="1">
        <f t="array" ref="C782">_xlfn.IFS(E782=$AB$42,$AF$42,E782=$AB$43,$AF$43,E782=$AB$44,$AF$44,E782=$AB$45,$AF$45,E782=$AB$46,$AF$46,E782=$AB$47,$AF$47,E782=$AB$48,$AF$48,E782=$AB$49,$AF$49,E782=$AB$50,$AF$50,E782=$AB$51,$AF$51,E782=$AB$52,$AF$52,E782=$AB$53,$AF$53,E782=$AB$54,$AF$54,E782=$AB$55,$AF$55,E782=$AB$56,$AF$56,E782=$AB$57,$AF$57,E782=$AB$58,$AF$58,E782=$AB$59,$AF$59,E782=$AB$60,$AF$60,E782=$AB$61,$AF$61,E782=$AB$62,$AF$62,E782=$AB$63,$AF$63,E782=$AB$64,$AF$64,E782=$AB$65,$AF$65,E782=$AB$66,$AF$66,TRUE,"0")</f>
        <v>B4 match BACK FT +1.5 goals. X AFTER  GOAL</v>
      </c>
      <c r="D782" s="270" t="str" cm="1">
        <f t="array" ref="D782">_xlfn.IFS(E782=$AB$42,$AD$42,E782=$AB$43,$AD$43,E782=$AB$44,$AD$44,E782=$AB$45,$AD$45,E782=$AB$46,$AD$46,E782=$AB$47,$AD$47,E782=$AB$48,$AD$48,E782=$AB$49,$AD$49,E782=$AB$50,$AD$50,E782=$AB$51,$AD$51,E782=$AB$52,$AD$52,E782=$AB$53,$AD$53,E782=$AB$54,$AD$54,E782=$AB$55,$AD$55,E782=$AB$56,$AD$56,E782=$AB$57,$AD$57,E782=$AB$58,$AD$58,E782=$AB$59,$AD$59,E782=$AB$60,$AD$60,E782=$AB$61,$AD$61,E782=$AB$62,$AD$62,E782=$AB$63,$AD$63,E782=$AB$64,$AD$64,E782=$AB$65,$AD$65,E782=$AB$66,$AD$66,TRUE,"0")</f>
        <v xml:space="preserve">BFM </v>
      </c>
      <c r="E782" s="163" t="s">
        <v>406</v>
      </c>
      <c r="F782" s="2" t="s">
        <v>6</v>
      </c>
      <c r="G782" s="2" t="s">
        <v>62</v>
      </c>
      <c r="H782" s="3">
        <v>45385.84375</v>
      </c>
      <c r="I782" s="2" t="s">
        <v>72</v>
      </c>
      <c r="J782" s="2" t="s">
        <v>102</v>
      </c>
      <c r="K782" s="2">
        <v>1.27</v>
      </c>
      <c r="L782" s="2">
        <v>13</v>
      </c>
      <c r="M782" s="2">
        <v>2.95</v>
      </c>
      <c r="N782" s="2">
        <v>3.5</v>
      </c>
      <c r="O782" s="2">
        <v>2.83</v>
      </c>
      <c r="P782" s="2"/>
      <c r="Q782" s="2" t="s">
        <v>95</v>
      </c>
      <c r="R782" s="10" t="s">
        <v>222</v>
      </c>
      <c r="S782" s="14" t="s">
        <v>196</v>
      </c>
      <c r="T782" s="188">
        <v>1000</v>
      </c>
      <c r="U782" s="8">
        <f t="shared" si="94"/>
        <v>180</v>
      </c>
      <c r="V782" s="234">
        <f t="shared" si="95"/>
        <v>54084.155246160299</v>
      </c>
      <c r="W782" s="15">
        <v>25</v>
      </c>
      <c r="X782" s="8">
        <f t="shared" si="97"/>
        <v>4.5</v>
      </c>
      <c r="Y782" s="233">
        <f t="shared" si="98"/>
        <v>3218</v>
      </c>
    </row>
    <row r="783" spans="1:25">
      <c r="A783" s="156" t="e" cm="1">
        <f t="array" aca="1" ref="A783" ca="1">_xlfn.IFS(E783=$AB$42,$AC$42,E783=$AB$43,$AC$43,E783=$AB$44,$AC$44,E783=$AB$45,$AC$45,E783=$AB$46,$AC$46,E783=$AB$47,$AC$47,E783=$AB$48,$AC$48,E783=$AB$49,$AC$49,E783=$AB$50,$AC$50,E783=$AB$51,$AC$51,E783=$AB$52,$AC$52,E783=$AB$53,$AC$53,E783=$AB$54,$AC$54,E783=$AB$55,$AC$55,E783=$AB$56,$AC$56,E783=$AB$57,$AC$57,E783=$AB$58,$AC$58,E783=$AB$59,$AC$59,E783=$AB$60,$AC$60,E783=$AB$61,$AC$61,E783=$AB$62,$AC$62,E783=$AB$63,$AC$63,E783=$AB$64,$AC$64,E783=$AB$65,$AC$65,E783=$AB$66,$AC$66,TRUE,"0")</f>
        <v>#NAME?</v>
      </c>
      <c r="C783" s="161" t="str" cm="1">
        <f t="array" ref="C783">_xlfn.IFS(E783=$AB$42,$AF$42,E783=$AB$43,$AF$43,E783=$AB$44,$AF$44,E783=$AB$45,$AF$45,E783=$AB$46,$AF$46,E783=$AB$47,$AF$47,E783=$AB$48,$AF$48,E783=$AB$49,$AF$49,E783=$AB$50,$AF$50,E783=$AB$51,$AF$51,E783=$AB$52,$AF$52,E783=$AB$53,$AF$53,E783=$AB$54,$AF$54,E783=$AB$55,$AF$55,E783=$AB$56,$AF$56,E783=$AB$57,$AF$57,E783=$AB$58,$AF$58,E783=$AB$59,$AF$59,E783=$AB$60,$AF$60,E783=$AB$61,$AF$61,E783=$AB$62,$AF$62,E783=$AB$63,$AF$63,E783=$AB$64,$AF$64,E783=$AB$65,$AF$65,E783=$AB$66,$AF$66,TRUE,"0")</f>
        <v>B4 match BACK FT +1.5 goals. X AFTER  GOAL</v>
      </c>
      <c r="D783" s="270" t="str" cm="1">
        <f t="array" ref="D783">_xlfn.IFS(E783=$AB$42,$AD$42,E783=$AB$43,$AD$43,E783=$AB$44,$AD$44,E783=$AB$45,$AD$45,E783=$AB$46,$AD$46,E783=$AB$47,$AD$47,E783=$AB$48,$AD$48,E783=$AB$49,$AD$49,E783=$AB$50,$AD$50,E783=$AB$51,$AD$51,E783=$AB$52,$AD$52,E783=$AB$53,$AD$53,E783=$AB$54,$AD$54,E783=$AB$55,$AD$55,E783=$AB$56,$AD$56,E783=$AB$57,$AD$57,E783=$AB$58,$AD$58,E783=$AB$59,$AD$59,E783=$AB$60,$AD$60,E783=$AB$61,$AD$61,E783=$AB$62,$AD$62,E783=$AB$63,$AD$63,E783=$AB$64,$AD$64,E783=$AB$65,$AD$65,E783=$AB$66,$AD$66,TRUE,"0")</f>
        <v xml:space="preserve">BFM </v>
      </c>
      <c r="E783" s="163" t="s">
        <v>623</v>
      </c>
      <c r="F783" s="2" t="s">
        <v>6</v>
      </c>
      <c r="G783" s="2" t="s">
        <v>62</v>
      </c>
      <c r="H783" s="3">
        <v>45385.84375</v>
      </c>
      <c r="I783" s="2" t="s">
        <v>72</v>
      </c>
      <c r="J783" s="2" t="s">
        <v>102</v>
      </c>
      <c r="K783" s="2">
        <v>3.5</v>
      </c>
      <c r="L783" s="2">
        <v>20</v>
      </c>
      <c r="M783" s="2">
        <v>2.95</v>
      </c>
      <c r="N783" s="2">
        <v>26</v>
      </c>
      <c r="O783" s="2">
        <v>0</v>
      </c>
      <c r="P783" s="2">
        <v>10</v>
      </c>
      <c r="Q783" s="2" t="s">
        <v>95</v>
      </c>
      <c r="R783" s="10" t="s">
        <v>222</v>
      </c>
      <c r="S783" s="14" t="s">
        <v>196</v>
      </c>
      <c r="T783" s="188">
        <v>1000</v>
      </c>
      <c r="U783" s="8">
        <f t="shared" si="94"/>
        <v>180</v>
      </c>
      <c r="V783" s="234">
        <f t="shared" si="95"/>
        <v>54264.155246160299</v>
      </c>
      <c r="W783" s="15">
        <v>25</v>
      </c>
      <c r="X783" s="8">
        <f t="shared" si="97"/>
        <v>4.5</v>
      </c>
      <c r="Y783" s="233">
        <f t="shared" si="98"/>
        <v>3222.5</v>
      </c>
    </row>
    <row r="784" spans="1:25">
      <c r="A784" s="156" t="e" cm="1">
        <f t="array" aca="1" ref="A784" ca="1">_xlfn.IFS(E784=$AB$42,$AC$42,E784=$AB$43,$AC$43,E784=$AB$44,$AC$44,E784=$AB$45,$AC$45,E784=$AB$46,$AC$46,E784=$AB$47,$AC$47,E784=$AB$48,$AC$48,E784=$AB$49,$AC$49,E784=$AB$50,$AC$50,E784=$AB$51,$AC$51,E784=$AB$52,$AC$52,E784=$AB$53,$AC$53,E784=$AB$54,$AC$54,E784=$AB$55,$AC$55,E784=$AB$56,$AC$56,E784=$AB$57,$AC$57,E784=$AB$58,$AC$58,E784=$AB$59,$AC$59,E784=$AB$60,$AC$60,E784=$AB$61,$AC$61,E784=$AB$62,$AC$62,E784=$AB$63,$AC$63,E784=$AB$64,$AC$64,E784=$AB$65,$AC$65,E784=$AB$66,$AC$66,TRUE,"0")</f>
        <v>#NAME?</v>
      </c>
      <c r="C784" s="161" t="str" cm="1">
        <f t="array" ref="C784">_xlfn.IFS(E784=$AB$42,$AF$42,E784=$AB$43,$AF$43,E784=$AB$44,$AF$44,E784=$AB$45,$AF$45,E784=$AB$46,$AF$46,E784=$AB$47,$AF$47,E784=$AB$48,$AF$48,E784=$AB$49,$AF$49,E784=$AB$50,$AF$50,E784=$AB$51,$AF$51,E784=$AB$52,$AF$52,E784=$AB$53,$AF$53,E784=$AB$54,$AF$54,E784=$AB$55,$AF$55,E784=$AB$56,$AF$56,E784=$AB$57,$AF$57,E784=$AB$58,$AF$58,E784=$AB$59,$AF$59,E784=$AB$60,$AF$60,E784=$AB$61,$AF$61,E784=$AB$62,$AF$62,E784=$AB$63,$AF$63,E784=$AB$64,$AF$64,E784=$AB$65,$AF$65,E784=$AB$66,$AF$66,TRUE,"0")</f>
        <v>B4 match BACK FT +1.5 goals. X AFTER  GOAL</v>
      </c>
      <c r="D784" s="270" t="str" cm="1">
        <f t="array" ref="D784">_xlfn.IFS(E784=$AB$42,$AD$42,E784=$AB$43,$AD$43,E784=$AB$44,$AD$44,E784=$AB$45,$AD$45,E784=$AB$46,$AD$46,E784=$AB$47,$AD$47,E784=$AB$48,$AD$48,E784=$AB$49,$AD$49,E784=$AB$50,$AD$50,E784=$AB$51,$AD$51,E784=$AB$52,$AD$52,E784=$AB$53,$AD$53,E784=$AB$54,$AD$54,E784=$AB$55,$AD$55,E784=$AB$56,$AD$56,E784=$AB$57,$AD$57,E784=$AB$58,$AD$58,E784=$AB$59,$AD$59,E784=$AB$60,$AD$60,E784=$AB$61,$AD$61,E784=$AB$62,$AD$62,E784=$AB$63,$AD$63,E784=$AB$64,$AD$64,E784=$AB$65,$AD$65,E784=$AB$66,$AD$66,TRUE,"0")</f>
        <v xml:space="preserve">BFM </v>
      </c>
      <c r="E784" s="167" t="s">
        <v>531</v>
      </c>
      <c r="F784" s="2" t="s">
        <v>149</v>
      </c>
      <c r="G784" s="2" t="s">
        <v>153</v>
      </c>
      <c r="H784" s="3">
        <v>45386.739583333336</v>
      </c>
      <c r="I784" s="2" t="s">
        <v>244</v>
      </c>
      <c r="J784" s="2" t="s">
        <v>282</v>
      </c>
      <c r="K784" s="2">
        <v>2.12</v>
      </c>
      <c r="L784" s="2">
        <v>26</v>
      </c>
      <c r="M784" s="2">
        <v>3.62</v>
      </c>
      <c r="N784" s="2">
        <v>23</v>
      </c>
      <c r="O784" s="2">
        <v>4</v>
      </c>
      <c r="P784" s="2">
        <v>13</v>
      </c>
      <c r="Q784" s="2" t="s">
        <v>96</v>
      </c>
      <c r="R784" s="10" t="s">
        <v>221</v>
      </c>
      <c r="S784" s="14" t="s">
        <v>221</v>
      </c>
      <c r="T784" s="188">
        <v>1000</v>
      </c>
      <c r="U784" s="8">
        <f t="shared" si="94"/>
        <v>-1000</v>
      </c>
      <c r="V784" s="234">
        <f t="shared" si="95"/>
        <v>53264.155246160299</v>
      </c>
      <c r="W784" s="15">
        <v>25</v>
      </c>
      <c r="X784" s="8">
        <f t="shared" si="97"/>
        <v>-25</v>
      </c>
      <c r="Y784" s="233">
        <f t="shared" si="98"/>
        <v>3197.5</v>
      </c>
    </row>
    <row r="785" spans="1:29">
      <c r="A785" s="156" t="e" cm="1">
        <f t="array" aca="1" ref="A785" ca="1">_xlfn.IFS(E785=$AB$42,$AC$42,E785=$AB$43,$AC$43,E785=$AB$44,$AC$44,E785=$AB$45,$AC$45,E785=$AB$46,$AC$46,E785=$AB$47,$AC$47,E785=$AB$48,$AC$48,E785=$AB$49,$AC$49,E785=$AB$50,$AC$50,E785=$AB$51,$AC$51,E785=$AB$52,$AC$52,E785=$AB$53,$AC$53,E785=$AB$54,$AC$54,E785=$AB$55,$AC$55,E785=$AB$56,$AC$56,E785=$AB$57,$AC$57,E785=$AB$58,$AC$58,E785=$AB$59,$AC$59,E785=$AB$60,$AC$60,E785=$AB$61,$AC$61,E785=$AB$62,$AC$62,E785=$AB$63,$AC$63,E785=$AB$64,$AC$64,E785=$AB$65,$AC$65,E785=$AB$66,$AC$66,TRUE,"0")</f>
        <v>#NAME?</v>
      </c>
      <c r="C785" s="161" t="str" cm="1">
        <f t="array" ref="C785">_xlfn.IFS(E785=$AB$42,$AF$42,E785=$AB$43,$AF$43,E785=$AB$44,$AF$44,E785=$AB$45,$AF$45,E785=$AB$46,$AF$46,E785=$AB$47,$AF$47,E785=$AB$48,$AF$48,E785=$AB$49,$AF$49,E785=$AB$50,$AF$50,E785=$AB$51,$AF$51,E785=$AB$52,$AF$52,E785=$AB$53,$AF$53,E785=$AB$54,$AF$54,E785=$AB$55,$AF$55,E785=$AB$56,$AF$56,E785=$AB$57,$AF$57,E785=$AB$58,$AF$58,E785=$AB$59,$AF$59,E785=$AB$60,$AF$60,E785=$AB$61,$AF$61,E785=$AB$62,$AF$62,E785=$AB$63,$AF$63,E785=$AB$64,$AF$64,E785=$AB$65,$AF$65,E785=$AB$66,$AF$66,TRUE,"0")</f>
        <v>AT HT IF 0-0 BACK +0.5 GOALS</v>
      </c>
      <c r="D785" s="270" t="str" cm="1">
        <f t="array" ref="D785">_xlfn.IFS(E785=$AB$42,$AD$42,E785=$AB$43,$AD$43,E785=$AB$44,$AD$44,E785=$AB$45,$AD$45,E785=$AB$46,$AD$46,E785=$AB$47,$AD$47,E785=$AB$48,$AD$48,E785=$AB$49,$AD$49,E785=$AB$50,$AD$50,E785=$AB$51,$AD$51,E785=$AB$52,$AD$52,E785=$AB$53,$AD$53,E785=$AB$54,$AD$54,E785=$AB$55,$AD$55,E785=$AB$56,$AD$56,E785=$AB$57,$AD$57,E785=$AB$58,$AD$58,E785=$AB$59,$AD$59,E785=$AB$60,$AD$60,E785=$AB$61,$AD$61,E785=$AB$62,$AD$62,E785=$AB$63,$AD$63,E785=$AB$64,$AD$64,E785=$AB$65,$AD$65,E785=$AB$66,$AD$66,TRUE,"0")</f>
        <v>IP</v>
      </c>
      <c r="E785" s="167" t="s">
        <v>514</v>
      </c>
      <c r="F785" s="2" t="s">
        <v>149</v>
      </c>
      <c r="G785" s="2" t="s">
        <v>153</v>
      </c>
      <c r="H785" s="3">
        <v>45386.739583333336</v>
      </c>
      <c r="I785" s="2" t="s">
        <v>244</v>
      </c>
      <c r="J785" s="2" t="s">
        <v>282</v>
      </c>
      <c r="K785" s="2">
        <v>0</v>
      </c>
      <c r="L785" s="2">
        <v>2.12</v>
      </c>
      <c r="M785" s="2">
        <v>980</v>
      </c>
      <c r="N785" s="2">
        <v>20</v>
      </c>
      <c r="O785" s="2">
        <v>40</v>
      </c>
      <c r="P785" s="2">
        <v>23</v>
      </c>
      <c r="Q785" s="2" t="s">
        <v>96</v>
      </c>
      <c r="R785" s="10" t="s">
        <v>221</v>
      </c>
      <c r="S785" s="14" t="s">
        <v>221</v>
      </c>
      <c r="T785" s="188">
        <v>1000</v>
      </c>
      <c r="U785" s="8">
        <f t="shared" si="94"/>
        <v>-1000</v>
      </c>
      <c r="V785" s="234">
        <f t="shared" si="95"/>
        <v>52264.155246160299</v>
      </c>
      <c r="W785" s="15">
        <v>25</v>
      </c>
      <c r="X785" s="8">
        <f t="shared" si="97"/>
        <v>-25</v>
      </c>
      <c r="Y785" s="233">
        <f t="shared" si="98"/>
        <v>3172.5</v>
      </c>
    </row>
    <row r="786" spans="1:29">
      <c r="A786" s="156" t="e" cm="1">
        <f t="array" aca="1" ref="A786" ca="1">_xlfn.IFS(E786=$AB$42,$AC$42,E786=$AB$43,$AC$43,E786=$AB$44,$AC$44,E786=$AB$45,$AC$45,E786=$AB$46,$AC$46,E786=$AB$47,$AC$47,E786=$AB$48,$AC$48,E786=$AB$49,$AC$49,E786=$AB$50,$AC$50,E786=$AB$51,$AC$51,E786=$AB$52,$AC$52,E786=$AB$53,$AC$53,E786=$AB$54,$AC$54,E786=$AB$55,$AC$55,E786=$AB$56,$AC$56,E786=$AB$57,$AC$57,E786=$AB$58,$AC$58,E786=$AB$59,$AC$59,E786=$AB$60,$AC$60,E786=$AB$61,$AC$61,E786=$AB$62,$AC$62,E786=$AB$63,$AC$63,E786=$AB$64,$AC$64,E786=$AB$65,$AC$65,E786=$AB$66,$AC$66,TRUE,"0")</f>
        <v>#NAME?</v>
      </c>
      <c r="C786" s="161" t="str" cm="1">
        <f t="array" ref="C786">_xlfn.IFS(E786=$AB$42,$AF$42,E786=$AB$43,$AF$43,E786=$AB$44,$AF$44,E786=$AB$45,$AF$45,E786=$AB$46,$AF$46,E786=$AB$47,$AF$47,E786=$AB$48,$AF$48,E786=$AB$49,$AF$49,E786=$AB$50,$AF$50,E786=$AB$51,$AF$51,E786=$AB$52,$AF$52,E786=$AB$53,$AF$53,E786=$AB$54,$AF$54,E786=$AB$55,$AF$55,E786=$AB$56,$AF$56,E786=$AB$57,$AF$57,E786=$AB$58,$AF$58,E786=$AB$59,$AF$59,E786=$AB$60,$AF$60,E786=$AB$61,$AF$61,E786=$AB$62,$AF$62,E786=$AB$63,$AF$63,E786=$AB$64,$AF$64,E786=$AB$65,$AF$65,E786=$AB$66,$AF$66,TRUE,"0")</f>
        <v>B4 match BACK FT +1.5 goals. X AFTER  GOAL</v>
      </c>
      <c r="D786" s="270" t="str" cm="1">
        <f t="array" ref="D786">_xlfn.IFS(E786=$AB$42,$AD$42,E786=$AB$43,$AD$43,E786=$AB$44,$AD$44,E786=$AB$45,$AD$45,E786=$AB$46,$AD$46,E786=$AB$47,$AD$47,E786=$AB$48,$AD$48,E786=$AB$49,$AD$49,E786=$AB$50,$AD$50,E786=$AB$51,$AD$51,E786=$AB$52,$AD$52,E786=$AB$53,$AD$53,E786=$AB$54,$AD$54,E786=$AB$55,$AD$55,E786=$AB$56,$AD$56,E786=$AB$57,$AD$57,E786=$AB$58,$AD$58,E786=$AB$59,$AD$59,E786=$AB$60,$AD$60,E786=$AB$61,$AD$61,E786=$AB$62,$AD$62,E786=$AB$63,$AD$63,E786=$AB$64,$AD$64,E786=$AB$65,$AD$65,E786=$AB$66,$AD$66,TRUE,"0")</f>
        <v xml:space="preserve">BFM </v>
      </c>
      <c r="E786" s="163" t="s">
        <v>623</v>
      </c>
      <c r="F786" s="2" t="s">
        <v>6</v>
      </c>
      <c r="G786" s="2" t="s">
        <v>62</v>
      </c>
      <c r="H786" s="3">
        <v>45386.8125</v>
      </c>
      <c r="I786" s="2" t="s">
        <v>285</v>
      </c>
      <c r="J786" s="2" t="s">
        <v>85</v>
      </c>
      <c r="K786" s="2">
        <v>2</v>
      </c>
      <c r="L786" s="2">
        <v>20</v>
      </c>
      <c r="M786" s="2">
        <v>3.45</v>
      </c>
      <c r="N786" s="2">
        <v>25</v>
      </c>
      <c r="O786" s="2">
        <v>4</v>
      </c>
      <c r="P786" s="2">
        <v>10</v>
      </c>
      <c r="Q786" s="2" t="s">
        <v>95</v>
      </c>
      <c r="R786" s="10" t="s">
        <v>214</v>
      </c>
      <c r="S786" s="14" t="s">
        <v>215</v>
      </c>
      <c r="T786" s="188">
        <v>1000</v>
      </c>
      <c r="U786" s="8">
        <f t="shared" si="94"/>
        <v>180</v>
      </c>
      <c r="V786" s="234">
        <f t="shared" si="95"/>
        <v>52444.155246160299</v>
      </c>
      <c r="W786" s="15">
        <v>25</v>
      </c>
      <c r="X786" s="8">
        <f t="shared" si="97"/>
        <v>4.5</v>
      </c>
      <c r="Y786" s="233">
        <f t="shared" si="98"/>
        <v>3177</v>
      </c>
    </row>
    <row r="787" spans="1:29">
      <c r="A787" s="156" t="e" cm="1">
        <f t="array" aca="1" ref="A787" ca="1">_xlfn.IFS(E787=$AB$42,$AC$42,E787=$AB$43,$AC$43,E787=$AB$44,$AC$44,E787=$AB$45,$AC$45,E787=$AB$46,$AC$46,E787=$AB$47,$AC$47,E787=$AB$48,$AC$48,E787=$AB$49,$AC$49,E787=$AB$50,$AC$50,E787=$AB$51,$AC$51,E787=$AB$52,$AC$52,E787=$AB$53,$AC$53,E787=$AB$54,$AC$54,E787=$AB$55,$AC$55,E787=$AB$56,$AC$56,E787=$AB$57,$AC$57,E787=$AB$58,$AC$58,E787=$AB$59,$AC$59,E787=$AB$60,$AC$60,E787=$AB$61,$AC$61,E787=$AB$62,$AC$62,E787=$AB$63,$AC$63,E787=$AB$64,$AC$64,E787=$AB$65,$AC$65,E787=$AB$66,$AC$66,TRUE,"0")</f>
        <v>#NAME?</v>
      </c>
      <c r="C787" s="161" t="str" cm="1">
        <f t="array" ref="C787">_xlfn.IFS(E787=$AB$42,$AF$42,E787=$AB$43,$AF$43,E787=$AB$44,$AF$44,E787=$AB$45,$AF$45,E787=$AB$46,$AF$46,E787=$AB$47,$AF$47,E787=$AB$48,$AF$48,E787=$AB$49,$AF$49,E787=$AB$50,$AF$50,E787=$AB$51,$AF$51,E787=$AB$52,$AF$52,E787=$AB$53,$AF$53,E787=$AB$54,$AF$54,E787=$AB$55,$AF$55,E787=$AB$56,$AF$56,E787=$AB$57,$AF$57,E787=$AB$58,$AF$58,E787=$AB$59,$AF$59,E787=$AB$60,$AF$60,E787=$AB$61,$AF$61,E787=$AB$62,$AF$62,E787=$AB$63,$AF$63,E787=$AB$64,$AF$64,E787=$AB$65,$AF$65,E787=$AB$66,$AF$66,TRUE,"0")</f>
        <v>B4 match BACK FT +1.5 goals. X AFTER  GOAL</v>
      </c>
      <c r="D787" s="270" t="str" cm="1">
        <f t="array" ref="D787">_xlfn.IFS(E787=$AB$42,$AD$42,E787=$AB$43,$AD$43,E787=$AB$44,$AD$44,E787=$AB$45,$AD$45,E787=$AB$46,$AD$46,E787=$AB$47,$AD$47,E787=$AB$48,$AD$48,E787=$AB$49,$AD$49,E787=$AB$50,$AD$50,E787=$AB$51,$AD$51,E787=$AB$52,$AD$52,E787=$AB$53,$AD$53,E787=$AB$54,$AD$54,E787=$AB$55,$AD$55,E787=$AB$56,$AD$56,E787=$AB$57,$AD$57,E787=$AB$58,$AD$58,E787=$AB$59,$AD$59,E787=$AB$60,$AD$60,E787=$AB$61,$AD$61,E787=$AB$62,$AD$62,E787=$AB$63,$AD$63,E787=$AB$64,$AD$64,E787=$AB$65,$AD$65,E787=$AB$66,$AD$66,TRUE,"0")</f>
        <v xml:space="preserve">BFM </v>
      </c>
      <c r="E787" s="163" t="s">
        <v>623</v>
      </c>
      <c r="F787" s="2" t="s">
        <v>149</v>
      </c>
      <c r="G787" s="2" t="s">
        <v>153</v>
      </c>
      <c r="H787" s="3">
        <v>45386.833333333336</v>
      </c>
      <c r="I787" s="2" t="s">
        <v>363</v>
      </c>
      <c r="J787" s="2" t="s">
        <v>369</v>
      </c>
      <c r="K787" s="2">
        <v>5.2</v>
      </c>
      <c r="L787" s="2">
        <v>20</v>
      </c>
      <c r="M787" s="2">
        <v>2.8</v>
      </c>
      <c r="N787" s="2">
        <v>27</v>
      </c>
      <c r="O787" s="2">
        <v>3</v>
      </c>
      <c r="P787" s="2">
        <v>10</v>
      </c>
      <c r="Q787" s="2" t="s">
        <v>95</v>
      </c>
      <c r="R787" s="10" t="s">
        <v>214</v>
      </c>
      <c r="S787" s="14" t="s">
        <v>216</v>
      </c>
      <c r="T787" s="188">
        <v>1000</v>
      </c>
      <c r="U787" s="8">
        <f t="shared" si="94"/>
        <v>180</v>
      </c>
      <c r="V787" s="234">
        <f t="shared" si="95"/>
        <v>52624.155246160299</v>
      </c>
      <c r="W787" s="15">
        <v>25</v>
      </c>
      <c r="X787" s="8">
        <f t="shared" si="97"/>
        <v>4.5</v>
      </c>
      <c r="Y787" s="233">
        <f t="shared" si="98"/>
        <v>3181.5</v>
      </c>
    </row>
    <row r="788" spans="1:29">
      <c r="A788" s="156" t="e" cm="1">
        <f t="array" aca="1" ref="A788" ca="1">_xlfn.IFS(E788=$AB$42,$AC$42,E788=$AB$43,$AC$43,E788=$AB$44,$AC$44,E788=$AB$45,$AC$45,E788=$AB$46,$AC$46,E788=$AB$47,$AC$47,E788=$AB$48,$AC$48,E788=$AB$49,$AC$49,E788=$AB$50,$AC$50,E788=$AB$51,$AC$51,E788=$AB$52,$AC$52,E788=$AB$53,$AC$53,E788=$AB$54,$AC$54,E788=$AB$55,$AC$55,E788=$AB$56,$AC$56,E788=$AB$57,$AC$57,E788=$AB$58,$AC$58,E788=$AB$59,$AC$59,E788=$AB$60,$AC$60,E788=$AB$61,$AC$61,E788=$AB$62,$AC$62,E788=$AB$63,$AC$63,E788=$AB$64,$AC$64,E788=$AB$65,$AC$65,E788=$AB$66,$AC$66,TRUE,"0")</f>
        <v>#NAME?</v>
      </c>
      <c r="C788" s="161" t="str" cm="1">
        <f t="array" ref="C788">_xlfn.IFS(E788=$AB$42,$AF$42,E788=$AB$43,$AF$43,E788=$AB$44,$AF$44,E788=$AB$45,$AF$45,E788=$AB$46,$AF$46,E788=$AB$47,$AF$47,E788=$AB$48,$AF$48,E788=$AB$49,$AF$49,E788=$AB$50,$AF$50,E788=$AB$51,$AF$51,E788=$AB$52,$AF$52,E788=$AB$53,$AF$53,E788=$AB$54,$AF$54,E788=$AB$55,$AF$55,E788=$AB$56,$AF$56,E788=$AB$57,$AF$57,E788=$AB$58,$AF$58,E788=$AB$59,$AF$59,E788=$AB$60,$AF$60,E788=$AB$61,$AF$61,E788=$AB$62,$AF$62,E788=$AB$63,$AF$63,E788=$AB$64,$AF$64,E788=$AB$65,$AF$65,E788=$AB$66,$AF$66,TRUE,"0")</f>
        <v>B4 match BACK FT +1.5 goals. X AFTER  GOAL</v>
      </c>
      <c r="D788" s="270" t="str" cm="1">
        <f t="array" ref="D788">_xlfn.IFS(E788=$AB$42,$AD$42,E788=$AB$43,$AD$43,E788=$AB$44,$AD$44,E788=$AB$45,$AD$45,E788=$AB$46,$AD$46,E788=$AB$47,$AD$47,E788=$AB$48,$AD$48,E788=$AB$49,$AD$49,E788=$AB$50,$AD$50,E788=$AB$51,$AD$51,E788=$AB$52,$AD$52,E788=$AB$53,$AD$53,E788=$AB$54,$AD$54,E788=$AB$55,$AD$55,E788=$AB$56,$AD$56,E788=$AB$57,$AD$57,E788=$AB$58,$AD$58,E788=$AB$59,$AD$59,E788=$AB$60,$AD$60,E788=$AB$61,$AD$61,E788=$AB$62,$AD$62,E788=$AB$63,$AD$63,E788=$AB$64,$AD$64,E788=$AB$65,$AD$65,E788=$AB$66,$AD$66,TRUE,"0")</f>
        <v xml:space="preserve">BFM </v>
      </c>
      <c r="E788" s="167" t="s">
        <v>623</v>
      </c>
      <c r="F788" s="2" t="s">
        <v>6</v>
      </c>
      <c r="G788" s="2" t="s">
        <v>62</v>
      </c>
      <c r="H788" s="3">
        <v>45386.84375</v>
      </c>
      <c r="I788" s="2" t="s">
        <v>65</v>
      </c>
      <c r="J788" s="2" t="s">
        <v>383</v>
      </c>
      <c r="K788" s="2">
        <v>6.4</v>
      </c>
      <c r="L788" s="2">
        <v>20</v>
      </c>
      <c r="M788" s="2">
        <v>3.4</v>
      </c>
      <c r="N788" s="2">
        <v>27</v>
      </c>
      <c r="O788" s="2">
        <v>2</v>
      </c>
      <c r="P788" s="2">
        <v>10</v>
      </c>
      <c r="Q788" s="2" t="s">
        <v>95</v>
      </c>
      <c r="R788" s="10" t="s">
        <v>210</v>
      </c>
      <c r="S788" s="14" t="s">
        <v>212</v>
      </c>
      <c r="T788" s="188">
        <v>1000</v>
      </c>
      <c r="U788" s="8">
        <f t="shared" si="94"/>
        <v>180</v>
      </c>
      <c r="V788" s="234">
        <f t="shared" si="95"/>
        <v>52804.155246160299</v>
      </c>
      <c r="W788" s="15">
        <v>25</v>
      </c>
      <c r="X788" s="8">
        <f t="shared" si="97"/>
        <v>4.5</v>
      </c>
      <c r="Y788" s="233">
        <f t="shared" si="98"/>
        <v>3186</v>
      </c>
    </row>
    <row r="789" spans="1:29">
      <c r="A789" s="156" t="e" cm="1">
        <f t="array" aca="1" ref="A789" ca="1">_xlfn.IFS(E789=$AB$42,$AC$42,E789=$AB$43,$AC$43,E789=$AB$44,$AC$44,E789=$AB$45,$AC$45,E789=$AB$46,$AC$46,E789=$AB$47,$AC$47,E789=$AB$48,$AC$48,E789=$AB$49,$AC$49,E789=$AB$50,$AC$50,E789=$AB$51,$AC$51,E789=$AB$52,$AC$52,E789=$AB$53,$AC$53,E789=$AB$54,$AC$54,E789=$AB$55,$AC$55,E789=$AB$56,$AC$56,E789=$AB$57,$AC$57,E789=$AB$58,$AC$58,E789=$AB$59,$AC$59,E789=$AB$60,$AC$60,E789=$AB$61,$AC$61,E789=$AB$62,$AC$62,E789=$AB$63,$AC$63,E789=$AB$64,$AC$64,E789=$AB$65,$AC$65,E789=$AB$66,$AC$66,TRUE,"0")</f>
        <v>#NAME?</v>
      </c>
      <c r="C789" s="161" t="str" cm="1">
        <f t="array" ref="C789">_xlfn.IFS(E789=$AB$42,$AF$42,E789=$AB$43,$AF$43,E789=$AB$44,$AF$44,E789=$AB$45,$AF$45,E789=$AB$46,$AF$46,E789=$AB$47,$AF$47,E789=$AB$48,$AF$48,E789=$AB$49,$AF$49,E789=$AB$50,$AF$50,E789=$AB$51,$AF$51,E789=$AB$52,$AF$52,E789=$AB$53,$AF$53,E789=$AB$54,$AF$54,E789=$AB$55,$AF$55,E789=$AB$56,$AF$56,E789=$AB$57,$AF$57,E789=$AB$58,$AF$58,E789=$AB$59,$AF$59,E789=$AB$60,$AF$60,E789=$AB$61,$AF$61,E789=$AB$62,$AF$62,E789=$AB$63,$AF$63,E789=$AB$64,$AF$64,E789=$AB$65,$AF$65,E789=$AB$66,$AF$66,TRUE,"0")</f>
        <v>10mins if  0-0, BACK over 1.5 goals X after goal OR LET RUN</v>
      </c>
      <c r="D789" s="270" t="str" cm="1">
        <f t="array" ref="D789">_xlfn.IFS(E789=$AB$42,$AD$42,E789=$AB$43,$AD$43,E789=$AB$44,$AD$44,E789=$AB$45,$AD$45,E789=$AB$46,$AD$46,E789=$AB$47,$AD$47,E789=$AB$48,$AD$48,E789=$AB$49,$AD$49,E789=$AB$50,$AD$50,E789=$AB$51,$AD$51,E789=$AB$52,$AD$52,E789=$AB$53,$AD$53,E789=$AB$54,$AD$54,E789=$AB$55,$AD$55,E789=$AB$56,$AD$56,E789=$AB$57,$AD$57,E789=$AB$58,$AD$58,E789=$AB$59,$AD$59,E789=$AB$60,$AD$60,E789=$AB$61,$AD$61,E789=$AB$62,$AD$62,E789=$AB$63,$AD$63,E789=$AB$64,$AD$64,E789=$AB$65,$AD$65,E789=$AB$66,$AD$66,TRUE,"0")</f>
        <v>IP</v>
      </c>
      <c r="E789" s="163" t="s">
        <v>498</v>
      </c>
      <c r="F789" s="2" t="s">
        <v>516</v>
      </c>
      <c r="G789" s="2" t="s">
        <v>78</v>
      </c>
      <c r="H789" s="3">
        <v>45387.354166666664</v>
      </c>
      <c r="I789" s="2" t="s">
        <v>518</v>
      </c>
      <c r="J789" s="2" t="s">
        <v>673</v>
      </c>
      <c r="K789" s="2">
        <v>67</v>
      </c>
      <c r="L789" s="2">
        <v>85</v>
      </c>
      <c r="M789" s="2">
        <v>1.75</v>
      </c>
      <c r="N789" s="2">
        <v>20</v>
      </c>
      <c r="O789" s="2"/>
      <c r="P789" s="2"/>
      <c r="Q789" s="2" t="s">
        <v>95</v>
      </c>
      <c r="R789" s="10" t="s">
        <v>216</v>
      </c>
      <c r="S789" s="14" t="s">
        <v>223</v>
      </c>
      <c r="T789" s="188">
        <v>1000</v>
      </c>
      <c r="U789" s="8">
        <f t="shared" si="94"/>
        <v>180</v>
      </c>
      <c r="V789" s="234">
        <f t="shared" si="95"/>
        <v>52984.155246160299</v>
      </c>
      <c r="W789" s="15">
        <v>25</v>
      </c>
      <c r="X789" s="8">
        <f t="shared" si="97"/>
        <v>4.5</v>
      </c>
      <c r="Y789" s="233">
        <f t="shared" si="98"/>
        <v>3190.5</v>
      </c>
    </row>
    <row r="790" spans="1:29">
      <c r="A790" s="156" t="e" cm="1">
        <f t="array" aca="1" ref="A790" ca="1">_xlfn.IFS(E790=$AB$42,$AC$42,E790=$AB$43,$AC$43,E790=$AB$44,$AC$44,E790=$AB$45,$AC$45,E790=$AB$46,$AC$46,E790=$AB$47,$AC$47,E790=$AB$48,$AC$48,E790=$AB$49,$AC$49,E790=$AB$50,$AC$50,E790=$AB$51,$AC$51,E790=$AB$52,$AC$52,E790=$AB$53,$AC$53,E790=$AB$54,$AC$54,E790=$AB$55,$AC$55,E790=$AB$56,$AC$56,E790=$AB$57,$AC$57,E790=$AB$58,$AC$58,E790=$AB$59,$AC$59,E790=$AB$60,$AC$60,E790=$AB$61,$AC$61,E790=$AB$62,$AC$62,E790=$AB$63,$AC$63,E790=$AB$64,$AC$64,E790=$AB$65,$AC$65,E790=$AB$66,$AC$66,TRUE,"0")</f>
        <v>#NAME?</v>
      </c>
      <c r="C790" s="161" t="str" cm="1">
        <f t="array" ref="C790">_xlfn.IFS(E790=$AB$42,$AF$42,E790=$AB$43,$AF$43,E790=$AB$44,$AF$44,E790=$AB$45,$AF$45,E790=$AB$46,$AF$46,E790=$AB$47,$AF$47,E790=$AB$48,$AF$48,E790=$AB$49,$AF$49,E790=$AB$50,$AF$50,E790=$AB$51,$AF$51,E790=$AB$52,$AF$52,E790=$AB$53,$AF$53,E790=$AB$54,$AF$54,E790=$AB$55,$AF$55,E790=$AB$56,$AF$56,E790=$AB$57,$AF$57,E790=$AB$58,$AF$58,E790=$AB$59,$AF$59,E790=$AB$60,$AF$60,E790=$AB$61,$AF$61,E790=$AB$62,$AF$62,E790=$AB$63,$AF$63,E790=$AB$64,$AF$64,E790=$AB$65,$AF$65,E790=$AB$66,$AF$66,TRUE,"0")</f>
        <v>15mins if  0-0, BACK over 1.5 goals X after goal OR LET RUN</v>
      </c>
      <c r="D790" s="270" t="str" cm="1">
        <f t="array" ref="D790">_xlfn.IFS(E790=$AB$42,$AD$42,E790=$AB$43,$AD$43,E790=$AB$44,$AD$44,E790=$AB$45,$AD$45,E790=$AB$46,$AD$46,E790=$AB$47,$AD$47,E790=$AB$48,$AD$48,E790=$AB$49,$AD$49,E790=$AB$50,$AD$50,E790=$AB$51,$AD$51,E790=$AB$52,$AD$52,E790=$AB$53,$AD$53,E790=$AB$54,$AD$54,E790=$AB$55,$AD$55,E790=$AB$56,$AD$56,E790=$AB$57,$AD$57,E790=$AB$58,$AD$58,E790=$AB$59,$AD$59,E790=$AB$60,$AD$60,E790=$AB$61,$AD$61,E790=$AB$62,$AD$62,E790=$AB$63,$AD$63,E790=$AB$64,$AD$64,E790=$AB$65,$AD$65,E790=$AB$66,$AD$66,TRUE,"0")</f>
        <v>IP</v>
      </c>
      <c r="E790" s="163" t="s">
        <v>473</v>
      </c>
      <c r="F790" s="2" t="s">
        <v>516</v>
      </c>
      <c r="G790" s="2" t="s">
        <v>78</v>
      </c>
      <c r="H790" s="3">
        <v>45387.354166666664</v>
      </c>
      <c r="I790" s="2" t="s">
        <v>518</v>
      </c>
      <c r="J790" s="2" t="s">
        <v>673</v>
      </c>
      <c r="K790" s="2">
        <v>69</v>
      </c>
      <c r="L790" s="2">
        <v>85</v>
      </c>
      <c r="M790" s="2">
        <v>20</v>
      </c>
      <c r="N790" s="2">
        <v>2.75</v>
      </c>
      <c r="O790" s="2"/>
      <c r="P790" s="2"/>
      <c r="Q790" s="2" t="s">
        <v>95</v>
      </c>
      <c r="R790" s="10" t="s">
        <v>216</v>
      </c>
      <c r="S790" s="14" t="s">
        <v>223</v>
      </c>
      <c r="T790" s="188">
        <v>1000</v>
      </c>
      <c r="U790" s="8">
        <f t="shared" si="94"/>
        <v>180</v>
      </c>
      <c r="V790" s="234">
        <f t="shared" si="95"/>
        <v>53164.155246160299</v>
      </c>
      <c r="W790" s="15">
        <v>25</v>
      </c>
      <c r="X790" s="8">
        <f t="shared" si="97"/>
        <v>4.5</v>
      </c>
      <c r="Y790" s="233">
        <f t="shared" si="98"/>
        <v>3195</v>
      </c>
    </row>
    <row r="791" spans="1:29">
      <c r="A791" s="156" t="e" cm="1">
        <f t="array" aca="1" ref="A791" ca="1">_xlfn.IFS(E791=$AB$42,$AC$42,E791=$AB$43,$AC$43,E791=$AB$44,$AC$44,E791=$AB$45,$AC$45,E791=$AB$46,$AC$46,E791=$AB$47,$AC$47,E791=$AB$48,$AC$48,E791=$AB$49,$AC$49,E791=$AB$50,$AC$50,E791=$AB$51,$AC$51,E791=$AB$52,$AC$52,E791=$AB$53,$AC$53,E791=$AB$54,$AC$54,E791=$AB$55,$AC$55,E791=$AB$56,$AC$56,E791=$AB$57,$AC$57,E791=$AB$58,$AC$58,E791=$AB$59,$AC$59,E791=$AB$60,$AC$60,E791=$AB$61,$AC$61,E791=$AB$62,$AC$62,E791=$AB$63,$AC$63,E791=$AB$64,$AC$64,E791=$AB$65,$AC$65,E791=$AB$66,$AC$66,TRUE,"0")</f>
        <v>#NAME?</v>
      </c>
      <c r="C791" s="161" t="str" cm="1">
        <f t="array" ref="C791">_xlfn.IFS(E791=$AB$42,$AF$42,E791=$AB$43,$AF$43,E791=$AB$44,$AF$44,E791=$AB$45,$AF$45,E791=$AB$46,$AF$46,E791=$AB$47,$AF$47,E791=$AB$48,$AF$48,E791=$AB$49,$AF$49,E791=$AB$50,$AF$50,E791=$AB$51,$AF$51,E791=$AB$52,$AF$52,E791=$AB$53,$AF$53,E791=$AB$54,$AF$54,E791=$AB$55,$AF$55,E791=$AB$56,$AF$56,E791=$AB$57,$AF$57,E791=$AB$58,$AF$58,E791=$AB$59,$AF$59,E791=$AB$60,$AF$60,E791=$AB$61,$AF$61,E791=$AB$62,$AF$62,E791=$AB$63,$AF$63,E791=$AB$64,$AF$64,E791=$AB$65,$AF$65,E791=$AB$66,$AF$66,TRUE,"0")</f>
        <v>15mins if  0-0, BACK over 1.5 goals X after goal OR LET RUN</v>
      </c>
      <c r="D791" s="270" t="str" cm="1">
        <f t="array" ref="D791">_xlfn.IFS(E791=$AB$42,$AD$42,E791=$AB$43,$AD$43,E791=$AB$44,$AD$44,E791=$AB$45,$AD$45,E791=$AB$46,$AD$46,E791=$AB$47,$AD$47,E791=$AB$48,$AD$48,E791=$AB$49,$AD$49,E791=$AB$50,$AD$50,E791=$AB$51,$AD$51,E791=$AB$52,$AD$52,E791=$AB$53,$AD$53,E791=$AB$54,$AD$54,E791=$AB$55,$AD$55,E791=$AB$56,$AD$56,E791=$AB$57,$AD$57,E791=$AB$58,$AD$58,E791=$AB$59,$AD$59,E791=$AB$60,$AD$60,E791=$AB$61,$AD$61,E791=$AB$62,$AD$62,E791=$AB$63,$AD$63,E791=$AB$64,$AD$64,E791=$AB$65,$AD$65,E791=$AB$66,$AD$66,TRUE,"0")</f>
        <v>IP</v>
      </c>
      <c r="E791" s="163" t="s">
        <v>473</v>
      </c>
      <c r="F791" s="2" t="s">
        <v>516</v>
      </c>
      <c r="G791" s="2" t="s">
        <v>78</v>
      </c>
      <c r="H791" s="3">
        <v>45387.541666666664</v>
      </c>
      <c r="I791" s="2" t="s">
        <v>674</v>
      </c>
      <c r="J791" s="2" t="s">
        <v>537</v>
      </c>
      <c r="K791" s="2">
        <v>67</v>
      </c>
      <c r="L791" s="2">
        <v>80</v>
      </c>
      <c r="M791" s="2">
        <v>20</v>
      </c>
      <c r="N791" s="2">
        <v>2.85</v>
      </c>
      <c r="O791" s="2"/>
      <c r="P791" s="2"/>
      <c r="Q791" s="2" t="s">
        <v>95</v>
      </c>
      <c r="R791" s="10" t="s">
        <v>221</v>
      </c>
      <c r="S791" s="14" t="s">
        <v>214</v>
      </c>
      <c r="T791" s="188">
        <v>1000</v>
      </c>
      <c r="U791" s="8">
        <f t="shared" si="94"/>
        <v>180</v>
      </c>
      <c r="V791" s="234">
        <f t="shared" si="95"/>
        <v>53344.155246160299</v>
      </c>
      <c r="W791" s="15">
        <v>25</v>
      </c>
      <c r="X791" s="8">
        <f t="shared" si="97"/>
        <v>4.5</v>
      </c>
      <c r="Y791" s="233">
        <f t="shared" si="98"/>
        <v>3199.5</v>
      </c>
    </row>
    <row r="792" spans="1:29">
      <c r="A792" s="156" t="e" cm="1">
        <f t="array" aca="1" ref="A792" ca="1">_xlfn.IFS(E792=$AB$42,$AC$42,E792=$AB$43,$AC$43,E792=$AB$44,$AC$44,E792=$AB$45,$AC$45,E792=$AB$46,$AC$46,E792=$AB$47,$AC$47,E792=$AB$48,$AC$48,E792=$AB$49,$AC$49,E792=$AB$50,$AC$50,E792=$AB$51,$AC$51,E792=$AB$52,$AC$52,E792=$AB$53,$AC$53,E792=$AB$54,$AC$54,E792=$AB$55,$AC$55,E792=$AB$56,$AC$56,E792=$AB$57,$AC$57,E792=$AB$58,$AC$58,E792=$AB$59,$AC$59,E792=$AB$60,$AC$60,E792=$AB$61,$AC$61,E792=$AB$62,$AC$62,E792=$AB$63,$AC$63,E792=$AB$64,$AC$64,E792=$AB$65,$AC$65,E792=$AB$66,$AC$66,TRUE,"0")</f>
        <v>#NAME?</v>
      </c>
      <c r="C792" s="161" t="str" cm="1">
        <f t="array" ref="C792">_xlfn.IFS(E792=$AB$42,$AF$42,E792=$AB$43,$AF$43,E792=$AB$44,$AF$44,E792=$AB$45,$AF$45,E792=$AB$46,$AF$46,E792=$AB$47,$AF$47,E792=$AB$48,$AF$48,E792=$AB$49,$AF$49,E792=$AB$50,$AF$50,E792=$AB$51,$AF$51,E792=$AB$52,$AF$52,E792=$AB$53,$AF$53,E792=$AB$54,$AF$54,E792=$AB$55,$AF$55,E792=$AB$56,$AF$56,E792=$AB$57,$AF$57,E792=$AB$58,$AF$58,E792=$AB$59,$AF$59,E792=$AB$60,$AF$60,E792=$AB$61,$AF$61,E792=$AB$62,$AF$62,E792=$AB$63,$AF$63,E792=$AB$64,$AF$64,E792=$AB$65,$AF$65,E792=$AB$66,$AF$66,TRUE,"0")</f>
        <v>if 0-0, BACK+ 0.5 GOALS  @ 1.15+odds.  or @ 40 mins</v>
      </c>
      <c r="D792" s="270" t="str" cm="1">
        <f t="array" ref="D792">_xlfn.IFS(E792=$AB$42,$AD$42,E792=$AB$43,$AD$43,E792=$AB$44,$AD$44,E792=$AB$45,$AD$45,E792=$AB$46,$AD$46,E792=$AB$47,$AD$47,E792=$AB$48,$AD$48,E792=$AB$49,$AD$49,E792=$AB$50,$AD$50,E792=$AB$51,$AD$51,E792=$AB$52,$AD$52,E792=$AB$53,$AD$53,E792=$AB$54,$AD$54,E792=$AB$55,$AD$55,E792=$AB$56,$AD$56,E792=$AB$57,$AD$57,E792=$AB$58,$AD$58,E792=$AB$59,$AD$59,E792=$AB$60,$AD$60,E792=$AB$61,$AD$61,E792=$AB$62,$AD$62,E792=$AB$63,$AD$63,E792=$AB$64,$AD$64,E792=$AB$65,$AD$65,E792=$AB$66,$AD$66,TRUE,"0")</f>
        <v>IP</v>
      </c>
      <c r="E792" s="163" t="s">
        <v>270</v>
      </c>
      <c r="F792" s="2" t="s">
        <v>410</v>
      </c>
      <c r="G792" s="2" t="s">
        <v>411</v>
      </c>
      <c r="H792" s="3">
        <v>45387.708333333336</v>
      </c>
      <c r="I792" s="2" t="s">
        <v>675</v>
      </c>
      <c r="J792" s="2" t="s">
        <v>460</v>
      </c>
      <c r="K792" s="2">
        <v>61</v>
      </c>
      <c r="L792" s="2">
        <v>0</v>
      </c>
      <c r="M792" s="2">
        <v>20</v>
      </c>
      <c r="N792" s="2">
        <v>27</v>
      </c>
      <c r="O792" s="2">
        <v>1.56</v>
      </c>
      <c r="P792" s="2"/>
      <c r="Q792" s="2" t="s">
        <v>95</v>
      </c>
      <c r="R792" s="10" t="s">
        <v>214</v>
      </c>
      <c r="S792" s="14" t="s">
        <v>210</v>
      </c>
      <c r="T792" s="188">
        <v>1000</v>
      </c>
      <c r="U792" s="8">
        <f t="shared" si="94"/>
        <v>180</v>
      </c>
      <c r="V792" s="234">
        <f t="shared" si="95"/>
        <v>53524.155246160299</v>
      </c>
      <c r="W792" s="15">
        <v>25</v>
      </c>
      <c r="X792" s="8">
        <f t="shared" si="97"/>
        <v>4.5</v>
      </c>
      <c r="Y792" s="233">
        <f t="shared" si="98"/>
        <v>3204</v>
      </c>
    </row>
    <row r="793" spans="1:29">
      <c r="A793" s="156" t="e" cm="1">
        <f t="array" aca="1" ref="A793" ca="1">_xlfn.IFS(E793=$AB$42,$AC$42,E793=$AB$43,$AC$43,E793=$AB$44,$AC$44,E793=$AB$45,$AC$45,E793=$AB$46,$AC$46,E793=$AB$47,$AC$47,E793=$AB$48,$AC$48,E793=$AB$49,$AC$49,E793=$AB$50,$AC$50,E793=$AB$51,$AC$51,E793=$AB$52,$AC$52,E793=$AB$53,$AC$53,E793=$AB$54,$AC$54,E793=$AB$55,$AC$55,E793=$AB$56,$AC$56,E793=$AB$57,$AC$57,E793=$AB$58,$AC$58,E793=$AB$59,$AC$59,E793=$AB$60,$AC$60,E793=$AB$61,$AC$61,E793=$AB$62,$AC$62,E793=$AB$63,$AC$63,E793=$AB$64,$AC$64,E793=$AB$65,$AC$65,E793=$AB$66,$AC$66,TRUE,"0")</f>
        <v>#NAME?</v>
      </c>
      <c r="C793" s="161" t="str" cm="1">
        <f t="array" ref="C793">_xlfn.IFS(E793=$AB$42,$AF$42,E793=$AB$43,$AF$43,E793=$AB$44,$AF$44,E793=$AB$45,$AF$45,E793=$AB$46,$AF$46,E793=$AB$47,$AF$47,E793=$AB$48,$AF$48,E793=$AB$49,$AF$49,E793=$AB$50,$AF$50,E793=$AB$51,$AF$51,E793=$AB$52,$AF$52,E793=$AB$53,$AF$53,E793=$AB$54,$AF$54,E793=$AB$55,$AF$55,E793=$AB$56,$AF$56,E793=$AB$57,$AF$57,E793=$AB$58,$AF$58,E793=$AB$59,$AF$59,E793=$AB$60,$AF$60,E793=$AB$61,$AF$61,E793=$AB$62,$AF$62,E793=$AB$63,$AF$63,E793=$AB$64,$AF$64,E793=$AB$65,$AF$65,E793=$AB$66,$AF$66,TRUE,"0")</f>
        <v>B4 Match, lay HT 0-0 or BACK H1 +0.5 GOALS</v>
      </c>
      <c r="D793" s="270" t="str" cm="1">
        <f t="array" ref="D793">_xlfn.IFS(E793=$AB$42,$AD$42,E793=$AB$43,$AD$43,E793=$AB$44,$AD$44,E793=$AB$45,$AD$45,E793=$AB$46,$AD$46,E793=$AB$47,$AD$47,E793=$AB$48,$AD$48,E793=$AB$49,$AD$49,E793=$AB$50,$AD$50,E793=$AB$51,$AD$51,E793=$AB$52,$AD$52,E793=$AB$53,$AD$53,E793=$AB$54,$AD$54,E793=$AB$55,$AD$55,E793=$AB$56,$AD$56,E793=$AB$57,$AD$57,E793=$AB$58,$AD$58,E793=$AB$59,$AD$59,E793=$AB$60,$AD$60,E793=$AB$61,$AD$61,E793=$AB$62,$AD$62,E793=$AB$63,$AD$63,E793=$AB$64,$AD$64,E793=$AB$65,$AD$65,E793=$AB$66,$AD$66,TRUE,"0")</f>
        <v xml:space="preserve">BFM </v>
      </c>
      <c r="E793" s="163" t="s">
        <v>432</v>
      </c>
      <c r="F793" s="2" t="s">
        <v>58</v>
      </c>
      <c r="G793" s="2" t="s">
        <v>289</v>
      </c>
      <c r="H793" s="3">
        <v>45387.75</v>
      </c>
      <c r="I793" s="2" t="s">
        <v>416</v>
      </c>
      <c r="J793" s="2" t="s">
        <v>452</v>
      </c>
      <c r="K793" s="2">
        <v>5</v>
      </c>
      <c r="L793" s="2">
        <v>20</v>
      </c>
      <c r="M793" s="2">
        <v>20</v>
      </c>
      <c r="N793" s="2">
        <v>14</v>
      </c>
      <c r="O793" s="2">
        <v>21</v>
      </c>
      <c r="P793" s="2">
        <v>1.7</v>
      </c>
      <c r="Q793" s="2" t="s">
        <v>95</v>
      </c>
      <c r="R793" s="10" t="s">
        <v>222</v>
      </c>
      <c r="S793" s="14" t="s">
        <v>222</v>
      </c>
      <c r="T793" s="188">
        <v>1000</v>
      </c>
      <c r="U793" s="8">
        <f t="shared" si="94"/>
        <v>180</v>
      </c>
      <c r="V793" s="234">
        <f t="shared" si="95"/>
        <v>53704.155246160299</v>
      </c>
      <c r="W793" s="15">
        <v>25</v>
      </c>
      <c r="X793" s="8">
        <f t="shared" si="97"/>
        <v>4.5</v>
      </c>
      <c r="Y793" s="233">
        <f t="shared" si="98"/>
        <v>3208.5</v>
      </c>
    </row>
    <row r="794" spans="1:29">
      <c r="A794" s="156" t="e" cm="1">
        <f t="array" aca="1" ref="A794" ca="1">_xlfn.IFS(E794=$AB$42,$AC$42,E794=$AB$43,$AC$43,E794=$AB$44,$AC$44,E794=$AB$45,$AC$45,E794=$AB$46,$AC$46,E794=$AB$47,$AC$47,E794=$AB$48,$AC$48,E794=$AB$49,$AC$49,E794=$AB$50,$AC$50,E794=$AB$51,$AC$51,E794=$AB$52,$AC$52,E794=$AB$53,$AC$53,E794=$AB$54,$AC$54,E794=$AB$55,$AC$55,E794=$AB$56,$AC$56,E794=$AB$57,$AC$57,E794=$AB$58,$AC$58,E794=$AB$59,$AC$59,E794=$AB$60,$AC$60,E794=$AB$61,$AC$61,E794=$AB$62,$AC$62,E794=$AB$63,$AC$63,E794=$AB$64,$AC$64,E794=$AB$65,$AC$65,E794=$AB$66,$AC$66,TRUE,"0")</f>
        <v>#NAME?</v>
      </c>
      <c r="C794" s="161" t="str" cm="1">
        <f t="array" ref="C794">_xlfn.IFS(E794=$AB$42,$AF$42,E794=$AB$43,$AF$43,E794=$AB$44,$AF$44,E794=$AB$45,$AF$45,E794=$AB$46,$AF$46,E794=$AB$47,$AF$47,E794=$AB$48,$AF$48,E794=$AB$49,$AF$49,E794=$AB$50,$AF$50,E794=$AB$51,$AF$51,E794=$AB$52,$AF$52,E794=$AB$53,$AF$53,E794=$AB$54,$AF$54,E794=$AB$55,$AF$55,E794=$AB$56,$AF$56,E794=$AB$57,$AF$57,E794=$AB$58,$AF$58,E794=$AB$59,$AF$59,E794=$AB$60,$AF$60,E794=$AB$61,$AF$61,E794=$AB$62,$AF$62,E794=$AB$63,$AF$63,E794=$AB$64,$AF$64,E794=$AB$65,$AF$65,E794=$AB$66,$AF$66,TRUE,"0")</f>
        <v>B4 Match, lay HT 0-0 or BACK H1 +0.5 GOALS</v>
      </c>
      <c r="D794" s="270" t="str" cm="1">
        <f t="array" ref="D794">_xlfn.IFS(E794=$AB$42,$AD$42,E794=$AB$43,$AD$43,E794=$AB$44,$AD$44,E794=$AB$45,$AD$45,E794=$AB$46,$AD$46,E794=$AB$47,$AD$47,E794=$AB$48,$AD$48,E794=$AB$49,$AD$49,E794=$AB$50,$AD$50,E794=$AB$51,$AD$51,E794=$AB$52,$AD$52,E794=$AB$53,$AD$53,E794=$AB$54,$AD$54,E794=$AB$55,$AD$55,E794=$AB$56,$AD$56,E794=$AB$57,$AD$57,E794=$AB$58,$AD$58,E794=$AB$59,$AD$59,E794=$AB$60,$AD$60,E794=$AB$61,$AD$61,E794=$AB$62,$AD$62,E794=$AB$63,$AD$63,E794=$AB$64,$AD$64,E794=$AB$65,$AD$65,E794=$AB$66,$AD$66,TRUE,"0")</f>
        <v xml:space="preserve">BFM </v>
      </c>
      <c r="E794" s="163" t="s">
        <v>448</v>
      </c>
      <c r="F794" s="2" t="s">
        <v>58</v>
      </c>
      <c r="G794" s="2" t="s">
        <v>289</v>
      </c>
      <c r="H794" s="3">
        <v>45387.75</v>
      </c>
      <c r="I794" s="2" t="s">
        <v>416</v>
      </c>
      <c r="J794" s="2" t="s">
        <v>452</v>
      </c>
      <c r="K794" s="2">
        <v>20</v>
      </c>
      <c r="L794" s="2">
        <v>5</v>
      </c>
      <c r="M794" s="2">
        <v>34</v>
      </c>
      <c r="N794" s="2">
        <v>6</v>
      </c>
      <c r="O794" s="2">
        <v>6</v>
      </c>
      <c r="P794" s="2">
        <v>11</v>
      </c>
      <c r="Q794" s="2" t="s">
        <v>95</v>
      </c>
      <c r="R794" s="10" t="s">
        <v>222</v>
      </c>
      <c r="S794" s="14" t="s">
        <v>222</v>
      </c>
      <c r="T794" s="188">
        <v>1000</v>
      </c>
      <c r="U794" s="8">
        <f t="shared" si="94"/>
        <v>180</v>
      </c>
      <c r="V794" s="234">
        <f t="shared" si="95"/>
        <v>53884.155246160299</v>
      </c>
      <c r="W794" s="15">
        <v>25</v>
      </c>
      <c r="X794" s="8">
        <f t="shared" si="97"/>
        <v>4.5</v>
      </c>
      <c r="Y794" s="233">
        <f t="shared" si="98"/>
        <v>3213</v>
      </c>
    </row>
    <row r="795" spans="1:29">
      <c r="A795" s="156" t="e" cm="1">
        <f t="array" aca="1" ref="A795" ca="1">_xlfn.IFS(E795=$AB$42,$AC$42,E795=$AB$43,$AC$43,E795=$AB$44,$AC$44,E795=$AB$45,$AC$45,E795=$AB$46,$AC$46,E795=$AB$47,$AC$47,E795=$AB$48,$AC$48,E795=$AB$49,$AC$49,E795=$AB$50,$AC$50,E795=$AB$51,$AC$51,E795=$AB$52,$AC$52,E795=$AB$53,$AC$53,E795=$AB$54,$AC$54,E795=$AB$55,$AC$55,E795=$AB$56,$AC$56,E795=$AB$57,$AC$57,E795=$AB$58,$AC$58,E795=$AB$59,$AC$59,E795=$AB$60,$AC$60,E795=$AB$61,$AC$61,E795=$AB$62,$AC$62,E795=$AB$63,$AC$63,E795=$AB$64,$AC$64,E795=$AB$65,$AC$65,E795=$AB$66,$AC$66,TRUE,"0")</f>
        <v>#NAME?</v>
      </c>
      <c r="C795" s="161" t="str" cm="1">
        <f t="array" ref="C795">_xlfn.IFS(E795=$AB$42,$AF$42,E795=$AB$43,$AF$43,E795=$AB$44,$AF$44,E795=$AB$45,$AF$45,E795=$AB$46,$AF$46,E795=$AB$47,$AF$47,E795=$AB$48,$AF$48,E795=$AB$49,$AF$49,E795=$AB$50,$AF$50,E795=$AB$51,$AF$51,E795=$AB$52,$AF$52,E795=$AB$53,$AF$53,E795=$AB$54,$AF$54,E795=$AB$55,$AF$55,E795=$AB$56,$AF$56,E795=$AB$57,$AF$57,E795=$AB$58,$AF$58,E795=$AB$59,$AF$59,E795=$AB$60,$AF$60,E795=$AB$61,$AF$61,E795=$AB$62,$AF$62,E795=$AB$63,$AF$63,E795=$AB$64,$AF$64,E795=$AB$65,$AF$65,E795=$AB$66,$AF$66,TRUE,"0")</f>
        <v>if 0-0, BACK+ 0.5 GOALS  @ 1.15+odds.  or @ 40 mins</v>
      </c>
      <c r="D795" s="270" t="str" cm="1">
        <f t="array" ref="D795">_xlfn.IFS(E795=$AB$42,$AD$42,E795=$AB$43,$AD$43,E795=$AB$44,$AD$44,E795=$AB$45,$AD$45,E795=$AB$46,$AD$46,E795=$AB$47,$AD$47,E795=$AB$48,$AD$48,E795=$AB$49,$AD$49,E795=$AB$50,$AD$50,E795=$AB$51,$AD$51,E795=$AB$52,$AD$52,E795=$AB$53,$AD$53,E795=$AB$54,$AD$54,E795=$AB$55,$AD$55,E795=$AB$56,$AD$56,E795=$AB$57,$AD$57,E795=$AB$58,$AD$58,E795=$AB$59,$AD$59,E795=$AB$60,$AD$60,E795=$AB$61,$AD$61,E795=$AB$62,$AD$62,E795=$AB$63,$AD$63,E795=$AB$64,$AD$64,E795=$AB$65,$AD$65,E795=$AB$66,$AD$66,TRUE,"0")</f>
        <v>IP</v>
      </c>
      <c r="E795" s="163" t="s">
        <v>270</v>
      </c>
      <c r="F795" s="2" t="s">
        <v>20</v>
      </c>
      <c r="G795" s="2" t="s">
        <v>21</v>
      </c>
      <c r="H795" s="3">
        <v>45387.822916666664</v>
      </c>
      <c r="I795" s="2" t="s">
        <v>110</v>
      </c>
      <c r="J795" s="2" t="s">
        <v>370</v>
      </c>
      <c r="K795" s="2">
        <v>59</v>
      </c>
      <c r="L795" s="2">
        <v>0</v>
      </c>
      <c r="M795" s="2">
        <v>20</v>
      </c>
      <c r="N795" s="2">
        <v>30</v>
      </c>
      <c r="O795" s="2">
        <v>2.4300000000000002</v>
      </c>
      <c r="P795" s="2"/>
      <c r="Q795" s="2" t="s">
        <v>95</v>
      </c>
      <c r="R795" s="10" t="s">
        <v>217</v>
      </c>
      <c r="S795" s="14" t="s">
        <v>210</v>
      </c>
      <c r="T795" s="188">
        <v>1000</v>
      </c>
      <c r="U795" s="8">
        <f t="shared" si="94"/>
        <v>180</v>
      </c>
      <c r="V795" s="234">
        <f t="shared" si="95"/>
        <v>54064.155246160299</v>
      </c>
      <c r="W795" s="15">
        <v>25</v>
      </c>
      <c r="X795" s="8">
        <f t="shared" si="97"/>
        <v>4.5</v>
      </c>
      <c r="Y795" s="233">
        <f t="shared" si="98"/>
        <v>3217.5</v>
      </c>
    </row>
    <row r="796" spans="1:29">
      <c r="A796" s="156" t="e" cm="1">
        <f t="array" aca="1" ref="A796" ca="1">_xlfn.IFS(E796=$AB$42,$AC$42,E796=$AB$43,$AC$43,E796=$AB$44,$AC$44,E796=$AB$45,$AC$45,E796=$AB$46,$AC$46,E796=$AB$47,$AC$47,E796=$AB$48,$AC$48,E796=$AB$49,$AC$49,E796=$AB$50,$AC$50,E796=$AB$51,$AC$51,E796=$AB$52,$AC$52,E796=$AB$53,$AC$53,E796=$AB$54,$AC$54,E796=$AB$55,$AC$55,E796=$AB$56,$AC$56,E796=$AB$57,$AC$57,E796=$AB$58,$AC$58,E796=$AB$59,$AC$59,E796=$AB$60,$AC$60,E796=$AB$61,$AC$61,E796=$AB$62,$AC$62,E796=$AB$63,$AC$63,E796=$AB$64,$AC$64,E796=$AB$65,$AC$65,E796=$AB$66,$AC$66,TRUE,"0")</f>
        <v>#NAME?</v>
      </c>
      <c r="C796" s="161" t="str" cm="1">
        <f t="array" ref="C796">_xlfn.IFS(E796=$AB$42,$AF$42,E796=$AB$43,$AF$43,E796=$AB$44,$AF$44,E796=$AB$45,$AF$45,E796=$AB$46,$AF$46,E796=$AB$47,$AF$47,E796=$AB$48,$AF$48,E796=$AB$49,$AF$49,E796=$AB$50,$AF$50,E796=$AB$51,$AF$51,E796=$AB$52,$AF$52,E796=$AB$53,$AF$53,E796=$AB$54,$AF$54,E796=$AB$55,$AF$55,E796=$AB$56,$AF$56,E796=$AB$57,$AF$57,E796=$AB$58,$AF$58,E796=$AB$59,$AF$59,E796=$AB$60,$AF$60,E796=$AB$61,$AF$61,E796=$AB$62,$AF$62,E796=$AB$63,$AF$63,E796=$AB$64,$AF$64,E796=$AB$65,$AF$65,E796=$AB$66,$AF$66,TRUE,"0")</f>
        <v>if 0-0, BACK+ 0.5 GOALS  @ 1.15+odds.  or @ 40 mins</v>
      </c>
      <c r="D796" s="270" t="str" cm="1">
        <f t="array" ref="D796">_xlfn.IFS(E796=$AB$42,$AD$42,E796=$AB$43,$AD$43,E796=$AB$44,$AD$44,E796=$AB$45,$AD$45,E796=$AB$46,$AD$46,E796=$AB$47,$AD$47,E796=$AB$48,$AD$48,E796=$AB$49,$AD$49,E796=$AB$50,$AD$50,E796=$AB$51,$AD$51,E796=$AB$52,$AD$52,E796=$AB$53,$AD$53,E796=$AB$54,$AD$54,E796=$AB$55,$AD$55,E796=$AB$56,$AD$56,E796=$AB$57,$AD$57,E796=$AB$58,$AD$58,E796=$AB$59,$AD$59,E796=$AB$60,$AD$60,E796=$AB$61,$AD$61,E796=$AB$62,$AD$62,E796=$AB$63,$AD$63,E796=$AB$64,$AD$64,E796=$AB$65,$AD$65,E796=$AB$66,$AD$66,TRUE,"0")</f>
        <v>IP</v>
      </c>
      <c r="E796" s="163" t="s">
        <v>270</v>
      </c>
      <c r="F796" s="2" t="s">
        <v>44</v>
      </c>
      <c r="G796" s="2" t="s">
        <v>45</v>
      </c>
      <c r="H796" s="3">
        <v>45388.229166666664</v>
      </c>
      <c r="I796" s="2" t="s">
        <v>53</v>
      </c>
      <c r="J796" s="2" t="s">
        <v>143</v>
      </c>
      <c r="K796" s="2">
        <v>62</v>
      </c>
      <c r="L796" s="2">
        <v>0</v>
      </c>
      <c r="M796" s="2">
        <v>20</v>
      </c>
      <c r="N796" s="2">
        <v>37</v>
      </c>
      <c r="O796" s="2">
        <v>3.43</v>
      </c>
      <c r="P796" s="2"/>
      <c r="Q796" s="2" t="s">
        <v>95</v>
      </c>
      <c r="R796" s="10" t="s">
        <v>217</v>
      </c>
      <c r="S796" s="14" t="s">
        <v>277</v>
      </c>
      <c r="T796" s="188">
        <v>1000</v>
      </c>
      <c r="U796" s="8">
        <f t="shared" si="94"/>
        <v>180</v>
      </c>
      <c r="V796" s="234">
        <f t="shared" si="95"/>
        <v>54244.155246160299</v>
      </c>
      <c r="W796" s="15">
        <v>25</v>
      </c>
      <c r="X796" s="8">
        <f t="shared" si="97"/>
        <v>4.5</v>
      </c>
      <c r="Y796" s="233">
        <f t="shared" si="98"/>
        <v>3222</v>
      </c>
    </row>
    <row r="797" spans="1:29">
      <c r="A797" s="156" t="e" cm="1">
        <f t="array" aca="1" ref="A797" ca="1">_xlfn.IFS(E797=$AB$42,$AC$42,E797=$AB$43,$AC$43,E797=$AB$44,$AC$44,E797=$AB$45,$AC$45,E797=$AB$46,$AC$46,E797=$AB$47,$AC$47,E797=$AB$48,$AC$48,E797=$AB$49,$AC$49,E797=$AB$50,$AC$50,E797=$AB$51,$AC$51,E797=$AB$52,$AC$52,E797=$AB$53,$AC$53,E797=$AB$54,$AC$54,E797=$AB$55,$AC$55,E797=$AB$56,$AC$56,E797=$AB$57,$AC$57,E797=$AB$58,$AC$58,E797=$AB$59,$AC$59,E797=$AB$60,$AC$60,E797=$AB$61,$AC$61,E797=$AB$62,$AC$62,E797=$AB$63,$AC$63,E797=$AB$64,$AC$64,E797=$AB$65,$AC$65,E797=$AB$66,$AC$66,TRUE,"0")</f>
        <v>#NAME?</v>
      </c>
      <c r="C797" s="161" t="str" cm="1">
        <f t="array" ref="C797">_xlfn.IFS(E797=$AB$42,$AF$42,E797=$AB$43,$AF$43,E797=$AB$44,$AF$44,E797=$AB$45,$AF$45,E797=$AB$46,$AF$46,E797=$AB$47,$AF$47,E797=$AB$48,$AF$48,E797=$AB$49,$AF$49,E797=$AB$50,$AF$50,E797=$AB$51,$AF$51,E797=$AB$52,$AF$52,E797=$AB$53,$AF$53,E797=$AB$54,$AF$54,E797=$AB$55,$AF$55,E797=$AB$56,$AF$56,E797=$AB$57,$AF$57,E797=$AB$58,$AF$58,E797=$AB$59,$AF$59,E797=$AB$60,$AF$60,E797=$AB$61,$AF$61,E797=$AB$62,$AF$62,E797=$AB$63,$AF$63,E797=$AB$64,$AF$64,E797=$AB$65,$AF$65,E797=$AB$66,$AF$66,TRUE,"0")</f>
        <v>if 0-0, BACK+ 0.5 GOALS  @ 1.15+odds.  or @ 40 mins</v>
      </c>
      <c r="D797" s="270" t="str" cm="1">
        <f t="array" ref="D797">_xlfn.IFS(E797=$AB$42,$AD$42,E797=$AB$43,$AD$43,E797=$AB$44,$AD$44,E797=$AB$45,$AD$45,E797=$AB$46,$AD$46,E797=$AB$47,$AD$47,E797=$AB$48,$AD$48,E797=$AB$49,$AD$49,E797=$AB$50,$AD$50,E797=$AB$51,$AD$51,E797=$AB$52,$AD$52,E797=$AB$53,$AD$53,E797=$AB$54,$AD$54,E797=$AB$55,$AD$55,E797=$AB$56,$AD$56,E797=$AB$57,$AD$57,E797=$AB$58,$AD$58,E797=$AB$59,$AD$59,E797=$AB$60,$AD$60,E797=$AB$61,$AD$61,E797=$AB$62,$AD$62,E797=$AB$63,$AD$63,E797=$AB$64,$AD$64,E797=$AB$65,$AD$65,E797=$AB$66,$AD$66,TRUE,"0")</f>
        <v>IP</v>
      </c>
      <c r="E797" s="163" t="s">
        <v>270</v>
      </c>
      <c r="F797" s="2" t="s">
        <v>58</v>
      </c>
      <c r="G797" s="2" t="s">
        <v>289</v>
      </c>
      <c r="H797" s="3">
        <v>45388.458333333336</v>
      </c>
      <c r="I797" s="2" t="s">
        <v>677</v>
      </c>
      <c r="J797" s="2" t="s">
        <v>678</v>
      </c>
      <c r="K797" s="2">
        <v>61</v>
      </c>
      <c r="L797" s="2">
        <v>0</v>
      </c>
      <c r="M797" s="2">
        <v>20</v>
      </c>
      <c r="N797" s="2">
        <v>34</v>
      </c>
      <c r="O797" s="2">
        <v>0</v>
      </c>
      <c r="P797" s="2"/>
      <c r="Q797" s="2" t="s">
        <v>95</v>
      </c>
      <c r="R797" s="10" t="s">
        <v>221</v>
      </c>
      <c r="S797" s="14" t="s">
        <v>207</v>
      </c>
      <c r="T797" s="188">
        <v>1000</v>
      </c>
      <c r="U797" s="8">
        <f t="shared" si="94"/>
        <v>180</v>
      </c>
      <c r="V797" s="234">
        <f t="shared" si="95"/>
        <v>54424.155246160299</v>
      </c>
      <c r="W797" s="15">
        <v>25</v>
      </c>
      <c r="X797" s="8">
        <f t="shared" si="97"/>
        <v>4.5</v>
      </c>
      <c r="Y797" s="233">
        <f t="shared" si="98"/>
        <v>3226.5</v>
      </c>
    </row>
    <row r="798" spans="1:29">
      <c r="A798" s="156" t="e" cm="1">
        <f t="array" aca="1" ref="A798" ca="1">_xlfn.IFS(E798=$AB$42,$AC$42,E798=$AB$43,$AC$43,E798=$AB$44,$AC$44,E798=$AB$45,$AC$45,E798=$AB$46,$AC$46,E798=$AB$47,$AC$47,E798=$AB$48,$AC$48,E798=$AB$49,$AC$49,E798=$AB$50,$AC$50,E798=$AB$51,$AC$51,E798=$AB$52,$AC$52,E798=$AB$53,$AC$53,E798=$AB$54,$AC$54,E798=$AB$55,$AC$55,E798=$AB$56,$AC$56,E798=$AB$57,$AC$57,E798=$AB$58,$AC$58,E798=$AB$59,$AC$59,E798=$AB$60,$AC$60,E798=$AB$61,$AC$61,E798=$AB$62,$AC$62,E798=$AB$63,$AC$63,E798=$AB$64,$AC$64,E798=$AB$65,$AC$65,E798=$AB$66,$AC$66,TRUE,"0")</f>
        <v>#NAME?</v>
      </c>
      <c r="C798" s="161" t="str" cm="1">
        <f t="array" ref="C798">_xlfn.IFS(E798=$AB$42,$AF$42,E798=$AB$43,$AF$43,E798=$AB$44,$AF$44,E798=$AB$45,$AF$45,E798=$AB$46,$AF$46,E798=$AB$47,$AF$47,E798=$AB$48,$AF$48,E798=$AB$49,$AF$49,E798=$AB$50,$AF$50,E798=$AB$51,$AF$51,E798=$AB$52,$AF$52,E798=$AB$53,$AF$53,E798=$AB$54,$AF$54,E798=$AB$55,$AF$55,E798=$AB$56,$AF$56,E798=$AB$57,$AF$57,E798=$AB$58,$AF$58,E798=$AB$59,$AF$59,E798=$AB$60,$AF$60,E798=$AB$61,$AF$61,E798=$AB$62,$AF$62,E798=$AB$63,$AF$63,E798=$AB$64,$AF$64,E798=$AB$65,$AF$65,E798=$AB$66,$AF$66,TRUE,"0")</f>
        <v>10mins if  0-0, BACK over 1.5 goals X after goal OR LET RUN</v>
      </c>
      <c r="D798" s="270" t="str" cm="1">
        <f t="array" ref="D798">_xlfn.IFS(E798=$AB$42,$AD$42,E798=$AB$43,$AD$43,E798=$AB$44,$AD$44,E798=$AB$45,$AD$45,E798=$AB$46,$AD$46,E798=$AB$47,$AD$47,E798=$AB$48,$AD$48,E798=$AB$49,$AD$49,E798=$AB$50,$AD$50,E798=$AB$51,$AD$51,E798=$AB$52,$AD$52,E798=$AB$53,$AD$53,E798=$AB$54,$AD$54,E798=$AB$55,$AD$55,E798=$AB$56,$AD$56,E798=$AB$57,$AD$57,E798=$AB$58,$AD$58,E798=$AB$59,$AD$59,E798=$AB$60,$AD$60,E798=$AB$61,$AD$61,E798=$AB$62,$AD$62,E798=$AB$63,$AD$63,E798=$AB$64,$AD$64,E798=$AB$65,$AD$65,E798=$AB$66,$AD$66,TRUE,"0")</f>
        <v>IP</v>
      </c>
      <c r="E798" s="163" t="s">
        <v>498</v>
      </c>
      <c r="F798" s="2" t="s">
        <v>77</v>
      </c>
      <c r="G798" s="2" t="s">
        <v>234</v>
      </c>
      <c r="H798" s="3">
        <v>45388.5</v>
      </c>
      <c r="I798" s="2" t="s">
        <v>499</v>
      </c>
      <c r="J798" s="2" t="s">
        <v>413</v>
      </c>
      <c r="K798" s="2">
        <v>71</v>
      </c>
      <c r="L798" s="2">
        <v>80</v>
      </c>
      <c r="M798" s="2">
        <v>1.45</v>
      </c>
      <c r="N798" s="2">
        <v>20</v>
      </c>
      <c r="O798" s="2"/>
      <c r="P798" s="2"/>
      <c r="Q798" s="2" t="s">
        <v>96</v>
      </c>
      <c r="R798" s="10" t="s">
        <v>221</v>
      </c>
      <c r="S798" s="14" t="s">
        <v>221</v>
      </c>
      <c r="T798" s="188">
        <v>1000</v>
      </c>
      <c r="U798" s="8">
        <f t="shared" si="94"/>
        <v>-1000</v>
      </c>
      <c r="V798" s="234">
        <f t="shared" si="95"/>
        <v>53424.155246160299</v>
      </c>
      <c r="W798" s="15">
        <v>25</v>
      </c>
      <c r="X798" s="8">
        <f t="shared" si="97"/>
        <v>-25</v>
      </c>
      <c r="Y798" s="233">
        <f t="shared" si="98"/>
        <v>3201.5</v>
      </c>
    </row>
    <row r="799" spans="1:29">
      <c r="A799" s="156" t="e" cm="1">
        <f t="array" aca="1" ref="A799" ca="1">_xlfn.IFS(E799=$AB$42,$AC$42,E799=$AB$43,$AC$43,E799=$AB$44,$AC$44,E799=$AB$45,$AC$45,E799=$AB$46,$AC$46,E799=$AB$47,$AC$47,E799=$AB$48,$AC$48,E799=$AB$49,$AC$49,E799=$AB$50,$AC$50,E799=$AB$51,$AC$51,E799=$AB$52,$AC$52,E799=$AB$53,$AC$53,E799=$AB$54,$AC$54,E799=$AB$55,$AC$55,E799=$AB$56,$AC$56,E799=$AB$57,$AC$57,E799=$AB$58,$AC$58,E799=$AB$59,$AC$59,E799=$AB$60,$AC$60,E799=$AB$61,$AC$61,E799=$AB$62,$AC$62,E799=$AB$63,$AC$63,E799=$AB$64,$AC$64,E799=$AB$65,$AC$65,E799=$AB$66,$AC$66,TRUE,"0")</f>
        <v>#NAME?</v>
      </c>
      <c r="C799" s="161" t="str" cm="1">
        <f t="array" ref="C799">_xlfn.IFS(E799=$AB$42,$AF$42,E799=$AB$43,$AF$43,E799=$AB$44,$AF$44,E799=$AB$45,$AF$45,E799=$AB$46,$AF$46,E799=$AB$47,$AF$47,E799=$AB$48,$AF$48,E799=$AB$49,$AF$49,E799=$AB$50,$AF$50,E799=$AB$51,$AF$51,E799=$AB$52,$AF$52,E799=$AB$53,$AF$53,E799=$AB$54,$AF$54,E799=$AB$55,$AF$55,E799=$AB$56,$AF$56,E799=$AB$57,$AF$57,E799=$AB$58,$AF$58,E799=$AB$59,$AF$59,E799=$AB$60,$AF$60,E799=$AB$61,$AF$61,E799=$AB$62,$AF$62,E799=$AB$63,$AF$63,E799=$AB$64,$AF$64,E799=$AB$65,$AF$65,E799=$AB$66,$AF$66,TRUE,"0")</f>
        <v>B4 match BACK FT +1.5 goals. X AFTER  GOAL</v>
      </c>
      <c r="D799" s="270" t="str" cm="1">
        <f t="array" ref="D799">_xlfn.IFS(E799=$AB$42,$AD$42,E799=$AB$43,$AD$43,E799=$AB$44,$AD$44,E799=$AB$45,$AD$45,E799=$AB$46,$AD$46,E799=$AB$47,$AD$47,E799=$AB$48,$AD$48,E799=$AB$49,$AD$49,E799=$AB$50,$AD$50,E799=$AB$51,$AD$51,E799=$AB$52,$AD$52,E799=$AB$53,$AD$53,E799=$AB$54,$AD$54,E799=$AB$55,$AD$55,E799=$AB$56,$AD$56,E799=$AB$57,$AD$57,E799=$AB$58,$AD$58,E799=$AB$59,$AD$59,E799=$AB$60,$AD$60,E799=$AB$61,$AD$61,E799=$AB$62,$AD$62,E799=$AB$63,$AD$63,E799=$AB$64,$AD$64,E799=$AB$65,$AD$65,E799=$AB$66,$AD$66,TRUE,"0")</f>
        <v xml:space="preserve">BFM </v>
      </c>
      <c r="E799" s="163" t="s">
        <v>623</v>
      </c>
      <c r="F799" s="2" t="s">
        <v>77</v>
      </c>
      <c r="G799" s="2" t="s">
        <v>234</v>
      </c>
      <c r="H799" s="3">
        <v>45388.5</v>
      </c>
      <c r="I799" s="2" t="s">
        <v>247</v>
      </c>
      <c r="J799" s="2" t="s">
        <v>631</v>
      </c>
      <c r="K799" s="2">
        <v>5.9</v>
      </c>
      <c r="L799" s="2">
        <v>20</v>
      </c>
      <c r="M799" s="2">
        <v>3.3</v>
      </c>
      <c r="N799" s="2">
        <v>25</v>
      </c>
      <c r="O799" s="2">
        <v>2</v>
      </c>
      <c r="P799" s="2">
        <v>10</v>
      </c>
      <c r="Q799" s="2" t="s">
        <v>95</v>
      </c>
      <c r="R799" s="10" t="s">
        <v>216</v>
      </c>
      <c r="S799" s="14" t="s">
        <v>222</v>
      </c>
      <c r="T799" s="188">
        <v>1000</v>
      </c>
      <c r="U799" s="8">
        <f t="shared" si="94"/>
        <v>180</v>
      </c>
      <c r="V799" s="234">
        <f>SUM(V798,U799)</f>
        <v>53604.155246160299</v>
      </c>
      <c r="W799" s="15">
        <v>25</v>
      </c>
      <c r="X799" s="8">
        <f t="shared" si="97"/>
        <v>4.5</v>
      </c>
      <c r="Y799" s="233">
        <f t="shared" si="98"/>
        <v>3206</v>
      </c>
      <c r="AB799"/>
      <c r="AC799" s="1"/>
    </row>
    <row r="800" spans="1:29">
      <c r="A800" s="156" t="e" cm="1">
        <f t="array" aca="1" ref="A800" ca="1">_xlfn.IFS(E800=$AB$42,$AC$42,E800=$AB$43,$AC$43,E800=$AB$44,$AC$44,E800=$AB$45,$AC$45,E800=$AB$46,$AC$46,E800=$AB$47,$AC$47,E800=$AB$48,$AC$48,E800=$AB$49,$AC$49,E800=$AB$50,$AC$50,E800=$AB$51,$AC$51,E800=$AB$52,$AC$52,E800=$AB$53,$AC$53,E800=$AB$54,$AC$54,E800=$AB$55,$AC$55,E800=$AB$56,$AC$56,E800=$AB$57,$AC$57,E800=$AB$58,$AC$58,E800=$AB$59,$AC$59,E800=$AB$60,$AC$60,E800=$AB$61,$AC$61,E800=$AB$62,$AC$62,E800=$AB$63,$AC$63,E800=$AB$64,$AC$64,E800=$AB$65,$AC$65,E800=$AB$66,$AC$66,TRUE,"0")</f>
        <v>#NAME?</v>
      </c>
      <c r="C800" s="161" t="str" cm="1">
        <f t="array" ref="C800">_xlfn.IFS(E800=$AB$42,$AF$42,E800=$AB$43,$AF$43,E800=$AB$44,$AF$44,E800=$AB$45,$AF$45,E800=$AB$46,$AF$46,E800=$AB$47,$AF$47,E800=$AB$48,$AF$48,E800=$AB$49,$AF$49,E800=$AB$50,$AF$50,E800=$AB$51,$AF$51,E800=$AB$52,$AF$52,E800=$AB$53,$AF$53,E800=$AB$54,$AF$54,E800=$AB$55,$AF$55,E800=$AB$56,$AF$56,E800=$AB$57,$AF$57,E800=$AB$58,$AF$58,E800=$AB$59,$AF$59,E800=$AB$60,$AF$60,E800=$AB$61,$AF$61,E800=$AB$62,$AF$62,E800=$AB$63,$AF$63,E800=$AB$64,$AF$64,E800=$AB$65,$AF$65,E800=$AB$66,$AF$66,TRUE,"0")</f>
        <v>20mins if  0-0, BACK over 1.5 goals X after goal OR LET RUN</v>
      </c>
      <c r="D800" s="270" t="str" cm="1">
        <f t="array" ref="D800">_xlfn.IFS(E800=$AB$42,$AD$42,E800=$AB$43,$AD$43,E800=$AB$44,$AD$44,E800=$AB$45,$AD$45,E800=$AB$46,$AD$46,E800=$AB$47,$AD$47,E800=$AB$48,$AD$48,E800=$AB$49,$AD$49,E800=$AB$50,$AD$50,E800=$AB$51,$AD$51,E800=$AB$52,$AD$52,E800=$AB$53,$AD$53,E800=$AB$54,$AD$54,E800=$AB$55,$AD$55,E800=$AB$56,$AD$56,E800=$AB$57,$AD$57,E800=$AB$58,$AD$58,E800=$AB$59,$AD$59,E800=$AB$60,$AD$60,E800=$AB$61,$AD$61,E800=$AB$62,$AD$62,E800=$AB$63,$AD$63,E800=$AB$64,$AD$64,E800=$AB$65,$AD$65,E800=$AB$66,$AD$66,TRUE,"0")</f>
        <v>IP</v>
      </c>
      <c r="E800" s="163" t="s">
        <v>474</v>
      </c>
      <c r="F800" s="2" t="s">
        <v>77</v>
      </c>
      <c r="G800" s="2" t="s">
        <v>234</v>
      </c>
      <c r="H800" s="3">
        <v>45388.5</v>
      </c>
      <c r="I800" s="2" t="s">
        <v>247</v>
      </c>
      <c r="J800" s="2" t="s">
        <v>631</v>
      </c>
      <c r="K800" s="2">
        <v>54</v>
      </c>
      <c r="L800" s="2">
        <v>3.3</v>
      </c>
      <c r="M800" s="2">
        <v>20</v>
      </c>
      <c r="N800" s="2">
        <v>65</v>
      </c>
      <c r="O800" s="2">
        <v>90</v>
      </c>
      <c r="P800" s="2"/>
      <c r="Q800" s="2" t="s">
        <v>95</v>
      </c>
      <c r="R800" s="10" t="s">
        <v>216</v>
      </c>
      <c r="S800" s="14" t="s">
        <v>222</v>
      </c>
      <c r="T800" s="188">
        <v>1000</v>
      </c>
      <c r="U800" s="8">
        <f t="shared" si="94"/>
        <v>180</v>
      </c>
      <c r="V800" s="234">
        <f>SUM(V799,U800)</f>
        <v>53784.155246160299</v>
      </c>
      <c r="W800" s="15">
        <v>25</v>
      </c>
      <c r="X800" s="8">
        <f t="shared" si="97"/>
        <v>4.5</v>
      </c>
      <c r="Y800" s="233">
        <f t="shared" si="98"/>
        <v>3210.5</v>
      </c>
      <c r="AB800"/>
      <c r="AC800" s="1"/>
    </row>
    <row r="801" spans="1:30">
      <c r="A801" s="156" t="e" cm="1">
        <f t="array" aca="1" ref="A801" ca="1">_xlfn.IFS(E801=$AB$42,$AC$42,E801=$AB$43,$AC$43,E801=$AB$44,$AC$44,E801=$AB$45,$AC$45,E801=$AB$46,$AC$46,E801=$AB$47,$AC$47,E801=$AB$48,$AC$48,E801=$AB$49,$AC$49,E801=$AB$50,$AC$50,E801=$AB$51,$AC$51,E801=$AB$52,$AC$52,E801=$AB$53,$AC$53,E801=$AB$54,$AC$54,E801=$AB$55,$AC$55,E801=$AB$56,$AC$56,E801=$AB$57,$AC$57,E801=$AB$58,$AC$58,E801=$AB$59,$AC$59,E801=$AB$60,$AC$60,E801=$AB$61,$AC$61,E801=$AB$62,$AC$62,E801=$AB$63,$AC$63,E801=$AB$64,$AC$64,E801=$AB$65,$AC$65,E801=$AB$66,$AC$66,TRUE,"0")</f>
        <v>#NAME?</v>
      </c>
      <c r="C801" s="161" t="str" cm="1">
        <f t="array" ref="C801">_xlfn.IFS(E801=$AB$42,$AF$42,E801=$AB$43,$AF$43,E801=$AB$44,$AF$44,E801=$AB$45,$AF$45,E801=$AB$46,$AF$46,E801=$AB$47,$AF$47,E801=$AB$48,$AF$48,E801=$AB$49,$AF$49,E801=$AB$50,$AF$50,E801=$AB$51,$AF$51,E801=$AB$52,$AF$52,E801=$AB$53,$AF$53,E801=$AB$54,$AF$54,E801=$AB$55,$AF$55,E801=$AB$56,$AF$56,E801=$AB$57,$AF$57,E801=$AB$58,$AF$58,E801=$AB$59,$AF$59,E801=$AB$60,$AF$60,E801=$AB$61,$AF$61,E801=$AB$62,$AF$62,E801=$AB$63,$AF$63,E801=$AB$64,$AF$64,E801=$AB$65,$AF$65,E801=$AB$66,$AF$66,TRUE,"0")</f>
        <v>10mins if  0-0, BACK over 1.5 goals X after goal OR LET RUN</v>
      </c>
      <c r="D801" s="270" t="str" cm="1">
        <f t="array" ref="D801">_xlfn.IFS(E801=$AB$42,$AD$42,E801=$AB$43,$AD$43,E801=$AB$44,$AD$44,E801=$AB$45,$AD$45,E801=$AB$46,$AD$46,E801=$AB$47,$AD$47,E801=$AB$48,$AD$48,E801=$AB$49,$AD$49,E801=$AB$50,$AD$50,E801=$AB$51,$AD$51,E801=$AB$52,$AD$52,E801=$AB$53,$AD$53,E801=$AB$54,$AD$54,E801=$AB$55,$AD$55,E801=$AB$56,$AD$56,E801=$AB$57,$AD$57,E801=$AB$58,$AD$58,E801=$AB$59,$AD$59,E801=$AB$60,$AD$60,E801=$AB$61,$AD$61,E801=$AB$62,$AD$62,E801=$AB$63,$AD$63,E801=$AB$64,$AD$64,E801=$AB$65,$AD$65,E801=$AB$66,$AD$66,TRUE,"0")</f>
        <v>IP</v>
      </c>
      <c r="E801" s="163" t="s">
        <v>498</v>
      </c>
      <c r="F801" s="2" t="s">
        <v>77</v>
      </c>
      <c r="G801" s="2" t="s">
        <v>234</v>
      </c>
      <c r="H801" s="3">
        <v>45388.5</v>
      </c>
      <c r="I801" s="2" t="s">
        <v>328</v>
      </c>
      <c r="J801" s="2" t="s">
        <v>235</v>
      </c>
      <c r="K801" s="2">
        <v>71</v>
      </c>
      <c r="L801" s="2">
        <v>90</v>
      </c>
      <c r="M801" s="2">
        <v>1.3</v>
      </c>
      <c r="N801" s="2">
        <v>20</v>
      </c>
      <c r="O801" s="2"/>
      <c r="P801" s="2"/>
      <c r="Q801" s="2" t="s">
        <v>95</v>
      </c>
      <c r="R801" s="10" t="s">
        <v>218</v>
      </c>
      <c r="S801" s="14" t="s">
        <v>288</v>
      </c>
      <c r="T801" s="188">
        <v>1000</v>
      </c>
      <c r="U801" s="8">
        <f t="shared" si="94"/>
        <v>180</v>
      </c>
      <c r="V801" s="234">
        <f>SUM(V800,U801)</f>
        <v>53964.155246160299</v>
      </c>
      <c r="W801" s="15">
        <v>25</v>
      </c>
      <c r="X801" s="8">
        <f t="shared" si="97"/>
        <v>4.5</v>
      </c>
      <c r="Y801" s="233">
        <f t="shared" si="98"/>
        <v>3215</v>
      </c>
      <c r="AB801"/>
      <c r="AC801" s="1"/>
      <c r="AD801"/>
    </row>
    <row r="802" spans="1:30">
      <c r="A802" s="156" t="e" cm="1">
        <f t="array" aca="1" ref="A802" ca="1">_xlfn.IFS(E802=$AB$42,$AC$42,E802=$AB$43,$AC$43,E802=$AB$44,$AC$44,E802=$AB$45,$AC$45,E802=$AB$46,$AC$46,E802=$AB$47,$AC$47,E802=$AB$48,$AC$48,E802=$AB$49,$AC$49,E802=$AB$50,$AC$50,E802=$AB$51,$AC$51,E802=$AB$52,$AC$52,E802=$AB$53,$AC$53,E802=$AB$54,$AC$54,E802=$AB$55,$AC$55,E802=$AB$56,$AC$56,E802=$AB$57,$AC$57,E802=$AB$58,$AC$58,E802=$AB$59,$AC$59,E802=$AB$60,$AC$60,E802=$AB$61,$AC$61,E802=$AB$62,$AC$62,E802=$AB$63,$AC$63,E802=$AB$64,$AC$64,E802=$AB$65,$AC$65,E802=$AB$66,$AC$66,TRUE,"0")</f>
        <v>#NAME?</v>
      </c>
      <c r="C802" s="161" t="str" cm="1">
        <f t="array" ref="C802">_xlfn.IFS(E802=$AB$42,$AF$42,E802=$AB$43,$AF$43,E802=$AB$44,$AF$44,E802=$AB$45,$AF$45,E802=$AB$46,$AF$46,E802=$AB$47,$AF$47,E802=$AB$48,$AF$48,E802=$AB$49,$AF$49,E802=$AB$50,$AF$50,E802=$AB$51,$AF$51,E802=$AB$52,$AF$52,E802=$AB$53,$AF$53,E802=$AB$54,$AF$54,E802=$AB$55,$AF$55,E802=$AB$56,$AF$56,E802=$AB$57,$AF$57,E802=$AB$58,$AF$58,E802=$AB$59,$AF$59,E802=$AB$60,$AF$60,E802=$AB$61,$AF$61,E802=$AB$62,$AF$62,E802=$AB$63,$AF$63,E802=$AB$64,$AF$64,E802=$AB$65,$AF$65,E802=$AB$66,$AF$66,TRUE,"0")</f>
        <v>B4 match BACK FT +1.5 goals. X AFTER  GOAL</v>
      </c>
      <c r="D802" s="270" t="str" cm="1">
        <f t="array" ref="D802">_xlfn.IFS(E802=$AB$42,$AD$42,E802=$AB$43,$AD$43,E802=$AB$44,$AD$44,E802=$AB$45,$AD$45,E802=$AB$46,$AD$46,E802=$AB$47,$AD$47,E802=$AB$48,$AD$48,E802=$AB$49,$AD$49,E802=$AB$50,$AD$50,E802=$AB$51,$AD$51,E802=$AB$52,$AD$52,E802=$AB$53,$AD$53,E802=$AB$54,$AD$54,E802=$AB$55,$AD$55,E802=$AB$56,$AD$56,E802=$AB$57,$AD$57,E802=$AB$58,$AD$58,E802=$AB$59,$AD$59,E802=$AB$60,$AD$60,E802=$AB$61,$AD$61,E802=$AB$62,$AD$62,E802=$AB$63,$AD$63,E802=$AB$64,$AD$64,E802=$AB$65,$AD$65,E802=$AB$66,$AD$66,TRUE,"0")</f>
        <v xml:space="preserve">BFM </v>
      </c>
      <c r="E802" s="163" t="s">
        <v>531</v>
      </c>
      <c r="F802" s="2" t="s">
        <v>6</v>
      </c>
      <c r="G802" s="2" t="s">
        <v>62</v>
      </c>
      <c r="H802" s="3">
        <v>45388.520833333336</v>
      </c>
      <c r="I802" s="2" t="s">
        <v>66</v>
      </c>
      <c r="J802" s="2" t="s">
        <v>72</v>
      </c>
      <c r="K802" s="2">
        <v>5.0999999999999996</v>
      </c>
      <c r="L802" s="2">
        <v>28</v>
      </c>
      <c r="M802" s="2">
        <v>3</v>
      </c>
      <c r="N802" s="2">
        <v>35</v>
      </c>
      <c r="O802" s="2">
        <v>1</v>
      </c>
      <c r="P802" s="2">
        <v>14</v>
      </c>
      <c r="Q802" s="2" t="s">
        <v>95</v>
      </c>
      <c r="R802" s="10" t="s">
        <v>216</v>
      </c>
      <c r="S802" s="14" t="s">
        <v>365</v>
      </c>
      <c r="T802" s="188">
        <v>1000</v>
      </c>
      <c r="U802" s="8">
        <f t="shared" si="94"/>
        <v>180</v>
      </c>
      <c r="V802" s="234">
        <f t="shared" ref="V802:V844" si="99">SUM(V801,U802)</f>
        <v>54144.155246160299</v>
      </c>
      <c r="W802" s="15">
        <v>25</v>
      </c>
      <c r="X802" s="8">
        <f t="shared" si="97"/>
        <v>4.5</v>
      </c>
      <c r="Y802" s="233">
        <f t="shared" si="98"/>
        <v>3219.5</v>
      </c>
    </row>
    <row r="803" spans="1:30">
      <c r="A803" s="156" t="e" cm="1">
        <f t="array" aca="1" ref="A803" ca="1">_xlfn.IFS(E803=$AB$42,$AC$42,E803=$AB$43,$AC$43,E803=$AB$44,$AC$44,E803=$AB$45,$AC$45,E803=$AB$46,$AC$46,E803=$AB$47,$AC$47,E803=$AB$48,$AC$48,E803=$AB$49,$AC$49,E803=$AB$50,$AC$50,E803=$AB$51,$AC$51,E803=$AB$52,$AC$52,E803=$AB$53,$AC$53,E803=$AB$54,$AC$54,E803=$AB$55,$AC$55,E803=$AB$56,$AC$56,E803=$AB$57,$AC$57,E803=$AB$58,$AC$58,E803=$AB$59,$AC$59,E803=$AB$60,$AC$60,E803=$AB$61,$AC$61,E803=$AB$62,$AC$62,E803=$AB$63,$AC$63,E803=$AB$64,$AC$64,E803=$AB$65,$AC$65,E803=$AB$66,$AC$66,TRUE,"0")</f>
        <v>#NAME?</v>
      </c>
      <c r="C803" s="161" t="str" cm="1">
        <f t="array" ref="C803">_xlfn.IFS(E803=$AB$42,$AF$42,E803=$AB$43,$AF$43,E803=$AB$44,$AF$44,E803=$AB$45,$AF$45,E803=$AB$46,$AF$46,E803=$AB$47,$AF$47,E803=$AB$48,$AF$48,E803=$AB$49,$AF$49,E803=$AB$50,$AF$50,E803=$AB$51,$AF$51,E803=$AB$52,$AF$52,E803=$AB$53,$AF$53,E803=$AB$54,$AF$54,E803=$AB$55,$AF$55,E803=$AB$56,$AF$56,E803=$AB$57,$AF$57,E803=$AB$58,$AF$58,E803=$AB$59,$AF$59,E803=$AB$60,$AF$60,E803=$AB$61,$AF$61,E803=$AB$62,$AF$62,E803=$AB$63,$AF$63,E803=$AB$64,$AF$64,E803=$AB$65,$AF$65,E803=$AB$66,$AF$66,TRUE,"0")</f>
        <v>B4 match BACK FT +1.5 goals. X AFTER  GOAL</v>
      </c>
      <c r="D803" s="270" t="str" cm="1">
        <f t="array" ref="D803">_xlfn.IFS(E803=$AB$42,$AD$42,E803=$AB$43,$AD$43,E803=$AB$44,$AD$44,E803=$AB$45,$AD$45,E803=$AB$46,$AD$46,E803=$AB$47,$AD$47,E803=$AB$48,$AD$48,E803=$AB$49,$AD$49,E803=$AB$50,$AD$50,E803=$AB$51,$AD$51,E803=$AB$52,$AD$52,E803=$AB$53,$AD$53,E803=$AB$54,$AD$54,E803=$AB$55,$AD$55,E803=$AB$56,$AD$56,E803=$AB$57,$AD$57,E803=$AB$58,$AD$58,E803=$AB$59,$AD$59,E803=$AB$60,$AD$60,E803=$AB$61,$AD$61,E803=$AB$62,$AD$62,E803=$AB$63,$AD$63,E803=$AB$64,$AD$64,E803=$AB$65,$AD$65,E803=$AB$66,$AD$66,TRUE,"0")</f>
        <v xml:space="preserve">BFM </v>
      </c>
      <c r="E803" s="163" t="s">
        <v>623</v>
      </c>
      <c r="F803" s="2" t="s">
        <v>20</v>
      </c>
      <c r="G803" s="2" t="s">
        <v>21</v>
      </c>
      <c r="H803" s="3">
        <v>45388.583333333336</v>
      </c>
      <c r="I803" s="2" t="s">
        <v>109</v>
      </c>
      <c r="J803" s="2" t="s">
        <v>98</v>
      </c>
      <c r="K803" s="2">
        <v>5.4</v>
      </c>
      <c r="L803" s="2">
        <v>20</v>
      </c>
      <c r="M803" s="2">
        <v>2.2000000000000002</v>
      </c>
      <c r="N803" s="2">
        <v>36</v>
      </c>
      <c r="O803" s="2">
        <v>0</v>
      </c>
      <c r="P803" s="2">
        <v>10</v>
      </c>
      <c r="Q803" s="2" t="s">
        <v>95</v>
      </c>
      <c r="R803" s="10" t="s">
        <v>220</v>
      </c>
      <c r="S803" s="14" t="s">
        <v>207</v>
      </c>
      <c r="T803" s="188">
        <v>1000</v>
      </c>
      <c r="U803" s="8">
        <f t="shared" si="94"/>
        <v>180</v>
      </c>
      <c r="V803" s="234">
        <f t="shared" si="99"/>
        <v>54324.155246160299</v>
      </c>
      <c r="W803" s="15">
        <v>25</v>
      </c>
      <c r="X803" s="8">
        <f t="shared" si="97"/>
        <v>4.5</v>
      </c>
      <c r="Y803" s="233">
        <f t="shared" si="98"/>
        <v>3224</v>
      </c>
    </row>
    <row r="804" spans="1:30">
      <c r="A804" s="156" t="e" cm="1">
        <f t="array" aca="1" ref="A804" ca="1">_xlfn.IFS(E804=$AB$42,$AC$42,E804=$AB$43,$AC$43,E804=$AB$44,$AC$44,E804=$AB$45,$AC$45,E804=$AB$46,$AC$46,E804=$AB$47,$AC$47,E804=$AB$48,$AC$48,E804=$AB$49,$AC$49,E804=$AB$50,$AC$50,E804=$AB$51,$AC$51,E804=$AB$52,$AC$52,E804=$AB$53,$AC$53,E804=$AB$54,$AC$54,E804=$AB$55,$AC$55,E804=$AB$56,$AC$56,E804=$AB$57,$AC$57,E804=$AB$58,$AC$58,E804=$AB$59,$AC$59,E804=$AB$60,$AC$60,E804=$AB$61,$AC$61,E804=$AB$62,$AC$62,E804=$AB$63,$AC$63,E804=$AB$64,$AC$64,E804=$AB$65,$AC$65,E804=$AB$66,$AC$66,TRUE,"0")</f>
        <v>#NAME?</v>
      </c>
      <c r="C804" s="161" t="str" cm="1">
        <f t="array" ref="C804">_xlfn.IFS(E804=$AB$42,$AF$42,E804=$AB$43,$AF$43,E804=$AB$44,$AF$44,E804=$AB$45,$AF$45,E804=$AB$46,$AF$46,E804=$AB$47,$AF$47,E804=$AB$48,$AF$48,E804=$AB$49,$AF$49,E804=$AB$50,$AF$50,E804=$AB$51,$AF$51,E804=$AB$52,$AF$52,E804=$AB$53,$AF$53,E804=$AB$54,$AF$54,E804=$AB$55,$AF$55,E804=$AB$56,$AF$56,E804=$AB$57,$AF$57,E804=$AB$58,$AF$58,E804=$AB$59,$AF$59,E804=$AB$60,$AF$60,E804=$AB$61,$AF$61,E804=$AB$62,$AF$62,E804=$AB$63,$AF$63,E804=$AB$64,$AF$64,E804=$AB$65,$AF$65,E804=$AB$66,$AF$66,TRUE,"0")</f>
        <v>B4 MATCH bet H1 'under 2.5goals'- X at 40 minutes</v>
      </c>
      <c r="D804" s="270" t="str" cm="1">
        <f t="array" ref="D804">_xlfn.IFS(E804=$AB$42,$AD$42,E804=$AB$43,$AD$43,E804=$AB$44,$AD$44,E804=$AB$45,$AD$45,E804=$AB$46,$AD$46,E804=$AB$47,$AD$47,E804=$AB$48,$AD$48,E804=$AB$49,$AD$49,E804=$AB$50,$AD$50,E804=$AB$51,$AD$51,E804=$AB$52,$AD$52,E804=$AB$53,$AD$53,E804=$AB$54,$AD$54,E804=$AB$55,$AD$55,E804=$AB$56,$AD$56,E804=$AB$57,$AD$57,E804=$AB$58,$AD$58,E804=$AB$59,$AD$59,E804=$AB$60,$AD$60,E804=$AB$61,$AD$61,E804=$AB$62,$AD$62,E804=$AB$63,$AD$63,E804=$AB$64,$AD$64,E804=$AB$65,$AD$65,E804=$AB$66,$AD$66,TRUE,"0")</f>
        <v xml:space="preserve">BFM </v>
      </c>
      <c r="E804" s="164" t="s">
        <v>458</v>
      </c>
      <c r="F804" s="2" t="s">
        <v>58</v>
      </c>
      <c r="G804" s="2" t="s">
        <v>289</v>
      </c>
      <c r="H804" s="3">
        <v>45388.583333333336</v>
      </c>
      <c r="I804" s="2" t="s">
        <v>688</v>
      </c>
      <c r="J804" s="2" t="s">
        <v>689</v>
      </c>
      <c r="K804" s="2">
        <v>20</v>
      </c>
      <c r="L804" s="2">
        <v>80</v>
      </c>
      <c r="M804" s="2">
        <v>100</v>
      </c>
      <c r="N804" s="2">
        <v>42</v>
      </c>
      <c r="O804" s="2">
        <v>1.85</v>
      </c>
      <c r="P804" s="2"/>
      <c r="Q804" s="2" t="s">
        <v>95</v>
      </c>
      <c r="R804" s="10" t="s">
        <v>221</v>
      </c>
      <c r="S804" s="14" t="s">
        <v>221</v>
      </c>
      <c r="T804" s="188">
        <v>1000</v>
      </c>
      <c r="U804" s="8">
        <f t="shared" si="94"/>
        <v>180</v>
      </c>
      <c r="V804" s="234">
        <f t="shared" si="99"/>
        <v>54504.155246160299</v>
      </c>
      <c r="W804" s="15">
        <v>25</v>
      </c>
      <c r="X804" s="8">
        <f t="shared" si="97"/>
        <v>4.5</v>
      </c>
      <c r="Y804" s="233">
        <f t="shared" si="98"/>
        <v>3228.5</v>
      </c>
    </row>
    <row r="805" spans="1:30">
      <c r="A805" s="156" t="e" cm="1">
        <f t="array" aca="1" ref="A805" ca="1">_xlfn.IFS(E805=$AB$42,$AC$42,E805=$AB$43,$AC$43,E805=$AB$44,$AC$44,E805=$AB$45,$AC$45,E805=$AB$46,$AC$46,E805=$AB$47,$AC$47,E805=$AB$48,$AC$48,E805=$AB$49,$AC$49,E805=$AB$50,$AC$50,E805=$AB$51,$AC$51,E805=$AB$52,$AC$52,E805=$AB$53,$AC$53,E805=$AB$54,$AC$54,E805=$AB$55,$AC$55,E805=$AB$56,$AC$56,E805=$AB$57,$AC$57,E805=$AB$58,$AC$58,E805=$AB$59,$AC$59,E805=$AB$60,$AC$60,E805=$AB$61,$AC$61,E805=$AB$62,$AC$62,E805=$AB$63,$AC$63,E805=$AB$64,$AC$64,E805=$AB$65,$AC$65,E805=$AB$66,$AC$66,TRUE,"0")</f>
        <v>#NAME?</v>
      </c>
      <c r="C805" s="161" t="str" cm="1">
        <f t="array" ref="C805">_xlfn.IFS(E805=$AB$42,$AF$42,E805=$AB$43,$AF$43,E805=$AB$44,$AF$44,E805=$AB$45,$AF$45,E805=$AB$46,$AF$46,E805=$AB$47,$AF$47,E805=$AB$48,$AF$48,E805=$AB$49,$AF$49,E805=$AB$50,$AF$50,E805=$AB$51,$AF$51,E805=$AB$52,$AF$52,E805=$AB$53,$AF$53,E805=$AB$54,$AF$54,E805=$AB$55,$AF$55,E805=$AB$56,$AF$56,E805=$AB$57,$AF$57,E805=$AB$58,$AF$58,E805=$AB$59,$AF$59,E805=$AB$60,$AF$60,E805=$AB$61,$AF$61,E805=$AB$62,$AF$62,E805=$AB$63,$AF$63,E805=$AB$64,$AF$64,E805=$AB$65,$AF$65,E805=$AB$66,$AF$66,TRUE,"0")</f>
        <v>B4 match BACK FT +1.5 goals. X AFTER  GOAL</v>
      </c>
      <c r="D805" s="270" t="str" cm="1">
        <f t="array" ref="D805">_xlfn.IFS(E805=$AB$42,$AD$42,E805=$AB$43,$AD$43,E805=$AB$44,$AD$44,E805=$AB$45,$AD$45,E805=$AB$46,$AD$46,E805=$AB$47,$AD$47,E805=$AB$48,$AD$48,E805=$AB$49,$AD$49,E805=$AB$50,$AD$50,E805=$AB$51,$AD$51,E805=$AB$52,$AD$52,E805=$AB$53,$AD$53,E805=$AB$54,$AD$54,E805=$AB$55,$AD$55,E805=$AB$56,$AD$56,E805=$AB$57,$AD$57,E805=$AB$58,$AD$58,E805=$AB$59,$AD$59,E805=$AB$60,$AD$60,E805=$AB$61,$AD$61,E805=$AB$62,$AD$62,E805=$AB$63,$AD$63,E805=$AB$64,$AD$64,E805=$AB$65,$AD$65,E805=$AB$66,$AD$66,TRUE,"0")</f>
        <v xml:space="preserve">BFM </v>
      </c>
      <c r="E805" s="163" t="s">
        <v>531</v>
      </c>
      <c r="F805" s="2" t="s">
        <v>77</v>
      </c>
      <c r="G805" s="2" t="s">
        <v>156</v>
      </c>
      <c r="H805" s="3">
        <v>45388.604166666664</v>
      </c>
      <c r="I805" s="2" t="s">
        <v>260</v>
      </c>
      <c r="J805" s="2" t="s">
        <v>157</v>
      </c>
      <c r="K805" s="2">
        <v>3.6</v>
      </c>
      <c r="L805" s="2">
        <v>26</v>
      </c>
      <c r="M805" s="2">
        <v>3.62</v>
      </c>
      <c r="N805" s="2">
        <v>23</v>
      </c>
      <c r="O805" s="2">
        <v>4</v>
      </c>
      <c r="P805" s="2">
        <v>13</v>
      </c>
      <c r="Q805" s="2" t="s">
        <v>95</v>
      </c>
      <c r="R805" s="10" t="s">
        <v>217</v>
      </c>
      <c r="S805" s="14" t="s">
        <v>209</v>
      </c>
      <c r="T805" s="188">
        <v>1000</v>
      </c>
      <c r="U805" s="8">
        <f t="shared" si="94"/>
        <v>180</v>
      </c>
      <c r="V805" s="234">
        <f t="shared" si="99"/>
        <v>54684.155246160299</v>
      </c>
      <c r="W805" s="15">
        <v>25</v>
      </c>
      <c r="X805" s="8">
        <f t="shared" si="97"/>
        <v>4.5</v>
      </c>
      <c r="Y805" s="233">
        <f t="shared" si="98"/>
        <v>3233</v>
      </c>
    </row>
    <row r="806" spans="1:30">
      <c r="A806" s="156" t="e" cm="1">
        <f t="array" aca="1" ref="A806" ca="1">_xlfn.IFS(E806=$AB$42,$AC$42,E806=$AB$43,$AC$43,E806=$AB$44,$AC$44,E806=$AB$45,$AC$45,E806=$AB$46,$AC$46,E806=$AB$47,$AC$47,E806=$AB$48,$AC$48,E806=$AB$49,$AC$49,E806=$AB$50,$AC$50,E806=$AB$51,$AC$51,E806=$AB$52,$AC$52,E806=$AB$53,$AC$53,E806=$AB$54,$AC$54,E806=$AB$55,$AC$55,E806=$AB$56,$AC$56,E806=$AB$57,$AC$57,E806=$AB$58,$AC$58,E806=$AB$59,$AC$59,E806=$AB$60,$AC$60,E806=$AB$61,$AC$61,E806=$AB$62,$AC$62,E806=$AB$63,$AC$63,E806=$AB$64,$AC$64,E806=$AB$65,$AC$65,E806=$AB$66,$AC$66,TRUE,"0")</f>
        <v>#NAME?</v>
      </c>
      <c r="C806" s="161" t="str" cm="1">
        <f t="array" ref="C806">_xlfn.IFS(E806=$AB$42,$AF$42,E806=$AB$43,$AF$43,E806=$AB$44,$AF$44,E806=$AB$45,$AF$45,E806=$AB$46,$AF$46,E806=$AB$47,$AF$47,E806=$AB$48,$AF$48,E806=$AB$49,$AF$49,E806=$AB$50,$AF$50,E806=$AB$51,$AF$51,E806=$AB$52,$AF$52,E806=$AB$53,$AF$53,E806=$AB$54,$AF$54,E806=$AB$55,$AF$55,E806=$AB$56,$AF$56,E806=$AB$57,$AF$57,E806=$AB$58,$AF$58,E806=$AB$59,$AF$59,E806=$AB$60,$AF$60,E806=$AB$61,$AF$61,E806=$AB$62,$AF$62,E806=$AB$63,$AF$63,E806=$AB$64,$AF$64,E806=$AB$65,$AF$65,E806=$AB$66,$AF$66,TRUE,"0")</f>
        <v>20mins if  0-0, BACK over 1.5 goals X after goal OR LET RUN</v>
      </c>
      <c r="D806" s="270" t="str" cm="1">
        <f t="array" ref="D806">_xlfn.IFS(E806=$AB$42,$AD$42,E806=$AB$43,$AD$43,E806=$AB$44,$AD$44,E806=$AB$45,$AD$45,E806=$AB$46,$AD$46,E806=$AB$47,$AD$47,E806=$AB$48,$AD$48,E806=$AB$49,$AD$49,E806=$AB$50,$AD$50,E806=$AB$51,$AD$51,E806=$AB$52,$AD$52,E806=$AB$53,$AD$53,E806=$AB$54,$AD$54,E806=$AB$55,$AD$55,E806=$AB$56,$AD$56,E806=$AB$57,$AD$57,E806=$AB$58,$AD$58,E806=$AB$59,$AD$59,E806=$AB$60,$AD$60,E806=$AB$61,$AD$61,E806=$AB$62,$AD$62,E806=$AB$63,$AD$63,E806=$AB$64,$AD$64,E806=$AB$65,$AD$65,E806=$AB$66,$AD$66,TRUE,"0")</f>
        <v>IP</v>
      </c>
      <c r="E806" s="163" t="s">
        <v>474</v>
      </c>
      <c r="F806" s="2" t="s">
        <v>77</v>
      </c>
      <c r="G806" s="2" t="s">
        <v>156</v>
      </c>
      <c r="H806" s="3">
        <v>45388.604166666664</v>
      </c>
      <c r="I806" s="2" t="s">
        <v>260</v>
      </c>
      <c r="J806" s="2" t="s">
        <v>157</v>
      </c>
      <c r="K806" s="2">
        <v>50</v>
      </c>
      <c r="L806" s="2">
        <v>3.55</v>
      </c>
      <c r="M806" s="2">
        <v>20</v>
      </c>
      <c r="N806" s="2">
        <v>70</v>
      </c>
      <c r="O806" s="2">
        <v>85</v>
      </c>
      <c r="P806" s="2"/>
      <c r="Q806" s="2" t="s">
        <v>95</v>
      </c>
      <c r="R806" s="10" t="s">
        <v>217</v>
      </c>
      <c r="S806" s="14" t="s">
        <v>209</v>
      </c>
      <c r="T806" s="188">
        <v>1000</v>
      </c>
      <c r="U806" s="8">
        <f t="shared" si="94"/>
        <v>180</v>
      </c>
      <c r="V806" s="234">
        <f t="shared" si="99"/>
        <v>54864.155246160299</v>
      </c>
      <c r="W806" s="15">
        <v>25</v>
      </c>
      <c r="X806" s="8">
        <f t="shared" si="97"/>
        <v>4.5</v>
      </c>
      <c r="Y806" s="233">
        <f t="shared" si="98"/>
        <v>3237.5</v>
      </c>
    </row>
    <row r="807" spans="1:30">
      <c r="A807" s="156" t="e" cm="1">
        <f t="array" aca="1" ref="A807" ca="1">_xlfn.IFS(E807=$AB$42,$AC$42,E807=$AB$43,$AC$43,E807=$AB$44,$AC$44,E807=$AB$45,$AC$45,E807=$AB$46,$AC$46,E807=$AB$47,$AC$47,E807=$AB$48,$AC$48,E807=$AB$49,$AC$49,E807=$AB$50,$AC$50,E807=$AB$51,$AC$51,E807=$AB$52,$AC$52,E807=$AB$53,$AC$53,E807=$AB$54,$AC$54,E807=$AB$55,$AC$55,E807=$AB$56,$AC$56,E807=$AB$57,$AC$57,E807=$AB$58,$AC$58,E807=$AB$59,$AC$59,E807=$AB$60,$AC$60,E807=$AB$61,$AC$61,E807=$AB$62,$AC$62,E807=$AB$63,$AC$63,E807=$AB$64,$AC$64,E807=$AB$65,$AC$65,E807=$AB$66,$AC$66,TRUE,"0")</f>
        <v>#NAME?</v>
      </c>
      <c r="C807" s="161" t="str" cm="1">
        <f t="array" ref="C807">_xlfn.IFS(E807=$AB$42,$AF$42,E807=$AB$43,$AF$43,E807=$AB$44,$AF$44,E807=$AB$45,$AF$45,E807=$AB$46,$AF$46,E807=$AB$47,$AF$47,E807=$AB$48,$AF$48,E807=$AB$49,$AF$49,E807=$AB$50,$AF$50,E807=$AB$51,$AF$51,E807=$AB$52,$AF$52,E807=$AB$53,$AF$53,E807=$AB$54,$AF$54,E807=$AB$55,$AF$55,E807=$AB$56,$AF$56,E807=$AB$57,$AF$57,E807=$AB$58,$AF$58,E807=$AB$59,$AF$59,E807=$AB$60,$AF$60,E807=$AB$61,$AF$61,E807=$AB$62,$AF$62,E807=$AB$63,$AF$63,E807=$AB$64,$AF$64,E807=$AB$65,$AF$65,E807=$AB$66,$AF$66,TRUE,"0")</f>
        <v>B4 match BACK FT +1.5 goals. X AFTER  GOAL</v>
      </c>
      <c r="D807" s="270" t="str" cm="1">
        <f t="array" ref="D807">_xlfn.IFS(E807=$AB$42,$AD$42,E807=$AB$43,$AD$43,E807=$AB$44,$AD$44,E807=$AB$45,$AD$45,E807=$AB$46,$AD$46,E807=$AB$47,$AD$47,E807=$AB$48,$AD$48,E807=$AB$49,$AD$49,E807=$AB$50,$AD$50,E807=$AB$51,$AD$51,E807=$AB$52,$AD$52,E807=$AB$53,$AD$53,E807=$AB$54,$AD$54,E807=$AB$55,$AD$55,E807=$AB$56,$AD$56,E807=$AB$57,$AD$57,E807=$AB$58,$AD$58,E807=$AB$59,$AD$59,E807=$AB$60,$AD$60,E807=$AB$61,$AD$61,E807=$AB$62,$AD$62,E807=$AB$63,$AD$63,E807=$AB$64,$AD$64,E807=$AB$65,$AD$65,E807=$AB$66,$AD$66,TRUE,"0")</f>
        <v xml:space="preserve">BFM </v>
      </c>
      <c r="E807" s="163" t="s">
        <v>531</v>
      </c>
      <c r="F807" s="2" t="s">
        <v>77</v>
      </c>
      <c r="G807" s="2" t="s">
        <v>156</v>
      </c>
      <c r="H807" s="3">
        <v>45388.604166666664</v>
      </c>
      <c r="I807" s="2" t="s">
        <v>477</v>
      </c>
      <c r="J807" s="2" t="s">
        <v>181</v>
      </c>
      <c r="K807" s="2">
        <v>5.7</v>
      </c>
      <c r="L807" s="2">
        <v>26</v>
      </c>
      <c r="M807" s="2">
        <v>3.69</v>
      </c>
      <c r="N807" s="2">
        <v>30</v>
      </c>
      <c r="O807" s="2">
        <v>3</v>
      </c>
      <c r="P807" s="2">
        <v>13</v>
      </c>
      <c r="Q807" s="2" t="s">
        <v>95</v>
      </c>
      <c r="R807" s="10" t="s">
        <v>218</v>
      </c>
      <c r="S807" s="14" t="s">
        <v>225</v>
      </c>
      <c r="T807" s="188">
        <v>1000</v>
      </c>
      <c r="U807" s="8">
        <f t="shared" si="94"/>
        <v>180</v>
      </c>
      <c r="V807" s="234">
        <f>SUM(V806,U807)</f>
        <v>55044.155246160299</v>
      </c>
      <c r="W807" s="15">
        <v>25</v>
      </c>
      <c r="X807" s="8">
        <f t="shared" si="97"/>
        <v>4.5</v>
      </c>
      <c r="Y807" s="233">
        <f t="shared" si="98"/>
        <v>3242</v>
      </c>
    </row>
    <row r="808" spans="1:30">
      <c r="A808" s="156" t="e" cm="1">
        <f t="array" aca="1" ref="A808" ca="1">_xlfn.IFS(E808=$AB$42,$AC$42,E808=$AB$43,$AC$43,E808=$AB$44,$AC$44,E808=$AB$45,$AC$45,E808=$AB$46,$AC$46,E808=$AB$47,$AC$47,E808=$AB$48,$AC$48,E808=$AB$49,$AC$49,E808=$AB$50,$AC$50,E808=$AB$51,$AC$51,E808=$AB$52,$AC$52,E808=$AB$53,$AC$53,E808=$AB$54,$AC$54,E808=$AB$55,$AC$55,E808=$AB$56,$AC$56,E808=$AB$57,$AC$57,E808=$AB$58,$AC$58,E808=$AB$59,$AC$59,E808=$AB$60,$AC$60,E808=$AB$61,$AC$61,E808=$AB$62,$AC$62,E808=$AB$63,$AC$63,E808=$AB$64,$AC$64,E808=$AB$65,$AC$65,E808=$AB$66,$AC$66,TRUE,"0")</f>
        <v>#NAME?</v>
      </c>
      <c r="C808" s="161" t="str" cm="1">
        <f t="array" ref="C808">_xlfn.IFS(E808=$AB$42,$AF$42,E808=$AB$43,$AF$43,E808=$AB$44,$AF$44,E808=$AB$45,$AF$45,E808=$AB$46,$AF$46,E808=$AB$47,$AF$47,E808=$AB$48,$AF$48,E808=$AB$49,$AF$49,E808=$AB$50,$AF$50,E808=$AB$51,$AF$51,E808=$AB$52,$AF$52,E808=$AB$53,$AF$53,E808=$AB$54,$AF$54,E808=$AB$55,$AF$55,E808=$AB$56,$AF$56,E808=$AB$57,$AF$57,E808=$AB$58,$AF$58,E808=$AB$59,$AF$59,E808=$AB$60,$AF$60,E808=$AB$61,$AF$61,E808=$AB$62,$AF$62,E808=$AB$63,$AF$63,E808=$AB$64,$AF$64,E808=$AB$65,$AF$65,E808=$AB$66,$AF$66,TRUE,"0")</f>
        <v>10mins if  0-0, BACK over 1.5 goals X after goal OR LET RUN</v>
      </c>
      <c r="D808" s="270" t="str" cm="1">
        <f t="array" ref="D808">_xlfn.IFS(E808=$AB$42,$AD$42,E808=$AB$43,$AD$43,E808=$AB$44,$AD$44,E808=$AB$45,$AD$45,E808=$AB$46,$AD$46,E808=$AB$47,$AD$47,E808=$AB$48,$AD$48,E808=$AB$49,$AD$49,E808=$AB$50,$AD$50,E808=$AB$51,$AD$51,E808=$AB$52,$AD$52,E808=$AB$53,$AD$53,E808=$AB$54,$AD$54,E808=$AB$55,$AD$55,E808=$AB$56,$AD$56,E808=$AB$57,$AD$57,E808=$AB$58,$AD$58,E808=$AB$59,$AD$59,E808=$AB$60,$AD$60,E808=$AB$61,$AD$61,E808=$AB$62,$AD$62,E808=$AB$63,$AD$63,E808=$AB$64,$AD$64,E808=$AB$65,$AD$65,E808=$AB$66,$AD$66,TRUE,"0")</f>
        <v>IP</v>
      </c>
      <c r="E808" s="163" t="s">
        <v>498</v>
      </c>
      <c r="F808" s="2" t="s">
        <v>13</v>
      </c>
      <c r="G808" s="2" t="s">
        <v>11</v>
      </c>
      <c r="H808" s="3">
        <v>45388.625</v>
      </c>
      <c r="I808" s="2" t="s">
        <v>615</v>
      </c>
      <c r="J808" s="2" t="s">
        <v>543</v>
      </c>
      <c r="K808" s="2">
        <v>67</v>
      </c>
      <c r="L808" s="2">
        <v>85</v>
      </c>
      <c r="M808" s="2">
        <v>2</v>
      </c>
      <c r="N808" s="2">
        <v>20</v>
      </c>
      <c r="O808" s="2"/>
      <c r="P808" s="2"/>
      <c r="Q808" s="2" t="s">
        <v>95</v>
      </c>
      <c r="R808" s="10" t="s">
        <v>193</v>
      </c>
      <c r="S808" s="14" t="s">
        <v>211</v>
      </c>
      <c r="T808" s="188">
        <v>1000</v>
      </c>
      <c r="U808" s="8">
        <f t="shared" si="94"/>
        <v>180</v>
      </c>
      <c r="V808" s="234">
        <f t="shared" si="99"/>
        <v>55224.155246160299</v>
      </c>
      <c r="W808" s="15">
        <v>25</v>
      </c>
      <c r="X808" s="8">
        <f t="shared" si="97"/>
        <v>4.5</v>
      </c>
      <c r="Y808" s="233">
        <f t="shared" si="98"/>
        <v>3246.5</v>
      </c>
    </row>
    <row r="809" spans="1:30">
      <c r="A809" s="156" t="e" cm="1">
        <f t="array" aca="1" ref="A809" ca="1">_xlfn.IFS(E809=$AB$42,$AC$42,E809=$AB$43,$AC$43,E809=$AB$44,$AC$44,E809=$AB$45,$AC$45,E809=$AB$46,$AC$46,E809=$AB$47,$AC$47,E809=$AB$48,$AC$48,E809=$AB$49,$AC$49,E809=$AB$50,$AC$50,E809=$AB$51,$AC$51,E809=$AB$52,$AC$52,E809=$AB$53,$AC$53,E809=$AB$54,$AC$54,E809=$AB$55,$AC$55,E809=$AB$56,$AC$56,E809=$AB$57,$AC$57,E809=$AB$58,$AC$58,E809=$AB$59,$AC$59,E809=$AB$60,$AC$60,E809=$AB$61,$AC$61,E809=$AB$62,$AC$62,E809=$AB$63,$AC$63,E809=$AB$64,$AC$64,E809=$AB$65,$AC$65,E809=$AB$66,$AC$66,TRUE,"0")</f>
        <v>#NAME?</v>
      </c>
      <c r="C809" s="161" t="str" cm="1">
        <f t="array" ref="C809">_xlfn.IFS(E809=$AB$42,$AF$42,E809=$AB$43,$AF$43,E809=$AB$44,$AF$44,E809=$AB$45,$AF$45,E809=$AB$46,$AF$46,E809=$AB$47,$AF$47,E809=$AB$48,$AF$48,E809=$AB$49,$AF$49,E809=$AB$50,$AF$50,E809=$AB$51,$AF$51,E809=$AB$52,$AF$52,E809=$AB$53,$AF$53,E809=$AB$54,$AF$54,E809=$AB$55,$AF$55,E809=$AB$56,$AF$56,E809=$AB$57,$AF$57,E809=$AB$58,$AF$58,E809=$AB$59,$AF$59,E809=$AB$60,$AF$60,E809=$AB$61,$AF$61,E809=$AB$62,$AF$62,E809=$AB$63,$AF$63,E809=$AB$64,$AF$64,E809=$AB$65,$AF$65,E809=$AB$66,$AF$66,TRUE,"0")</f>
        <v>B4 match BACK FT +1.5 goals. X AFTER  GOAL</v>
      </c>
      <c r="D809" s="270" t="str" cm="1">
        <f t="array" ref="D809">_xlfn.IFS(E809=$AB$42,$AD$42,E809=$AB$43,$AD$43,E809=$AB$44,$AD$44,E809=$AB$45,$AD$45,E809=$AB$46,$AD$46,E809=$AB$47,$AD$47,E809=$AB$48,$AD$48,E809=$AB$49,$AD$49,E809=$AB$50,$AD$50,E809=$AB$51,$AD$51,E809=$AB$52,$AD$52,E809=$AB$53,$AD$53,E809=$AB$54,$AD$54,E809=$AB$55,$AD$55,E809=$AB$56,$AD$56,E809=$AB$57,$AD$57,E809=$AB$58,$AD$58,E809=$AB$59,$AD$59,E809=$AB$60,$AD$60,E809=$AB$61,$AD$61,E809=$AB$62,$AD$62,E809=$AB$63,$AD$63,E809=$AB$64,$AD$64,E809=$AB$65,$AD$65,E809=$AB$66,$AD$66,TRUE,"0")</f>
        <v xml:space="preserve">BFM </v>
      </c>
      <c r="E809" s="163" t="s">
        <v>623</v>
      </c>
      <c r="F809" s="2" t="s">
        <v>6</v>
      </c>
      <c r="G809" s="2" t="s">
        <v>7</v>
      </c>
      <c r="H809" s="3">
        <v>45388.625</v>
      </c>
      <c r="I809" s="2" t="s">
        <v>418</v>
      </c>
      <c r="J809" s="2" t="s">
        <v>163</v>
      </c>
      <c r="K809" s="2">
        <v>6</v>
      </c>
      <c r="L809" s="2">
        <v>20</v>
      </c>
      <c r="M809" s="2">
        <v>2.85</v>
      </c>
      <c r="N809" s="2">
        <v>28</v>
      </c>
      <c r="O809" s="2">
        <v>0</v>
      </c>
      <c r="P809" s="2">
        <v>10</v>
      </c>
      <c r="Q809" s="2" t="s">
        <v>95</v>
      </c>
      <c r="R809" s="10" t="s">
        <v>217</v>
      </c>
      <c r="S809" s="14" t="s">
        <v>217</v>
      </c>
      <c r="T809" s="188">
        <v>1000</v>
      </c>
      <c r="U809" s="8">
        <f t="shared" si="94"/>
        <v>180</v>
      </c>
      <c r="V809" s="234">
        <f t="shared" si="99"/>
        <v>55404.155246160299</v>
      </c>
      <c r="W809" s="15">
        <v>25</v>
      </c>
      <c r="X809" s="8">
        <f t="shared" si="97"/>
        <v>4.5</v>
      </c>
      <c r="Y809" s="233">
        <f t="shared" si="98"/>
        <v>3251</v>
      </c>
    </row>
    <row r="810" spans="1:30">
      <c r="A810" s="156" t="e" cm="1">
        <f t="array" aca="1" ref="A810" ca="1">_xlfn.IFS(E810=$AB$42,$AC$42,E810=$AB$43,$AC$43,E810=$AB$44,$AC$44,E810=$AB$45,$AC$45,E810=$AB$46,$AC$46,E810=$AB$47,$AC$47,E810=$AB$48,$AC$48,E810=$AB$49,$AC$49,E810=$AB$50,$AC$50,E810=$AB$51,$AC$51,E810=$AB$52,$AC$52,E810=$AB$53,$AC$53,E810=$AB$54,$AC$54,E810=$AB$55,$AC$55,E810=$AB$56,$AC$56,E810=$AB$57,$AC$57,E810=$AB$58,$AC$58,E810=$AB$59,$AC$59,E810=$AB$60,$AC$60,E810=$AB$61,$AC$61,E810=$AB$62,$AC$62,E810=$AB$63,$AC$63,E810=$AB$64,$AC$64,E810=$AB$65,$AC$65,E810=$AB$66,$AC$66,TRUE,"0")</f>
        <v>#NAME?</v>
      </c>
      <c r="C810" s="161" t="str" cm="1">
        <f t="array" ref="C810">_xlfn.IFS(E810=$AB$42,$AF$42,E810=$AB$43,$AF$43,E810=$AB$44,$AF$44,E810=$AB$45,$AF$45,E810=$AB$46,$AF$46,E810=$AB$47,$AF$47,E810=$AB$48,$AF$48,E810=$AB$49,$AF$49,E810=$AB$50,$AF$50,E810=$AB$51,$AF$51,E810=$AB$52,$AF$52,E810=$AB$53,$AF$53,E810=$AB$54,$AF$54,E810=$AB$55,$AF$55,E810=$AB$56,$AF$56,E810=$AB$57,$AF$57,E810=$AB$58,$AF$58,E810=$AB$59,$AF$59,E810=$AB$60,$AF$60,E810=$AB$61,$AF$61,E810=$AB$62,$AF$62,E810=$AB$63,$AF$63,E810=$AB$64,$AF$64,E810=$AB$65,$AF$65,E810=$AB$66,$AF$66,TRUE,"0")</f>
        <v>B4 match BACK FT +1.5 goals. X AFTER  GOAL</v>
      </c>
      <c r="D810" s="270" t="str" cm="1">
        <f t="array" ref="D810">_xlfn.IFS(E810=$AB$42,$AD$42,E810=$AB$43,$AD$43,E810=$AB$44,$AD$44,E810=$AB$45,$AD$45,E810=$AB$46,$AD$46,E810=$AB$47,$AD$47,E810=$AB$48,$AD$48,E810=$AB$49,$AD$49,E810=$AB$50,$AD$50,E810=$AB$51,$AD$51,E810=$AB$52,$AD$52,E810=$AB$53,$AD$53,E810=$AB$54,$AD$54,E810=$AB$55,$AD$55,E810=$AB$56,$AD$56,E810=$AB$57,$AD$57,E810=$AB$58,$AD$58,E810=$AB$59,$AD$59,E810=$AB$60,$AD$60,E810=$AB$61,$AD$61,E810=$AB$62,$AD$62,E810=$AB$63,$AD$63,E810=$AB$64,$AD$64,E810=$AB$65,$AD$65,E810=$AB$66,$AD$66,TRUE,"0")</f>
        <v xml:space="preserve">BFM </v>
      </c>
      <c r="E810" s="163" t="s">
        <v>623</v>
      </c>
      <c r="F810" s="2" t="s">
        <v>6</v>
      </c>
      <c r="G810" s="2" t="s">
        <v>11</v>
      </c>
      <c r="H810" s="3">
        <v>45388.625</v>
      </c>
      <c r="I810" s="2" t="s">
        <v>198</v>
      </c>
      <c r="J810" s="2" t="s">
        <v>694</v>
      </c>
      <c r="K810" s="2">
        <v>4.5</v>
      </c>
      <c r="L810" s="2">
        <v>20</v>
      </c>
      <c r="M810" s="2">
        <v>2.6</v>
      </c>
      <c r="N810" s="2">
        <v>24</v>
      </c>
      <c r="O810" s="2">
        <v>1</v>
      </c>
      <c r="P810" s="2">
        <v>10</v>
      </c>
      <c r="Q810" s="2" t="s">
        <v>95</v>
      </c>
      <c r="R810" s="10" t="s">
        <v>214</v>
      </c>
      <c r="S810" s="14" t="s">
        <v>214</v>
      </c>
      <c r="T810" s="188">
        <v>1000</v>
      </c>
      <c r="U810" s="8">
        <f t="shared" si="94"/>
        <v>180</v>
      </c>
      <c r="V810" s="234">
        <f t="shared" si="99"/>
        <v>55584.155246160299</v>
      </c>
      <c r="W810" s="15">
        <v>25</v>
      </c>
      <c r="X810" s="8">
        <f t="shared" si="97"/>
        <v>4.5</v>
      </c>
      <c r="Y810" s="233">
        <f t="shared" si="98"/>
        <v>3255.5</v>
      </c>
    </row>
    <row r="811" spans="1:30">
      <c r="A811" s="156" t="e" cm="1">
        <f t="array" aca="1" ref="A811" ca="1">_xlfn.IFS(E811=$AB$42,$AC$42,E811=$AB$43,$AC$43,E811=$AB$44,$AC$44,E811=$AB$45,$AC$45,E811=$AB$46,$AC$46,E811=$AB$47,$AC$47,E811=$AB$48,$AC$48,E811=$AB$49,$AC$49,E811=$AB$50,$AC$50,E811=$AB$51,$AC$51,E811=$AB$52,$AC$52,E811=$AB$53,$AC$53,E811=$AB$54,$AC$54,E811=$AB$55,$AC$55,E811=$AB$56,$AC$56,E811=$AB$57,$AC$57,E811=$AB$58,$AC$58,E811=$AB$59,$AC$59,E811=$AB$60,$AC$60,E811=$AB$61,$AC$61,E811=$AB$62,$AC$62,E811=$AB$63,$AC$63,E811=$AB$64,$AC$64,E811=$AB$65,$AC$65,E811=$AB$66,$AC$66,TRUE,"0")</f>
        <v>#NAME?</v>
      </c>
      <c r="C811" s="161" t="str" cm="1">
        <f t="array" ref="C811">_xlfn.IFS(E811=$AB$42,$AF$42,E811=$AB$43,$AF$43,E811=$AB$44,$AF$44,E811=$AB$45,$AF$45,E811=$AB$46,$AF$46,E811=$AB$47,$AF$47,E811=$AB$48,$AF$48,E811=$AB$49,$AF$49,E811=$AB$50,$AF$50,E811=$AB$51,$AF$51,E811=$AB$52,$AF$52,E811=$AB$53,$AF$53,E811=$AB$54,$AF$54,E811=$AB$55,$AF$55,E811=$AB$56,$AF$56,E811=$AB$57,$AF$57,E811=$AB$58,$AF$58,E811=$AB$59,$AF$59,E811=$AB$60,$AF$60,E811=$AB$61,$AF$61,E811=$AB$62,$AF$62,E811=$AB$63,$AF$63,E811=$AB$64,$AF$64,E811=$AB$65,$AF$65,E811=$AB$66,$AF$66,TRUE,"0")</f>
        <v>if 0-0, BACK+ 0.5 GOALS  @ 1.15+odds.  or @ 40 mins</v>
      </c>
      <c r="D811" s="270" t="str" cm="1">
        <f t="array" ref="D811">_xlfn.IFS(E811=$AB$42,$AD$42,E811=$AB$43,$AD$43,E811=$AB$44,$AD$44,E811=$AB$45,$AD$45,E811=$AB$46,$AD$46,E811=$AB$47,$AD$47,E811=$AB$48,$AD$48,E811=$AB$49,$AD$49,E811=$AB$50,$AD$50,E811=$AB$51,$AD$51,E811=$AB$52,$AD$52,E811=$AB$53,$AD$53,E811=$AB$54,$AD$54,E811=$AB$55,$AD$55,E811=$AB$56,$AD$56,E811=$AB$57,$AD$57,E811=$AB$58,$AD$58,E811=$AB$59,$AD$59,E811=$AB$60,$AD$60,E811=$AB$61,$AD$61,E811=$AB$62,$AD$62,E811=$AB$63,$AD$63,E811=$AB$64,$AD$64,E811=$AB$65,$AD$65,E811=$AB$66,$AD$66,TRUE,"0")</f>
        <v>IP</v>
      </c>
      <c r="E811" s="163" t="s">
        <v>270</v>
      </c>
      <c r="F811" s="2" t="s">
        <v>13</v>
      </c>
      <c r="G811" s="2" t="s">
        <v>14</v>
      </c>
      <c r="H811" s="3">
        <v>45388.625</v>
      </c>
      <c r="I811" s="2" t="s">
        <v>130</v>
      </c>
      <c r="J811" s="2" t="s">
        <v>16</v>
      </c>
      <c r="K811" s="2">
        <v>59</v>
      </c>
      <c r="L811" s="2">
        <v>0</v>
      </c>
      <c r="M811" s="2">
        <v>20</v>
      </c>
      <c r="N811" s="2">
        <v>25</v>
      </c>
      <c r="O811" s="2">
        <v>0</v>
      </c>
      <c r="P811" s="2"/>
      <c r="Q811" s="2" t="s">
        <v>95</v>
      </c>
      <c r="R811" s="10" t="s">
        <v>193</v>
      </c>
      <c r="S811" s="14" t="s">
        <v>216</v>
      </c>
      <c r="T811" s="188">
        <v>1000</v>
      </c>
      <c r="U811" s="8">
        <f t="shared" si="94"/>
        <v>180</v>
      </c>
      <c r="V811" s="234">
        <f t="shared" si="99"/>
        <v>55764.155246160299</v>
      </c>
      <c r="W811" s="15">
        <v>25</v>
      </c>
      <c r="X811" s="8">
        <f t="shared" si="97"/>
        <v>4.5</v>
      </c>
      <c r="Y811" s="233">
        <f t="shared" si="98"/>
        <v>3260</v>
      </c>
    </row>
    <row r="812" spans="1:30">
      <c r="A812" s="156" t="e" cm="1">
        <f t="array" aca="1" ref="A812" ca="1">_xlfn.IFS(E812=$AB$42,$AC$42,E812=$AB$43,$AC$43,E812=$AB$44,$AC$44,E812=$AB$45,$AC$45,E812=$AB$46,$AC$46,E812=$AB$47,$AC$47,E812=$AB$48,$AC$48,E812=$AB$49,$AC$49,E812=$AB$50,$AC$50,E812=$AB$51,$AC$51,E812=$AB$52,$AC$52,E812=$AB$53,$AC$53,E812=$AB$54,$AC$54,E812=$AB$55,$AC$55,E812=$AB$56,$AC$56,E812=$AB$57,$AC$57,E812=$AB$58,$AC$58,E812=$AB$59,$AC$59,E812=$AB$60,$AC$60,E812=$AB$61,$AC$61,E812=$AB$62,$AC$62,E812=$AB$63,$AC$63,E812=$AB$64,$AC$64,E812=$AB$65,$AC$65,E812=$AB$66,$AC$66,TRUE,"0")</f>
        <v>#NAME?</v>
      </c>
      <c r="C812" s="161" t="str" cm="1">
        <f t="array" ref="C812">_xlfn.IFS(E812=$AB$42,$AF$42,E812=$AB$43,$AF$43,E812=$AB$44,$AF$44,E812=$AB$45,$AF$45,E812=$AB$46,$AF$46,E812=$AB$47,$AF$47,E812=$AB$48,$AF$48,E812=$AB$49,$AF$49,E812=$AB$50,$AF$50,E812=$AB$51,$AF$51,E812=$AB$52,$AF$52,E812=$AB$53,$AF$53,E812=$AB$54,$AF$54,E812=$AB$55,$AF$55,E812=$AB$56,$AF$56,E812=$AB$57,$AF$57,E812=$AB$58,$AF$58,E812=$AB$59,$AF$59,E812=$AB$60,$AF$60,E812=$AB$61,$AF$61,E812=$AB$62,$AF$62,E812=$AB$63,$AF$63,E812=$AB$64,$AF$64,E812=$AB$65,$AF$65,E812=$AB$66,$AF$66,TRUE,"0")</f>
        <v>B4 match BACK FT +1.5 goals. X AFTER  GOAL</v>
      </c>
      <c r="D812" s="270" t="str" cm="1">
        <f t="array" ref="D812">_xlfn.IFS(E812=$AB$42,$AD$42,E812=$AB$43,$AD$43,E812=$AB$44,$AD$44,E812=$AB$45,$AD$45,E812=$AB$46,$AD$46,E812=$AB$47,$AD$47,E812=$AB$48,$AD$48,E812=$AB$49,$AD$49,E812=$AB$50,$AD$50,E812=$AB$51,$AD$51,E812=$AB$52,$AD$52,E812=$AB$53,$AD$53,E812=$AB$54,$AD$54,E812=$AB$55,$AD$55,E812=$AB$56,$AD$56,E812=$AB$57,$AD$57,E812=$AB$58,$AD$58,E812=$AB$59,$AD$59,E812=$AB$60,$AD$60,E812=$AB$61,$AD$61,E812=$AB$62,$AD$62,E812=$AB$63,$AD$63,E812=$AB$64,$AD$64,E812=$AB$65,$AD$65,E812=$AB$66,$AD$66,TRUE,"0")</f>
        <v xml:space="preserve">BFM </v>
      </c>
      <c r="E812" s="163" t="s">
        <v>406</v>
      </c>
      <c r="F812" s="2" t="s">
        <v>6</v>
      </c>
      <c r="G812" s="2" t="s">
        <v>14</v>
      </c>
      <c r="H812" s="3">
        <v>45388.625</v>
      </c>
      <c r="I812" s="2" t="s">
        <v>290</v>
      </c>
      <c r="J812" s="2" t="s">
        <v>680</v>
      </c>
      <c r="K812" s="2">
        <v>1.34</v>
      </c>
      <c r="L812" s="2">
        <v>10</v>
      </c>
      <c r="M812" s="2">
        <v>3.05</v>
      </c>
      <c r="N812" s="2">
        <v>4.4000000000000004</v>
      </c>
      <c r="O812" s="2">
        <v>2.71</v>
      </c>
      <c r="P812" s="2"/>
      <c r="Q812" s="2" t="s">
        <v>95</v>
      </c>
      <c r="R812" s="10" t="s">
        <v>216</v>
      </c>
      <c r="S812" s="14" t="s">
        <v>222</v>
      </c>
      <c r="T812" s="188">
        <v>1000</v>
      </c>
      <c r="U812" s="8">
        <f t="shared" si="94"/>
        <v>180</v>
      </c>
      <c r="V812" s="234">
        <f t="shared" si="99"/>
        <v>55944.155246160299</v>
      </c>
      <c r="W812" s="15">
        <v>25</v>
      </c>
      <c r="X812" s="8">
        <f t="shared" si="97"/>
        <v>4.5</v>
      </c>
      <c r="Y812" s="233">
        <f t="shared" si="98"/>
        <v>3264.5</v>
      </c>
    </row>
    <row r="813" spans="1:30">
      <c r="A813" s="156" t="e" cm="1">
        <f t="array" aca="1" ref="A813" ca="1">_xlfn.IFS(E813=$AB$42,$AC$42,E813=$AB$43,$AC$43,E813=$AB$44,$AC$44,E813=$AB$45,$AC$45,E813=$AB$46,$AC$46,E813=$AB$47,$AC$47,E813=$AB$48,$AC$48,E813=$AB$49,$AC$49,E813=$AB$50,$AC$50,E813=$AB$51,$AC$51,E813=$AB$52,$AC$52,E813=$AB$53,$AC$53,E813=$AB$54,$AC$54,E813=$AB$55,$AC$55,E813=$AB$56,$AC$56,E813=$AB$57,$AC$57,E813=$AB$58,$AC$58,E813=$AB$59,$AC$59,E813=$AB$60,$AC$60,E813=$AB$61,$AC$61,E813=$AB$62,$AC$62,E813=$AB$63,$AC$63,E813=$AB$64,$AC$64,E813=$AB$65,$AC$65,E813=$AB$66,$AC$66,TRUE,"0")</f>
        <v>#NAME?</v>
      </c>
      <c r="C813" s="161" t="str" cm="1">
        <f t="array" ref="C813">_xlfn.IFS(E813=$AB$42,$AF$42,E813=$AB$43,$AF$43,E813=$AB$44,$AF$44,E813=$AB$45,$AF$45,E813=$AB$46,$AF$46,E813=$AB$47,$AF$47,E813=$AB$48,$AF$48,E813=$AB$49,$AF$49,E813=$AB$50,$AF$50,E813=$AB$51,$AF$51,E813=$AB$52,$AF$52,E813=$AB$53,$AF$53,E813=$AB$54,$AF$54,E813=$AB$55,$AF$55,E813=$AB$56,$AF$56,E813=$AB$57,$AF$57,E813=$AB$58,$AF$58,E813=$AB$59,$AF$59,E813=$AB$60,$AF$60,E813=$AB$61,$AF$61,E813=$AB$62,$AF$62,E813=$AB$63,$AF$63,E813=$AB$64,$AF$64,E813=$AB$65,$AF$65,E813=$AB$66,$AF$66,TRUE,"0")</f>
        <v>B4 match BACK FT +1.5 goals. X AFTER  GOAL</v>
      </c>
      <c r="D813" s="270" t="str" cm="1">
        <f t="array" ref="D813">_xlfn.IFS(E813=$AB$42,$AD$42,E813=$AB$43,$AD$43,E813=$AB$44,$AD$44,E813=$AB$45,$AD$45,E813=$AB$46,$AD$46,E813=$AB$47,$AD$47,E813=$AB$48,$AD$48,E813=$AB$49,$AD$49,E813=$AB$50,$AD$50,E813=$AB$51,$AD$51,E813=$AB$52,$AD$52,E813=$AB$53,$AD$53,E813=$AB$54,$AD$54,E813=$AB$55,$AD$55,E813=$AB$56,$AD$56,E813=$AB$57,$AD$57,E813=$AB$58,$AD$58,E813=$AB$59,$AD$59,E813=$AB$60,$AD$60,E813=$AB$61,$AD$61,E813=$AB$62,$AD$62,E813=$AB$63,$AD$63,E813=$AB$64,$AD$64,E813=$AB$65,$AD$65,E813=$AB$66,$AD$66,TRUE,"0")</f>
        <v xml:space="preserve">BFM </v>
      </c>
      <c r="E813" s="163" t="s">
        <v>623</v>
      </c>
      <c r="F813" s="2" t="s">
        <v>6</v>
      </c>
      <c r="G813" s="2" t="s">
        <v>14</v>
      </c>
      <c r="H813" s="3">
        <v>45388.625</v>
      </c>
      <c r="I813" s="2" t="s">
        <v>290</v>
      </c>
      <c r="J813" s="2" t="s">
        <v>680</v>
      </c>
      <c r="K813" s="2">
        <v>4.4000000000000004</v>
      </c>
      <c r="L813" s="2">
        <v>20</v>
      </c>
      <c r="M813" s="2">
        <v>3.05</v>
      </c>
      <c r="N813" s="2">
        <v>33</v>
      </c>
      <c r="O813" s="2">
        <v>2</v>
      </c>
      <c r="P813" s="2">
        <v>10</v>
      </c>
      <c r="Q813" s="2" t="s">
        <v>95</v>
      </c>
      <c r="R813" s="10" t="s">
        <v>216</v>
      </c>
      <c r="S813" s="14" t="s">
        <v>222</v>
      </c>
      <c r="T813" s="188">
        <v>1000</v>
      </c>
      <c r="U813" s="8">
        <f t="shared" si="94"/>
        <v>180</v>
      </c>
      <c r="V813" s="234">
        <f t="shared" si="99"/>
        <v>56124.155246160299</v>
      </c>
      <c r="W813" s="15">
        <v>25</v>
      </c>
      <c r="X813" s="8">
        <f t="shared" si="97"/>
        <v>4.5</v>
      </c>
      <c r="Y813" s="233">
        <f t="shared" si="98"/>
        <v>3269</v>
      </c>
    </row>
    <row r="814" spans="1:30">
      <c r="A814" s="156" t="e" cm="1">
        <f t="array" aca="1" ref="A814" ca="1">_xlfn.IFS(E814=$AB$42,$AC$42,E814=$AB$43,$AC$43,E814=$AB$44,$AC$44,E814=$AB$45,$AC$45,E814=$AB$46,$AC$46,E814=$AB$47,$AC$47,E814=$AB$48,$AC$48,E814=$AB$49,$AC$49,E814=$AB$50,$AC$50,E814=$AB$51,$AC$51,E814=$AB$52,$AC$52,E814=$AB$53,$AC$53,E814=$AB$54,$AC$54,E814=$AB$55,$AC$55,E814=$AB$56,$AC$56,E814=$AB$57,$AC$57,E814=$AB$58,$AC$58,E814=$AB$59,$AC$59,E814=$AB$60,$AC$60,E814=$AB$61,$AC$61,E814=$AB$62,$AC$62,E814=$AB$63,$AC$63,E814=$AB$64,$AC$64,E814=$AB$65,$AC$65,E814=$AB$66,$AC$66,TRUE,"0")</f>
        <v>#NAME?</v>
      </c>
      <c r="C814" s="161" t="str" cm="1">
        <f t="array" ref="C814">_xlfn.IFS(E814=$AB$42,$AF$42,E814=$AB$43,$AF$43,E814=$AB$44,$AF$44,E814=$AB$45,$AF$45,E814=$AB$46,$AF$46,E814=$AB$47,$AF$47,E814=$AB$48,$AF$48,E814=$AB$49,$AF$49,E814=$AB$50,$AF$50,E814=$AB$51,$AF$51,E814=$AB$52,$AF$52,E814=$AB$53,$AF$53,E814=$AB$54,$AF$54,E814=$AB$55,$AF$55,E814=$AB$56,$AF$56,E814=$AB$57,$AF$57,E814=$AB$58,$AF$58,E814=$AB$59,$AF$59,E814=$AB$60,$AF$60,E814=$AB$61,$AF$61,E814=$AB$62,$AF$62,E814=$AB$63,$AF$63,E814=$AB$64,$AF$64,E814=$AB$65,$AF$65,E814=$AB$66,$AF$66,TRUE,"0")</f>
        <v>if 0-0, BACK+ 0.5 GOALS  @ 1.15+odds.  or @ 40 mins</v>
      </c>
      <c r="D814" s="270" t="str" cm="1">
        <f t="array" ref="D814">_xlfn.IFS(E814=$AB$42,$AD$42,E814=$AB$43,$AD$43,E814=$AB$44,$AD$44,E814=$AB$45,$AD$45,E814=$AB$46,$AD$46,E814=$AB$47,$AD$47,E814=$AB$48,$AD$48,E814=$AB$49,$AD$49,E814=$AB$50,$AD$50,E814=$AB$51,$AD$51,E814=$AB$52,$AD$52,E814=$AB$53,$AD$53,E814=$AB$54,$AD$54,E814=$AB$55,$AD$55,E814=$AB$56,$AD$56,E814=$AB$57,$AD$57,E814=$AB$58,$AD$58,E814=$AB$59,$AD$59,E814=$AB$60,$AD$60,E814=$AB$61,$AD$61,E814=$AB$62,$AD$62,E814=$AB$63,$AD$63,E814=$AB$64,$AD$64,E814=$AB$65,$AD$65,E814=$AB$66,$AD$66,TRUE,"0")</f>
        <v>IP</v>
      </c>
      <c r="E814" s="163" t="s">
        <v>270</v>
      </c>
      <c r="F814" s="2" t="s">
        <v>6</v>
      </c>
      <c r="G814" s="2" t="s">
        <v>14</v>
      </c>
      <c r="H814" s="3">
        <v>45388.625</v>
      </c>
      <c r="I814" s="2" t="s">
        <v>290</v>
      </c>
      <c r="J814" s="2" t="s">
        <v>680</v>
      </c>
      <c r="K814" s="2">
        <v>62</v>
      </c>
      <c r="L814" s="2">
        <v>0</v>
      </c>
      <c r="M814" s="2">
        <v>20</v>
      </c>
      <c r="N814" s="2">
        <v>33</v>
      </c>
      <c r="O814" s="2">
        <v>2.71</v>
      </c>
      <c r="P814" s="2"/>
      <c r="Q814" s="2" t="s">
        <v>95</v>
      </c>
      <c r="R814" s="10" t="s">
        <v>216</v>
      </c>
      <c r="S814" s="14" t="s">
        <v>222</v>
      </c>
      <c r="T814" s="188">
        <v>1000</v>
      </c>
      <c r="U814" s="8">
        <f t="shared" ref="U814:U847" si="100">IF(Q814="won",T814*0.18,-T814)</f>
        <v>180</v>
      </c>
      <c r="V814" s="234">
        <f t="shared" si="99"/>
        <v>56304.155246160299</v>
      </c>
      <c r="W814" s="15">
        <v>25</v>
      </c>
      <c r="X814" s="8">
        <f t="shared" si="97"/>
        <v>4.5</v>
      </c>
      <c r="Y814" s="233">
        <f t="shared" si="98"/>
        <v>3273.5</v>
      </c>
    </row>
    <row r="815" spans="1:30">
      <c r="A815" s="156" t="e" cm="1">
        <f t="array" aca="1" ref="A815" ca="1">_xlfn.IFS(E815=$AB$42,$AC$42,E815=$AB$43,$AC$43,E815=$AB$44,$AC$44,E815=$AB$45,$AC$45,E815=$AB$46,$AC$46,E815=$AB$47,$AC$47,E815=$AB$48,$AC$48,E815=$AB$49,$AC$49,E815=$AB$50,$AC$50,E815=$AB$51,$AC$51,E815=$AB$52,$AC$52,E815=$AB$53,$AC$53,E815=$AB$54,$AC$54,E815=$AB$55,$AC$55,E815=$AB$56,$AC$56,E815=$AB$57,$AC$57,E815=$AB$58,$AC$58,E815=$AB$59,$AC$59,E815=$AB$60,$AC$60,E815=$AB$61,$AC$61,E815=$AB$62,$AC$62,E815=$AB$63,$AC$63,E815=$AB$64,$AC$64,E815=$AB$65,$AC$65,E815=$AB$66,$AC$66,TRUE,"0")</f>
        <v>#NAME?</v>
      </c>
      <c r="C815" s="161" t="str" cm="1">
        <f t="array" ref="C815">_xlfn.IFS(E815=$AB$42,$AF$42,E815=$AB$43,$AF$43,E815=$AB$44,$AF$44,E815=$AB$45,$AF$45,E815=$AB$46,$AF$46,E815=$AB$47,$AF$47,E815=$AB$48,$AF$48,E815=$AB$49,$AF$49,E815=$AB$50,$AF$50,E815=$AB$51,$AF$51,E815=$AB$52,$AF$52,E815=$AB$53,$AF$53,E815=$AB$54,$AF$54,E815=$AB$55,$AF$55,E815=$AB$56,$AF$56,E815=$AB$57,$AF$57,E815=$AB$58,$AF$58,E815=$AB$59,$AF$59,E815=$AB$60,$AF$60,E815=$AB$61,$AF$61,E815=$AB$62,$AF$62,E815=$AB$63,$AF$63,E815=$AB$64,$AF$64,E815=$AB$65,$AF$65,E815=$AB$66,$AF$66,TRUE,"0")</f>
        <v>if 0-0, BACK+ 0.5 GOALS  @ 1.15+odds.  or @ 40 mins</v>
      </c>
      <c r="D815" s="270" t="str" cm="1">
        <f t="array" ref="D815">_xlfn.IFS(E815=$AB$42,$AD$42,E815=$AB$43,$AD$43,E815=$AB$44,$AD$44,E815=$AB$45,$AD$45,E815=$AB$46,$AD$46,E815=$AB$47,$AD$47,E815=$AB$48,$AD$48,E815=$AB$49,$AD$49,E815=$AB$50,$AD$50,E815=$AB$51,$AD$51,E815=$AB$52,$AD$52,E815=$AB$53,$AD$53,E815=$AB$54,$AD$54,E815=$AB$55,$AD$55,E815=$AB$56,$AD$56,E815=$AB$57,$AD$57,E815=$AB$58,$AD$58,E815=$AB$59,$AD$59,E815=$AB$60,$AD$60,E815=$AB$61,$AD$61,E815=$AB$62,$AD$62,E815=$AB$63,$AD$63,E815=$AB$64,$AD$64,E815=$AB$65,$AD$65,E815=$AB$66,$AD$66,TRUE,"0")</f>
        <v>IP</v>
      </c>
      <c r="E815" s="163" t="s">
        <v>270</v>
      </c>
      <c r="F815" s="2" t="s">
        <v>67</v>
      </c>
      <c r="G815" s="2" t="s">
        <v>169</v>
      </c>
      <c r="H815" s="3">
        <v>45388.625</v>
      </c>
      <c r="I815" s="2" t="s">
        <v>681</v>
      </c>
      <c r="J815" s="2" t="s">
        <v>203</v>
      </c>
      <c r="K815" s="2">
        <v>62</v>
      </c>
      <c r="L815" s="2">
        <v>0</v>
      </c>
      <c r="M815" s="2">
        <v>20</v>
      </c>
      <c r="N815" s="2">
        <v>31</v>
      </c>
      <c r="O815" s="2">
        <v>2.48</v>
      </c>
      <c r="P815" s="2"/>
      <c r="Q815" s="2" t="s">
        <v>95</v>
      </c>
      <c r="R815" s="10" t="s">
        <v>218</v>
      </c>
      <c r="S815" s="14" t="s">
        <v>225</v>
      </c>
      <c r="T815" s="188">
        <v>1000</v>
      </c>
      <c r="U815" s="8">
        <f t="shared" si="100"/>
        <v>180</v>
      </c>
      <c r="V815" s="234">
        <f t="shared" si="99"/>
        <v>56484.155246160299</v>
      </c>
      <c r="W815" s="15">
        <v>25</v>
      </c>
      <c r="X815" s="8">
        <f t="shared" si="97"/>
        <v>4.5</v>
      </c>
      <c r="Y815" s="233">
        <f t="shared" si="98"/>
        <v>3278</v>
      </c>
    </row>
    <row r="816" spans="1:30">
      <c r="A816" s="156" t="e" cm="1">
        <f t="array" aca="1" ref="A816" ca="1">_xlfn.IFS(E816=$AB$42,$AC$42,E816=$AB$43,$AC$43,E816=$AB$44,$AC$44,E816=$AB$45,$AC$45,E816=$AB$46,$AC$46,E816=$AB$47,$AC$47,E816=$AB$48,$AC$48,E816=$AB$49,$AC$49,E816=$AB$50,$AC$50,E816=$AB$51,$AC$51,E816=$AB$52,$AC$52,E816=$AB$53,$AC$53,E816=$AB$54,$AC$54,E816=$AB$55,$AC$55,E816=$AB$56,$AC$56,E816=$AB$57,$AC$57,E816=$AB$58,$AC$58,E816=$AB$59,$AC$59,E816=$AB$60,$AC$60,E816=$AB$61,$AC$61,E816=$AB$62,$AC$62,E816=$AB$63,$AC$63,E816=$AB$64,$AC$64,E816=$AB$65,$AC$65,E816=$AB$66,$AC$66,TRUE,"0")</f>
        <v>#NAME?</v>
      </c>
      <c r="C816" s="161" t="str" cm="1">
        <f t="array" ref="C816">_xlfn.IFS(E816=$AB$42,$AF$42,E816=$AB$43,$AF$43,E816=$AB$44,$AF$44,E816=$AB$45,$AF$45,E816=$AB$46,$AF$46,E816=$AB$47,$AF$47,E816=$AB$48,$AF$48,E816=$AB$49,$AF$49,E816=$AB$50,$AF$50,E816=$AB$51,$AF$51,E816=$AB$52,$AF$52,E816=$AB$53,$AF$53,E816=$AB$54,$AF$54,E816=$AB$55,$AF$55,E816=$AB$56,$AF$56,E816=$AB$57,$AF$57,E816=$AB$58,$AF$58,E816=$AB$59,$AF$59,E816=$AB$60,$AF$60,E816=$AB$61,$AF$61,E816=$AB$62,$AF$62,E816=$AB$63,$AF$63,E816=$AB$64,$AF$64,E816=$AB$65,$AF$65,E816=$AB$66,$AF$66,TRUE,"0")</f>
        <v>if 0-0, BACK+ 0.5 GOALS  @ 1.15+odds.  or @ 40 mins</v>
      </c>
      <c r="D816" s="270" t="str" cm="1">
        <f t="array" ref="D816">_xlfn.IFS(E816=$AB$42,$AD$42,E816=$AB$43,$AD$43,E816=$AB$44,$AD$44,E816=$AB$45,$AD$45,E816=$AB$46,$AD$46,E816=$AB$47,$AD$47,E816=$AB$48,$AD$48,E816=$AB$49,$AD$49,E816=$AB$50,$AD$50,E816=$AB$51,$AD$51,E816=$AB$52,$AD$52,E816=$AB$53,$AD$53,E816=$AB$54,$AD$54,E816=$AB$55,$AD$55,E816=$AB$56,$AD$56,E816=$AB$57,$AD$57,E816=$AB$58,$AD$58,E816=$AB$59,$AD$59,E816=$AB$60,$AD$60,E816=$AB$61,$AD$61,E816=$AB$62,$AD$62,E816=$AB$63,$AD$63,E816=$AB$64,$AD$64,E816=$AB$65,$AD$65,E816=$AB$66,$AD$66,TRUE,"0")</f>
        <v>IP</v>
      </c>
      <c r="E816" s="163" t="s">
        <v>270</v>
      </c>
      <c r="F816" s="2" t="s">
        <v>6</v>
      </c>
      <c r="G816" s="2" t="s">
        <v>62</v>
      </c>
      <c r="H816" s="3">
        <v>45388.625</v>
      </c>
      <c r="I816" s="2" t="s">
        <v>86</v>
      </c>
      <c r="J816" s="2" t="s">
        <v>117</v>
      </c>
      <c r="K816" s="2">
        <v>59</v>
      </c>
      <c r="L816" s="2">
        <v>0</v>
      </c>
      <c r="M816" s="2">
        <v>20</v>
      </c>
      <c r="N816" s="2">
        <v>23</v>
      </c>
      <c r="O816" s="2">
        <v>3.08</v>
      </c>
      <c r="P816" s="2"/>
      <c r="Q816" s="2" t="s">
        <v>95</v>
      </c>
      <c r="R816" s="10" t="s">
        <v>221</v>
      </c>
      <c r="S816" s="14" t="s">
        <v>222</v>
      </c>
      <c r="T816" s="188">
        <v>1000</v>
      </c>
      <c r="U816" s="8">
        <f t="shared" si="100"/>
        <v>180</v>
      </c>
      <c r="V816" s="234">
        <f t="shared" si="99"/>
        <v>56664.155246160299</v>
      </c>
      <c r="W816" s="15">
        <v>25</v>
      </c>
      <c r="X816" s="8">
        <f t="shared" si="97"/>
        <v>4.5</v>
      </c>
      <c r="Y816" s="233">
        <f t="shared" si="98"/>
        <v>3282.5</v>
      </c>
    </row>
    <row r="817" spans="1:25">
      <c r="A817" s="156" t="e" cm="1">
        <f t="array" aca="1" ref="A817" ca="1">_xlfn.IFS(E817=$AB$42,$AC$42,E817=$AB$43,$AC$43,E817=$AB$44,$AC$44,E817=$AB$45,$AC$45,E817=$AB$46,$AC$46,E817=$AB$47,$AC$47,E817=$AB$48,$AC$48,E817=$AB$49,$AC$49,E817=$AB$50,$AC$50,E817=$AB$51,$AC$51,E817=$AB$52,$AC$52,E817=$AB$53,$AC$53,E817=$AB$54,$AC$54,E817=$AB$55,$AC$55,E817=$AB$56,$AC$56,E817=$AB$57,$AC$57,E817=$AB$58,$AC$58,E817=$AB$59,$AC$59,E817=$AB$60,$AC$60,E817=$AB$61,$AC$61,E817=$AB$62,$AC$62,E817=$AB$63,$AC$63,E817=$AB$64,$AC$64,E817=$AB$65,$AC$65,E817=$AB$66,$AC$66,TRUE,"0")</f>
        <v>#NAME?</v>
      </c>
      <c r="C817" s="161" t="str" cm="1">
        <f t="array" ref="C817">_xlfn.IFS(E817=$AB$42,$AF$42,E817=$AB$43,$AF$43,E817=$AB$44,$AF$44,E817=$AB$45,$AF$45,E817=$AB$46,$AF$46,E817=$AB$47,$AF$47,E817=$AB$48,$AF$48,E817=$AB$49,$AF$49,E817=$AB$50,$AF$50,E817=$AB$51,$AF$51,E817=$AB$52,$AF$52,E817=$AB$53,$AF$53,E817=$AB$54,$AF$54,E817=$AB$55,$AF$55,E817=$AB$56,$AF$56,E817=$AB$57,$AF$57,E817=$AB$58,$AF$58,E817=$AB$59,$AF$59,E817=$AB$60,$AF$60,E817=$AB$61,$AF$61,E817=$AB$62,$AF$62,E817=$AB$63,$AF$63,E817=$AB$64,$AF$64,E817=$AB$65,$AF$65,E817=$AB$66,$AF$66,TRUE,"0")</f>
        <v>B4 match BACK FT +1.5 goals. X AFTER  GOAL</v>
      </c>
      <c r="D817" s="270" t="str" cm="1">
        <f t="array" ref="D817">_xlfn.IFS(E817=$AB$42,$AD$42,E817=$AB$43,$AD$43,E817=$AB$44,$AD$44,E817=$AB$45,$AD$45,E817=$AB$46,$AD$46,E817=$AB$47,$AD$47,E817=$AB$48,$AD$48,E817=$AB$49,$AD$49,E817=$AB$50,$AD$50,E817=$AB$51,$AD$51,E817=$AB$52,$AD$52,E817=$AB$53,$AD$53,E817=$AB$54,$AD$54,E817=$AB$55,$AD$55,E817=$AB$56,$AD$56,E817=$AB$57,$AD$57,E817=$AB$58,$AD$58,E817=$AB$59,$AD$59,E817=$AB$60,$AD$60,E817=$AB$61,$AD$61,E817=$AB$62,$AD$62,E817=$AB$63,$AD$63,E817=$AB$64,$AD$64,E817=$AB$65,$AD$65,E817=$AB$66,$AD$66,TRUE,"0")</f>
        <v xml:space="preserve">BFM </v>
      </c>
      <c r="E817" s="163" t="s">
        <v>623</v>
      </c>
      <c r="F817" s="2" t="s">
        <v>6</v>
      </c>
      <c r="G817" s="2" t="s">
        <v>7</v>
      </c>
      <c r="H817" s="3">
        <v>45388.625</v>
      </c>
      <c r="I817" s="2" t="s">
        <v>307</v>
      </c>
      <c r="J817" s="2" t="s">
        <v>55</v>
      </c>
      <c r="K817" s="2">
        <v>4.7</v>
      </c>
      <c r="L817" s="2">
        <v>20</v>
      </c>
      <c r="M817" s="2">
        <v>3</v>
      </c>
      <c r="N817" s="2">
        <v>23</v>
      </c>
      <c r="O817" s="2">
        <v>2</v>
      </c>
      <c r="P817" s="2">
        <v>10</v>
      </c>
      <c r="Q817" s="2" t="s">
        <v>95</v>
      </c>
      <c r="R817" s="10" t="s">
        <v>217</v>
      </c>
      <c r="S817" s="14" t="s">
        <v>225</v>
      </c>
      <c r="T817" s="188">
        <v>1000</v>
      </c>
      <c r="U817" s="8">
        <f t="shared" si="100"/>
        <v>180</v>
      </c>
      <c r="V817" s="234">
        <f t="shared" si="99"/>
        <v>56844.155246160299</v>
      </c>
      <c r="W817" s="15">
        <v>25</v>
      </c>
      <c r="X817" s="8">
        <f t="shared" si="97"/>
        <v>4.5</v>
      </c>
      <c r="Y817" s="233">
        <f t="shared" si="98"/>
        <v>3287</v>
      </c>
    </row>
    <row r="818" spans="1:25">
      <c r="A818" s="156" t="e" cm="1">
        <f t="array" aca="1" ref="A818" ca="1">_xlfn.IFS(E818=$AB$42,$AC$42,E818=$AB$43,$AC$43,E818=$AB$44,$AC$44,E818=$AB$45,$AC$45,E818=$AB$46,$AC$46,E818=$AB$47,$AC$47,E818=$AB$48,$AC$48,E818=$AB$49,$AC$49,E818=$AB$50,$AC$50,E818=$AB$51,$AC$51,E818=$AB$52,$AC$52,E818=$AB$53,$AC$53,E818=$AB$54,$AC$54,E818=$AB$55,$AC$55,E818=$AB$56,$AC$56,E818=$AB$57,$AC$57,E818=$AB$58,$AC$58,E818=$AB$59,$AC$59,E818=$AB$60,$AC$60,E818=$AB$61,$AC$61,E818=$AB$62,$AC$62,E818=$AB$63,$AC$63,E818=$AB$64,$AC$64,E818=$AB$65,$AC$65,E818=$AB$66,$AC$66,TRUE,"0")</f>
        <v>#NAME?</v>
      </c>
      <c r="C818" s="161" t="str" cm="1">
        <f t="array" ref="C818">_xlfn.IFS(E818=$AB$42,$AF$42,E818=$AB$43,$AF$43,E818=$AB$44,$AF$44,E818=$AB$45,$AF$45,E818=$AB$46,$AF$46,E818=$AB$47,$AF$47,E818=$AB$48,$AF$48,E818=$AB$49,$AF$49,E818=$AB$50,$AF$50,E818=$AB$51,$AF$51,E818=$AB$52,$AF$52,E818=$AB$53,$AF$53,E818=$AB$54,$AF$54,E818=$AB$55,$AF$55,E818=$AB$56,$AF$56,E818=$AB$57,$AF$57,E818=$AB$58,$AF$58,E818=$AB$59,$AF$59,E818=$AB$60,$AF$60,E818=$AB$61,$AF$61,E818=$AB$62,$AF$62,E818=$AB$63,$AF$63,E818=$AB$64,$AF$64,E818=$AB$65,$AF$65,E818=$AB$66,$AF$66,TRUE,"0")</f>
        <v>B4 match BACK FT +1.5 goals. X AFTER  GOAL</v>
      </c>
      <c r="D818" s="270" t="str" cm="1">
        <f t="array" ref="D818">_xlfn.IFS(E818=$AB$42,$AD$42,E818=$AB$43,$AD$43,E818=$AB$44,$AD$44,E818=$AB$45,$AD$45,E818=$AB$46,$AD$46,E818=$AB$47,$AD$47,E818=$AB$48,$AD$48,E818=$AB$49,$AD$49,E818=$AB$50,$AD$50,E818=$AB$51,$AD$51,E818=$AB$52,$AD$52,E818=$AB$53,$AD$53,E818=$AB$54,$AD$54,E818=$AB$55,$AD$55,E818=$AB$56,$AD$56,E818=$AB$57,$AD$57,E818=$AB$58,$AD$58,E818=$AB$59,$AD$59,E818=$AB$60,$AD$60,E818=$AB$61,$AD$61,E818=$AB$62,$AD$62,E818=$AB$63,$AD$63,E818=$AB$64,$AD$64,E818=$AB$65,$AD$65,E818=$AB$66,$AD$66,TRUE,"0")</f>
        <v xml:space="preserve">BFM </v>
      </c>
      <c r="E818" s="163" t="s">
        <v>623</v>
      </c>
      <c r="F818" s="2" t="s">
        <v>6</v>
      </c>
      <c r="G818" s="2" t="s">
        <v>11</v>
      </c>
      <c r="H818" s="3">
        <v>45388.625</v>
      </c>
      <c r="I818" s="2" t="s">
        <v>634</v>
      </c>
      <c r="J818" s="2" t="s">
        <v>263</v>
      </c>
      <c r="K818" s="2">
        <v>5.4</v>
      </c>
      <c r="L818" s="2">
        <v>20</v>
      </c>
      <c r="M818" s="2">
        <v>2.8</v>
      </c>
      <c r="N818" s="2">
        <v>28</v>
      </c>
      <c r="O818" s="2">
        <v>2</v>
      </c>
      <c r="P818" s="2">
        <v>10</v>
      </c>
      <c r="Q818" s="2" t="s">
        <v>95</v>
      </c>
      <c r="R818" s="10" t="s">
        <v>216</v>
      </c>
      <c r="S818" s="14" t="s">
        <v>215</v>
      </c>
      <c r="T818" s="188">
        <v>1000</v>
      </c>
      <c r="U818" s="8">
        <f t="shared" si="100"/>
        <v>180</v>
      </c>
      <c r="V818" s="234">
        <f t="shared" si="99"/>
        <v>57024.155246160299</v>
      </c>
      <c r="W818" s="15">
        <v>25</v>
      </c>
      <c r="X818" s="8">
        <f t="shared" si="97"/>
        <v>4.5</v>
      </c>
      <c r="Y818" s="233">
        <f t="shared" si="98"/>
        <v>3291.5</v>
      </c>
    </row>
    <row r="819" spans="1:25">
      <c r="A819" s="156" t="e" cm="1">
        <f t="array" aca="1" ref="A819" ca="1">_xlfn.IFS(E819=$AB$42,$AC$42,E819=$AB$43,$AC$43,E819=$AB$44,$AC$44,E819=$AB$45,$AC$45,E819=$AB$46,$AC$46,E819=$AB$47,$AC$47,E819=$AB$48,$AC$48,E819=$AB$49,$AC$49,E819=$AB$50,$AC$50,E819=$AB$51,$AC$51,E819=$AB$52,$AC$52,E819=$AB$53,$AC$53,E819=$AB$54,$AC$54,E819=$AB$55,$AC$55,E819=$AB$56,$AC$56,E819=$AB$57,$AC$57,E819=$AB$58,$AC$58,E819=$AB$59,$AC$59,E819=$AB$60,$AC$60,E819=$AB$61,$AC$61,E819=$AB$62,$AC$62,E819=$AB$63,$AC$63,E819=$AB$64,$AC$64,E819=$AB$65,$AC$65,E819=$AB$66,$AC$66,TRUE,"0")</f>
        <v>#NAME?</v>
      </c>
      <c r="C819" s="161" t="str" cm="1">
        <f t="array" ref="C819">_xlfn.IFS(E819=$AB$42,$AF$42,E819=$AB$43,$AF$43,E819=$AB$44,$AF$44,E819=$AB$45,$AF$45,E819=$AB$46,$AF$46,E819=$AB$47,$AF$47,E819=$AB$48,$AF$48,E819=$AB$49,$AF$49,E819=$AB$50,$AF$50,E819=$AB$51,$AF$51,E819=$AB$52,$AF$52,E819=$AB$53,$AF$53,E819=$AB$54,$AF$54,E819=$AB$55,$AF$55,E819=$AB$56,$AF$56,E819=$AB$57,$AF$57,E819=$AB$58,$AF$58,E819=$AB$59,$AF$59,E819=$AB$60,$AF$60,E819=$AB$61,$AF$61,E819=$AB$62,$AF$62,E819=$AB$63,$AF$63,E819=$AB$64,$AF$64,E819=$AB$65,$AF$65,E819=$AB$66,$AF$66,TRUE,"0")</f>
        <v>20mins if  0-0, BACK over 1.5 goals X after goal OR LET RUN</v>
      </c>
      <c r="D819" s="270" t="str" cm="1">
        <f t="array" ref="D819">_xlfn.IFS(E819=$AB$42,$AD$42,E819=$AB$43,$AD$43,E819=$AB$44,$AD$44,E819=$AB$45,$AD$45,E819=$AB$46,$AD$46,E819=$AB$47,$AD$47,E819=$AB$48,$AD$48,E819=$AB$49,$AD$49,E819=$AB$50,$AD$50,E819=$AB$51,$AD$51,E819=$AB$52,$AD$52,E819=$AB$53,$AD$53,E819=$AB$54,$AD$54,E819=$AB$55,$AD$55,E819=$AB$56,$AD$56,E819=$AB$57,$AD$57,E819=$AB$58,$AD$58,E819=$AB$59,$AD$59,E819=$AB$60,$AD$60,E819=$AB$61,$AD$61,E819=$AB$62,$AD$62,E819=$AB$63,$AD$63,E819=$AB$64,$AD$64,E819=$AB$65,$AD$65,E819=$AB$66,$AD$66,TRUE,"0")</f>
        <v>IP</v>
      </c>
      <c r="E819" s="163" t="s">
        <v>474</v>
      </c>
      <c r="F819" s="2" t="s">
        <v>6</v>
      </c>
      <c r="G819" s="2" t="s">
        <v>11</v>
      </c>
      <c r="H819" s="3">
        <v>45388.625</v>
      </c>
      <c r="I819" s="2" t="s">
        <v>634</v>
      </c>
      <c r="J819" s="2" t="s">
        <v>263</v>
      </c>
      <c r="K819" s="2">
        <v>54</v>
      </c>
      <c r="L819" s="2">
        <v>2.8</v>
      </c>
      <c r="M819" s="2">
        <v>20</v>
      </c>
      <c r="N819" s="2">
        <v>60</v>
      </c>
      <c r="O819" s="2">
        <v>85</v>
      </c>
      <c r="P819" s="2"/>
      <c r="Q819" s="2" t="s">
        <v>95</v>
      </c>
      <c r="R819" s="10" t="s">
        <v>216</v>
      </c>
      <c r="S819" s="14" t="s">
        <v>215</v>
      </c>
      <c r="T819" s="188">
        <v>1000</v>
      </c>
      <c r="U819" s="8">
        <f t="shared" si="100"/>
        <v>180</v>
      </c>
      <c r="V819" s="234">
        <f t="shared" si="99"/>
        <v>57204.155246160299</v>
      </c>
      <c r="W819" s="15">
        <v>25</v>
      </c>
      <c r="X819" s="8">
        <f t="shared" si="97"/>
        <v>4.5</v>
      </c>
      <c r="Y819" s="233">
        <f t="shared" si="98"/>
        <v>3296</v>
      </c>
    </row>
    <row r="820" spans="1:25">
      <c r="A820" s="156" t="e" cm="1">
        <f t="array" aca="1" ref="A820" ca="1">_xlfn.IFS(E820=$AB$42,$AC$42,E820=$AB$43,$AC$43,E820=$AB$44,$AC$44,E820=$AB$45,$AC$45,E820=$AB$46,$AC$46,E820=$AB$47,$AC$47,E820=$AB$48,$AC$48,E820=$AB$49,$AC$49,E820=$AB$50,$AC$50,E820=$AB$51,$AC$51,E820=$AB$52,$AC$52,E820=$AB$53,$AC$53,E820=$AB$54,$AC$54,E820=$AB$55,$AC$55,E820=$AB$56,$AC$56,E820=$AB$57,$AC$57,E820=$AB$58,$AC$58,E820=$AB$59,$AC$59,E820=$AB$60,$AC$60,E820=$AB$61,$AC$61,E820=$AB$62,$AC$62,E820=$AB$63,$AC$63,E820=$AB$64,$AC$64,E820=$AB$65,$AC$65,E820=$AB$66,$AC$66,TRUE,"0")</f>
        <v>#NAME?</v>
      </c>
      <c r="C820" s="161" t="str" cm="1">
        <f t="array" ref="C820">_xlfn.IFS(E820=$AB$42,$AF$42,E820=$AB$43,$AF$43,E820=$AB$44,$AF$44,E820=$AB$45,$AF$45,E820=$AB$46,$AF$46,E820=$AB$47,$AF$47,E820=$AB$48,$AF$48,E820=$AB$49,$AF$49,E820=$AB$50,$AF$50,E820=$AB$51,$AF$51,E820=$AB$52,$AF$52,E820=$AB$53,$AF$53,E820=$AB$54,$AF$54,E820=$AB$55,$AF$55,E820=$AB$56,$AF$56,E820=$AB$57,$AF$57,E820=$AB$58,$AF$58,E820=$AB$59,$AF$59,E820=$AB$60,$AF$60,E820=$AB$61,$AF$61,E820=$AB$62,$AF$62,E820=$AB$63,$AF$63,E820=$AB$64,$AF$64,E820=$AB$65,$AF$65,E820=$AB$66,$AF$66,TRUE,"0")</f>
        <v>if 0-0, BACK+ 0.5 GOALS  @ 1.15+odds.  or @ 40 mins</v>
      </c>
      <c r="D820" s="270" t="str" cm="1">
        <f t="array" ref="D820">_xlfn.IFS(E820=$AB$42,$AD$42,E820=$AB$43,$AD$43,E820=$AB$44,$AD$44,E820=$AB$45,$AD$45,E820=$AB$46,$AD$46,E820=$AB$47,$AD$47,E820=$AB$48,$AD$48,E820=$AB$49,$AD$49,E820=$AB$50,$AD$50,E820=$AB$51,$AD$51,E820=$AB$52,$AD$52,E820=$AB$53,$AD$53,E820=$AB$54,$AD$54,E820=$AB$55,$AD$55,E820=$AB$56,$AD$56,E820=$AB$57,$AD$57,E820=$AB$58,$AD$58,E820=$AB$59,$AD$59,E820=$AB$60,$AD$60,E820=$AB$61,$AD$61,E820=$AB$62,$AD$62,E820=$AB$63,$AD$63,E820=$AB$64,$AD$64,E820=$AB$65,$AD$65,E820=$AB$66,$AD$66,TRUE,"0")</f>
        <v>IP</v>
      </c>
      <c r="E820" s="163" t="s">
        <v>270</v>
      </c>
      <c r="F820" s="2" t="s">
        <v>6</v>
      </c>
      <c r="G820" s="2" t="s">
        <v>14</v>
      </c>
      <c r="H820" s="3">
        <v>45388.625</v>
      </c>
      <c r="I820" s="2" t="s">
        <v>430</v>
      </c>
      <c r="J820" s="2" t="s">
        <v>202</v>
      </c>
      <c r="K820" s="2">
        <v>62</v>
      </c>
      <c r="L820" s="2">
        <v>0</v>
      </c>
      <c r="M820" s="2">
        <v>20</v>
      </c>
      <c r="N820" s="2">
        <v>36</v>
      </c>
      <c r="O820" s="2">
        <v>2.04</v>
      </c>
      <c r="P820" s="2"/>
      <c r="Q820" s="2" t="s">
        <v>95</v>
      </c>
      <c r="R820" s="10" t="s">
        <v>221</v>
      </c>
      <c r="S820" s="14" t="s">
        <v>217</v>
      </c>
      <c r="T820" s="188">
        <v>1000</v>
      </c>
      <c r="U820" s="8">
        <f t="shared" si="100"/>
        <v>180</v>
      </c>
      <c r="V820" s="234">
        <f t="shared" si="99"/>
        <v>57384.155246160299</v>
      </c>
      <c r="W820" s="15">
        <v>25</v>
      </c>
      <c r="X820" s="8">
        <f t="shared" si="97"/>
        <v>4.5</v>
      </c>
      <c r="Y820" s="233">
        <f t="shared" si="98"/>
        <v>3300.5</v>
      </c>
    </row>
    <row r="821" spans="1:25">
      <c r="A821" s="156" t="e" cm="1">
        <f t="array" aca="1" ref="A821" ca="1">_xlfn.IFS(E821=$AB$42,$AC$42,E821=$AB$43,$AC$43,E821=$AB$44,$AC$44,E821=$AB$45,$AC$45,E821=$AB$46,$AC$46,E821=$AB$47,$AC$47,E821=$AB$48,$AC$48,E821=$AB$49,$AC$49,E821=$AB$50,$AC$50,E821=$AB$51,$AC$51,E821=$AB$52,$AC$52,E821=$AB$53,$AC$53,E821=$AB$54,$AC$54,E821=$AB$55,$AC$55,E821=$AB$56,$AC$56,E821=$AB$57,$AC$57,E821=$AB$58,$AC$58,E821=$AB$59,$AC$59,E821=$AB$60,$AC$60,E821=$AB$61,$AC$61,E821=$AB$62,$AC$62,E821=$AB$63,$AC$63,E821=$AB$64,$AC$64,E821=$AB$65,$AC$65,E821=$AB$66,$AC$66,TRUE,"0")</f>
        <v>#NAME?</v>
      </c>
      <c r="C821" s="161" t="str" cm="1">
        <f t="array" ref="C821">_xlfn.IFS(E821=$AB$42,$AF$42,E821=$AB$43,$AF$43,E821=$AB$44,$AF$44,E821=$AB$45,$AF$45,E821=$AB$46,$AF$46,E821=$AB$47,$AF$47,E821=$AB$48,$AF$48,E821=$AB$49,$AF$49,E821=$AB$50,$AF$50,E821=$AB$51,$AF$51,E821=$AB$52,$AF$52,E821=$AB$53,$AF$53,E821=$AB$54,$AF$54,E821=$AB$55,$AF$55,E821=$AB$56,$AF$56,E821=$AB$57,$AF$57,E821=$AB$58,$AF$58,E821=$AB$59,$AF$59,E821=$AB$60,$AF$60,E821=$AB$61,$AF$61,E821=$AB$62,$AF$62,E821=$AB$63,$AF$63,E821=$AB$64,$AF$64,E821=$AB$65,$AF$65,E821=$AB$66,$AF$66,TRUE,"0")</f>
        <v>15mins if  0-0, BACK over 1.5 goals X after goal OR LET RUN</v>
      </c>
      <c r="D821" s="270" t="str" cm="1">
        <f t="array" ref="D821">_xlfn.IFS(E821=$AB$42,$AD$42,E821=$AB$43,$AD$43,E821=$AB$44,$AD$44,E821=$AB$45,$AD$45,E821=$AB$46,$AD$46,E821=$AB$47,$AD$47,E821=$AB$48,$AD$48,E821=$AB$49,$AD$49,E821=$AB$50,$AD$50,E821=$AB$51,$AD$51,E821=$AB$52,$AD$52,E821=$AB$53,$AD$53,E821=$AB$54,$AD$54,E821=$AB$55,$AD$55,E821=$AB$56,$AD$56,E821=$AB$57,$AD$57,E821=$AB$58,$AD$58,E821=$AB$59,$AD$59,E821=$AB$60,$AD$60,E821=$AB$61,$AD$61,E821=$AB$62,$AD$62,E821=$AB$63,$AD$63,E821=$AB$64,$AD$64,E821=$AB$65,$AD$65,E821=$AB$66,$AD$66,TRUE,"0")</f>
        <v>IP</v>
      </c>
      <c r="E821" s="163" t="s">
        <v>473</v>
      </c>
      <c r="F821" s="2" t="s">
        <v>13</v>
      </c>
      <c r="G821" s="2" t="s">
        <v>14</v>
      </c>
      <c r="H821" s="3">
        <v>45388.625</v>
      </c>
      <c r="I821" s="2" t="s">
        <v>29</v>
      </c>
      <c r="J821" s="2" t="s">
        <v>682</v>
      </c>
      <c r="K821" s="2">
        <v>64</v>
      </c>
      <c r="L821" s="2">
        <v>80</v>
      </c>
      <c r="M821" s="2">
        <v>20</v>
      </c>
      <c r="N821" s="2">
        <v>3.4</v>
      </c>
      <c r="O821" s="2"/>
      <c r="P821" s="2"/>
      <c r="Q821" s="2" t="s">
        <v>95</v>
      </c>
      <c r="R821" s="10" t="s">
        <v>214</v>
      </c>
      <c r="S821" s="14" t="s">
        <v>222</v>
      </c>
      <c r="T821" s="188">
        <v>1000</v>
      </c>
      <c r="U821" s="8">
        <f t="shared" si="100"/>
        <v>180</v>
      </c>
      <c r="V821" s="234">
        <f t="shared" si="99"/>
        <v>57564.155246160299</v>
      </c>
      <c r="W821" s="15">
        <v>25</v>
      </c>
      <c r="X821" s="8">
        <f t="shared" si="97"/>
        <v>4.5</v>
      </c>
      <c r="Y821" s="233">
        <f t="shared" si="98"/>
        <v>3305</v>
      </c>
    </row>
    <row r="822" spans="1:25">
      <c r="A822" s="156" t="e" cm="1">
        <f t="array" aca="1" ref="A822" ca="1">_xlfn.IFS(E822=$AB$42,$AC$42,E822=$AB$43,$AC$43,E822=$AB$44,$AC$44,E822=$AB$45,$AC$45,E822=$AB$46,$AC$46,E822=$AB$47,$AC$47,E822=$AB$48,$AC$48,E822=$AB$49,$AC$49,E822=$AB$50,$AC$50,E822=$AB$51,$AC$51,E822=$AB$52,$AC$52,E822=$AB$53,$AC$53,E822=$AB$54,$AC$54,E822=$AB$55,$AC$55,E822=$AB$56,$AC$56,E822=$AB$57,$AC$57,E822=$AB$58,$AC$58,E822=$AB$59,$AC$59,E822=$AB$60,$AC$60,E822=$AB$61,$AC$61,E822=$AB$62,$AC$62,E822=$AB$63,$AC$63,E822=$AB$64,$AC$64,E822=$AB$65,$AC$65,E822=$AB$66,$AC$66,TRUE,"0")</f>
        <v>#NAME?</v>
      </c>
      <c r="C822" s="161" t="str" cm="1">
        <f t="array" ref="C822">_xlfn.IFS(E822=$AB$42,$AF$42,E822=$AB$43,$AF$43,E822=$AB$44,$AF$44,E822=$AB$45,$AF$45,E822=$AB$46,$AF$46,E822=$AB$47,$AF$47,E822=$AB$48,$AF$48,E822=$AB$49,$AF$49,E822=$AB$50,$AF$50,E822=$AB$51,$AF$51,E822=$AB$52,$AF$52,E822=$AB$53,$AF$53,E822=$AB$54,$AF$54,E822=$AB$55,$AF$55,E822=$AB$56,$AF$56,E822=$AB$57,$AF$57,E822=$AB$58,$AF$58,E822=$AB$59,$AF$59,E822=$AB$60,$AF$60,E822=$AB$61,$AF$61,E822=$AB$62,$AF$62,E822=$AB$63,$AF$63,E822=$AB$64,$AF$64,E822=$AB$65,$AF$65,E822=$AB$66,$AF$66,TRUE,"0")</f>
        <v>if 0-0, BACK+ 0.5 GOALS  @ 1.15+odds.  or @ 40 mins</v>
      </c>
      <c r="D822" s="270" t="str" cm="1">
        <f t="array" ref="D822">_xlfn.IFS(E822=$AB$42,$AD$42,E822=$AB$43,$AD$43,E822=$AB$44,$AD$44,E822=$AB$45,$AD$45,E822=$AB$46,$AD$46,E822=$AB$47,$AD$47,E822=$AB$48,$AD$48,E822=$AB$49,$AD$49,E822=$AB$50,$AD$50,E822=$AB$51,$AD$51,E822=$AB$52,$AD$52,E822=$AB$53,$AD$53,E822=$AB$54,$AD$54,E822=$AB$55,$AD$55,E822=$AB$56,$AD$56,E822=$AB$57,$AD$57,E822=$AB$58,$AD$58,E822=$AB$59,$AD$59,E822=$AB$60,$AD$60,E822=$AB$61,$AD$61,E822=$AB$62,$AD$62,E822=$AB$63,$AD$63,E822=$AB$64,$AD$64,E822=$AB$65,$AD$65,E822=$AB$66,$AD$66,TRUE,"0")</f>
        <v>IP</v>
      </c>
      <c r="E822" s="163" t="s">
        <v>270</v>
      </c>
      <c r="F822" s="2" t="s">
        <v>6</v>
      </c>
      <c r="G822" s="2" t="s">
        <v>62</v>
      </c>
      <c r="H822" s="3">
        <v>45388.625</v>
      </c>
      <c r="I822" s="2" t="s">
        <v>64</v>
      </c>
      <c r="J822" s="2" t="s">
        <v>74</v>
      </c>
      <c r="K822" s="2">
        <v>60</v>
      </c>
      <c r="L822" s="2">
        <v>0</v>
      </c>
      <c r="M822" s="2">
        <v>20</v>
      </c>
      <c r="N822" s="2">
        <v>27</v>
      </c>
      <c r="O822" s="2">
        <v>3.16</v>
      </c>
      <c r="P822" s="2"/>
      <c r="Q822" s="2" t="s">
        <v>95</v>
      </c>
      <c r="R822" s="10" t="s">
        <v>214</v>
      </c>
      <c r="S822" s="14" t="s">
        <v>223</v>
      </c>
      <c r="T822" s="188">
        <v>1000</v>
      </c>
      <c r="U822" s="8">
        <f t="shared" si="100"/>
        <v>180</v>
      </c>
      <c r="V822" s="234">
        <f t="shared" si="99"/>
        <v>57744.155246160299</v>
      </c>
      <c r="W822" s="15">
        <v>25</v>
      </c>
      <c r="X822" s="8">
        <f t="shared" si="97"/>
        <v>4.5</v>
      </c>
      <c r="Y822" s="233">
        <f t="shared" si="98"/>
        <v>3309.5</v>
      </c>
    </row>
    <row r="823" spans="1:25">
      <c r="A823" s="156" t="e" cm="1">
        <f t="array" aca="1" ref="A823" ca="1">_xlfn.IFS(E823=$AB$42,$AC$42,E823=$AB$43,$AC$43,E823=$AB$44,$AC$44,E823=$AB$45,$AC$45,E823=$AB$46,$AC$46,E823=$AB$47,$AC$47,E823=$AB$48,$AC$48,E823=$AB$49,$AC$49,E823=$AB$50,$AC$50,E823=$AB$51,$AC$51,E823=$AB$52,$AC$52,E823=$AB$53,$AC$53,E823=$AB$54,$AC$54,E823=$AB$55,$AC$55,E823=$AB$56,$AC$56,E823=$AB$57,$AC$57,E823=$AB$58,$AC$58,E823=$AB$59,$AC$59,E823=$AB$60,$AC$60,E823=$AB$61,$AC$61,E823=$AB$62,$AC$62,E823=$AB$63,$AC$63,E823=$AB$64,$AC$64,E823=$AB$65,$AC$65,E823=$AB$66,$AC$66,TRUE,"0")</f>
        <v>#NAME?</v>
      </c>
      <c r="C823" s="161" t="str" cm="1">
        <f t="array" ref="C823">_xlfn.IFS(E823=$AB$42,$AF$42,E823=$AB$43,$AF$43,E823=$AB$44,$AF$44,E823=$AB$45,$AF$45,E823=$AB$46,$AF$46,E823=$AB$47,$AF$47,E823=$AB$48,$AF$48,E823=$AB$49,$AF$49,E823=$AB$50,$AF$50,E823=$AB$51,$AF$51,E823=$AB$52,$AF$52,E823=$AB$53,$AF$53,E823=$AB$54,$AF$54,E823=$AB$55,$AF$55,E823=$AB$56,$AF$56,E823=$AB$57,$AF$57,E823=$AB$58,$AF$58,E823=$AB$59,$AF$59,E823=$AB$60,$AF$60,E823=$AB$61,$AF$61,E823=$AB$62,$AF$62,E823=$AB$63,$AF$63,E823=$AB$64,$AF$64,E823=$AB$65,$AF$65,E823=$AB$66,$AF$66,TRUE,"0")</f>
        <v>10mins if  0-0, BACK over 1.5 goals X after goal OR LET RUN</v>
      </c>
      <c r="D823" s="270" t="str" cm="1">
        <f t="array" ref="D823">_xlfn.IFS(E823=$AB$42,$AD$42,E823=$AB$43,$AD$43,E823=$AB$44,$AD$44,E823=$AB$45,$AD$45,E823=$AB$46,$AD$46,E823=$AB$47,$AD$47,E823=$AB$48,$AD$48,E823=$AB$49,$AD$49,E823=$AB$50,$AD$50,E823=$AB$51,$AD$51,E823=$AB$52,$AD$52,E823=$AB$53,$AD$53,E823=$AB$54,$AD$54,E823=$AB$55,$AD$55,E823=$AB$56,$AD$56,E823=$AB$57,$AD$57,E823=$AB$58,$AD$58,E823=$AB$59,$AD$59,E823=$AB$60,$AD$60,E823=$AB$61,$AD$61,E823=$AB$62,$AD$62,E823=$AB$63,$AD$63,E823=$AB$64,$AD$64,E823=$AB$65,$AD$65,E823=$AB$66,$AD$66,TRUE,"0")</f>
        <v>IP</v>
      </c>
      <c r="E823" s="163" t="s">
        <v>498</v>
      </c>
      <c r="F823" s="2" t="s">
        <v>20</v>
      </c>
      <c r="G823" s="2" t="s">
        <v>322</v>
      </c>
      <c r="H823" s="3">
        <v>45388.635416666664</v>
      </c>
      <c r="I823" s="2" t="s">
        <v>333</v>
      </c>
      <c r="J823" s="2" t="s">
        <v>683</v>
      </c>
      <c r="K823" s="2">
        <v>63</v>
      </c>
      <c r="L823" s="2">
        <v>80</v>
      </c>
      <c r="M823" s="2">
        <v>1.4</v>
      </c>
      <c r="N823" s="2">
        <v>20</v>
      </c>
      <c r="O823" s="2"/>
      <c r="P823" s="2"/>
      <c r="Q823" s="2" t="s">
        <v>95</v>
      </c>
      <c r="R823" s="10" t="s">
        <v>214</v>
      </c>
      <c r="S823" s="14" t="s">
        <v>223</v>
      </c>
      <c r="T823" s="188">
        <v>1000</v>
      </c>
      <c r="U823" s="8">
        <f t="shared" si="100"/>
        <v>180</v>
      </c>
      <c r="V823" s="234">
        <f t="shared" si="99"/>
        <v>57924.155246160299</v>
      </c>
      <c r="W823" s="15">
        <v>25</v>
      </c>
      <c r="X823" s="8">
        <f t="shared" si="97"/>
        <v>4.5</v>
      </c>
      <c r="Y823" s="233">
        <f t="shared" si="98"/>
        <v>3314</v>
      </c>
    </row>
    <row r="824" spans="1:25">
      <c r="A824" s="156" t="e" cm="1">
        <f t="array" aca="1" ref="A824" ca="1">_xlfn.IFS(E824=$AB$42,$AC$42,E824=$AB$43,$AC$43,E824=$AB$44,$AC$44,E824=$AB$45,$AC$45,E824=$AB$46,$AC$46,E824=$AB$47,$AC$47,E824=$AB$48,$AC$48,E824=$AB$49,$AC$49,E824=$AB$50,$AC$50,E824=$AB$51,$AC$51,E824=$AB$52,$AC$52,E824=$AB$53,$AC$53,E824=$AB$54,$AC$54,E824=$AB$55,$AC$55,E824=$AB$56,$AC$56,E824=$AB$57,$AC$57,E824=$AB$58,$AC$58,E824=$AB$59,$AC$59,E824=$AB$60,$AC$60,E824=$AB$61,$AC$61,E824=$AB$62,$AC$62,E824=$AB$63,$AC$63,E824=$AB$64,$AC$64,E824=$AB$65,$AC$65,E824=$AB$66,$AC$66,TRUE,"0")</f>
        <v>#NAME?</v>
      </c>
      <c r="C824" s="161" t="str" cm="1">
        <f t="array" ref="C824">_xlfn.IFS(E824=$AB$42,$AF$42,E824=$AB$43,$AF$43,E824=$AB$44,$AF$44,E824=$AB$45,$AF$45,E824=$AB$46,$AF$46,E824=$AB$47,$AF$47,E824=$AB$48,$AF$48,E824=$AB$49,$AF$49,E824=$AB$50,$AF$50,E824=$AB$51,$AF$51,E824=$AB$52,$AF$52,E824=$AB$53,$AF$53,E824=$AB$54,$AF$54,E824=$AB$55,$AF$55,E824=$AB$56,$AF$56,E824=$AB$57,$AF$57,E824=$AB$58,$AF$58,E824=$AB$59,$AF$59,E824=$AB$60,$AF$60,E824=$AB$61,$AF$61,E824=$AB$62,$AF$62,E824=$AB$63,$AF$63,E824=$AB$64,$AF$64,E824=$AB$65,$AF$65,E824=$AB$66,$AF$66,TRUE,"0")</f>
        <v>if 0-0, BACK+ 0.5 GOALS  @ 1.15+odds.  or @ 40 mins</v>
      </c>
      <c r="D824" s="270" t="str" cm="1">
        <f t="array" ref="D824">_xlfn.IFS(E824=$AB$42,$AD$42,E824=$AB$43,$AD$43,E824=$AB$44,$AD$44,E824=$AB$45,$AD$45,E824=$AB$46,$AD$46,E824=$AB$47,$AD$47,E824=$AB$48,$AD$48,E824=$AB$49,$AD$49,E824=$AB$50,$AD$50,E824=$AB$51,$AD$51,E824=$AB$52,$AD$52,E824=$AB$53,$AD$53,E824=$AB$54,$AD$54,E824=$AB$55,$AD$55,E824=$AB$56,$AD$56,E824=$AB$57,$AD$57,E824=$AB$58,$AD$58,E824=$AB$59,$AD$59,E824=$AB$60,$AD$60,E824=$AB$61,$AD$61,E824=$AB$62,$AD$62,E824=$AB$63,$AD$63,E824=$AB$64,$AD$64,E824=$AB$65,$AD$65,E824=$AB$66,$AD$66,TRUE,"0")</f>
        <v>IP</v>
      </c>
      <c r="E824" s="163" t="s">
        <v>270</v>
      </c>
      <c r="F824" s="2" t="s">
        <v>20</v>
      </c>
      <c r="G824" s="2" t="s">
        <v>322</v>
      </c>
      <c r="H824" s="3">
        <v>45388.635416666664</v>
      </c>
      <c r="I824" s="2" t="s">
        <v>334</v>
      </c>
      <c r="J824" s="2" t="s">
        <v>487</v>
      </c>
      <c r="K824" s="2">
        <v>59</v>
      </c>
      <c r="L824" s="2">
        <v>0</v>
      </c>
      <c r="M824" s="2">
        <v>20</v>
      </c>
      <c r="N824" s="2">
        <v>35</v>
      </c>
      <c r="O824" s="2">
        <v>2.04</v>
      </c>
      <c r="P824" s="2"/>
      <c r="Q824" s="2" t="s">
        <v>95</v>
      </c>
      <c r="R824" s="10" t="s">
        <v>222</v>
      </c>
      <c r="S824" s="14" t="s">
        <v>210</v>
      </c>
      <c r="T824" s="188">
        <v>1000</v>
      </c>
      <c r="U824" s="8">
        <f t="shared" si="100"/>
        <v>180</v>
      </c>
      <c r="V824" s="234">
        <f t="shared" si="99"/>
        <v>58104.155246160299</v>
      </c>
      <c r="W824" s="15">
        <v>25</v>
      </c>
      <c r="X824" s="8">
        <f t="shared" si="97"/>
        <v>4.5</v>
      </c>
      <c r="Y824" s="233">
        <f t="shared" si="98"/>
        <v>3318.5</v>
      </c>
    </row>
    <row r="825" spans="1:25">
      <c r="A825" s="156" t="e" cm="1">
        <f t="array" aca="1" ref="A825" ca="1">_xlfn.IFS(E825=$AB$42,$AC$42,E825=$AB$43,$AC$43,E825=$AB$44,$AC$44,E825=$AB$45,$AC$45,E825=$AB$46,$AC$46,E825=$AB$47,$AC$47,E825=$AB$48,$AC$48,E825=$AB$49,$AC$49,E825=$AB$50,$AC$50,E825=$AB$51,$AC$51,E825=$AB$52,$AC$52,E825=$AB$53,$AC$53,E825=$AB$54,$AC$54,E825=$AB$55,$AC$55,E825=$AB$56,$AC$56,E825=$AB$57,$AC$57,E825=$AB$58,$AC$58,E825=$AB$59,$AC$59,E825=$AB$60,$AC$60,E825=$AB$61,$AC$61,E825=$AB$62,$AC$62,E825=$AB$63,$AC$63,E825=$AB$64,$AC$64,E825=$AB$65,$AC$65,E825=$AB$66,$AC$66,TRUE,"0")</f>
        <v>#NAME?</v>
      </c>
      <c r="C825" s="161" t="str" cm="1">
        <f t="array" ref="C825">_xlfn.IFS(E825=$AB$42,$AF$42,E825=$AB$43,$AF$43,E825=$AB$44,$AF$44,E825=$AB$45,$AF$45,E825=$AB$46,$AF$46,E825=$AB$47,$AF$47,E825=$AB$48,$AF$48,E825=$AB$49,$AF$49,E825=$AB$50,$AF$50,E825=$AB$51,$AF$51,E825=$AB$52,$AF$52,E825=$AB$53,$AF$53,E825=$AB$54,$AF$54,E825=$AB$55,$AF$55,E825=$AB$56,$AF$56,E825=$AB$57,$AF$57,E825=$AB$58,$AF$58,E825=$AB$59,$AF$59,E825=$AB$60,$AF$60,E825=$AB$61,$AF$61,E825=$AB$62,$AF$62,E825=$AB$63,$AF$63,E825=$AB$64,$AF$64,E825=$AB$65,$AF$65,E825=$AB$66,$AF$66,TRUE,"0")</f>
        <v>B4 match BACK FT +1.5 goals. X AFTER  GOAL</v>
      </c>
      <c r="D825" s="270" t="str" cm="1">
        <f t="array" ref="D825">_xlfn.IFS(E825=$AB$42,$AD$42,E825=$AB$43,$AD$43,E825=$AB$44,$AD$44,E825=$AB$45,$AD$45,E825=$AB$46,$AD$46,E825=$AB$47,$AD$47,E825=$AB$48,$AD$48,E825=$AB$49,$AD$49,E825=$AB$50,$AD$50,E825=$AB$51,$AD$51,E825=$AB$52,$AD$52,E825=$AB$53,$AD$53,E825=$AB$54,$AD$54,E825=$AB$55,$AD$55,E825=$AB$56,$AD$56,E825=$AB$57,$AD$57,E825=$AB$58,$AD$58,E825=$AB$59,$AD$59,E825=$AB$60,$AD$60,E825=$AB$61,$AD$61,E825=$AB$62,$AD$62,E825=$AB$63,$AD$63,E825=$AB$64,$AD$64,E825=$AB$65,$AD$65,E825=$AB$66,$AD$66,TRUE,"0")</f>
        <v xml:space="preserve">BFM </v>
      </c>
      <c r="E825" s="163" t="s">
        <v>623</v>
      </c>
      <c r="F825" s="2" t="s">
        <v>149</v>
      </c>
      <c r="G825" s="2" t="s">
        <v>153</v>
      </c>
      <c r="H825" s="3">
        <v>45388.645833333336</v>
      </c>
      <c r="I825" s="2" t="s">
        <v>395</v>
      </c>
      <c r="J825" s="2" t="s">
        <v>155</v>
      </c>
      <c r="K825" s="2">
        <v>6.4</v>
      </c>
      <c r="L825" s="2">
        <v>20</v>
      </c>
      <c r="M825" s="2">
        <v>3.05</v>
      </c>
      <c r="N825" s="2">
        <v>25</v>
      </c>
      <c r="O825" s="2">
        <v>2</v>
      </c>
      <c r="P825" s="2">
        <v>10</v>
      </c>
      <c r="Q825" s="2" t="s">
        <v>95</v>
      </c>
      <c r="R825" s="10" t="s">
        <v>214</v>
      </c>
      <c r="S825" s="14" t="s">
        <v>223</v>
      </c>
      <c r="T825" s="188">
        <v>1000</v>
      </c>
      <c r="U825" s="8">
        <f t="shared" si="100"/>
        <v>180</v>
      </c>
      <c r="V825" s="234">
        <f t="shared" si="99"/>
        <v>58284.155246160299</v>
      </c>
      <c r="W825" s="15">
        <v>25</v>
      </c>
      <c r="X825" s="8">
        <f t="shared" si="97"/>
        <v>4.5</v>
      </c>
      <c r="Y825" s="233">
        <f t="shared" si="98"/>
        <v>3323</v>
      </c>
    </row>
    <row r="826" spans="1:25">
      <c r="A826" s="156" t="e" cm="1">
        <f t="array" aca="1" ref="A826" ca="1">_xlfn.IFS(E826=$AB$42,$AC$42,E826=$AB$43,$AC$43,E826=$AB$44,$AC$44,E826=$AB$45,$AC$45,E826=$AB$46,$AC$46,E826=$AB$47,$AC$47,E826=$AB$48,$AC$48,E826=$AB$49,$AC$49,E826=$AB$50,$AC$50,E826=$AB$51,$AC$51,E826=$AB$52,$AC$52,E826=$AB$53,$AC$53,E826=$AB$54,$AC$54,E826=$AB$55,$AC$55,E826=$AB$56,$AC$56,E826=$AB$57,$AC$57,E826=$AB$58,$AC$58,E826=$AB$59,$AC$59,E826=$AB$60,$AC$60,E826=$AB$61,$AC$61,E826=$AB$62,$AC$62,E826=$AB$63,$AC$63,E826=$AB$64,$AC$64,E826=$AB$65,$AC$65,E826=$AB$66,$AC$66,TRUE,"0")</f>
        <v>#NAME?</v>
      </c>
      <c r="C826" s="161" t="str" cm="1">
        <f t="array" ref="C826">_xlfn.IFS(E826=$AB$42,$AF$42,E826=$AB$43,$AF$43,E826=$AB$44,$AF$44,E826=$AB$45,$AF$45,E826=$AB$46,$AF$46,E826=$AB$47,$AF$47,E826=$AB$48,$AF$48,E826=$AB$49,$AF$49,E826=$AB$50,$AF$50,E826=$AB$51,$AF$51,E826=$AB$52,$AF$52,E826=$AB$53,$AF$53,E826=$AB$54,$AF$54,E826=$AB$55,$AF$55,E826=$AB$56,$AF$56,E826=$AB$57,$AF$57,E826=$AB$58,$AF$58,E826=$AB$59,$AF$59,E826=$AB$60,$AF$60,E826=$AB$61,$AF$61,E826=$AB$62,$AF$62,E826=$AB$63,$AF$63,E826=$AB$64,$AF$64,E826=$AB$65,$AF$65,E826=$AB$66,$AF$66,TRUE,"0")</f>
        <v>if 0-0, BACK+ 0.5 GOALS  @ 1.15+odds.  or @ 40 mins</v>
      </c>
      <c r="D826" s="270" t="str" cm="1">
        <f t="array" ref="D826">_xlfn.IFS(E826=$AB$42,$AD$42,E826=$AB$43,$AD$43,E826=$AB$44,$AD$44,E826=$AB$45,$AD$45,E826=$AB$46,$AD$46,E826=$AB$47,$AD$47,E826=$AB$48,$AD$48,E826=$AB$49,$AD$49,E826=$AB$50,$AD$50,E826=$AB$51,$AD$51,E826=$AB$52,$AD$52,E826=$AB$53,$AD$53,E826=$AB$54,$AD$54,E826=$AB$55,$AD$55,E826=$AB$56,$AD$56,E826=$AB$57,$AD$57,E826=$AB$58,$AD$58,E826=$AB$59,$AD$59,E826=$AB$60,$AD$60,E826=$AB$61,$AD$61,E826=$AB$62,$AD$62,E826=$AB$63,$AD$63,E826=$AB$64,$AD$64,E826=$AB$65,$AD$65,E826=$AB$66,$AD$66,TRUE,"0")</f>
        <v>IP</v>
      </c>
      <c r="E826" s="163" t="s">
        <v>270</v>
      </c>
      <c r="F826" s="2" t="s">
        <v>20</v>
      </c>
      <c r="G826" s="2" t="s">
        <v>21</v>
      </c>
      <c r="H826" s="3">
        <v>45388.708333333336</v>
      </c>
      <c r="I826" s="2" t="s">
        <v>380</v>
      </c>
      <c r="J826" s="2" t="s">
        <v>590</v>
      </c>
      <c r="K826" s="2">
        <v>62</v>
      </c>
      <c r="L826" s="2">
        <v>0</v>
      </c>
      <c r="M826" s="2">
        <v>20</v>
      </c>
      <c r="N826" s="2">
        <v>30</v>
      </c>
      <c r="O826" s="2">
        <v>2.39</v>
      </c>
      <c r="P826" s="2"/>
      <c r="Q826" s="2" t="s">
        <v>95</v>
      </c>
      <c r="R826" s="10" t="s">
        <v>214</v>
      </c>
      <c r="S826" s="14" t="s">
        <v>214</v>
      </c>
      <c r="T826" s="188">
        <v>1000</v>
      </c>
      <c r="U826" s="8">
        <f t="shared" si="100"/>
        <v>180</v>
      </c>
      <c r="V826" s="234">
        <f t="shared" si="99"/>
        <v>58464.155246160299</v>
      </c>
      <c r="W826" s="15">
        <v>25</v>
      </c>
      <c r="X826" s="8">
        <f t="shared" si="97"/>
        <v>4.5</v>
      </c>
      <c r="Y826" s="233">
        <f t="shared" si="98"/>
        <v>3327.5</v>
      </c>
    </row>
    <row r="827" spans="1:25">
      <c r="A827" s="156" t="e" cm="1">
        <f t="array" aca="1" ref="A827" ca="1">_xlfn.IFS(E827=$AB$42,$AC$42,E827=$AB$43,$AC$43,E827=$AB$44,$AC$44,E827=$AB$45,$AC$45,E827=$AB$46,$AC$46,E827=$AB$47,$AC$47,E827=$AB$48,$AC$48,E827=$AB$49,$AC$49,E827=$AB$50,$AC$50,E827=$AB$51,$AC$51,E827=$AB$52,$AC$52,E827=$AB$53,$AC$53,E827=$AB$54,$AC$54,E827=$AB$55,$AC$55,E827=$AB$56,$AC$56,E827=$AB$57,$AC$57,E827=$AB$58,$AC$58,E827=$AB$59,$AC$59,E827=$AB$60,$AC$60,E827=$AB$61,$AC$61,E827=$AB$62,$AC$62,E827=$AB$63,$AC$63,E827=$AB$64,$AC$64,E827=$AB$65,$AC$65,E827=$AB$66,$AC$66,TRUE,"0")</f>
        <v>#NAME?</v>
      </c>
      <c r="C827" s="161" t="str" cm="1">
        <f t="array" ref="C827">_xlfn.IFS(E827=$AB$42,$AF$42,E827=$AB$43,$AF$43,E827=$AB$44,$AF$44,E827=$AB$45,$AF$45,E827=$AB$46,$AF$46,E827=$AB$47,$AF$47,E827=$AB$48,$AF$48,E827=$AB$49,$AF$49,E827=$AB$50,$AF$50,E827=$AB$51,$AF$51,E827=$AB$52,$AF$52,E827=$AB$53,$AF$53,E827=$AB$54,$AF$54,E827=$AB$55,$AF$55,E827=$AB$56,$AF$56,E827=$AB$57,$AF$57,E827=$AB$58,$AF$58,E827=$AB$59,$AF$59,E827=$AB$60,$AF$60,E827=$AB$61,$AF$61,E827=$AB$62,$AF$62,E827=$AB$63,$AF$63,E827=$AB$64,$AF$64,E827=$AB$65,$AF$65,E827=$AB$66,$AF$66,TRUE,"0")</f>
        <v>20mins if  0-0, BACK over 1.5 goals X after goal OR LET RUN</v>
      </c>
      <c r="D827" s="270" t="str" cm="1">
        <f t="array" ref="D827">_xlfn.IFS(E827=$AB$42,$AD$42,E827=$AB$43,$AD$43,E827=$AB$44,$AD$44,E827=$AB$45,$AD$45,E827=$AB$46,$AD$46,E827=$AB$47,$AD$47,E827=$AB$48,$AD$48,E827=$AB$49,$AD$49,E827=$AB$50,$AD$50,E827=$AB$51,$AD$51,E827=$AB$52,$AD$52,E827=$AB$53,$AD$53,E827=$AB$54,$AD$54,E827=$AB$55,$AD$55,E827=$AB$56,$AD$56,E827=$AB$57,$AD$57,E827=$AB$58,$AD$58,E827=$AB$59,$AD$59,E827=$AB$60,$AD$60,E827=$AB$61,$AD$61,E827=$AB$62,$AD$62,E827=$AB$63,$AD$63,E827=$AB$64,$AD$64,E827=$AB$65,$AD$65,E827=$AB$66,$AD$66,TRUE,"0")</f>
        <v>IP</v>
      </c>
      <c r="E827" s="163" t="s">
        <v>474</v>
      </c>
      <c r="F827" s="2" t="s">
        <v>20</v>
      </c>
      <c r="G827" s="2" t="s">
        <v>21</v>
      </c>
      <c r="H827" s="3">
        <v>45388.708333333336</v>
      </c>
      <c r="I827" s="2" t="s">
        <v>380</v>
      </c>
      <c r="J827" s="2" t="s">
        <v>590</v>
      </c>
      <c r="K827" s="2">
        <v>53</v>
      </c>
      <c r="L827" s="2">
        <v>3.05</v>
      </c>
      <c r="M827" s="2">
        <v>20</v>
      </c>
      <c r="N827" s="2">
        <v>60</v>
      </c>
      <c r="O827" s="2">
        <v>90</v>
      </c>
      <c r="P827" s="2"/>
      <c r="Q827" s="2" t="s">
        <v>95</v>
      </c>
      <c r="R827" s="10" t="s">
        <v>214</v>
      </c>
      <c r="S827" s="14" t="s">
        <v>214</v>
      </c>
      <c r="T827" s="188">
        <v>1000</v>
      </c>
      <c r="U827" s="8">
        <f t="shared" si="100"/>
        <v>180</v>
      </c>
      <c r="V827" s="234">
        <f t="shared" si="99"/>
        <v>58644.155246160299</v>
      </c>
      <c r="W827" s="15">
        <v>25</v>
      </c>
      <c r="X827" s="8">
        <f t="shared" si="97"/>
        <v>4.5</v>
      </c>
      <c r="Y827" s="233">
        <f t="shared" si="98"/>
        <v>3332</v>
      </c>
    </row>
    <row r="828" spans="1:25">
      <c r="A828" s="156" t="e" cm="1">
        <f t="array" aca="1" ref="A828" ca="1">_xlfn.IFS(E828=$AB$42,$AC$42,E828=$AB$43,$AC$43,E828=$AB$44,$AC$44,E828=$AB$45,$AC$45,E828=$AB$46,$AC$46,E828=$AB$47,$AC$47,E828=$AB$48,$AC$48,E828=$AB$49,$AC$49,E828=$AB$50,$AC$50,E828=$AB$51,$AC$51,E828=$AB$52,$AC$52,E828=$AB$53,$AC$53,E828=$AB$54,$AC$54,E828=$AB$55,$AC$55,E828=$AB$56,$AC$56,E828=$AB$57,$AC$57,E828=$AB$58,$AC$58,E828=$AB$59,$AC$59,E828=$AB$60,$AC$60,E828=$AB$61,$AC$61,E828=$AB$62,$AC$62,E828=$AB$63,$AC$63,E828=$AB$64,$AC$64,E828=$AB$65,$AC$65,E828=$AB$66,$AC$66,TRUE,"0")</f>
        <v>#NAME?</v>
      </c>
      <c r="C828" s="161" t="str" cm="1">
        <f t="array" ref="C828">_xlfn.IFS(E828=$AB$42,$AF$42,E828=$AB$43,$AF$43,E828=$AB$44,$AF$44,E828=$AB$45,$AF$45,E828=$AB$46,$AF$46,E828=$AB$47,$AF$47,E828=$AB$48,$AF$48,E828=$AB$49,$AF$49,E828=$AB$50,$AF$50,E828=$AB$51,$AF$51,E828=$AB$52,$AF$52,E828=$AB$53,$AF$53,E828=$AB$54,$AF$54,E828=$AB$55,$AF$55,E828=$AB$56,$AF$56,E828=$AB$57,$AF$57,E828=$AB$58,$AF$58,E828=$AB$59,$AF$59,E828=$AB$60,$AF$60,E828=$AB$61,$AF$61,E828=$AB$62,$AF$62,E828=$AB$63,$AF$63,E828=$AB$64,$AF$64,E828=$AB$65,$AF$65,E828=$AB$66,$AF$66,TRUE,"0")</f>
        <v>40 mins Back ANother Goal</v>
      </c>
      <c r="D828" s="270" t="str" cm="1">
        <f t="array" ref="D828">_xlfn.IFS(E828=$AB$42,$AD$42,E828=$AB$43,$AD$43,E828=$AB$44,$AD$44,E828=$AB$45,$AD$45,E828=$AB$46,$AD$46,E828=$AB$47,$AD$47,E828=$AB$48,$AD$48,E828=$AB$49,$AD$49,E828=$AB$50,$AD$50,E828=$AB$51,$AD$51,E828=$AB$52,$AD$52,E828=$AB$53,$AD$53,E828=$AB$54,$AD$54,E828=$AB$55,$AD$55,E828=$AB$56,$AD$56,E828=$AB$57,$AD$57,E828=$AB$58,$AD$58,E828=$AB$59,$AD$59,E828=$AB$60,$AD$60,E828=$AB$61,$AD$61,E828=$AB$62,$AD$62,E828=$AB$63,$AD$63,E828=$AB$64,$AD$64,E828=$AB$65,$AD$65,E828=$AB$66,$AD$66,TRUE,"0")</f>
        <v xml:space="preserve">  BANG</v>
      </c>
      <c r="E828" s="163" t="s">
        <v>35</v>
      </c>
      <c r="F828" s="2" t="s">
        <v>296</v>
      </c>
      <c r="G828" s="2" t="s">
        <v>78</v>
      </c>
      <c r="H828" s="3">
        <v>45388.708333333336</v>
      </c>
      <c r="I828" s="2" t="s">
        <v>297</v>
      </c>
      <c r="J828" s="2" t="s">
        <v>368</v>
      </c>
      <c r="K828" s="2">
        <v>73</v>
      </c>
      <c r="L828" s="2">
        <v>95</v>
      </c>
      <c r="M828" s="2">
        <v>75</v>
      </c>
      <c r="N828" s="2">
        <v>40</v>
      </c>
      <c r="O828" s="2">
        <v>20</v>
      </c>
      <c r="P828" s="2">
        <v>1.38</v>
      </c>
      <c r="Q828" s="2" t="s">
        <v>95</v>
      </c>
      <c r="R828" s="10" t="s">
        <v>221</v>
      </c>
      <c r="S828" s="14" t="s">
        <v>210</v>
      </c>
      <c r="T828" s="188">
        <v>1000</v>
      </c>
      <c r="U828" s="8">
        <f t="shared" si="100"/>
        <v>180</v>
      </c>
      <c r="V828" s="234">
        <f t="shared" si="99"/>
        <v>58824.155246160299</v>
      </c>
      <c r="W828" s="15">
        <v>25</v>
      </c>
      <c r="X828" s="8">
        <f t="shared" si="97"/>
        <v>4.5</v>
      </c>
      <c r="Y828" s="233">
        <f t="shared" si="98"/>
        <v>3336.5</v>
      </c>
    </row>
    <row r="829" spans="1:25">
      <c r="A829" s="156" t="e" cm="1">
        <f t="array" aca="1" ref="A829" ca="1">_xlfn.IFS(E829=$AB$42,$AC$42,E829=$AB$43,$AC$43,E829=$AB$44,$AC$44,E829=$AB$45,$AC$45,E829=$AB$46,$AC$46,E829=$AB$47,$AC$47,E829=$AB$48,$AC$48,E829=$AB$49,$AC$49,E829=$AB$50,$AC$50,E829=$AB$51,$AC$51,E829=$AB$52,$AC$52,E829=$AB$53,$AC$53,E829=$AB$54,$AC$54,E829=$AB$55,$AC$55,E829=$AB$56,$AC$56,E829=$AB$57,$AC$57,E829=$AB$58,$AC$58,E829=$AB$59,$AC$59,E829=$AB$60,$AC$60,E829=$AB$61,$AC$61,E829=$AB$62,$AC$62,E829=$AB$63,$AC$63,E829=$AB$64,$AC$64,E829=$AB$65,$AC$65,E829=$AB$66,$AC$66,TRUE,"0")</f>
        <v>#NAME?</v>
      </c>
      <c r="C829" s="161" t="str" cm="1">
        <f t="array" ref="C829">_xlfn.IFS(E829=$AB$42,$AF$42,E829=$AB$43,$AF$43,E829=$AB$44,$AF$44,E829=$AB$45,$AF$45,E829=$AB$46,$AF$46,E829=$AB$47,$AF$47,E829=$AB$48,$AF$48,E829=$AB$49,$AF$49,E829=$AB$50,$AF$50,E829=$AB$51,$AF$51,E829=$AB$52,$AF$52,E829=$AB$53,$AF$53,E829=$AB$54,$AF$54,E829=$AB$55,$AF$55,E829=$AB$56,$AF$56,E829=$AB$57,$AF$57,E829=$AB$58,$AF$58,E829=$AB$59,$AF$59,E829=$AB$60,$AF$60,E829=$AB$61,$AF$61,E829=$AB$62,$AF$62,E829=$AB$63,$AF$63,E829=$AB$64,$AF$64,E829=$AB$65,$AF$65,E829=$AB$66,$AF$66,TRUE,"0")</f>
        <v>if 0-0, BACK+ 0.5 GOALS  @ 1.15+odds.  or @ 40 mins</v>
      </c>
      <c r="D829" s="270" t="str" cm="1">
        <f t="array" ref="D829">_xlfn.IFS(E829=$AB$42,$AD$42,E829=$AB$43,$AD$43,E829=$AB$44,$AD$44,E829=$AB$45,$AD$45,E829=$AB$46,$AD$46,E829=$AB$47,$AD$47,E829=$AB$48,$AD$48,E829=$AB$49,$AD$49,E829=$AB$50,$AD$50,E829=$AB$51,$AD$51,E829=$AB$52,$AD$52,E829=$AB$53,$AD$53,E829=$AB$54,$AD$54,E829=$AB$55,$AD$55,E829=$AB$56,$AD$56,E829=$AB$57,$AD$57,E829=$AB$58,$AD$58,E829=$AB$59,$AD$59,E829=$AB$60,$AD$60,E829=$AB$61,$AD$61,E829=$AB$62,$AD$62,E829=$AB$63,$AD$63,E829=$AB$64,$AD$64,E829=$AB$65,$AD$65,E829=$AB$66,$AD$66,TRUE,"0")</f>
        <v>IP</v>
      </c>
      <c r="E829" s="163" t="s">
        <v>270</v>
      </c>
      <c r="F829" s="2" t="s">
        <v>296</v>
      </c>
      <c r="G829" s="2" t="s">
        <v>78</v>
      </c>
      <c r="H829" s="3">
        <v>45388.708333333336</v>
      </c>
      <c r="I829" s="2" t="s">
        <v>297</v>
      </c>
      <c r="J829" s="2" t="s">
        <v>368</v>
      </c>
      <c r="K829" s="2">
        <v>73</v>
      </c>
      <c r="L829" s="2">
        <v>0</v>
      </c>
      <c r="M829" s="2">
        <v>20</v>
      </c>
      <c r="N829" s="2">
        <v>42</v>
      </c>
      <c r="O829" s="2">
        <v>2.23</v>
      </c>
      <c r="P829" s="2"/>
      <c r="Q829" s="2" t="s">
        <v>95</v>
      </c>
      <c r="R829" s="10" t="s">
        <v>221</v>
      </c>
      <c r="S829" s="14" t="s">
        <v>210</v>
      </c>
      <c r="T829" s="188">
        <v>1000</v>
      </c>
      <c r="U829" s="8">
        <f t="shared" si="100"/>
        <v>180</v>
      </c>
      <c r="V829" s="234">
        <f t="shared" si="99"/>
        <v>59004.155246160299</v>
      </c>
      <c r="W829" s="15">
        <v>25</v>
      </c>
      <c r="X829" s="8">
        <f t="shared" si="97"/>
        <v>4.5</v>
      </c>
      <c r="Y829" s="233">
        <f t="shared" si="98"/>
        <v>3341</v>
      </c>
    </row>
    <row r="830" spans="1:25">
      <c r="A830" s="156" t="e" cm="1">
        <f t="array" aca="1" ref="A830" ca="1">_xlfn.IFS(E830=$AB$42,$AC$42,E830=$AB$43,$AC$43,E830=$AB$44,$AC$44,E830=$AB$45,$AC$45,E830=$AB$46,$AC$46,E830=$AB$47,$AC$47,E830=$AB$48,$AC$48,E830=$AB$49,$AC$49,E830=$AB$50,$AC$50,E830=$AB$51,$AC$51,E830=$AB$52,$AC$52,E830=$AB$53,$AC$53,E830=$AB$54,$AC$54,E830=$AB$55,$AC$55,E830=$AB$56,$AC$56,E830=$AB$57,$AC$57,E830=$AB$58,$AC$58,E830=$AB$59,$AC$59,E830=$AB$60,$AC$60,E830=$AB$61,$AC$61,E830=$AB$62,$AC$62,E830=$AB$63,$AC$63,E830=$AB$64,$AC$64,E830=$AB$65,$AC$65,E830=$AB$66,$AC$66,TRUE,"0")</f>
        <v>#NAME?</v>
      </c>
      <c r="C830" s="161" t="str" cm="1">
        <f t="array" ref="C830">_xlfn.IFS(E830=$AB$42,$AF$42,E830=$AB$43,$AF$43,E830=$AB$44,$AF$44,E830=$AB$45,$AF$45,E830=$AB$46,$AF$46,E830=$AB$47,$AF$47,E830=$AB$48,$AF$48,E830=$AB$49,$AF$49,E830=$AB$50,$AF$50,E830=$AB$51,$AF$51,E830=$AB$52,$AF$52,E830=$AB$53,$AF$53,E830=$AB$54,$AF$54,E830=$AB$55,$AF$55,E830=$AB$56,$AF$56,E830=$AB$57,$AF$57,E830=$AB$58,$AF$58,E830=$AB$59,$AF$59,E830=$AB$60,$AF$60,E830=$AB$61,$AF$61,E830=$AB$62,$AF$62,E830=$AB$63,$AF$63,E830=$AB$64,$AF$64,E830=$AB$65,$AF$65,E830=$AB$66,$AF$66,TRUE,"0")</f>
        <v>40 mins Back ANother Goal</v>
      </c>
      <c r="D830" s="270" t="str" cm="1">
        <f t="array" ref="D830">_xlfn.IFS(E830=$AB$42,$AD$42,E830=$AB$43,$AD$43,E830=$AB$44,$AD$44,E830=$AB$45,$AD$45,E830=$AB$46,$AD$46,E830=$AB$47,$AD$47,E830=$AB$48,$AD$48,E830=$AB$49,$AD$49,E830=$AB$50,$AD$50,E830=$AB$51,$AD$51,E830=$AB$52,$AD$52,E830=$AB$53,$AD$53,E830=$AB$54,$AD$54,E830=$AB$55,$AD$55,E830=$AB$56,$AD$56,E830=$AB$57,$AD$57,E830=$AB$58,$AD$58,E830=$AB$59,$AD$59,E830=$AB$60,$AD$60,E830=$AB$61,$AD$61,E830=$AB$62,$AD$62,E830=$AB$63,$AD$63,E830=$AB$64,$AD$64,E830=$AB$65,$AD$65,E830=$AB$66,$AD$66,TRUE,"0")</f>
        <v xml:space="preserve">  BANG</v>
      </c>
      <c r="E830" s="163" t="s">
        <v>522</v>
      </c>
      <c r="F830" s="2" t="s">
        <v>296</v>
      </c>
      <c r="G830" s="2" t="s">
        <v>78</v>
      </c>
      <c r="H830" s="3">
        <v>45388.708333333336</v>
      </c>
      <c r="I830" s="2" t="s">
        <v>297</v>
      </c>
      <c r="J830" s="2" t="s">
        <v>368</v>
      </c>
      <c r="K830" s="2">
        <v>73</v>
      </c>
      <c r="L830" s="2">
        <v>20</v>
      </c>
      <c r="M830" s="2">
        <v>95</v>
      </c>
      <c r="N830" s="2">
        <v>75</v>
      </c>
      <c r="O830" s="2">
        <v>2.4</v>
      </c>
      <c r="P830" s="2"/>
      <c r="Q830" s="2" t="s">
        <v>95</v>
      </c>
      <c r="R830" s="10" t="s">
        <v>221</v>
      </c>
      <c r="S830" s="14" t="s">
        <v>210</v>
      </c>
      <c r="T830" s="188">
        <v>1000</v>
      </c>
      <c r="U830" s="8">
        <f t="shared" si="100"/>
        <v>180</v>
      </c>
      <c r="V830" s="234">
        <f t="shared" ref="V830:V835" si="101">SUM(V829,U830)</f>
        <v>59184.155246160299</v>
      </c>
      <c r="W830" s="15">
        <v>25</v>
      </c>
      <c r="X830" s="8">
        <f t="shared" si="97"/>
        <v>4.5</v>
      </c>
      <c r="Y830" s="233">
        <f t="shared" si="98"/>
        <v>3345.5</v>
      </c>
    </row>
    <row r="831" spans="1:25">
      <c r="A831" s="156" t="e" cm="1">
        <f t="array" aca="1" ref="A831" ca="1">_xlfn.IFS(E831=$AB$42,$AC$42,E831=$AB$43,$AC$43,E831=$AB$44,$AC$44,E831=$AB$45,$AC$45,E831=$AB$46,$AC$46,E831=$AB$47,$AC$47,E831=$AB$48,$AC$48,E831=$AB$49,$AC$49,E831=$AB$50,$AC$50,E831=$AB$51,$AC$51,E831=$AB$52,$AC$52,E831=$AB$53,$AC$53,E831=$AB$54,$AC$54,E831=$AB$55,$AC$55,E831=$AB$56,$AC$56,E831=$AB$57,$AC$57,E831=$AB$58,$AC$58,E831=$AB$59,$AC$59,E831=$AB$60,$AC$60,E831=$AB$61,$AC$61,E831=$AB$62,$AC$62,E831=$AB$63,$AC$63,E831=$AB$64,$AC$64,E831=$AB$65,$AC$65,E831=$AB$66,$AC$66,TRUE,"0")</f>
        <v>#NAME?</v>
      </c>
      <c r="C831" s="161" t="str" cm="1">
        <f t="array" ref="C831">_xlfn.IFS(E831=$AB$42,$AF$42,E831=$AB$43,$AF$43,E831=$AB$44,$AF$44,E831=$AB$45,$AF$45,E831=$AB$46,$AF$46,E831=$AB$47,$AF$47,E831=$AB$48,$AF$48,E831=$AB$49,$AF$49,E831=$AB$50,$AF$50,E831=$AB$51,$AF$51,E831=$AB$52,$AF$52,E831=$AB$53,$AF$53,E831=$AB$54,$AF$54,E831=$AB$55,$AF$55,E831=$AB$56,$AF$56,E831=$AB$57,$AF$57,E831=$AB$58,$AF$58,E831=$AB$59,$AF$59,E831=$AB$60,$AF$60,E831=$AB$61,$AF$61,E831=$AB$62,$AF$62,E831=$AB$63,$AF$63,E831=$AB$64,$AF$64,E831=$AB$65,$AF$65,E831=$AB$66,$AF$66,TRUE,"0")</f>
        <v>40 mins Back ANother Goal</v>
      </c>
      <c r="D831" s="270" t="str" cm="1">
        <f t="array" ref="D831">_xlfn.IFS(E831=$AB$42,$AD$42,E831=$AB$43,$AD$43,E831=$AB$44,$AD$44,E831=$AB$45,$AD$45,E831=$AB$46,$AD$46,E831=$AB$47,$AD$47,E831=$AB$48,$AD$48,E831=$AB$49,$AD$49,E831=$AB$50,$AD$50,E831=$AB$51,$AD$51,E831=$AB$52,$AD$52,E831=$AB$53,$AD$53,E831=$AB$54,$AD$54,E831=$AB$55,$AD$55,E831=$AB$56,$AD$56,E831=$AB$57,$AD$57,E831=$AB$58,$AD$58,E831=$AB$59,$AD$59,E831=$AB$60,$AD$60,E831=$AB$61,$AD$61,E831=$AB$62,$AD$62,E831=$AB$63,$AD$63,E831=$AB$64,$AD$64,E831=$AB$65,$AD$65,E831=$AB$66,$AD$66,TRUE,"0")</f>
        <v xml:space="preserve">  BANG</v>
      </c>
      <c r="E831" s="163" t="s">
        <v>515</v>
      </c>
      <c r="F831" s="2" t="s">
        <v>296</v>
      </c>
      <c r="G831" s="2" t="s">
        <v>78</v>
      </c>
      <c r="H831" s="3">
        <v>45388.708333333336</v>
      </c>
      <c r="I831" s="2" t="s">
        <v>297</v>
      </c>
      <c r="J831" s="2" t="s">
        <v>368</v>
      </c>
      <c r="K831" s="2">
        <v>20</v>
      </c>
      <c r="L831" s="2">
        <v>73</v>
      </c>
      <c r="M831" s="2">
        <v>2.4</v>
      </c>
      <c r="N831" s="2"/>
      <c r="O831" s="2"/>
      <c r="P831" s="2"/>
      <c r="Q831" s="2" t="s">
        <v>95</v>
      </c>
      <c r="R831" s="10" t="s">
        <v>221</v>
      </c>
      <c r="S831" s="14" t="s">
        <v>210</v>
      </c>
      <c r="T831" s="188">
        <v>1000</v>
      </c>
      <c r="U831" s="8">
        <f t="shared" si="100"/>
        <v>180</v>
      </c>
      <c r="V831" s="234">
        <f t="shared" si="101"/>
        <v>59364.155246160299</v>
      </c>
      <c r="W831" s="15">
        <v>25</v>
      </c>
      <c r="X831" s="8">
        <f t="shared" si="97"/>
        <v>4.5</v>
      </c>
      <c r="Y831" s="233">
        <f t="shared" si="98"/>
        <v>3350</v>
      </c>
    </row>
    <row r="832" spans="1:25">
      <c r="A832" s="156" t="e" cm="1">
        <f t="array" aca="1" ref="A832" ca="1">_xlfn.IFS(E832=$AB$42,$AC$42,E832=$AB$43,$AC$43,E832=$AB$44,$AC$44,E832=$AB$45,$AC$45,E832=$AB$46,$AC$46,E832=$AB$47,$AC$47,E832=$AB$48,$AC$48,E832=$AB$49,$AC$49,E832=$AB$50,$AC$50,E832=$AB$51,$AC$51,E832=$AB$52,$AC$52,E832=$AB$53,$AC$53,E832=$AB$54,$AC$54,E832=$AB$55,$AC$55,E832=$AB$56,$AC$56,E832=$AB$57,$AC$57,E832=$AB$58,$AC$58,E832=$AB$59,$AC$59,E832=$AB$60,$AC$60,E832=$AB$61,$AC$61,E832=$AB$62,$AC$62,E832=$AB$63,$AC$63,E832=$AB$64,$AC$64,E832=$AB$65,$AC$65,E832=$AB$66,$AC$66,TRUE,"0")</f>
        <v>#NAME?</v>
      </c>
      <c r="C832" s="161" t="str" cm="1">
        <f t="array" ref="C832">_xlfn.IFS(E832=$AB$42,$AF$42,E832=$AB$43,$AF$43,E832=$AB$44,$AF$44,E832=$AB$45,$AF$45,E832=$AB$46,$AF$46,E832=$AB$47,$AF$47,E832=$AB$48,$AF$48,E832=$AB$49,$AF$49,E832=$AB$50,$AF$50,E832=$AB$51,$AF$51,E832=$AB$52,$AF$52,E832=$AB$53,$AF$53,E832=$AB$54,$AF$54,E832=$AB$55,$AF$55,E832=$AB$56,$AF$56,E832=$AB$57,$AF$57,E832=$AB$58,$AF$58,E832=$AB$59,$AF$59,E832=$AB$60,$AF$60,E832=$AB$61,$AF$61,E832=$AB$62,$AF$62,E832=$AB$63,$AF$63,E832=$AB$64,$AF$64,E832=$AB$65,$AF$65,E832=$AB$66,$AF$66,TRUE,"0")</f>
        <v>if 0-0, BACK+ 0.5 GOALS  @ 1.15+odds.  or @ 40 mins</v>
      </c>
      <c r="D832" s="270" t="str" cm="1">
        <f t="array" ref="D832">_xlfn.IFS(E832=$AB$42,$AD$42,E832=$AB$43,$AD$43,E832=$AB$44,$AD$44,E832=$AB$45,$AD$45,E832=$AB$46,$AD$46,E832=$AB$47,$AD$47,E832=$AB$48,$AD$48,E832=$AB$49,$AD$49,E832=$AB$50,$AD$50,E832=$AB$51,$AD$51,E832=$AB$52,$AD$52,E832=$AB$53,$AD$53,E832=$AB$54,$AD$54,E832=$AB$55,$AD$55,E832=$AB$56,$AD$56,E832=$AB$57,$AD$57,E832=$AB$58,$AD$58,E832=$AB$59,$AD$59,E832=$AB$60,$AD$60,E832=$AB$61,$AD$61,E832=$AB$62,$AD$62,E832=$AB$63,$AD$63,E832=$AB$64,$AD$64,E832=$AB$65,$AD$65,E832=$AB$66,$AD$66,TRUE,"0")</f>
        <v>IP</v>
      </c>
      <c r="E832" s="163" t="s">
        <v>270</v>
      </c>
      <c r="F832" s="2" t="s">
        <v>58</v>
      </c>
      <c r="G832" s="2" t="s">
        <v>59</v>
      </c>
      <c r="H832" s="3">
        <v>45388.75</v>
      </c>
      <c r="I832" s="2" t="s">
        <v>112</v>
      </c>
      <c r="J832" s="2" t="s">
        <v>76</v>
      </c>
      <c r="K832" s="2">
        <v>62</v>
      </c>
      <c r="L832" s="2">
        <v>0</v>
      </c>
      <c r="M832" s="2">
        <v>20</v>
      </c>
      <c r="N832" s="2">
        <v>27</v>
      </c>
      <c r="O832" s="2">
        <v>3.08</v>
      </c>
      <c r="P832" s="2"/>
      <c r="Q832" s="2" t="s">
        <v>95</v>
      </c>
      <c r="R832" s="10" t="s">
        <v>217</v>
      </c>
      <c r="S832" s="14" t="s">
        <v>218</v>
      </c>
      <c r="T832" s="188">
        <v>1000</v>
      </c>
      <c r="U832" s="8">
        <f t="shared" si="100"/>
        <v>180</v>
      </c>
      <c r="V832" s="234">
        <f t="shared" si="101"/>
        <v>59544.155246160299</v>
      </c>
      <c r="W832" s="15">
        <v>25</v>
      </c>
      <c r="X832" s="8">
        <f t="shared" si="97"/>
        <v>4.5</v>
      </c>
      <c r="Y832" s="233">
        <f t="shared" si="98"/>
        <v>3354.5</v>
      </c>
    </row>
    <row r="833" spans="1:25">
      <c r="A833" s="156" t="e" cm="1">
        <f t="array" aca="1" ref="A833" ca="1">_xlfn.IFS(E833=$AB$42,$AC$42,E833=$AB$43,$AC$43,E833=$AB$44,$AC$44,E833=$AB$45,$AC$45,E833=$AB$46,$AC$46,E833=$AB$47,$AC$47,E833=$AB$48,$AC$48,E833=$AB$49,$AC$49,E833=$AB$50,$AC$50,E833=$AB$51,$AC$51,E833=$AB$52,$AC$52,E833=$AB$53,$AC$53,E833=$AB$54,$AC$54,E833=$AB$55,$AC$55,E833=$AB$56,$AC$56,E833=$AB$57,$AC$57,E833=$AB$58,$AC$58,E833=$AB$59,$AC$59,E833=$AB$60,$AC$60,E833=$AB$61,$AC$61,E833=$AB$62,$AC$62,E833=$AB$63,$AC$63,E833=$AB$64,$AC$64,E833=$AB$65,$AC$65,E833=$AB$66,$AC$66,TRUE,"0")</f>
        <v>#NAME?</v>
      </c>
      <c r="C833" s="161" t="str" cm="1">
        <f t="array" ref="C833">_xlfn.IFS(E833=$AB$42,$AF$42,E833=$AB$43,$AF$43,E833=$AB$44,$AF$44,E833=$AB$45,$AF$45,E833=$AB$46,$AF$46,E833=$AB$47,$AF$47,E833=$AB$48,$AF$48,E833=$AB$49,$AF$49,E833=$AB$50,$AF$50,E833=$AB$51,$AF$51,E833=$AB$52,$AF$52,E833=$AB$53,$AF$53,E833=$AB$54,$AF$54,E833=$AB$55,$AF$55,E833=$AB$56,$AF$56,E833=$AB$57,$AF$57,E833=$AB$58,$AF$58,E833=$AB$59,$AF$59,E833=$AB$60,$AF$60,E833=$AB$61,$AF$61,E833=$AB$62,$AF$62,E833=$AB$63,$AF$63,E833=$AB$64,$AF$64,E833=$AB$65,$AF$65,E833=$AB$66,$AF$66,TRUE,"0")</f>
        <v>if 0-0, BACK+ 0.5 GOALS  @ 1.15+odds.  or @ 40 mins</v>
      </c>
      <c r="D833" s="270" t="str" cm="1">
        <f t="array" ref="D833">_xlfn.IFS(E833=$AB$42,$AD$42,E833=$AB$43,$AD$43,E833=$AB$44,$AD$44,E833=$AB$45,$AD$45,E833=$AB$46,$AD$46,E833=$AB$47,$AD$47,E833=$AB$48,$AD$48,E833=$AB$49,$AD$49,E833=$AB$50,$AD$50,E833=$AB$51,$AD$51,E833=$AB$52,$AD$52,E833=$AB$53,$AD$53,E833=$AB$54,$AD$54,E833=$AB$55,$AD$55,E833=$AB$56,$AD$56,E833=$AB$57,$AD$57,E833=$AB$58,$AD$58,E833=$AB$59,$AD$59,E833=$AB$60,$AD$60,E833=$AB$61,$AD$61,E833=$AB$62,$AD$62,E833=$AB$63,$AD$63,E833=$AB$64,$AD$64,E833=$AB$65,$AD$65,E833=$AB$66,$AD$66,TRUE,"0")</f>
        <v>IP</v>
      </c>
      <c r="E833" s="163" t="s">
        <v>270</v>
      </c>
      <c r="F833" s="2" t="s">
        <v>145</v>
      </c>
      <c r="G833" s="2" t="s">
        <v>268</v>
      </c>
      <c r="H833" s="3">
        <v>45388.75</v>
      </c>
      <c r="I833" s="2" t="s">
        <v>484</v>
      </c>
      <c r="J833" s="2" t="s">
        <v>686</v>
      </c>
      <c r="K833" s="2">
        <v>60</v>
      </c>
      <c r="L833" s="2">
        <v>0</v>
      </c>
      <c r="M833" s="2">
        <v>20</v>
      </c>
      <c r="N833" s="2">
        <v>31</v>
      </c>
      <c r="O833" s="2">
        <v>1.95</v>
      </c>
      <c r="P833" s="2"/>
      <c r="Q833" s="2" t="s">
        <v>95</v>
      </c>
      <c r="R833" s="10" t="s">
        <v>216</v>
      </c>
      <c r="S833" s="14" t="s">
        <v>216</v>
      </c>
      <c r="T833" s="188">
        <v>1000</v>
      </c>
      <c r="U833" s="8">
        <f t="shared" si="100"/>
        <v>180</v>
      </c>
      <c r="V833" s="234">
        <f t="shared" si="101"/>
        <v>59724.155246160299</v>
      </c>
      <c r="W833" s="15">
        <v>25</v>
      </c>
      <c r="X833" s="8">
        <f t="shared" si="97"/>
        <v>4.5</v>
      </c>
      <c r="Y833" s="233">
        <f t="shared" si="98"/>
        <v>3359</v>
      </c>
    </row>
    <row r="834" spans="1:25">
      <c r="A834" s="156" t="e" cm="1">
        <f t="array" aca="1" ref="A834" ca="1">_xlfn.IFS(E834=$AB$42,$AC$42,E834=$AB$43,$AC$43,E834=$AB$44,$AC$44,E834=$AB$45,$AC$45,E834=$AB$46,$AC$46,E834=$AB$47,$AC$47,E834=$AB$48,$AC$48,E834=$AB$49,$AC$49,E834=$AB$50,$AC$50,E834=$AB$51,$AC$51,E834=$AB$52,$AC$52,E834=$AB$53,$AC$53,E834=$AB$54,$AC$54,E834=$AB$55,$AC$55,E834=$AB$56,$AC$56,E834=$AB$57,$AC$57,E834=$AB$58,$AC$58,E834=$AB$59,$AC$59,E834=$AB$60,$AC$60,E834=$AB$61,$AC$61,E834=$AB$62,$AC$62,E834=$AB$63,$AC$63,E834=$AB$64,$AC$64,E834=$AB$65,$AC$65,E834=$AB$66,$AC$66,TRUE,"0")</f>
        <v>#NAME?</v>
      </c>
      <c r="C834" s="161" t="str" cm="1">
        <f t="array" ref="C834">_xlfn.IFS(E834=$AB$42,$AF$42,E834=$AB$43,$AF$43,E834=$AB$44,$AF$44,E834=$AB$45,$AF$45,E834=$AB$46,$AF$46,E834=$AB$47,$AF$47,E834=$AB$48,$AF$48,E834=$AB$49,$AF$49,E834=$AB$50,$AF$50,E834=$AB$51,$AF$51,E834=$AB$52,$AF$52,E834=$AB$53,$AF$53,E834=$AB$54,$AF$54,E834=$AB$55,$AF$55,E834=$AB$56,$AF$56,E834=$AB$57,$AF$57,E834=$AB$58,$AF$58,E834=$AB$59,$AF$59,E834=$AB$60,$AF$60,E834=$AB$61,$AF$61,E834=$AB$62,$AF$62,E834=$AB$63,$AF$63,E834=$AB$64,$AF$64,E834=$AB$65,$AF$65,E834=$AB$66,$AF$66,TRUE,"0")</f>
        <v>B4 match BACK FT +1.5 goals. X AFTER  GOAL</v>
      </c>
      <c r="D834" s="270" t="str" cm="1">
        <f t="array" ref="D834">_xlfn.IFS(E834=$AB$42,$AD$42,E834=$AB$43,$AD$43,E834=$AB$44,$AD$44,E834=$AB$45,$AD$45,E834=$AB$46,$AD$46,E834=$AB$47,$AD$47,E834=$AB$48,$AD$48,E834=$AB$49,$AD$49,E834=$AB$50,$AD$50,E834=$AB$51,$AD$51,E834=$AB$52,$AD$52,E834=$AB$53,$AD$53,E834=$AB$54,$AD$54,E834=$AB$55,$AD$55,E834=$AB$56,$AD$56,E834=$AB$57,$AD$57,E834=$AB$58,$AD$58,E834=$AB$59,$AD$59,E834=$AB$60,$AD$60,E834=$AB$61,$AD$61,E834=$AB$62,$AD$62,E834=$AB$63,$AD$63,E834=$AB$64,$AD$64,E834=$AB$65,$AD$65,E834=$AB$66,$AD$66,TRUE,"0")</f>
        <v xml:space="preserve">BFM </v>
      </c>
      <c r="E834" s="163" t="s">
        <v>623</v>
      </c>
      <c r="F834" s="2" t="s">
        <v>145</v>
      </c>
      <c r="G834" s="2" t="s">
        <v>190</v>
      </c>
      <c r="H834" s="3">
        <v>45388.833333333336</v>
      </c>
      <c r="I834" s="2" t="s">
        <v>553</v>
      </c>
      <c r="J834" s="2" t="s">
        <v>611</v>
      </c>
      <c r="K834" s="2">
        <v>3.4</v>
      </c>
      <c r="L834" s="2">
        <v>20</v>
      </c>
      <c r="M834" s="2">
        <v>3.05</v>
      </c>
      <c r="N834" s="2">
        <v>21</v>
      </c>
      <c r="O834" s="2">
        <v>2</v>
      </c>
      <c r="P834" s="2">
        <v>10</v>
      </c>
      <c r="Q834" s="2" t="s">
        <v>95</v>
      </c>
      <c r="R834" s="10" t="s">
        <v>193</v>
      </c>
      <c r="S834" s="14" t="s">
        <v>216</v>
      </c>
      <c r="T834" s="188">
        <v>1000</v>
      </c>
      <c r="U834" s="8">
        <f t="shared" si="100"/>
        <v>180</v>
      </c>
      <c r="V834" s="234">
        <f t="shared" si="101"/>
        <v>59904.155246160299</v>
      </c>
      <c r="W834" s="15">
        <v>25</v>
      </c>
      <c r="X834" s="8">
        <f t="shared" si="97"/>
        <v>4.5</v>
      </c>
      <c r="Y834" s="233">
        <f t="shared" si="98"/>
        <v>3363.5</v>
      </c>
    </row>
    <row r="835" spans="1:25">
      <c r="A835" s="156" t="e" cm="1">
        <f t="array" aca="1" ref="A835" ca="1">_xlfn.IFS(E835=$AB$42,$AC$42,E835=$AB$43,$AC$43,E835=$AB$44,$AC$44,E835=$AB$45,$AC$45,E835=$AB$46,$AC$46,E835=$AB$47,$AC$47,E835=$AB$48,$AC$48,E835=$AB$49,$AC$49,E835=$AB$50,$AC$50,E835=$AB$51,$AC$51,E835=$AB$52,$AC$52,E835=$AB$53,$AC$53,E835=$AB$54,$AC$54,E835=$AB$55,$AC$55,E835=$AB$56,$AC$56,E835=$AB$57,$AC$57,E835=$AB$58,$AC$58,E835=$AB$59,$AC$59,E835=$AB$60,$AC$60,E835=$AB$61,$AC$61,E835=$AB$62,$AC$62,E835=$AB$63,$AC$63,E835=$AB$64,$AC$64,E835=$AB$65,$AC$65,E835=$AB$66,$AC$66,TRUE,"0")</f>
        <v>#NAME?</v>
      </c>
      <c r="C835" s="161" t="str" cm="1">
        <f t="array" ref="C835">_xlfn.IFS(E835=$AB$42,$AF$42,E835=$AB$43,$AF$43,E835=$AB$44,$AF$44,E835=$AB$45,$AF$45,E835=$AB$46,$AF$46,E835=$AB$47,$AF$47,E835=$AB$48,$AF$48,E835=$AB$49,$AF$49,E835=$AB$50,$AF$50,E835=$AB$51,$AF$51,E835=$AB$52,$AF$52,E835=$AB$53,$AF$53,E835=$AB$54,$AF$54,E835=$AB$55,$AF$55,E835=$AB$56,$AF$56,E835=$AB$57,$AF$57,E835=$AB$58,$AF$58,E835=$AB$59,$AF$59,E835=$AB$60,$AF$60,E835=$AB$61,$AF$61,E835=$AB$62,$AF$62,E835=$AB$63,$AF$63,E835=$AB$64,$AF$64,E835=$AB$65,$AF$65,E835=$AB$66,$AF$66,TRUE,"0")</f>
        <v>B4 MATCH bet H1 'under 2.5goals'- X at 40 minutes</v>
      </c>
      <c r="D835" s="270" t="str" cm="1">
        <f t="array" ref="D835">_xlfn.IFS(E835=$AB$42,$AD$42,E835=$AB$43,$AD$43,E835=$AB$44,$AD$44,E835=$AB$45,$AD$45,E835=$AB$46,$AD$46,E835=$AB$47,$AD$47,E835=$AB$48,$AD$48,E835=$AB$49,$AD$49,E835=$AB$50,$AD$50,E835=$AB$51,$AD$51,E835=$AB$52,$AD$52,E835=$AB$53,$AD$53,E835=$AB$54,$AD$54,E835=$AB$55,$AD$55,E835=$AB$56,$AD$56,E835=$AB$57,$AD$57,E835=$AB$58,$AD$58,E835=$AB$59,$AD$59,E835=$AB$60,$AD$60,E835=$AB$61,$AD$61,E835=$AB$62,$AD$62,E835=$AB$63,$AD$63,E835=$AB$64,$AD$64,E835=$AB$65,$AD$65,E835=$AB$66,$AD$66,TRUE,"0")</f>
        <v xml:space="preserve">BFM </v>
      </c>
      <c r="E835" s="164" t="s">
        <v>458</v>
      </c>
      <c r="F835" s="2" t="s">
        <v>572</v>
      </c>
      <c r="G835" s="2" t="s">
        <v>670</v>
      </c>
      <c r="H835" s="3">
        <v>45389.25</v>
      </c>
      <c r="I835" s="2" t="s">
        <v>695</v>
      </c>
      <c r="J835" s="2" t="s">
        <v>672</v>
      </c>
      <c r="K835" s="2">
        <v>20</v>
      </c>
      <c r="L835" s="2">
        <v>90</v>
      </c>
      <c r="M835" s="2">
        <v>100</v>
      </c>
      <c r="N835" s="2">
        <v>37</v>
      </c>
      <c r="O835" s="2">
        <v>1.65</v>
      </c>
      <c r="P835" s="2"/>
      <c r="Q835" s="2" t="s">
        <v>95</v>
      </c>
      <c r="R835" s="10" t="s">
        <v>221</v>
      </c>
      <c r="S835" s="14" t="s">
        <v>193</v>
      </c>
      <c r="T835" s="188">
        <v>1000</v>
      </c>
      <c r="U835" s="8">
        <f t="shared" si="100"/>
        <v>180</v>
      </c>
      <c r="V835" s="234">
        <f t="shared" si="101"/>
        <v>60084.155246160299</v>
      </c>
      <c r="W835" s="15">
        <v>25</v>
      </c>
      <c r="X835" s="8">
        <f t="shared" ref="X835:X868" si="102">IF(Q835="won",W835*0.18,-W835)</f>
        <v>4.5</v>
      </c>
      <c r="Y835" s="233">
        <f t="shared" ref="Y835:Y868" si="103">SUM(Y834,X835)</f>
        <v>3368</v>
      </c>
    </row>
    <row r="836" spans="1:25">
      <c r="A836" s="156" t="e" cm="1">
        <f t="array" aca="1" ref="A836" ca="1">_xlfn.IFS(E836=$AB$42,$AC$42,E836=$AB$43,$AC$43,E836=$AB$44,$AC$44,E836=$AB$45,$AC$45,E836=$AB$46,$AC$46,E836=$AB$47,$AC$47,E836=$AB$48,$AC$48,E836=$AB$49,$AC$49,E836=$AB$50,$AC$50,E836=$AB$51,$AC$51,E836=$AB$52,$AC$52,E836=$AB$53,$AC$53,E836=$AB$54,$AC$54,E836=$AB$55,$AC$55,E836=$AB$56,$AC$56,E836=$AB$57,$AC$57,E836=$AB$58,$AC$58,E836=$AB$59,$AC$59,E836=$AB$60,$AC$60,E836=$AB$61,$AC$61,E836=$AB$62,$AC$62,E836=$AB$63,$AC$63,E836=$AB$64,$AC$64,E836=$AB$65,$AC$65,E836=$AB$66,$AC$66,TRUE,"0")</f>
        <v>#NAME?</v>
      </c>
      <c r="C836" s="161" t="str" cm="1">
        <f t="array" ref="C836">_xlfn.IFS(E836=$AB$42,$AF$42,E836=$AB$43,$AF$43,E836=$AB$44,$AF$44,E836=$AB$45,$AF$45,E836=$AB$46,$AF$46,E836=$AB$47,$AF$47,E836=$AB$48,$AF$48,E836=$AB$49,$AF$49,E836=$AB$50,$AF$50,E836=$AB$51,$AF$51,E836=$AB$52,$AF$52,E836=$AB$53,$AF$53,E836=$AB$54,$AF$54,E836=$AB$55,$AF$55,E836=$AB$56,$AF$56,E836=$AB$57,$AF$57,E836=$AB$58,$AF$58,E836=$AB$59,$AF$59,E836=$AB$60,$AF$60,E836=$AB$61,$AF$61,E836=$AB$62,$AF$62,E836=$AB$63,$AF$63,E836=$AB$64,$AF$64,E836=$AB$65,$AF$65,E836=$AB$66,$AF$66,TRUE,"0")</f>
        <v>40 mins Back ANother Goal</v>
      </c>
      <c r="D836" s="270" t="str" cm="1">
        <f t="array" ref="D836">_xlfn.IFS(E836=$AB$42,$AD$42,E836=$AB$43,$AD$43,E836=$AB$44,$AD$44,E836=$AB$45,$AD$45,E836=$AB$46,$AD$46,E836=$AB$47,$AD$47,E836=$AB$48,$AD$48,E836=$AB$49,$AD$49,E836=$AB$50,$AD$50,E836=$AB$51,$AD$51,E836=$AB$52,$AD$52,E836=$AB$53,$AD$53,E836=$AB$54,$AD$54,E836=$AB$55,$AD$55,E836=$AB$56,$AD$56,E836=$AB$57,$AD$57,E836=$AB$58,$AD$58,E836=$AB$59,$AD$59,E836=$AB$60,$AD$60,E836=$AB$61,$AD$61,E836=$AB$62,$AD$62,E836=$AB$63,$AD$63,E836=$AB$64,$AD$64,E836=$AB$65,$AD$65,E836=$AB$66,$AD$66,TRUE,"0")</f>
        <v xml:space="preserve">  BANG</v>
      </c>
      <c r="E836" s="163" t="s">
        <v>43</v>
      </c>
      <c r="F836" s="2" t="s">
        <v>44</v>
      </c>
      <c r="G836" s="2" t="s">
        <v>45</v>
      </c>
      <c r="H836" s="3">
        <v>45389.333333333336</v>
      </c>
      <c r="I836" s="2" t="s">
        <v>131</v>
      </c>
      <c r="J836" s="2" t="s">
        <v>124</v>
      </c>
      <c r="K836" s="2">
        <v>70</v>
      </c>
      <c r="L836" s="2">
        <v>73</v>
      </c>
      <c r="M836" s="2">
        <v>65</v>
      </c>
      <c r="N836" s="2">
        <v>2</v>
      </c>
      <c r="O836" s="2">
        <v>1.68</v>
      </c>
      <c r="P836" s="2"/>
      <c r="Q836" s="2" t="s">
        <v>95</v>
      </c>
      <c r="R836" s="10" t="s">
        <v>193</v>
      </c>
      <c r="S836" s="14" t="s">
        <v>216</v>
      </c>
      <c r="T836" s="188">
        <v>1000</v>
      </c>
      <c r="U836" s="8">
        <f t="shared" si="100"/>
        <v>180</v>
      </c>
      <c r="V836" s="234">
        <f t="shared" si="99"/>
        <v>60264.155246160299</v>
      </c>
      <c r="W836" s="15">
        <v>25</v>
      </c>
      <c r="X836" s="8">
        <f t="shared" si="102"/>
        <v>4.5</v>
      </c>
      <c r="Y836" s="233">
        <f t="shared" si="103"/>
        <v>3372.5</v>
      </c>
    </row>
    <row r="837" spans="1:25">
      <c r="A837" s="156" t="e" cm="1">
        <f t="array" aca="1" ref="A837" ca="1">_xlfn.IFS(E837=$AB$42,$AC$42,E837=$AB$43,$AC$43,E837=$AB$44,$AC$44,E837=$AB$45,$AC$45,E837=$AB$46,$AC$46,E837=$AB$47,$AC$47,E837=$AB$48,$AC$48,E837=$AB$49,$AC$49,E837=$AB$50,$AC$50,E837=$AB$51,$AC$51,E837=$AB$52,$AC$52,E837=$AB$53,$AC$53,E837=$AB$54,$AC$54,E837=$AB$55,$AC$55,E837=$AB$56,$AC$56,E837=$AB$57,$AC$57,E837=$AB$58,$AC$58,E837=$AB$59,$AC$59,E837=$AB$60,$AC$60,E837=$AB$61,$AC$61,E837=$AB$62,$AC$62,E837=$AB$63,$AC$63,E837=$AB$64,$AC$64,E837=$AB$65,$AC$65,E837=$AB$66,$AC$66,TRUE,"0")</f>
        <v>#NAME?</v>
      </c>
      <c r="C837" s="161" t="str" cm="1">
        <f t="array" ref="C837">_xlfn.IFS(E837=$AB$42,$AF$42,E837=$AB$43,$AF$43,E837=$AB$44,$AF$44,E837=$AB$45,$AF$45,E837=$AB$46,$AF$46,E837=$AB$47,$AF$47,E837=$AB$48,$AF$48,E837=$AB$49,$AF$49,E837=$AB$50,$AF$50,E837=$AB$51,$AF$51,E837=$AB$52,$AF$52,E837=$AB$53,$AF$53,E837=$AB$54,$AF$54,E837=$AB$55,$AF$55,E837=$AB$56,$AF$56,E837=$AB$57,$AF$57,E837=$AB$58,$AF$58,E837=$AB$59,$AF$59,E837=$AB$60,$AF$60,E837=$AB$61,$AF$61,E837=$AB$62,$AF$62,E837=$AB$63,$AF$63,E837=$AB$64,$AF$64,E837=$AB$65,$AF$65,E837=$AB$66,$AF$66,TRUE,"0")</f>
        <v>B4 match BACK FT +1.5 goals. X AFTER  GOAL</v>
      </c>
      <c r="D837" s="270" t="str" cm="1">
        <f t="array" ref="D837">_xlfn.IFS(E837=$AB$42,$AD$42,E837=$AB$43,$AD$43,E837=$AB$44,$AD$44,E837=$AB$45,$AD$45,E837=$AB$46,$AD$46,E837=$AB$47,$AD$47,E837=$AB$48,$AD$48,E837=$AB$49,$AD$49,E837=$AB$50,$AD$50,E837=$AB$51,$AD$51,E837=$AB$52,$AD$52,E837=$AB$53,$AD$53,E837=$AB$54,$AD$54,E837=$AB$55,$AD$55,E837=$AB$56,$AD$56,E837=$AB$57,$AD$57,E837=$AB$58,$AD$58,E837=$AB$59,$AD$59,E837=$AB$60,$AD$60,E837=$AB$61,$AD$61,E837=$AB$62,$AD$62,E837=$AB$63,$AD$63,E837=$AB$64,$AD$64,E837=$AB$65,$AD$65,E837=$AB$66,$AD$66,TRUE,"0")</f>
        <v xml:space="preserve">BFM </v>
      </c>
      <c r="E837" s="163" t="s">
        <v>623</v>
      </c>
      <c r="F837" s="2" t="s">
        <v>441</v>
      </c>
      <c r="G837" s="2" t="s">
        <v>442</v>
      </c>
      <c r="H837" s="3">
        <v>45389.479166666664</v>
      </c>
      <c r="I837" s="2" t="s">
        <v>696</v>
      </c>
      <c r="J837" s="2" t="s">
        <v>697</v>
      </c>
      <c r="K837" s="2">
        <v>6</v>
      </c>
      <c r="L837" s="2">
        <v>20</v>
      </c>
      <c r="M837" s="2">
        <v>3.6</v>
      </c>
      <c r="N837" s="2">
        <v>16</v>
      </c>
      <c r="O837" s="2">
        <v>1</v>
      </c>
      <c r="P837" s="2">
        <v>10</v>
      </c>
      <c r="Q837" s="2" t="s">
        <v>95</v>
      </c>
      <c r="R837" s="10" t="s">
        <v>221</v>
      </c>
      <c r="S837" s="14" t="s">
        <v>216</v>
      </c>
      <c r="T837" s="188">
        <v>1000</v>
      </c>
      <c r="U837" s="8">
        <f t="shared" si="100"/>
        <v>180</v>
      </c>
      <c r="V837" s="234">
        <f t="shared" si="99"/>
        <v>60444.155246160299</v>
      </c>
      <c r="W837" s="15">
        <v>25</v>
      </c>
      <c r="X837" s="8">
        <f t="shared" si="102"/>
        <v>4.5</v>
      </c>
      <c r="Y837" s="233">
        <f t="shared" si="103"/>
        <v>3377</v>
      </c>
    </row>
    <row r="838" spans="1:25">
      <c r="A838" s="156" t="e" cm="1">
        <f t="array" aca="1" ref="A838" ca="1">_xlfn.IFS(E838=$AB$42,$AC$42,E838=$AB$43,$AC$43,E838=$AB$44,$AC$44,E838=$AB$45,$AC$45,E838=$AB$46,$AC$46,E838=$AB$47,$AC$47,E838=$AB$48,$AC$48,E838=$AB$49,$AC$49,E838=$AB$50,$AC$50,E838=$AB$51,$AC$51,E838=$AB$52,$AC$52,E838=$AB$53,$AC$53,E838=$AB$54,$AC$54,E838=$AB$55,$AC$55,E838=$AB$56,$AC$56,E838=$AB$57,$AC$57,E838=$AB$58,$AC$58,E838=$AB$59,$AC$59,E838=$AB$60,$AC$60,E838=$AB$61,$AC$61,E838=$AB$62,$AC$62,E838=$AB$63,$AC$63,E838=$AB$64,$AC$64,E838=$AB$65,$AC$65,E838=$AB$66,$AC$66,TRUE,"0")</f>
        <v>#NAME?</v>
      </c>
      <c r="C838" s="161" t="str" cm="1">
        <f t="array" ref="C838">_xlfn.IFS(E838=$AB$42,$AF$42,E838=$AB$43,$AF$43,E838=$AB$44,$AF$44,E838=$AB$45,$AF$45,E838=$AB$46,$AF$46,E838=$AB$47,$AF$47,E838=$AB$48,$AF$48,E838=$AB$49,$AF$49,E838=$AB$50,$AF$50,E838=$AB$51,$AF$51,E838=$AB$52,$AF$52,E838=$AB$53,$AF$53,E838=$AB$54,$AF$54,E838=$AB$55,$AF$55,E838=$AB$56,$AF$56,E838=$AB$57,$AF$57,E838=$AB$58,$AF$58,E838=$AB$59,$AF$59,E838=$AB$60,$AF$60,E838=$AB$61,$AF$61,E838=$AB$62,$AF$62,E838=$AB$63,$AF$63,E838=$AB$64,$AF$64,E838=$AB$65,$AF$65,E838=$AB$66,$AF$66,TRUE,"0")</f>
        <v>10mins if  0-0, BACK over 1.5 goals X after goal OR LET RUN</v>
      </c>
      <c r="D838" s="270" t="str" cm="1">
        <f t="array" ref="D838">_xlfn.IFS(E838=$AB$42,$AD$42,E838=$AB$43,$AD$43,E838=$AB$44,$AD$44,E838=$AB$45,$AD$45,E838=$AB$46,$AD$46,E838=$AB$47,$AD$47,E838=$AB$48,$AD$48,E838=$AB$49,$AD$49,E838=$AB$50,$AD$50,E838=$AB$51,$AD$51,E838=$AB$52,$AD$52,E838=$AB$53,$AD$53,E838=$AB$54,$AD$54,E838=$AB$55,$AD$55,E838=$AB$56,$AD$56,E838=$AB$57,$AD$57,E838=$AB$58,$AD$58,E838=$AB$59,$AD$59,E838=$AB$60,$AD$60,E838=$AB$61,$AD$61,E838=$AB$62,$AD$62,E838=$AB$63,$AD$63,E838=$AB$64,$AD$64,E838=$AB$65,$AD$65,E838=$AB$66,$AD$66,TRUE,"0")</f>
        <v>IP</v>
      </c>
      <c r="E838" s="163" t="s">
        <v>498</v>
      </c>
      <c r="F838" s="2" t="s">
        <v>77</v>
      </c>
      <c r="G838" s="2" t="s">
        <v>234</v>
      </c>
      <c r="H838" s="3">
        <v>45389.520833333336</v>
      </c>
      <c r="I838" s="2" t="s">
        <v>632</v>
      </c>
      <c r="J838" s="2" t="s">
        <v>687</v>
      </c>
      <c r="K838" s="2">
        <v>69</v>
      </c>
      <c r="L838" s="2">
        <v>80</v>
      </c>
      <c r="M838" s="2">
        <v>1.5</v>
      </c>
      <c r="N838" s="2">
        <v>20</v>
      </c>
      <c r="O838" s="2"/>
      <c r="P838" s="2"/>
      <c r="Q838" s="2" t="s">
        <v>95</v>
      </c>
      <c r="R838" s="10" t="s">
        <v>214</v>
      </c>
      <c r="S838" s="14" t="s">
        <v>220</v>
      </c>
      <c r="T838" s="188">
        <v>1000</v>
      </c>
      <c r="U838" s="8">
        <f t="shared" si="100"/>
        <v>180</v>
      </c>
      <c r="V838" s="234">
        <f t="shared" si="99"/>
        <v>60624.155246160299</v>
      </c>
      <c r="W838" s="15">
        <v>25</v>
      </c>
      <c r="X838" s="8">
        <f t="shared" si="102"/>
        <v>4.5</v>
      </c>
      <c r="Y838" s="233">
        <f t="shared" si="103"/>
        <v>3381.5</v>
      </c>
    </row>
    <row r="839" spans="1:25">
      <c r="A839" s="156" t="e" cm="1">
        <f t="array" aca="1" ref="A839" ca="1">_xlfn.IFS(E839=$AB$42,$AC$42,E839=$AB$43,$AC$43,E839=$AB$44,$AC$44,E839=$AB$45,$AC$45,E839=$AB$46,$AC$46,E839=$AB$47,$AC$47,E839=$AB$48,$AC$48,E839=$AB$49,$AC$49,E839=$AB$50,$AC$50,E839=$AB$51,$AC$51,E839=$AB$52,$AC$52,E839=$AB$53,$AC$53,E839=$AB$54,$AC$54,E839=$AB$55,$AC$55,E839=$AB$56,$AC$56,E839=$AB$57,$AC$57,E839=$AB$58,$AC$58,E839=$AB$59,$AC$59,E839=$AB$60,$AC$60,E839=$AB$61,$AC$61,E839=$AB$62,$AC$62,E839=$AB$63,$AC$63,E839=$AB$64,$AC$64,E839=$AB$65,$AC$65,E839=$AB$66,$AC$66,TRUE,"0")</f>
        <v>#NAME?</v>
      </c>
      <c r="C839" s="161" t="str" cm="1">
        <f t="array" ref="C839">_xlfn.IFS(E839=$AB$42,$AF$42,E839=$AB$43,$AF$43,E839=$AB$44,$AF$44,E839=$AB$45,$AF$45,E839=$AB$46,$AF$46,E839=$AB$47,$AF$47,E839=$AB$48,$AF$48,E839=$AB$49,$AF$49,E839=$AB$50,$AF$50,E839=$AB$51,$AF$51,E839=$AB$52,$AF$52,E839=$AB$53,$AF$53,E839=$AB$54,$AF$54,E839=$AB$55,$AF$55,E839=$AB$56,$AF$56,E839=$AB$57,$AF$57,E839=$AB$58,$AF$58,E839=$AB$59,$AF$59,E839=$AB$60,$AF$60,E839=$AB$61,$AF$61,E839=$AB$62,$AF$62,E839=$AB$63,$AF$63,E839=$AB$64,$AF$64,E839=$AB$65,$AF$65,E839=$AB$66,$AF$66,TRUE,"0")</f>
        <v>if 0-0, BACK+ 0.5 GOALS  @ 1.15+odds.  or @ 40 mins</v>
      </c>
      <c r="D839" s="270" t="str" cm="1">
        <f t="array" ref="D839">_xlfn.IFS(E839=$AB$42,$AD$42,E839=$AB$43,$AD$43,E839=$AB$44,$AD$44,E839=$AB$45,$AD$45,E839=$AB$46,$AD$46,E839=$AB$47,$AD$47,E839=$AB$48,$AD$48,E839=$AB$49,$AD$49,E839=$AB$50,$AD$50,E839=$AB$51,$AD$51,E839=$AB$52,$AD$52,E839=$AB$53,$AD$53,E839=$AB$54,$AD$54,E839=$AB$55,$AD$55,E839=$AB$56,$AD$56,E839=$AB$57,$AD$57,E839=$AB$58,$AD$58,E839=$AB$59,$AD$59,E839=$AB$60,$AD$60,E839=$AB$61,$AD$61,E839=$AB$62,$AD$62,E839=$AB$63,$AD$63,E839=$AB$64,$AD$64,E839=$AB$65,$AD$65,E839=$AB$66,$AD$66,TRUE,"0")</f>
        <v>IP</v>
      </c>
      <c r="E839" s="163" t="s">
        <v>270</v>
      </c>
      <c r="F839" s="2" t="s">
        <v>67</v>
      </c>
      <c r="G839" s="2" t="s">
        <v>169</v>
      </c>
      <c r="H839" s="3">
        <v>45389.520833333336</v>
      </c>
      <c r="I839" s="2" t="s">
        <v>170</v>
      </c>
      <c r="J839" s="2" t="s">
        <v>283</v>
      </c>
      <c r="K839" s="2">
        <v>66</v>
      </c>
      <c r="L839" s="2">
        <v>0</v>
      </c>
      <c r="M839" s="2">
        <v>20</v>
      </c>
      <c r="N839" s="2">
        <v>31</v>
      </c>
      <c r="O839" s="2">
        <v>2.0699999999999998</v>
      </c>
      <c r="P839" s="2"/>
      <c r="Q839" s="2" t="s">
        <v>95</v>
      </c>
      <c r="R839" s="10" t="s">
        <v>221</v>
      </c>
      <c r="S839" s="14" t="s">
        <v>214</v>
      </c>
      <c r="T839" s="188">
        <v>1000</v>
      </c>
      <c r="U839" s="8">
        <f t="shared" si="100"/>
        <v>180</v>
      </c>
      <c r="V839" s="234">
        <f t="shared" si="99"/>
        <v>60804.155246160299</v>
      </c>
      <c r="W839" s="15">
        <v>25</v>
      </c>
      <c r="X839" s="8">
        <f t="shared" si="102"/>
        <v>4.5</v>
      </c>
      <c r="Y839" s="233">
        <f t="shared" si="103"/>
        <v>3386</v>
      </c>
    </row>
    <row r="840" spans="1:25">
      <c r="A840" s="156" t="e" cm="1">
        <f t="array" aca="1" ref="A840" ca="1">_xlfn.IFS(E840=$AB$42,$AC$42,E840=$AB$43,$AC$43,E840=$AB$44,$AC$44,E840=$AB$45,$AC$45,E840=$AB$46,$AC$46,E840=$AB$47,$AC$47,E840=$AB$48,$AC$48,E840=$AB$49,$AC$49,E840=$AB$50,$AC$50,E840=$AB$51,$AC$51,E840=$AB$52,$AC$52,E840=$AB$53,$AC$53,E840=$AB$54,$AC$54,E840=$AB$55,$AC$55,E840=$AB$56,$AC$56,E840=$AB$57,$AC$57,E840=$AB$58,$AC$58,E840=$AB$59,$AC$59,E840=$AB$60,$AC$60,E840=$AB$61,$AC$61,E840=$AB$62,$AC$62,E840=$AB$63,$AC$63,E840=$AB$64,$AC$64,E840=$AB$65,$AC$65,E840=$AB$66,$AC$66,TRUE,"0")</f>
        <v>#NAME?</v>
      </c>
      <c r="C840" s="161" t="str" cm="1">
        <f t="array" ref="C840">_xlfn.IFS(E840=$AB$42,$AF$42,E840=$AB$43,$AF$43,E840=$AB$44,$AF$44,E840=$AB$45,$AF$45,E840=$AB$46,$AF$46,E840=$AB$47,$AF$47,E840=$AB$48,$AF$48,E840=$AB$49,$AF$49,E840=$AB$50,$AF$50,E840=$AB$51,$AF$51,E840=$AB$52,$AF$52,E840=$AB$53,$AF$53,E840=$AB$54,$AF$54,E840=$AB$55,$AF$55,E840=$AB$56,$AF$56,E840=$AB$57,$AF$57,E840=$AB$58,$AF$58,E840=$AB$59,$AF$59,E840=$AB$60,$AF$60,E840=$AB$61,$AF$61,E840=$AB$62,$AF$62,E840=$AB$63,$AF$63,E840=$AB$64,$AF$64,E840=$AB$65,$AF$65,E840=$AB$66,$AF$66,TRUE,"0")</f>
        <v>B4 Match, lay HT 0-0 or BACK H1 +0.5 GOALS</v>
      </c>
      <c r="D840" s="270" t="str" cm="1">
        <f t="array" ref="D840">_xlfn.IFS(E840=$AB$42,$AD$42,E840=$AB$43,$AD$43,E840=$AB$44,$AD$44,E840=$AB$45,$AD$45,E840=$AB$46,$AD$46,E840=$AB$47,$AD$47,E840=$AB$48,$AD$48,E840=$AB$49,$AD$49,E840=$AB$50,$AD$50,E840=$AB$51,$AD$51,E840=$AB$52,$AD$52,E840=$AB$53,$AD$53,E840=$AB$54,$AD$54,E840=$AB$55,$AD$55,E840=$AB$56,$AD$56,E840=$AB$57,$AD$57,E840=$AB$58,$AD$58,E840=$AB$59,$AD$59,E840=$AB$60,$AD$60,E840=$AB$61,$AD$61,E840=$AB$62,$AD$62,E840=$AB$63,$AD$63,E840=$AB$64,$AD$64,E840=$AB$65,$AD$65,E840=$AB$66,$AD$66,TRUE,"0")</f>
        <v xml:space="preserve">BFM </v>
      </c>
      <c r="E840" s="163" t="s">
        <v>448</v>
      </c>
      <c r="F840" s="2" t="s">
        <v>77</v>
      </c>
      <c r="G840" s="2" t="s">
        <v>156</v>
      </c>
      <c r="H840" s="3">
        <v>45389.604166666664</v>
      </c>
      <c r="I840" s="2" t="s">
        <v>158</v>
      </c>
      <c r="J840" s="2" t="s">
        <v>284</v>
      </c>
      <c r="K840" s="2">
        <v>20</v>
      </c>
      <c r="L840" s="2">
        <v>10</v>
      </c>
      <c r="M840" s="2">
        <v>39</v>
      </c>
      <c r="N840" s="2">
        <v>5</v>
      </c>
      <c r="O840" s="2">
        <v>9</v>
      </c>
      <c r="P840" s="2">
        <v>9</v>
      </c>
      <c r="Q840" s="2" t="s">
        <v>95</v>
      </c>
      <c r="R840" s="10" t="s">
        <v>220</v>
      </c>
      <c r="S840" s="14" t="s">
        <v>215</v>
      </c>
      <c r="T840" s="188">
        <v>1000</v>
      </c>
      <c r="U840" s="8">
        <f t="shared" si="100"/>
        <v>180</v>
      </c>
      <c r="V840" s="234">
        <f t="shared" si="99"/>
        <v>60984.155246160299</v>
      </c>
      <c r="W840" s="15">
        <v>25</v>
      </c>
      <c r="X840" s="8">
        <f t="shared" si="102"/>
        <v>4.5</v>
      </c>
      <c r="Y840" s="233">
        <f t="shared" si="103"/>
        <v>3390.5</v>
      </c>
    </row>
    <row r="841" spans="1:25">
      <c r="A841" s="156" t="e" cm="1">
        <f t="array" aca="1" ref="A841" ca="1">_xlfn.IFS(E841=$AB$42,$AC$42,E841=$AB$43,$AC$43,E841=$AB$44,$AC$44,E841=$AB$45,$AC$45,E841=$AB$46,$AC$46,E841=$AB$47,$AC$47,E841=$AB$48,$AC$48,E841=$AB$49,$AC$49,E841=$AB$50,$AC$50,E841=$AB$51,$AC$51,E841=$AB$52,$AC$52,E841=$AB$53,$AC$53,E841=$AB$54,$AC$54,E841=$AB$55,$AC$55,E841=$AB$56,$AC$56,E841=$AB$57,$AC$57,E841=$AB$58,$AC$58,E841=$AB$59,$AC$59,E841=$AB$60,$AC$60,E841=$AB$61,$AC$61,E841=$AB$62,$AC$62,E841=$AB$63,$AC$63,E841=$AB$64,$AC$64,E841=$AB$65,$AC$65,E841=$AB$66,$AC$66,TRUE,"0")</f>
        <v>#NAME?</v>
      </c>
      <c r="C841" s="161" t="str" cm="1">
        <f t="array" ref="C841">_xlfn.IFS(E841=$AB$42,$AF$42,E841=$AB$43,$AF$43,E841=$AB$44,$AF$44,E841=$AB$45,$AF$45,E841=$AB$46,$AF$46,E841=$AB$47,$AF$47,E841=$AB$48,$AF$48,E841=$AB$49,$AF$49,E841=$AB$50,$AF$50,E841=$AB$51,$AF$51,E841=$AB$52,$AF$52,E841=$AB$53,$AF$53,E841=$AB$54,$AF$54,E841=$AB$55,$AF$55,E841=$AB$56,$AF$56,E841=$AB$57,$AF$57,E841=$AB$58,$AF$58,E841=$AB$59,$AF$59,E841=$AB$60,$AF$60,E841=$AB$61,$AF$61,E841=$AB$62,$AF$62,E841=$AB$63,$AF$63,E841=$AB$64,$AF$64,E841=$AB$65,$AF$65,E841=$AB$66,$AF$66,TRUE,"0")</f>
        <v>40 mins Back ANother Goal</v>
      </c>
      <c r="D841" s="270" t="str" cm="1">
        <f t="array" ref="D841">_xlfn.IFS(E841=$AB$42,$AD$42,E841=$AB$43,$AD$43,E841=$AB$44,$AD$44,E841=$AB$45,$AD$45,E841=$AB$46,$AD$46,E841=$AB$47,$AD$47,E841=$AB$48,$AD$48,E841=$AB$49,$AD$49,E841=$AB$50,$AD$50,E841=$AB$51,$AD$51,E841=$AB$52,$AD$52,E841=$AB$53,$AD$53,E841=$AB$54,$AD$54,E841=$AB$55,$AD$55,E841=$AB$56,$AD$56,E841=$AB$57,$AD$57,E841=$AB$58,$AD$58,E841=$AB$59,$AD$59,E841=$AB$60,$AD$60,E841=$AB$61,$AD$61,E841=$AB$62,$AD$62,E841=$AB$63,$AD$63,E841=$AB$64,$AD$64,E841=$AB$65,$AD$65,E841=$AB$66,$AD$66,TRUE,"0")</f>
        <v xml:space="preserve">  BANG</v>
      </c>
      <c r="E841" s="163" t="s">
        <v>43</v>
      </c>
      <c r="F841" s="2" t="s">
        <v>434</v>
      </c>
      <c r="G841" s="2" t="s">
        <v>435</v>
      </c>
      <c r="H841" s="3">
        <v>45389.625</v>
      </c>
      <c r="I841" s="2" t="s">
        <v>533</v>
      </c>
      <c r="J841" s="2" t="s">
        <v>476</v>
      </c>
      <c r="K841" s="2">
        <v>69</v>
      </c>
      <c r="L841" s="2">
        <v>67</v>
      </c>
      <c r="M841" s="2">
        <v>62</v>
      </c>
      <c r="N841" s="2">
        <v>1.8</v>
      </c>
      <c r="O841" s="2">
        <v>1.1299999999999999</v>
      </c>
      <c r="P841" s="2"/>
      <c r="Q841" s="2" t="s">
        <v>95</v>
      </c>
      <c r="R841" s="10" t="s">
        <v>220</v>
      </c>
      <c r="S841" s="14" t="s">
        <v>222</v>
      </c>
      <c r="T841" s="188">
        <v>1000</v>
      </c>
      <c r="U841" s="8">
        <f t="shared" si="100"/>
        <v>180</v>
      </c>
      <c r="V841" s="234">
        <f t="shared" si="99"/>
        <v>61164.155246160299</v>
      </c>
      <c r="W841" s="15">
        <v>25</v>
      </c>
      <c r="X841" s="8">
        <f t="shared" si="102"/>
        <v>4.5</v>
      </c>
      <c r="Y841" s="233">
        <f t="shared" si="103"/>
        <v>3395</v>
      </c>
    </row>
    <row r="842" spans="1:25">
      <c r="A842" s="156" t="e" cm="1">
        <f t="array" aca="1" ref="A842" ca="1">_xlfn.IFS(E842=$AB$42,$AC$42,E842=$AB$43,$AC$43,E842=$AB$44,$AC$44,E842=$AB$45,$AC$45,E842=$AB$46,$AC$46,E842=$AB$47,$AC$47,E842=$AB$48,$AC$48,E842=$AB$49,$AC$49,E842=$AB$50,$AC$50,E842=$AB$51,$AC$51,E842=$AB$52,$AC$52,E842=$AB$53,$AC$53,E842=$AB$54,$AC$54,E842=$AB$55,$AC$55,E842=$AB$56,$AC$56,E842=$AB$57,$AC$57,E842=$AB$58,$AC$58,E842=$AB$59,$AC$59,E842=$AB$60,$AC$60,E842=$AB$61,$AC$61,E842=$AB$62,$AC$62,E842=$AB$63,$AC$63,E842=$AB$64,$AC$64,E842=$AB$65,$AC$65,E842=$AB$66,$AC$66,TRUE,"0")</f>
        <v>#NAME?</v>
      </c>
      <c r="C842" s="161" t="str" cm="1">
        <f t="array" ref="C842">_xlfn.IFS(E842=$AB$42,$AF$42,E842=$AB$43,$AF$43,E842=$AB$44,$AF$44,E842=$AB$45,$AF$45,E842=$AB$46,$AF$46,E842=$AB$47,$AF$47,E842=$AB$48,$AF$48,E842=$AB$49,$AF$49,E842=$AB$50,$AF$50,E842=$AB$51,$AF$51,E842=$AB$52,$AF$52,E842=$AB$53,$AF$53,E842=$AB$54,$AF$54,E842=$AB$55,$AF$55,E842=$AB$56,$AF$56,E842=$AB$57,$AF$57,E842=$AB$58,$AF$58,E842=$AB$59,$AF$59,E842=$AB$60,$AF$60,E842=$AB$61,$AF$61,E842=$AB$62,$AF$62,E842=$AB$63,$AF$63,E842=$AB$64,$AF$64,E842=$AB$65,$AF$65,E842=$AB$66,$AF$66,TRUE,"0")</f>
        <v>B4 MATCH bet H1 'under 2.5goals'- X at 40 minutes</v>
      </c>
      <c r="D842" s="270" t="str" cm="1">
        <f t="array" ref="D842">_xlfn.IFS(E842=$AB$42,$AD$42,E842=$AB$43,$AD$43,E842=$AB$44,$AD$44,E842=$AB$45,$AD$45,E842=$AB$46,$AD$46,E842=$AB$47,$AD$47,E842=$AB$48,$AD$48,E842=$AB$49,$AD$49,E842=$AB$50,$AD$50,E842=$AB$51,$AD$51,E842=$AB$52,$AD$52,E842=$AB$53,$AD$53,E842=$AB$54,$AD$54,E842=$AB$55,$AD$55,E842=$AB$56,$AD$56,E842=$AB$57,$AD$57,E842=$AB$58,$AD$58,E842=$AB$59,$AD$59,E842=$AB$60,$AD$60,E842=$AB$61,$AD$61,E842=$AB$62,$AD$62,E842=$AB$63,$AD$63,E842=$AB$64,$AD$64,E842=$AB$65,$AD$65,E842=$AB$66,$AD$66,TRUE,"0")</f>
        <v xml:space="preserve">BFM </v>
      </c>
      <c r="E842" s="164" t="s">
        <v>458</v>
      </c>
      <c r="F842" s="2" t="s">
        <v>586</v>
      </c>
      <c r="G842" s="2" t="s">
        <v>62</v>
      </c>
      <c r="H842" s="3">
        <v>45389.635416666664</v>
      </c>
      <c r="I842" s="2" t="s">
        <v>698</v>
      </c>
      <c r="J842" s="2" t="s">
        <v>699</v>
      </c>
      <c r="K842" s="2">
        <v>20</v>
      </c>
      <c r="L842" s="2">
        <v>80</v>
      </c>
      <c r="M842" s="2">
        <v>95</v>
      </c>
      <c r="N842" s="2">
        <v>48</v>
      </c>
      <c r="O842" s="2">
        <v>1.6</v>
      </c>
      <c r="P842" s="2"/>
      <c r="Q842" s="2" t="s">
        <v>95</v>
      </c>
      <c r="R842" s="10" t="s">
        <v>221</v>
      </c>
      <c r="S842" s="14" t="s">
        <v>221</v>
      </c>
      <c r="T842" s="188">
        <v>1000</v>
      </c>
      <c r="U842" s="8">
        <f t="shared" si="100"/>
        <v>180</v>
      </c>
      <c r="V842" s="234">
        <f t="shared" si="99"/>
        <v>61344.155246160299</v>
      </c>
      <c r="W842" s="15">
        <v>25</v>
      </c>
      <c r="X842" s="8">
        <f t="shared" si="102"/>
        <v>4.5</v>
      </c>
      <c r="Y842" s="233">
        <f t="shared" si="103"/>
        <v>3399.5</v>
      </c>
    </row>
    <row r="843" spans="1:25">
      <c r="A843" s="156" t="e" cm="1">
        <f t="array" aca="1" ref="A843" ca="1">_xlfn.IFS(E843=$AB$42,$AC$42,E843=$AB$43,$AC$43,E843=$AB$44,$AC$44,E843=$AB$45,$AC$45,E843=$AB$46,$AC$46,E843=$AB$47,$AC$47,E843=$AB$48,$AC$48,E843=$AB$49,$AC$49,E843=$AB$50,$AC$50,E843=$AB$51,$AC$51,E843=$AB$52,$AC$52,E843=$AB$53,$AC$53,E843=$AB$54,$AC$54,E843=$AB$55,$AC$55,E843=$AB$56,$AC$56,E843=$AB$57,$AC$57,E843=$AB$58,$AC$58,E843=$AB$59,$AC$59,E843=$AB$60,$AC$60,E843=$AB$61,$AC$61,E843=$AB$62,$AC$62,E843=$AB$63,$AC$63,E843=$AB$64,$AC$64,E843=$AB$65,$AC$65,E843=$AB$66,$AC$66,TRUE,"0")</f>
        <v>#NAME?</v>
      </c>
      <c r="C843" s="161" t="str" cm="1">
        <f t="array" ref="C843">_xlfn.IFS(E843=$AB$42,$AF$42,E843=$AB$43,$AF$43,E843=$AB$44,$AF$44,E843=$AB$45,$AF$45,E843=$AB$46,$AF$46,E843=$AB$47,$AF$47,E843=$AB$48,$AF$48,E843=$AB$49,$AF$49,E843=$AB$50,$AF$50,E843=$AB$51,$AF$51,E843=$AB$52,$AF$52,E843=$AB$53,$AF$53,E843=$AB$54,$AF$54,E843=$AB$55,$AF$55,E843=$AB$56,$AF$56,E843=$AB$57,$AF$57,E843=$AB$58,$AF$58,E843=$AB$59,$AF$59,E843=$AB$60,$AF$60,E843=$AB$61,$AF$61,E843=$AB$62,$AF$62,E843=$AB$63,$AF$63,E843=$AB$64,$AF$64,E843=$AB$65,$AF$65,E843=$AB$66,$AF$66,TRUE,"0")</f>
        <v>10mins if  0-0, BACK over 1.5 goals X after goal OR LET RUN</v>
      </c>
      <c r="D843" s="270" t="str" cm="1">
        <f t="array" ref="D843">_xlfn.IFS(E843=$AB$42,$AD$42,E843=$AB$43,$AD$43,E843=$AB$44,$AD$44,E843=$AB$45,$AD$45,E843=$AB$46,$AD$46,E843=$AB$47,$AD$47,E843=$AB$48,$AD$48,E843=$AB$49,$AD$49,E843=$AB$50,$AD$50,E843=$AB$51,$AD$51,E843=$AB$52,$AD$52,E843=$AB$53,$AD$53,E843=$AB$54,$AD$54,E843=$AB$55,$AD$55,E843=$AB$56,$AD$56,E843=$AB$57,$AD$57,E843=$AB$58,$AD$58,E843=$AB$59,$AD$59,E843=$AB$60,$AD$60,E843=$AB$61,$AD$61,E843=$AB$62,$AD$62,E843=$AB$63,$AD$63,E843=$AB$64,$AD$64,E843=$AB$65,$AD$65,E843=$AB$66,$AD$66,TRUE,"0")</f>
        <v>IP</v>
      </c>
      <c r="E843" s="163" t="s">
        <v>498</v>
      </c>
      <c r="F843" s="2" t="s">
        <v>58</v>
      </c>
      <c r="G843" s="2" t="s">
        <v>59</v>
      </c>
      <c r="H843" s="3">
        <v>45389.645833333336</v>
      </c>
      <c r="I843" s="2" t="s">
        <v>165</v>
      </c>
      <c r="J843" s="2" t="s">
        <v>128</v>
      </c>
      <c r="K843" s="2">
        <v>66</v>
      </c>
      <c r="L843" s="2">
        <v>80</v>
      </c>
      <c r="M843" s="2">
        <v>1.5</v>
      </c>
      <c r="N843" s="2">
        <v>20</v>
      </c>
      <c r="O843" s="2"/>
      <c r="P843" s="2"/>
      <c r="Q843" s="2" t="s">
        <v>95</v>
      </c>
      <c r="R843" s="10" t="s">
        <v>214</v>
      </c>
      <c r="S843" s="14" t="s">
        <v>213</v>
      </c>
      <c r="T843" s="188">
        <v>1000</v>
      </c>
      <c r="U843" s="8">
        <f t="shared" si="100"/>
        <v>180</v>
      </c>
      <c r="V843" s="234">
        <f t="shared" si="99"/>
        <v>61524.155246160299</v>
      </c>
      <c r="W843" s="15">
        <v>25</v>
      </c>
      <c r="X843" s="8">
        <f t="shared" si="102"/>
        <v>4.5</v>
      </c>
      <c r="Y843" s="233">
        <f t="shared" si="103"/>
        <v>3404</v>
      </c>
    </row>
    <row r="844" spans="1:25">
      <c r="A844" s="156" t="e" cm="1">
        <f t="array" aca="1" ref="A844" ca="1">_xlfn.IFS(E844=$AB$42,$AC$42,E844=$AB$43,$AC$43,E844=$AB$44,$AC$44,E844=$AB$45,$AC$45,E844=$AB$46,$AC$46,E844=$AB$47,$AC$47,E844=$AB$48,$AC$48,E844=$AB$49,$AC$49,E844=$AB$50,$AC$50,E844=$AB$51,$AC$51,E844=$AB$52,$AC$52,E844=$AB$53,$AC$53,E844=$AB$54,$AC$54,E844=$AB$55,$AC$55,E844=$AB$56,$AC$56,E844=$AB$57,$AC$57,E844=$AB$58,$AC$58,E844=$AB$59,$AC$59,E844=$AB$60,$AC$60,E844=$AB$61,$AC$61,E844=$AB$62,$AC$62,E844=$AB$63,$AC$63,E844=$AB$64,$AC$64,E844=$AB$65,$AC$65,E844=$AB$66,$AC$66,TRUE,"0")</f>
        <v>#NAME?</v>
      </c>
      <c r="C844" s="161" t="str" cm="1">
        <f t="array" ref="C844">_xlfn.IFS(E844=$AB$42,$AF$42,E844=$AB$43,$AF$43,E844=$AB$44,$AF$44,E844=$AB$45,$AF$45,E844=$AB$46,$AF$46,E844=$AB$47,$AF$47,E844=$AB$48,$AF$48,E844=$AB$49,$AF$49,E844=$AB$50,$AF$50,E844=$AB$51,$AF$51,E844=$AB$52,$AF$52,E844=$AB$53,$AF$53,E844=$AB$54,$AF$54,E844=$AB$55,$AF$55,E844=$AB$56,$AF$56,E844=$AB$57,$AF$57,E844=$AB$58,$AF$58,E844=$AB$59,$AF$59,E844=$AB$60,$AF$60,E844=$AB$61,$AF$61,E844=$AB$62,$AF$62,E844=$AB$63,$AF$63,E844=$AB$64,$AF$64,E844=$AB$65,$AF$65,E844=$AB$66,$AF$66,TRUE,"0")</f>
        <v>B4 match BACK FT +1.5 goals. X AFTER  GOAL</v>
      </c>
      <c r="D844" s="270" t="str" cm="1">
        <f t="array" ref="D844">_xlfn.IFS(E844=$AB$42,$AD$42,E844=$AB$43,$AD$43,E844=$AB$44,$AD$44,E844=$AB$45,$AD$45,E844=$AB$46,$AD$46,E844=$AB$47,$AD$47,E844=$AB$48,$AD$48,E844=$AB$49,$AD$49,E844=$AB$50,$AD$50,E844=$AB$51,$AD$51,E844=$AB$52,$AD$52,E844=$AB$53,$AD$53,E844=$AB$54,$AD$54,E844=$AB$55,$AD$55,E844=$AB$56,$AD$56,E844=$AB$57,$AD$57,E844=$AB$58,$AD$58,E844=$AB$59,$AD$59,E844=$AB$60,$AD$60,E844=$AB$61,$AD$61,E844=$AB$62,$AD$62,E844=$AB$63,$AD$63,E844=$AB$64,$AD$64,E844=$AB$65,$AD$65,E844=$AB$66,$AD$66,TRUE,"0")</f>
        <v xml:space="preserve">BFM </v>
      </c>
      <c r="E844" s="163" t="s">
        <v>531</v>
      </c>
      <c r="F844" s="2" t="s">
        <v>6</v>
      </c>
      <c r="G844" s="2" t="s">
        <v>62</v>
      </c>
      <c r="H844" s="3">
        <v>45389.645833333336</v>
      </c>
      <c r="I844" s="2" t="s">
        <v>383</v>
      </c>
      <c r="J844" s="2" t="s">
        <v>285</v>
      </c>
      <c r="K844" s="2">
        <v>4.4000000000000004</v>
      </c>
      <c r="L844" s="2">
        <v>28</v>
      </c>
      <c r="M844" s="2">
        <v>2.93</v>
      </c>
      <c r="N844" s="2">
        <v>32</v>
      </c>
      <c r="O844" s="2">
        <v>2</v>
      </c>
      <c r="P844" s="2">
        <v>14</v>
      </c>
      <c r="Q844" s="2" t="s">
        <v>95</v>
      </c>
      <c r="R844" s="10" t="s">
        <v>193</v>
      </c>
      <c r="S844" s="14" t="s">
        <v>210</v>
      </c>
      <c r="T844" s="188">
        <v>1000</v>
      </c>
      <c r="U844" s="8">
        <f t="shared" si="100"/>
        <v>180</v>
      </c>
      <c r="V844" s="234">
        <f t="shared" si="99"/>
        <v>61704.155246160299</v>
      </c>
      <c r="W844" s="15">
        <v>25</v>
      </c>
      <c r="X844" s="8">
        <f t="shared" si="102"/>
        <v>4.5</v>
      </c>
      <c r="Y844" s="233">
        <f t="shared" si="103"/>
        <v>3408.5</v>
      </c>
    </row>
    <row r="845" spans="1:25">
      <c r="A845" s="156" t="e" cm="1">
        <f t="array" aca="1" ref="A845" ca="1">_xlfn.IFS(E845=$AB$42,$AC$42,E845=$AB$43,$AC$43,E845=$AB$44,$AC$44,E845=$AB$45,$AC$45,E845=$AB$46,$AC$46,E845=$AB$47,$AC$47,E845=$AB$48,$AC$48,E845=$AB$49,$AC$49,E845=$AB$50,$AC$50,E845=$AB$51,$AC$51,E845=$AB$52,$AC$52,E845=$AB$53,$AC$53,E845=$AB$54,$AC$54,E845=$AB$55,$AC$55,E845=$AB$56,$AC$56,E845=$AB$57,$AC$57,E845=$AB$58,$AC$58,E845=$AB$59,$AC$59,E845=$AB$60,$AC$60,E845=$AB$61,$AC$61,E845=$AB$62,$AC$62,E845=$AB$63,$AC$63,E845=$AB$64,$AC$64,E845=$AB$65,$AC$65,E845=$AB$66,$AC$66,TRUE,"0")</f>
        <v>#NAME?</v>
      </c>
      <c r="C845" s="161" t="str" cm="1">
        <f t="array" ref="C845">_xlfn.IFS(E845=$AB$42,$AF$42,E845=$AB$43,$AF$43,E845=$AB$44,$AF$44,E845=$AB$45,$AF$45,E845=$AB$46,$AF$46,E845=$AB$47,$AF$47,E845=$AB$48,$AF$48,E845=$AB$49,$AF$49,E845=$AB$50,$AF$50,E845=$AB$51,$AF$51,E845=$AB$52,$AF$52,E845=$AB$53,$AF$53,E845=$AB$54,$AF$54,E845=$AB$55,$AF$55,E845=$AB$56,$AF$56,E845=$AB$57,$AF$57,E845=$AB$58,$AF$58,E845=$AB$59,$AF$59,E845=$AB$60,$AF$60,E845=$AB$61,$AF$61,E845=$AB$62,$AF$62,E845=$AB$63,$AF$63,E845=$AB$64,$AF$64,E845=$AB$65,$AF$65,E845=$AB$66,$AF$66,TRUE,"0")</f>
        <v>if 0-0, BACK+ 0.5 GOALS  @ 1.15+odds.  or @ 40 mins</v>
      </c>
      <c r="D845" s="270" t="str" cm="1">
        <f t="array" ref="D845">_xlfn.IFS(E845=$AB$42,$AD$42,E845=$AB$43,$AD$43,E845=$AB$44,$AD$44,E845=$AB$45,$AD$45,E845=$AB$46,$AD$46,E845=$AB$47,$AD$47,E845=$AB$48,$AD$48,E845=$AB$49,$AD$49,E845=$AB$50,$AD$50,E845=$AB$51,$AD$51,E845=$AB$52,$AD$52,E845=$AB$53,$AD$53,E845=$AB$54,$AD$54,E845=$AB$55,$AD$55,E845=$AB$56,$AD$56,E845=$AB$57,$AD$57,E845=$AB$58,$AD$58,E845=$AB$59,$AD$59,E845=$AB$60,$AD$60,E845=$AB$61,$AD$61,E845=$AB$62,$AD$62,E845=$AB$63,$AD$63,E845=$AB$64,$AD$64,E845=$AB$65,$AD$65,E845=$AB$66,$AD$66,TRUE,"0")</f>
        <v>IP</v>
      </c>
      <c r="E845" s="163" t="s">
        <v>270</v>
      </c>
      <c r="F845" s="2" t="s">
        <v>6</v>
      </c>
      <c r="G845" s="2" t="s">
        <v>62</v>
      </c>
      <c r="H845" s="3">
        <v>45389.645833333336</v>
      </c>
      <c r="I845" s="2" t="s">
        <v>383</v>
      </c>
      <c r="J845" s="2" t="s">
        <v>285</v>
      </c>
      <c r="K845" s="2">
        <v>63</v>
      </c>
      <c r="L845" s="2">
        <v>0</v>
      </c>
      <c r="M845" s="2">
        <v>20</v>
      </c>
      <c r="N845" s="2">
        <v>34</v>
      </c>
      <c r="O845" s="2">
        <v>3.27</v>
      </c>
      <c r="P845" s="2"/>
      <c r="Q845" s="2" t="s">
        <v>95</v>
      </c>
      <c r="R845" s="10" t="s">
        <v>193</v>
      </c>
      <c r="S845" s="14" t="s">
        <v>210</v>
      </c>
      <c r="T845" s="188">
        <v>1000</v>
      </c>
      <c r="U845" s="8">
        <f t="shared" si="100"/>
        <v>180</v>
      </c>
      <c r="V845" s="234">
        <f t="shared" ref="V845:V857" si="104">SUM(V844,U845)</f>
        <v>61884.155246160299</v>
      </c>
      <c r="W845" s="15">
        <v>25</v>
      </c>
      <c r="X845" s="8">
        <f t="shared" si="102"/>
        <v>4.5</v>
      </c>
      <c r="Y845" s="233">
        <f t="shared" si="103"/>
        <v>3413</v>
      </c>
    </row>
    <row r="846" spans="1:25">
      <c r="A846" s="156" t="e" cm="1">
        <f t="array" aca="1" ref="A846" ca="1">_xlfn.IFS(E846=$AB$42,$AC$42,E846=$AB$43,$AC$43,E846=$AB$44,$AC$44,E846=$AB$45,$AC$45,E846=$AB$46,$AC$46,E846=$AB$47,$AC$47,E846=$AB$48,$AC$48,E846=$AB$49,$AC$49,E846=$AB$50,$AC$50,E846=$AB$51,$AC$51,E846=$AB$52,$AC$52,E846=$AB$53,$AC$53,E846=$AB$54,$AC$54,E846=$AB$55,$AC$55,E846=$AB$56,$AC$56,E846=$AB$57,$AC$57,E846=$AB$58,$AC$58,E846=$AB$59,$AC$59,E846=$AB$60,$AC$60,E846=$AB$61,$AC$61,E846=$AB$62,$AC$62,E846=$AB$63,$AC$63,E846=$AB$64,$AC$64,E846=$AB$65,$AC$65,E846=$AB$66,$AC$66,TRUE,"0")</f>
        <v>#NAME?</v>
      </c>
      <c r="C846" s="161" t="str" cm="1">
        <f t="array" ref="C846">_xlfn.IFS(E846=$AB$42,$AF$42,E846=$AB$43,$AF$43,E846=$AB$44,$AF$44,E846=$AB$45,$AF$45,E846=$AB$46,$AF$46,E846=$AB$47,$AF$47,E846=$AB$48,$AF$48,E846=$AB$49,$AF$49,E846=$AB$50,$AF$50,E846=$AB$51,$AF$51,E846=$AB$52,$AF$52,E846=$AB$53,$AF$53,E846=$AB$54,$AF$54,E846=$AB$55,$AF$55,E846=$AB$56,$AF$56,E846=$AB$57,$AF$57,E846=$AB$58,$AF$58,E846=$AB$59,$AF$59,E846=$AB$60,$AF$60,E846=$AB$61,$AF$61,E846=$AB$62,$AF$62,E846=$AB$63,$AF$63,E846=$AB$64,$AF$64,E846=$AB$65,$AF$65,E846=$AB$66,$AF$66,TRUE,"0")</f>
        <v>if 0-0, BACK+ 0.5 GOALS  @ 1.15+odds.  or @ 40 mins</v>
      </c>
      <c r="D846" s="270" t="str" cm="1">
        <f t="array" ref="D846">_xlfn.IFS(E846=$AB$42,$AD$42,E846=$AB$43,$AD$43,E846=$AB$44,$AD$44,E846=$AB$45,$AD$45,E846=$AB$46,$AD$46,E846=$AB$47,$AD$47,E846=$AB$48,$AD$48,E846=$AB$49,$AD$49,E846=$AB$50,$AD$50,E846=$AB$51,$AD$51,E846=$AB$52,$AD$52,E846=$AB$53,$AD$53,E846=$AB$54,$AD$54,E846=$AB$55,$AD$55,E846=$AB$56,$AD$56,E846=$AB$57,$AD$57,E846=$AB$58,$AD$58,E846=$AB$59,$AD$59,E846=$AB$60,$AD$60,E846=$AB$61,$AD$61,E846=$AB$62,$AD$62,E846=$AB$63,$AD$63,E846=$AB$64,$AD$64,E846=$AB$65,$AD$65,E846=$AB$66,$AD$66,TRUE,"0")</f>
        <v>IP</v>
      </c>
      <c r="E846" s="163" t="s">
        <v>270</v>
      </c>
      <c r="F846" s="2" t="s">
        <v>626</v>
      </c>
      <c r="G846" s="2" t="s">
        <v>627</v>
      </c>
      <c r="H846" s="3">
        <v>45389.645833333336</v>
      </c>
      <c r="I846" s="2" t="s">
        <v>635</v>
      </c>
      <c r="J846" s="2" t="s">
        <v>628</v>
      </c>
      <c r="K846" s="2">
        <v>67</v>
      </c>
      <c r="L846" s="2">
        <v>0</v>
      </c>
      <c r="M846" s="2">
        <v>20</v>
      </c>
      <c r="N846" s="2">
        <v>36</v>
      </c>
      <c r="O846" s="2">
        <v>0</v>
      </c>
      <c r="P846" s="2"/>
      <c r="Q846" s="2" t="s">
        <v>95</v>
      </c>
      <c r="R846" s="10" t="s">
        <v>216</v>
      </c>
      <c r="S846" s="14" t="s">
        <v>222</v>
      </c>
      <c r="T846" s="188">
        <v>1000</v>
      </c>
      <c r="U846" s="8">
        <f t="shared" si="100"/>
        <v>180</v>
      </c>
      <c r="V846" s="234">
        <f t="shared" si="104"/>
        <v>62064.155246160299</v>
      </c>
      <c r="W846" s="15">
        <v>25</v>
      </c>
      <c r="X846" s="8">
        <f t="shared" si="102"/>
        <v>4.5</v>
      </c>
      <c r="Y846" s="233">
        <f t="shared" si="103"/>
        <v>3417.5</v>
      </c>
    </row>
    <row r="847" spans="1:25">
      <c r="A847" s="156" t="e" cm="1">
        <f t="array" aca="1" ref="A847" ca="1">_xlfn.IFS(E847=$AB$42,$AC$42,E847=$AB$43,$AC$43,E847=$AB$44,$AC$44,E847=$AB$45,$AC$45,E847=$AB$46,$AC$46,E847=$AB$47,$AC$47,E847=$AB$48,$AC$48,E847=$AB$49,$AC$49,E847=$AB$50,$AC$50,E847=$AB$51,$AC$51,E847=$AB$52,$AC$52,E847=$AB$53,$AC$53,E847=$AB$54,$AC$54,E847=$AB$55,$AC$55,E847=$AB$56,$AC$56,E847=$AB$57,$AC$57,E847=$AB$58,$AC$58,E847=$AB$59,$AC$59,E847=$AB$60,$AC$60,E847=$AB$61,$AC$61,E847=$AB$62,$AC$62,E847=$AB$63,$AC$63,E847=$AB$64,$AC$64,E847=$AB$65,$AC$65,E847=$AB$66,$AC$66,TRUE,"0")</f>
        <v>#NAME?</v>
      </c>
      <c r="C847" s="161" t="str" cm="1">
        <f t="array" ref="C847">_xlfn.IFS(E847=$AB$42,$AF$42,E847=$AB$43,$AF$43,E847=$AB$44,$AF$44,E847=$AB$45,$AF$45,E847=$AB$46,$AF$46,E847=$AB$47,$AF$47,E847=$AB$48,$AF$48,E847=$AB$49,$AF$49,E847=$AB$50,$AF$50,E847=$AB$51,$AF$51,E847=$AB$52,$AF$52,E847=$AB$53,$AF$53,E847=$AB$54,$AF$54,E847=$AB$55,$AF$55,E847=$AB$56,$AF$56,E847=$AB$57,$AF$57,E847=$AB$58,$AF$58,E847=$AB$59,$AF$59,E847=$AB$60,$AF$60,E847=$AB$61,$AF$61,E847=$AB$62,$AF$62,E847=$AB$63,$AF$63,E847=$AB$64,$AF$64,E847=$AB$65,$AF$65,E847=$AB$66,$AF$66,TRUE,"0")</f>
        <v>B4 Match, lay HT 0-0 or BACK H1 +0.5 GOALS</v>
      </c>
      <c r="D847" s="270" t="str" cm="1">
        <f t="array" ref="D847">_xlfn.IFS(E847=$AB$42,$AD$42,E847=$AB$43,$AD$43,E847=$AB$44,$AD$44,E847=$AB$45,$AD$45,E847=$AB$46,$AD$46,E847=$AB$47,$AD$47,E847=$AB$48,$AD$48,E847=$AB$49,$AD$49,E847=$AB$50,$AD$50,E847=$AB$51,$AD$51,E847=$AB$52,$AD$52,E847=$AB$53,$AD$53,E847=$AB$54,$AD$54,E847=$AB$55,$AD$55,E847=$AB$56,$AD$56,E847=$AB$57,$AD$57,E847=$AB$58,$AD$58,E847=$AB$59,$AD$59,E847=$AB$60,$AD$60,E847=$AB$61,$AD$61,E847=$AB$62,$AD$62,E847=$AB$63,$AD$63,E847=$AB$64,$AD$64,E847=$AB$65,$AD$65,E847=$AB$66,$AD$66,TRUE,"0")</f>
        <v xml:space="preserve">BFM </v>
      </c>
      <c r="E847" s="163" t="s">
        <v>448</v>
      </c>
      <c r="F847" s="2" t="s">
        <v>77</v>
      </c>
      <c r="G847" s="2" t="s">
        <v>156</v>
      </c>
      <c r="H847" s="3">
        <v>45389.6875</v>
      </c>
      <c r="I847" s="2" t="s">
        <v>161</v>
      </c>
      <c r="J847" s="2" t="s">
        <v>167</v>
      </c>
      <c r="K847" s="2">
        <v>20</v>
      </c>
      <c r="L847" s="2">
        <v>10</v>
      </c>
      <c r="M847" s="2">
        <v>32</v>
      </c>
      <c r="N847" s="2">
        <v>8</v>
      </c>
      <c r="O847" s="2">
        <v>5</v>
      </c>
      <c r="P847" s="2">
        <v>6</v>
      </c>
      <c r="Q847" s="2" t="s">
        <v>95</v>
      </c>
      <c r="R847" s="10" t="s">
        <v>214</v>
      </c>
      <c r="S847" s="14" t="s">
        <v>211</v>
      </c>
      <c r="T847" s="188">
        <v>1000</v>
      </c>
      <c r="U847" s="8">
        <f t="shared" si="100"/>
        <v>180</v>
      </c>
      <c r="V847" s="234">
        <f t="shared" si="104"/>
        <v>62244.155246160299</v>
      </c>
      <c r="W847" s="15">
        <v>25</v>
      </c>
      <c r="X847" s="8">
        <f t="shared" si="102"/>
        <v>4.5</v>
      </c>
      <c r="Y847" s="233">
        <f t="shared" si="103"/>
        <v>3422</v>
      </c>
    </row>
    <row r="848" spans="1:25">
      <c r="A848" s="156" t="e" cm="1">
        <f t="array" aca="1" ref="A848" ca="1">_xlfn.IFS(E848=$AB$42,$AC$42,E848=$AB$43,$AC$43,E848=$AB$44,$AC$44,E848=$AB$45,$AC$45,E848=$AB$46,$AC$46,E848=$AB$47,$AC$47,E848=$AB$48,$AC$48,E848=$AB$49,$AC$49,E848=$AB$50,$AC$50,E848=$AB$51,$AC$51,E848=$AB$52,$AC$52,E848=$AB$53,$AC$53,E848=$AB$54,$AC$54,E848=$AB$55,$AC$55,E848=$AB$56,$AC$56,E848=$AB$57,$AC$57,E848=$AB$58,$AC$58,E848=$AB$59,$AC$59,E848=$AB$60,$AC$60,E848=$AB$61,$AC$61,E848=$AB$62,$AC$62,E848=$AB$63,$AC$63,E848=$AB$64,$AC$64,E848=$AB$65,$AC$65,E848=$AB$66,$AC$66,TRUE,"0")</f>
        <v>#NAME?</v>
      </c>
      <c r="C848" s="161" t="str" cm="1">
        <f t="array" ref="C848">_xlfn.IFS(E848=$AB$42,$AF$42,E848=$AB$43,$AF$43,E848=$AB$44,$AF$44,E848=$AB$45,$AF$45,E848=$AB$46,$AF$46,E848=$AB$47,$AF$47,E848=$AB$48,$AF$48,E848=$AB$49,$AF$49,E848=$AB$50,$AF$50,E848=$AB$51,$AF$51,E848=$AB$52,$AF$52,E848=$AB$53,$AF$53,E848=$AB$54,$AF$54,E848=$AB$55,$AF$55,E848=$AB$56,$AF$56,E848=$AB$57,$AF$57,E848=$AB$58,$AF$58,E848=$AB$59,$AF$59,E848=$AB$60,$AF$60,E848=$AB$61,$AF$61,E848=$AB$62,$AF$62,E848=$AB$63,$AF$63,E848=$AB$64,$AF$64,E848=$AB$65,$AF$65,E848=$AB$66,$AF$66,TRUE,"0")</f>
        <v>if 0-0, BACK+ 0.5 GOALS  @ 1.15+odds.  or @ 40 mins</v>
      </c>
      <c r="D848" s="270" t="str" cm="1">
        <f t="array" ref="D848">_xlfn.IFS(E848=$AB$42,$AD$42,E848=$AB$43,$AD$43,E848=$AB$44,$AD$44,E848=$AB$45,$AD$45,E848=$AB$46,$AD$46,E848=$AB$47,$AD$47,E848=$AB$48,$AD$48,E848=$AB$49,$AD$49,E848=$AB$50,$AD$50,E848=$AB$51,$AD$51,E848=$AB$52,$AD$52,E848=$AB$53,$AD$53,E848=$AB$54,$AD$54,E848=$AB$55,$AD$55,E848=$AB$56,$AD$56,E848=$AB$57,$AD$57,E848=$AB$58,$AD$58,E848=$AB$59,$AD$59,E848=$AB$60,$AD$60,E848=$AB$61,$AD$61,E848=$AB$62,$AD$62,E848=$AB$63,$AD$63,E848=$AB$64,$AD$64,E848=$AB$65,$AD$65,E848=$AB$66,$AD$66,TRUE,"0")</f>
        <v>IP</v>
      </c>
      <c r="E848" s="163" t="s">
        <v>270</v>
      </c>
      <c r="F848" s="2" t="s">
        <v>434</v>
      </c>
      <c r="G848" s="2" t="s">
        <v>435</v>
      </c>
      <c r="H848" s="3">
        <v>45389.708333333336</v>
      </c>
      <c r="I848" s="2" t="s">
        <v>464</v>
      </c>
      <c r="J848" s="2" t="s">
        <v>437</v>
      </c>
      <c r="K848" s="2">
        <v>63</v>
      </c>
      <c r="L848" s="2">
        <v>0</v>
      </c>
      <c r="M848" s="2">
        <v>20</v>
      </c>
      <c r="N848" s="2">
        <v>36</v>
      </c>
      <c r="O848" s="2">
        <v>1.97</v>
      </c>
      <c r="P848" s="2"/>
      <c r="Q848" s="2" t="s">
        <v>95</v>
      </c>
      <c r="R848" s="10" t="s">
        <v>193</v>
      </c>
      <c r="S848" s="14" t="s">
        <v>193</v>
      </c>
      <c r="T848" s="188">
        <v>1000</v>
      </c>
      <c r="U848" s="8">
        <f t="shared" ref="U848:U876" si="105">IF(Q848="won",T848*0.18,-T848)</f>
        <v>180</v>
      </c>
      <c r="V848" s="234">
        <f t="shared" si="104"/>
        <v>62424.155246160299</v>
      </c>
      <c r="W848" s="15">
        <v>25</v>
      </c>
      <c r="X848" s="8">
        <f t="shared" si="102"/>
        <v>4.5</v>
      </c>
      <c r="Y848" s="233">
        <f t="shared" si="103"/>
        <v>3426.5</v>
      </c>
    </row>
    <row r="849" spans="1:25">
      <c r="A849" s="156" t="e" cm="1">
        <f t="array" aca="1" ref="A849" ca="1">_xlfn.IFS(E849=$AB$42,$AC$42,E849=$AB$43,$AC$43,E849=$AB$44,$AC$44,E849=$AB$45,$AC$45,E849=$AB$46,$AC$46,E849=$AB$47,$AC$47,E849=$AB$48,$AC$48,E849=$AB$49,$AC$49,E849=$AB$50,$AC$50,E849=$AB$51,$AC$51,E849=$AB$52,$AC$52,E849=$AB$53,$AC$53,E849=$AB$54,$AC$54,E849=$AB$55,$AC$55,E849=$AB$56,$AC$56,E849=$AB$57,$AC$57,E849=$AB$58,$AC$58,E849=$AB$59,$AC$59,E849=$AB$60,$AC$60,E849=$AB$61,$AC$61,E849=$AB$62,$AC$62,E849=$AB$63,$AC$63,E849=$AB$64,$AC$64,E849=$AB$65,$AC$65,E849=$AB$66,$AC$66,TRUE,"0")</f>
        <v>#NAME?</v>
      </c>
      <c r="C849" s="161" t="str" cm="1">
        <f t="array" ref="C849">_xlfn.IFS(E849=$AB$42,$AF$42,E849=$AB$43,$AF$43,E849=$AB$44,$AF$44,E849=$AB$45,$AF$45,E849=$AB$46,$AF$46,E849=$AB$47,$AF$47,E849=$AB$48,$AF$48,E849=$AB$49,$AF$49,E849=$AB$50,$AF$50,E849=$AB$51,$AF$51,E849=$AB$52,$AF$52,E849=$AB$53,$AF$53,E849=$AB$54,$AF$54,E849=$AB$55,$AF$55,E849=$AB$56,$AF$56,E849=$AB$57,$AF$57,E849=$AB$58,$AF$58,E849=$AB$59,$AF$59,E849=$AB$60,$AF$60,E849=$AB$61,$AF$61,E849=$AB$62,$AF$62,E849=$AB$63,$AF$63,E849=$AB$64,$AF$64,E849=$AB$65,$AF$65,E849=$AB$66,$AF$66,TRUE,"0")</f>
        <v>15mins if  0-0, BACK over 1.5 goals X after goal OR LET RUN</v>
      </c>
      <c r="D849" s="270" t="str" cm="1">
        <f t="array" ref="D849">_xlfn.IFS(E849=$AB$42,$AD$42,E849=$AB$43,$AD$43,E849=$AB$44,$AD$44,E849=$AB$45,$AD$45,E849=$AB$46,$AD$46,E849=$AB$47,$AD$47,E849=$AB$48,$AD$48,E849=$AB$49,$AD$49,E849=$AB$50,$AD$50,E849=$AB$51,$AD$51,E849=$AB$52,$AD$52,E849=$AB$53,$AD$53,E849=$AB$54,$AD$54,E849=$AB$55,$AD$55,E849=$AB$56,$AD$56,E849=$AB$57,$AD$57,E849=$AB$58,$AD$58,E849=$AB$59,$AD$59,E849=$AB$60,$AD$60,E849=$AB$61,$AD$61,E849=$AB$62,$AD$62,E849=$AB$63,$AD$63,E849=$AB$64,$AD$64,E849=$AB$65,$AD$65,E849=$AB$66,$AD$66,TRUE,"0")</f>
        <v>IP</v>
      </c>
      <c r="E849" s="163" t="s">
        <v>473</v>
      </c>
      <c r="F849" s="2" t="s">
        <v>20</v>
      </c>
      <c r="G849" s="2" t="s">
        <v>21</v>
      </c>
      <c r="H849" s="3">
        <v>45389.708333333336</v>
      </c>
      <c r="I849" s="2" t="s">
        <v>335</v>
      </c>
      <c r="J849" s="2" t="s">
        <v>97</v>
      </c>
      <c r="K849" s="2">
        <v>66</v>
      </c>
      <c r="L849" s="2">
        <v>90</v>
      </c>
      <c r="M849" s="2">
        <v>20</v>
      </c>
      <c r="N849" s="2">
        <v>2.85</v>
      </c>
      <c r="O849" s="2"/>
      <c r="P849" s="2"/>
      <c r="Q849" s="2" t="s">
        <v>95</v>
      </c>
      <c r="R849" s="10" t="s">
        <v>216</v>
      </c>
      <c r="S849" s="14" t="s">
        <v>222</v>
      </c>
      <c r="T849" s="188">
        <v>1000</v>
      </c>
      <c r="U849" s="8">
        <f t="shared" si="105"/>
        <v>180</v>
      </c>
      <c r="V849" s="234">
        <f t="shared" si="104"/>
        <v>62604.155246160299</v>
      </c>
      <c r="W849" s="15">
        <v>25</v>
      </c>
      <c r="X849" s="8">
        <f t="shared" si="102"/>
        <v>4.5</v>
      </c>
      <c r="Y849" s="233">
        <f t="shared" si="103"/>
        <v>3431</v>
      </c>
    </row>
    <row r="850" spans="1:25">
      <c r="A850" s="156" t="e" cm="1">
        <f t="array" aca="1" ref="A850" ca="1">_xlfn.IFS(E850=$AB$42,$AC$42,E850=$AB$43,$AC$43,E850=$AB$44,$AC$44,E850=$AB$45,$AC$45,E850=$AB$46,$AC$46,E850=$AB$47,$AC$47,E850=$AB$48,$AC$48,E850=$AB$49,$AC$49,E850=$AB$50,$AC$50,E850=$AB$51,$AC$51,E850=$AB$52,$AC$52,E850=$AB$53,$AC$53,E850=$AB$54,$AC$54,E850=$AB$55,$AC$55,E850=$AB$56,$AC$56,E850=$AB$57,$AC$57,E850=$AB$58,$AC$58,E850=$AB$59,$AC$59,E850=$AB$60,$AC$60,E850=$AB$61,$AC$61,E850=$AB$62,$AC$62,E850=$AB$63,$AC$63,E850=$AB$64,$AC$64,E850=$AB$65,$AC$65,E850=$AB$66,$AC$66,TRUE,"0")</f>
        <v>#NAME?</v>
      </c>
      <c r="C850" s="161" t="str" cm="1">
        <f t="array" ref="C850">_xlfn.IFS(E850=$AB$42,$AF$42,E850=$AB$43,$AF$43,E850=$AB$44,$AF$44,E850=$AB$45,$AF$45,E850=$AB$46,$AF$46,E850=$AB$47,$AF$47,E850=$AB$48,$AF$48,E850=$AB$49,$AF$49,E850=$AB$50,$AF$50,E850=$AB$51,$AF$51,E850=$AB$52,$AF$52,E850=$AB$53,$AF$53,E850=$AB$54,$AF$54,E850=$AB$55,$AF$55,E850=$AB$56,$AF$56,E850=$AB$57,$AF$57,E850=$AB$58,$AF$58,E850=$AB$59,$AF$59,E850=$AB$60,$AF$60,E850=$AB$61,$AF$61,E850=$AB$62,$AF$62,E850=$AB$63,$AF$63,E850=$AB$64,$AF$64,E850=$AB$65,$AF$65,E850=$AB$66,$AF$66,TRUE,"0")</f>
        <v>40 mins Back ANother Goal</v>
      </c>
      <c r="D850" s="270" t="str" cm="1">
        <f t="array" ref="D850">_xlfn.IFS(E850=$AB$42,$AD$42,E850=$AB$43,$AD$43,E850=$AB$44,$AD$44,E850=$AB$45,$AD$45,E850=$AB$46,$AD$46,E850=$AB$47,$AD$47,E850=$AB$48,$AD$48,E850=$AB$49,$AD$49,E850=$AB$50,$AD$50,E850=$AB$51,$AD$51,E850=$AB$52,$AD$52,E850=$AB$53,$AD$53,E850=$AB$54,$AD$54,E850=$AB$55,$AD$55,E850=$AB$56,$AD$56,E850=$AB$57,$AD$57,E850=$AB$58,$AD$58,E850=$AB$59,$AD$59,E850=$AB$60,$AD$60,E850=$AB$61,$AD$61,E850=$AB$62,$AD$62,E850=$AB$63,$AD$63,E850=$AB$64,$AD$64,E850=$AB$65,$AD$65,E850=$AB$66,$AD$66,TRUE,"0")</f>
        <v xml:space="preserve">  BANG</v>
      </c>
      <c r="E850" s="163" t="s">
        <v>43</v>
      </c>
      <c r="F850" s="2" t="s">
        <v>20</v>
      </c>
      <c r="G850" s="2" t="s">
        <v>21</v>
      </c>
      <c r="H850" s="3">
        <v>45389.708333333336</v>
      </c>
      <c r="I850" s="2" t="s">
        <v>598</v>
      </c>
      <c r="J850" s="2" t="s">
        <v>24</v>
      </c>
      <c r="K850" s="2">
        <v>69</v>
      </c>
      <c r="L850" s="2">
        <v>67</v>
      </c>
      <c r="M850" s="2">
        <v>64</v>
      </c>
      <c r="N850" s="2">
        <v>1.5</v>
      </c>
      <c r="O850" s="2">
        <v>1.06</v>
      </c>
      <c r="P850" s="2"/>
      <c r="Q850" s="2" t="s">
        <v>95</v>
      </c>
      <c r="R850" s="10" t="s">
        <v>216</v>
      </c>
      <c r="S850" s="14" t="s">
        <v>223</v>
      </c>
      <c r="T850" s="188">
        <v>1000</v>
      </c>
      <c r="U850" s="8">
        <f t="shared" si="105"/>
        <v>180</v>
      </c>
      <c r="V850" s="234">
        <f t="shared" si="104"/>
        <v>62784.155246160299</v>
      </c>
      <c r="W850" s="15">
        <v>25</v>
      </c>
      <c r="X850" s="8">
        <f t="shared" si="102"/>
        <v>4.5</v>
      </c>
      <c r="Y850" s="233">
        <f t="shared" si="103"/>
        <v>3435.5</v>
      </c>
    </row>
    <row r="851" spans="1:25">
      <c r="A851" s="156" t="e" cm="1">
        <f t="array" aca="1" ref="A851" ca="1">_xlfn.IFS(E851=$AB$42,$AC$42,E851=$AB$43,$AC$43,E851=$AB$44,$AC$44,E851=$AB$45,$AC$45,E851=$AB$46,$AC$46,E851=$AB$47,$AC$47,E851=$AB$48,$AC$48,E851=$AB$49,$AC$49,E851=$AB$50,$AC$50,E851=$AB$51,$AC$51,E851=$AB$52,$AC$52,E851=$AB$53,$AC$53,E851=$AB$54,$AC$54,E851=$AB$55,$AC$55,E851=$AB$56,$AC$56,E851=$AB$57,$AC$57,E851=$AB$58,$AC$58,E851=$AB$59,$AC$59,E851=$AB$60,$AC$60,E851=$AB$61,$AC$61,E851=$AB$62,$AC$62,E851=$AB$63,$AC$63,E851=$AB$64,$AC$64,E851=$AB$65,$AC$65,E851=$AB$66,$AC$66,TRUE,"0")</f>
        <v>#NAME?</v>
      </c>
      <c r="C851" s="161" t="str" cm="1">
        <f t="array" ref="C851">_xlfn.IFS(E851=$AB$42,$AF$42,E851=$AB$43,$AF$43,E851=$AB$44,$AF$44,E851=$AB$45,$AF$45,E851=$AB$46,$AF$46,E851=$AB$47,$AF$47,E851=$AB$48,$AF$48,E851=$AB$49,$AF$49,E851=$AB$50,$AF$50,E851=$AB$51,$AF$51,E851=$AB$52,$AF$52,E851=$AB$53,$AF$53,E851=$AB$54,$AF$54,E851=$AB$55,$AF$55,E851=$AB$56,$AF$56,E851=$AB$57,$AF$57,E851=$AB$58,$AF$58,E851=$AB$59,$AF$59,E851=$AB$60,$AF$60,E851=$AB$61,$AF$61,E851=$AB$62,$AF$62,E851=$AB$63,$AF$63,E851=$AB$64,$AF$64,E851=$AB$65,$AF$65,E851=$AB$66,$AF$66,TRUE,"0")</f>
        <v>if 0-0, BACK+ 0.5 GOALS  @ 1.15+odds.  or @ 40 mins</v>
      </c>
      <c r="D851" s="270" t="str" cm="1">
        <f t="array" ref="D851">_xlfn.IFS(E851=$AB$42,$AD$42,E851=$AB$43,$AD$43,E851=$AB$44,$AD$44,E851=$AB$45,$AD$45,E851=$AB$46,$AD$46,E851=$AB$47,$AD$47,E851=$AB$48,$AD$48,E851=$AB$49,$AD$49,E851=$AB$50,$AD$50,E851=$AB$51,$AD$51,E851=$AB$52,$AD$52,E851=$AB$53,$AD$53,E851=$AB$54,$AD$54,E851=$AB$55,$AD$55,E851=$AB$56,$AD$56,E851=$AB$57,$AD$57,E851=$AB$58,$AD$58,E851=$AB$59,$AD$59,E851=$AB$60,$AD$60,E851=$AB$61,$AD$61,E851=$AB$62,$AD$62,E851=$AB$63,$AD$63,E851=$AB$64,$AD$64,E851=$AB$65,$AD$65,E851=$AB$66,$AD$66,TRUE,"0")</f>
        <v>IP</v>
      </c>
      <c r="E851" s="163" t="s">
        <v>270</v>
      </c>
      <c r="F851" s="2" t="s">
        <v>133</v>
      </c>
      <c r="G851" s="2" t="s">
        <v>78</v>
      </c>
      <c r="H851" s="3">
        <v>45389.729166666664</v>
      </c>
      <c r="I851" s="2" t="s">
        <v>136</v>
      </c>
      <c r="J851" s="2" t="s">
        <v>466</v>
      </c>
      <c r="K851" s="2">
        <v>63</v>
      </c>
      <c r="L851" s="2">
        <v>0</v>
      </c>
      <c r="M851" s="2">
        <v>20</v>
      </c>
      <c r="N851" s="2">
        <v>37</v>
      </c>
      <c r="O851" s="2">
        <v>2.27</v>
      </c>
      <c r="P851" s="2"/>
      <c r="Q851" s="2" t="s">
        <v>95</v>
      </c>
      <c r="R851" s="10" t="s">
        <v>221</v>
      </c>
      <c r="S851" s="14" t="s">
        <v>217</v>
      </c>
      <c r="T851" s="188">
        <v>1000</v>
      </c>
      <c r="U851" s="8">
        <f t="shared" si="105"/>
        <v>180</v>
      </c>
      <c r="V851" s="234">
        <f t="shared" si="104"/>
        <v>62964.155246160299</v>
      </c>
      <c r="W851" s="15">
        <v>25</v>
      </c>
      <c r="X851" s="8">
        <f t="shared" si="102"/>
        <v>4.5</v>
      </c>
      <c r="Y851" s="233">
        <f t="shared" si="103"/>
        <v>3440</v>
      </c>
    </row>
    <row r="852" spans="1:25">
      <c r="A852" s="156" t="e" cm="1">
        <f t="array" aca="1" ref="A852" ca="1">_xlfn.IFS(E852=$AB$42,$AC$42,E852=$AB$43,$AC$43,E852=$AB$44,$AC$44,E852=$AB$45,$AC$45,E852=$AB$46,$AC$46,E852=$AB$47,$AC$47,E852=$AB$48,$AC$48,E852=$AB$49,$AC$49,E852=$AB$50,$AC$50,E852=$AB$51,$AC$51,E852=$AB$52,$AC$52,E852=$AB$53,$AC$53,E852=$AB$54,$AC$54,E852=$AB$55,$AC$55,E852=$AB$56,$AC$56,E852=$AB$57,$AC$57,E852=$AB$58,$AC$58,E852=$AB$59,$AC$59,E852=$AB$60,$AC$60,E852=$AB$61,$AC$61,E852=$AB$62,$AC$62,E852=$AB$63,$AC$63,E852=$AB$64,$AC$64,E852=$AB$65,$AC$65,E852=$AB$66,$AC$66,TRUE,"0")</f>
        <v>#NAME?</v>
      </c>
      <c r="C852" s="161" t="str" cm="1">
        <f t="array" ref="C852">_xlfn.IFS(E852=$AB$42,$AF$42,E852=$AB$43,$AF$43,E852=$AB$44,$AF$44,E852=$AB$45,$AF$45,E852=$AB$46,$AF$46,E852=$AB$47,$AF$47,E852=$AB$48,$AF$48,E852=$AB$49,$AF$49,E852=$AB$50,$AF$50,E852=$AB$51,$AF$51,E852=$AB$52,$AF$52,E852=$AB$53,$AF$53,E852=$AB$54,$AF$54,E852=$AB$55,$AF$55,E852=$AB$56,$AF$56,E852=$AB$57,$AF$57,E852=$AB$58,$AF$58,E852=$AB$59,$AF$59,E852=$AB$60,$AF$60,E852=$AB$61,$AF$61,E852=$AB$62,$AF$62,E852=$AB$63,$AF$63,E852=$AB$64,$AF$64,E852=$AB$65,$AF$65,E852=$AB$66,$AF$66,TRUE,"0")</f>
        <v>15mins if  0-0, BACK over 1.5 goals X after goal OR LET RUN</v>
      </c>
      <c r="D852" s="270" t="str" cm="1">
        <f t="array" ref="D852">_xlfn.IFS(E852=$AB$42,$AD$42,E852=$AB$43,$AD$43,E852=$AB$44,$AD$44,E852=$AB$45,$AD$45,E852=$AB$46,$AD$46,E852=$AB$47,$AD$47,E852=$AB$48,$AD$48,E852=$AB$49,$AD$49,E852=$AB$50,$AD$50,E852=$AB$51,$AD$51,E852=$AB$52,$AD$52,E852=$AB$53,$AD$53,E852=$AB$54,$AD$54,E852=$AB$55,$AD$55,E852=$AB$56,$AD$56,E852=$AB$57,$AD$57,E852=$AB$58,$AD$58,E852=$AB$59,$AD$59,E852=$AB$60,$AD$60,E852=$AB$61,$AD$61,E852=$AB$62,$AD$62,E852=$AB$63,$AD$63,E852=$AB$64,$AD$64,E852=$AB$65,$AD$65,E852=$AB$66,$AD$66,TRUE,"0")</f>
        <v>IP</v>
      </c>
      <c r="E852" s="163" t="s">
        <v>473</v>
      </c>
      <c r="F852" s="2" t="s">
        <v>133</v>
      </c>
      <c r="G852" s="2" t="s">
        <v>78</v>
      </c>
      <c r="H852" s="3">
        <v>45389.729166666664</v>
      </c>
      <c r="I852" s="2" t="s">
        <v>136</v>
      </c>
      <c r="J852" s="2" t="s">
        <v>466</v>
      </c>
      <c r="K852" s="2">
        <v>66</v>
      </c>
      <c r="L852" s="2">
        <v>90</v>
      </c>
      <c r="M852" s="2">
        <v>20</v>
      </c>
      <c r="N852" s="2">
        <v>3.15</v>
      </c>
      <c r="O852" s="2"/>
      <c r="P852" s="2"/>
      <c r="Q852" s="2" t="s">
        <v>95</v>
      </c>
      <c r="R852" s="10" t="s">
        <v>221</v>
      </c>
      <c r="S852" s="14" t="s">
        <v>217</v>
      </c>
      <c r="T852" s="188">
        <v>1000</v>
      </c>
      <c r="U852" s="8">
        <f t="shared" si="105"/>
        <v>180</v>
      </c>
      <c r="V852" s="234">
        <f t="shared" si="104"/>
        <v>63144.155246160299</v>
      </c>
      <c r="W852" s="15">
        <v>25</v>
      </c>
      <c r="X852" s="8">
        <f t="shared" si="102"/>
        <v>4.5</v>
      </c>
      <c r="Y852" s="233">
        <f t="shared" si="103"/>
        <v>3444.5</v>
      </c>
    </row>
    <row r="853" spans="1:25">
      <c r="A853" s="156" t="e" cm="1">
        <f t="array" aca="1" ref="A853" ca="1">_xlfn.IFS(E853=$AB$42,$AC$42,E853=$AB$43,$AC$43,E853=$AB$44,$AC$44,E853=$AB$45,$AC$45,E853=$AB$46,$AC$46,E853=$AB$47,$AC$47,E853=$AB$48,$AC$48,E853=$AB$49,$AC$49,E853=$AB$50,$AC$50,E853=$AB$51,$AC$51,E853=$AB$52,$AC$52,E853=$AB$53,$AC$53,E853=$AB$54,$AC$54,E853=$AB$55,$AC$55,E853=$AB$56,$AC$56,E853=$AB$57,$AC$57,E853=$AB$58,$AC$58,E853=$AB$59,$AC$59,E853=$AB$60,$AC$60,E853=$AB$61,$AC$61,E853=$AB$62,$AC$62,E853=$AB$63,$AC$63,E853=$AB$64,$AC$64,E853=$AB$65,$AC$65,E853=$AB$66,$AC$66,TRUE,"0")</f>
        <v>#NAME?</v>
      </c>
      <c r="C853" s="161" t="str" cm="1">
        <f t="array" ref="C853">_xlfn.IFS(E853=$AB$42,$AF$42,E853=$AB$43,$AF$43,E853=$AB$44,$AF$44,E853=$AB$45,$AF$45,E853=$AB$46,$AF$46,E853=$AB$47,$AF$47,E853=$AB$48,$AF$48,E853=$AB$49,$AF$49,E853=$AB$50,$AF$50,E853=$AB$51,$AF$51,E853=$AB$52,$AF$52,E853=$AB$53,$AF$53,E853=$AB$54,$AF$54,E853=$AB$55,$AF$55,E853=$AB$56,$AF$56,E853=$AB$57,$AF$57,E853=$AB$58,$AF$58,E853=$AB$59,$AF$59,E853=$AB$60,$AF$60,E853=$AB$61,$AF$61,E853=$AB$62,$AF$62,E853=$AB$63,$AF$63,E853=$AB$64,$AF$64,E853=$AB$65,$AF$65,E853=$AB$66,$AF$66,TRUE,"0")</f>
        <v>20mins if  0-0, BACK over 1.5 goals X after goal OR LET RUN</v>
      </c>
      <c r="D853" s="270" t="str" cm="1">
        <f t="array" ref="D853">_xlfn.IFS(E853=$AB$42,$AD$42,E853=$AB$43,$AD$43,E853=$AB$44,$AD$44,E853=$AB$45,$AD$45,E853=$AB$46,$AD$46,E853=$AB$47,$AD$47,E853=$AB$48,$AD$48,E853=$AB$49,$AD$49,E853=$AB$50,$AD$50,E853=$AB$51,$AD$51,E853=$AB$52,$AD$52,E853=$AB$53,$AD$53,E853=$AB$54,$AD$54,E853=$AB$55,$AD$55,E853=$AB$56,$AD$56,E853=$AB$57,$AD$57,E853=$AB$58,$AD$58,E853=$AB$59,$AD$59,E853=$AB$60,$AD$60,E853=$AB$61,$AD$61,E853=$AB$62,$AD$62,E853=$AB$63,$AD$63,E853=$AB$64,$AD$64,E853=$AB$65,$AD$65,E853=$AB$66,$AD$66,TRUE,"0")</f>
        <v>IP</v>
      </c>
      <c r="E853" s="163" t="s">
        <v>474</v>
      </c>
      <c r="F853" s="2" t="s">
        <v>133</v>
      </c>
      <c r="G853" s="2" t="s">
        <v>78</v>
      </c>
      <c r="H853" s="3">
        <v>45389.729166666664</v>
      </c>
      <c r="I853" s="2" t="s">
        <v>136</v>
      </c>
      <c r="J853" s="2" t="s">
        <v>466</v>
      </c>
      <c r="K853" s="2">
        <v>58</v>
      </c>
      <c r="L853" s="2">
        <v>3.15</v>
      </c>
      <c r="M853" s="2">
        <v>20</v>
      </c>
      <c r="N853" s="2">
        <v>70</v>
      </c>
      <c r="O853" s="2">
        <v>90</v>
      </c>
      <c r="P853" s="2"/>
      <c r="Q853" s="2" t="s">
        <v>95</v>
      </c>
      <c r="R853" s="10" t="s">
        <v>221</v>
      </c>
      <c r="S853" s="14" t="s">
        <v>217</v>
      </c>
      <c r="T853" s="188">
        <v>1000</v>
      </c>
      <c r="U853" s="8">
        <f t="shared" si="105"/>
        <v>180</v>
      </c>
      <c r="V853" s="234">
        <f t="shared" si="104"/>
        <v>63324.155246160299</v>
      </c>
      <c r="W853" s="15">
        <v>25</v>
      </c>
      <c r="X853" s="8">
        <f t="shared" si="102"/>
        <v>4.5</v>
      </c>
      <c r="Y853" s="233">
        <f t="shared" si="103"/>
        <v>3449</v>
      </c>
    </row>
    <row r="854" spans="1:25">
      <c r="A854" s="156" t="e" cm="1">
        <f t="array" aca="1" ref="A854" ca="1">_xlfn.IFS(E854=$AB$42,$AC$42,E854=$AB$43,$AC$43,E854=$AB$44,$AC$44,E854=$AB$45,$AC$45,E854=$AB$46,$AC$46,E854=$AB$47,$AC$47,E854=$AB$48,$AC$48,E854=$AB$49,$AC$49,E854=$AB$50,$AC$50,E854=$AB$51,$AC$51,E854=$AB$52,$AC$52,E854=$AB$53,$AC$53,E854=$AB$54,$AC$54,E854=$AB$55,$AC$55,E854=$AB$56,$AC$56,E854=$AB$57,$AC$57,E854=$AB$58,$AC$58,E854=$AB$59,$AC$59,E854=$AB$60,$AC$60,E854=$AB$61,$AC$61,E854=$AB$62,$AC$62,E854=$AB$63,$AC$63,E854=$AB$64,$AC$64,E854=$AB$65,$AC$65,E854=$AB$66,$AC$66,TRUE,"0")</f>
        <v>#NAME?</v>
      </c>
      <c r="C854" s="161" t="str" cm="1">
        <f t="array" ref="C854">_xlfn.IFS(E854=$AB$42,$AF$42,E854=$AB$43,$AF$43,E854=$AB$44,$AF$44,E854=$AB$45,$AF$45,E854=$AB$46,$AF$46,E854=$AB$47,$AF$47,E854=$AB$48,$AF$48,E854=$AB$49,$AF$49,E854=$AB$50,$AF$50,E854=$AB$51,$AF$51,E854=$AB$52,$AF$52,E854=$AB$53,$AF$53,E854=$AB$54,$AF$54,E854=$AB$55,$AF$55,E854=$AB$56,$AF$56,E854=$AB$57,$AF$57,E854=$AB$58,$AF$58,E854=$AB$59,$AF$59,E854=$AB$60,$AF$60,E854=$AB$61,$AF$61,E854=$AB$62,$AF$62,E854=$AB$63,$AF$63,E854=$AB$64,$AF$64,E854=$AB$65,$AF$65,E854=$AB$66,$AF$66,TRUE,"0")</f>
        <v>B4 MATCH back over 2.5 goals.X after goal OR let run</v>
      </c>
      <c r="D854" s="270" t="str" cm="1">
        <f t="array" ref="D854">_xlfn.IFS(E854=$AB$42,$AD$42,E854=$AB$43,$AD$43,E854=$AB$44,$AD$44,E854=$AB$45,$AD$45,E854=$AB$46,$AD$46,E854=$AB$47,$AD$47,E854=$AB$48,$AD$48,E854=$AB$49,$AD$49,E854=$AB$50,$AD$50,E854=$AB$51,$AD$51,E854=$AB$52,$AD$52,E854=$AB$53,$AD$53,E854=$AB$54,$AD$54,E854=$AB$55,$AD$55,E854=$AB$56,$AD$56,E854=$AB$57,$AD$57,E854=$AB$58,$AD$58,E854=$AB$59,$AD$59,E854=$AB$60,$AD$60,E854=$AB$61,$AD$61,E854=$AB$62,$AD$62,E854=$AB$63,$AD$63,E854=$AB$64,$AD$64,E854=$AB$65,$AD$65,E854=$AB$66,$AD$66,TRUE,"0")</f>
        <v xml:space="preserve">BFM </v>
      </c>
      <c r="E854" s="163" t="s">
        <v>177</v>
      </c>
      <c r="F854" s="2" t="s">
        <v>6</v>
      </c>
      <c r="G854" s="2" t="s">
        <v>62</v>
      </c>
      <c r="H854" s="3">
        <v>45389.729166666664</v>
      </c>
      <c r="I854" s="2" t="s">
        <v>85</v>
      </c>
      <c r="J854" s="2" t="s">
        <v>65</v>
      </c>
      <c r="K854" s="2">
        <v>3.95</v>
      </c>
      <c r="L854" s="2">
        <v>95</v>
      </c>
      <c r="M854" s="2">
        <v>80</v>
      </c>
      <c r="N854" s="2">
        <v>30</v>
      </c>
      <c r="O854" s="2">
        <v>50</v>
      </c>
      <c r="P854" s="2">
        <v>3.24</v>
      </c>
      <c r="Q854" s="2" t="s">
        <v>95</v>
      </c>
      <c r="R854" s="10" t="s">
        <v>216</v>
      </c>
      <c r="S854" s="14" t="s">
        <v>210</v>
      </c>
      <c r="T854" s="188">
        <v>1000</v>
      </c>
      <c r="U854" s="8">
        <f t="shared" si="105"/>
        <v>180</v>
      </c>
      <c r="V854" s="234">
        <f t="shared" si="104"/>
        <v>63504.155246160299</v>
      </c>
      <c r="W854" s="15">
        <v>25</v>
      </c>
      <c r="X854" s="8">
        <f t="shared" si="102"/>
        <v>4.5</v>
      </c>
      <c r="Y854" s="233">
        <f t="shared" si="103"/>
        <v>3453.5</v>
      </c>
    </row>
    <row r="855" spans="1:25">
      <c r="A855" s="156" t="e" cm="1">
        <f t="array" aca="1" ref="A855" ca="1">_xlfn.IFS(E855=$AB$42,$AC$42,E855=$AB$43,$AC$43,E855=$AB$44,$AC$44,E855=$AB$45,$AC$45,E855=$AB$46,$AC$46,E855=$AB$47,$AC$47,E855=$AB$48,$AC$48,E855=$AB$49,$AC$49,E855=$AB$50,$AC$50,E855=$AB$51,$AC$51,E855=$AB$52,$AC$52,E855=$AB$53,$AC$53,E855=$AB$54,$AC$54,E855=$AB$55,$AC$55,E855=$AB$56,$AC$56,E855=$AB$57,$AC$57,E855=$AB$58,$AC$58,E855=$AB$59,$AC$59,E855=$AB$60,$AC$60,E855=$AB$61,$AC$61,E855=$AB$62,$AC$62,E855=$AB$63,$AC$63,E855=$AB$64,$AC$64,E855=$AB$65,$AC$65,E855=$AB$66,$AC$66,TRUE,"0")</f>
        <v>#NAME?</v>
      </c>
      <c r="C855" s="161" t="str" cm="1">
        <f t="array" ref="C855">_xlfn.IFS(E855=$AB$42,$AF$42,E855=$AB$43,$AF$43,E855=$AB$44,$AF$44,E855=$AB$45,$AF$45,E855=$AB$46,$AF$46,E855=$AB$47,$AF$47,E855=$AB$48,$AF$48,E855=$AB$49,$AF$49,E855=$AB$50,$AF$50,E855=$AB$51,$AF$51,E855=$AB$52,$AF$52,E855=$AB$53,$AF$53,E855=$AB$54,$AF$54,E855=$AB$55,$AF$55,E855=$AB$56,$AF$56,E855=$AB$57,$AF$57,E855=$AB$58,$AF$58,E855=$AB$59,$AF$59,E855=$AB$60,$AF$60,E855=$AB$61,$AF$61,E855=$AB$62,$AF$62,E855=$AB$63,$AF$63,E855=$AB$64,$AF$64,E855=$AB$65,$AF$65,E855=$AB$66,$AF$66,TRUE,"0")</f>
        <v>B4 match BACK FT +1.5 goals. X AFTER  GOAL</v>
      </c>
      <c r="D855" s="270" t="str" cm="1">
        <f t="array" ref="D855">_xlfn.IFS(E855=$AB$42,$AD$42,E855=$AB$43,$AD$43,E855=$AB$44,$AD$44,E855=$AB$45,$AD$45,E855=$AB$46,$AD$46,E855=$AB$47,$AD$47,E855=$AB$48,$AD$48,E855=$AB$49,$AD$49,E855=$AB$50,$AD$50,E855=$AB$51,$AD$51,E855=$AB$52,$AD$52,E855=$AB$53,$AD$53,E855=$AB$54,$AD$54,E855=$AB$55,$AD$55,E855=$AB$56,$AD$56,E855=$AB$57,$AD$57,E855=$AB$58,$AD$58,E855=$AB$59,$AD$59,E855=$AB$60,$AD$60,E855=$AB$61,$AD$61,E855=$AB$62,$AD$62,E855=$AB$63,$AD$63,E855=$AB$64,$AD$64,E855=$AB$65,$AD$65,E855=$AB$66,$AD$66,TRUE,"0")</f>
        <v xml:space="preserve">BFM </v>
      </c>
      <c r="E855" s="163" t="s">
        <v>531</v>
      </c>
      <c r="F855" s="2" t="s">
        <v>6</v>
      </c>
      <c r="G855" s="2" t="s">
        <v>62</v>
      </c>
      <c r="H855" s="3">
        <v>45389.729166666664</v>
      </c>
      <c r="I855" s="2" t="s">
        <v>85</v>
      </c>
      <c r="J855" s="2" t="s">
        <v>65</v>
      </c>
      <c r="K855" s="2">
        <v>4.2</v>
      </c>
      <c r="L855" s="2">
        <v>29</v>
      </c>
      <c r="M855" s="2">
        <v>3.76</v>
      </c>
      <c r="N855" s="2">
        <v>29</v>
      </c>
      <c r="O855" s="2">
        <v>4</v>
      </c>
      <c r="P855" s="2">
        <v>14</v>
      </c>
      <c r="Q855" s="2" t="s">
        <v>95</v>
      </c>
      <c r="R855" s="10" t="s">
        <v>216</v>
      </c>
      <c r="S855" s="14" t="s">
        <v>210</v>
      </c>
      <c r="T855" s="188">
        <v>1000</v>
      </c>
      <c r="U855" s="8">
        <f t="shared" si="105"/>
        <v>180</v>
      </c>
      <c r="V855" s="234">
        <f t="shared" si="104"/>
        <v>63684.155246160299</v>
      </c>
      <c r="W855" s="15">
        <v>25</v>
      </c>
      <c r="X855" s="8">
        <f t="shared" si="102"/>
        <v>4.5</v>
      </c>
      <c r="Y855" s="233">
        <f t="shared" si="103"/>
        <v>3458</v>
      </c>
    </row>
    <row r="856" spans="1:25">
      <c r="A856" s="156" t="e" cm="1">
        <f t="array" aca="1" ref="A856" ca="1">_xlfn.IFS(E856=$AB$42,$AC$42,E856=$AB$43,$AC$43,E856=$AB$44,$AC$44,E856=$AB$45,$AC$45,E856=$AB$46,$AC$46,E856=$AB$47,$AC$47,E856=$AB$48,$AC$48,E856=$AB$49,$AC$49,E856=$AB$50,$AC$50,E856=$AB$51,$AC$51,E856=$AB$52,$AC$52,E856=$AB$53,$AC$53,E856=$AB$54,$AC$54,E856=$AB$55,$AC$55,E856=$AB$56,$AC$56,E856=$AB$57,$AC$57,E856=$AB$58,$AC$58,E856=$AB$59,$AC$59,E856=$AB$60,$AC$60,E856=$AB$61,$AC$61,E856=$AB$62,$AC$62,E856=$AB$63,$AC$63,E856=$AB$64,$AC$64,E856=$AB$65,$AC$65,E856=$AB$66,$AC$66,TRUE,"0")</f>
        <v>#NAME?</v>
      </c>
      <c r="C856" s="161" t="str" cm="1">
        <f t="array" ref="C856">_xlfn.IFS(E856=$AB$42,$AF$42,E856=$AB$43,$AF$43,E856=$AB$44,$AF$44,E856=$AB$45,$AF$45,E856=$AB$46,$AF$46,E856=$AB$47,$AF$47,E856=$AB$48,$AF$48,E856=$AB$49,$AF$49,E856=$AB$50,$AF$50,E856=$AB$51,$AF$51,E856=$AB$52,$AF$52,E856=$AB$53,$AF$53,E856=$AB$54,$AF$54,E856=$AB$55,$AF$55,E856=$AB$56,$AF$56,E856=$AB$57,$AF$57,E856=$AB$58,$AF$58,E856=$AB$59,$AF$59,E856=$AB$60,$AF$60,E856=$AB$61,$AF$61,E856=$AB$62,$AF$62,E856=$AB$63,$AF$63,E856=$AB$64,$AF$64,E856=$AB$65,$AF$65,E856=$AB$66,$AF$66,TRUE,"0")</f>
        <v>if 0-0, BACK+ 0.5 GOALS  @ 1.15+odds.  or @ 40 mins</v>
      </c>
      <c r="D856" s="270" t="str" cm="1">
        <f t="array" ref="D856">_xlfn.IFS(E856=$AB$42,$AD$42,E856=$AB$43,$AD$43,E856=$AB$44,$AD$44,E856=$AB$45,$AD$45,E856=$AB$46,$AD$46,E856=$AB$47,$AD$47,E856=$AB$48,$AD$48,E856=$AB$49,$AD$49,E856=$AB$50,$AD$50,E856=$AB$51,$AD$51,E856=$AB$52,$AD$52,E856=$AB$53,$AD$53,E856=$AB$54,$AD$54,E856=$AB$55,$AD$55,E856=$AB$56,$AD$56,E856=$AB$57,$AD$57,E856=$AB$58,$AD$58,E856=$AB$59,$AD$59,E856=$AB$60,$AD$60,E856=$AB$61,$AD$61,E856=$AB$62,$AD$62,E856=$AB$63,$AD$63,E856=$AB$64,$AD$64,E856=$AB$65,$AD$65,E856=$AB$66,$AD$66,TRUE,"0")</f>
        <v>IP</v>
      </c>
      <c r="E856" s="163" t="s">
        <v>270</v>
      </c>
      <c r="F856" s="2" t="s">
        <v>6</v>
      </c>
      <c r="G856" s="2" t="s">
        <v>62</v>
      </c>
      <c r="H856" s="3">
        <v>45389.729166666664</v>
      </c>
      <c r="I856" s="2" t="s">
        <v>85</v>
      </c>
      <c r="J856" s="2" t="s">
        <v>65</v>
      </c>
      <c r="K856" s="2">
        <v>61</v>
      </c>
      <c r="L856" s="2">
        <v>0</v>
      </c>
      <c r="M856" s="2">
        <v>20</v>
      </c>
      <c r="N856" s="2">
        <v>30</v>
      </c>
      <c r="O856" s="2">
        <v>3.24</v>
      </c>
      <c r="P856" s="2"/>
      <c r="Q856" s="2" t="s">
        <v>95</v>
      </c>
      <c r="R856" s="10" t="s">
        <v>216</v>
      </c>
      <c r="S856" s="14" t="s">
        <v>210</v>
      </c>
      <c r="T856" s="188">
        <v>1000</v>
      </c>
      <c r="U856" s="8">
        <f t="shared" si="105"/>
        <v>180</v>
      </c>
      <c r="V856" s="234">
        <f t="shared" si="104"/>
        <v>63864.155246160299</v>
      </c>
      <c r="W856" s="15">
        <v>25</v>
      </c>
      <c r="X856" s="8">
        <f t="shared" si="102"/>
        <v>4.5</v>
      </c>
      <c r="Y856" s="233">
        <f t="shared" si="103"/>
        <v>3462.5</v>
      </c>
    </row>
    <row r="857" spans="1:25">
      <c r="A857" s="156" t="e" cm="1">
        <f t="array" aca="1" ref="A857" ca="1">_xlfn.IFS(E857=$AB$42,$AC$42,E857=$AB$43,$AC$43,E857=$AB$44,$AC$44,E857=$AB$45,$AC$45,E857=$AB$46,$AC$46,E857=$AB$47,$AC$47,E857=$AB$48,$AC$48,E857=$AB$49,$AC$49,E857=$AB$50,$AC$50,E857=$AB$51,$AC$51,E857=$AB$52,$AC$52,E857=$AB$53,$AC$53,E857=$AB$54,$AC$54,E857=$AB$55,$AC$55,E857=$AB$56,$AC$56,E857=$AB$57,$AC$57,E857=$AB$58,$AC$58,E857=$AB$59,$AC$59,E857=$AB$60,$AC$60,E857=$AB$61,$AC$61,E857=$AB$62,$AC$62,E857=$AB$63,$AC$63,E857=$AB$64,$AC$64,E857=$AB$65,$AC$65,E857=$AB$66,$AC$66,TRUE,"0")</f>
        <v>#NAME?</v>
      </c>
      <c r="C857" s="161" t="str" cm="1">
        <f t="array" ref="C857">_xlfn.IFS(E857=$AB$42,$AF$42,E857=$AB$43,$AF$43,E857=$AB$44,$AF$44,E857=$AB$45,$AF$45,E857=$AB$46,$AF$46,E857=$AB$47,$AF$47,E857=$AB$48,$AF$48,E857=$AB$49,$AF$49,E857=$AB$50,$AF$50,E857=$AB$51,$AF$51,E857=$AB$52,$AF$52,E857=$AB$53,$AF$53,E857=$AB$54,$AF$54,E857=$AB$55,$AF$55,E857=$AB$56,$AF$56,E857=$AB$57,$AF$57,E857=$AB$58,$AF$58,E857=$AB$59,$AF$59,E857=$AB$60,$AF$60,E857=$AB$61,$AF$61,E857=$AB$62,$AF$62,E857=$AB$63,$AF$63,E857=$AB$64,$AF$64,E857=$AB$65,$AF$65,E857=$AB$66,$AF$66,TRUE,"0")</f>
        <v>B4 match BACK FT +1.5 goals. X AFTER  GOAL</v>
      </c>
      <c r="D857" s="270" t="str" cm="1">
        <f t="array" ref="D857">_xlfn.IFS(E857=$AB$42,$AD$42,E857=$AB$43,$AD$43,E857=$AB$44,$AD$44,E857=$AB$45,$AD$45,E857=$AB$46,$AD$46,E857=$AB$47,$AD$47,E857=$AB$48,$AD$48,E857=$AB$49,$AD$49,E857=$AB$50,$AD$50,E857=$AB$51,$AD$51,E857=$AB$52,$AD$52,E857=$AB$53,$AD$53,E857=$AB$54,$AD$54,E857=$AB$55,$AD$55,E857=$AB$56,$AD$56,E857=$AB$57,$AD$57,E857=$AB$58,$AD$58,E857=$AB$59,$AD$59,E857=$AB$60,$AD$60,E857=$AB$61,$AD$61,E857=$AB$62,$AD$62,E857=$AB$63,$AD$63,E857=$AB$64,$AD$64,E857=$AB$65,$AD$65,E857=$AB$66,$AD$66,TRUE,"0")</f>
        <v xml:space="preserve">BFM </v>
      </c>
      <c r="E857" s="163" t="s">
        <v>623</v>
      </c>
      <c r="F857" s="2" t="s">
        <v>6</v>
      </c>
      <c r="G857" s="2" t="s">
        <v>62</v>
      </c>
      <c r="H857" s="3">
        <v>45389.75</v>
      </c>
      <c r="I857" s="2" t="s">
        <v>116</v>
      </c>
      <c r="J857" s="2" t="s">
        <v>264</v>
      </c>
      <c r="K857" s="2">
        <v>4.0999999999999996</v>
      </c>
      <c r="L857" s="2">
        <v>20</v>
      </c>
      <c r="M857" s="2">
        <v>3.55</v>
      </c>
      <c r="N857" s="2">
        <v>19</v>
      </c>
      <c r="O857" s="2">
        <v>1</v>
      </c>
      <c r="P857" s="2">
        <v>10</v>
      </c>
      <c r="Q857" s="2" t="s">
        <v>95</v>
      </c>
      <c r="R857" s="10" t="s">
        <v>216</v>
      </c>
      <c r="S857" s="14" t="s">
        <v>215</v>
      </c>
      <c r="T857" s="188">
        <v>1000</v>
      </c>
      <c r="U857" s="8">
        <f t="shared" si="105"/>
        <v>180</v>
      </c>
      <c r="V857" s="234">
        <f t="shared" si="104"/>
        <v>64044.155246160299</v>
      </c>
      <c r="W857" s="15">
        <v>25</v>
      </c>
      <c r="X857" s="8">
        <f t="shared" si="102"/>
        <v>4.5</v>
      </c>
      <c r="Y857" s="233">
        <f t="shared" si="103"/>
        <v>3467</v>
      </c>
    </row>
    <row r="858" spans="1:25">
      <c r="A858" s="156" t="e" cm="1">
        <f t="array" aca="1" ref="A858" ca="1">_xlfn.IFS(E858=$AB$42,$AC$42,E858=$AB$43,$AC$43,E858=$AB$44,$AC$44,E858=$AB$45,$AC$45,E858=$AB$46,$AC$46,E858=$AB$47,$AC$47,E858=$AB$48,$AC$48,E858=$AB$49,$AC$49,E858=$AB$50,$AC$50,E858=$AB$51,$AC$51,E858=$AB$52,$AC$52,E858=$AB$53,$AC$53,E858=$AB$54,$AC$54,E858=$AB$55,$AC$55,E858=$AB$56,$AC$56,E858=$AB$57,$AC$57,E858=$AB$58,$AC$58,E858=$AB$59,$AC$59,E858=$AB$60,$AC$60,E858=$AB$61,$AC$61,E858=$AB$62,$AC$62,E858=$AB$63,$AC$63,E858=$AB$64,$AC$64,E858=$AB$65,$AC$65,E858=$AB$66,$AC$66,TRUE,"0")</f>
        <v>#NAME?</v>
      </c>
      <c r="C858" s="161" t="str" cm="1">
        <f t="array" ref="C858">_xlfn.IFS(E858=$AB$42,$AF$42,E858=$AB$43,$AF$43,E858=$AB$44,$AF$44,E858=$AB$45,$AF$45,E858=$AB$46,$AF$46,E858=$AB$47,$AF$47,E858=$AB$48,$AF$48,E858=$AB$49,$AF$49,E858=$AB$50,$AF$50,E858=$AB$51,$AF$51,E858=$AB$52,$AF$52,E858=$AB$53,$AF$53,E858=$AB$54,$AF$54,E858=$AB$55,$AF$55,E858=$AB$56,$AF$56,E858=$AB$57,$AF$57,E858=$AB$58,$AF$58,E858=$AB$59,$AF$59,E858=$AB$60,$AF$60,E858=$AB$61,$AF$61,E858=$AB$62,$AF$62,E858=$AB$63,$AF$63,E858=$AB$64,$AF$64,E858=$AB$65,$AF$65,E858=$AB$66,$AF$66,TRUE,"0")</f>
        <v>B4 Match, lay HT 0-0 or BACK H1 +0.5 GOALS</v>
      </c>
      <c r="D858" s="270" t="str" cm="1">
        <f t="array" ref="D858">_xlfn.IFS(E858=$AB$42,$AD$42,E858=$AB$43,$AD$43,E858=$AB$44,$AD$44,E858=$AB$45,$AD$45,E858=$AB$46,$AD$46,E858=$AB$47,$AD$47,E858=$AB$48,$AD$48,E858=$AB$49,$AD$49,E858=$AB$50,$AD$50,E858=$AB$51,$AD$51,E858=$AB$52,$AD$52,E858=$AB$53,$AD$53,E858=$AB$54,$AD$54,E858=$AB$55,$AD$55,E858=$AB$56,$AD$56,E858=$AB$57,$AD$57,E858=$AB$58,$AD$58,E858=$AB$59,$AD$59,E858=$AB$60,$AD$60,E858=$AB$61,$AD$61,E858=$AB$62,$AD$62,E858=$AB$63,$AD$63,E858=$AB$64,$AD$64,E858=$AB$65,$AD$65,E858=$AB$66,$AD$66,TRUE,"0")</f>
        <v xml:space="preserve">BFM </v>
      </c>
      <c r="E858" s="163" t="s">
        <v>432</v>
      </c>
      <c r="F858" s="2" t="s">
        <v>6</v>
      </c>
      <c r="G858" s="2" t="s">
        <v>62</v>
      </c>
      <c r="H858" s="3">
        <v>45389.75</v>
      </c>
      <c r="I858" s="2" t="s">
        <v>116</v>
      </c>
      <c r="J858" s="2" t="s">
        <v>264</v>
      </c>
      <c r="K858" s="2">
        <v>5</v>
      </c>
      <c r="L858" s="2">
        <v>20</v>
      </c>
      <c r="M858" s="2">
        <v>12</v>
      </c>
      <c r="N858" s="2">
        <v>20</v>
      </c>
      <c r="O858" s="2">
        <v>19</v>
      </c>
      <c r="P858" s="2">
        <v>1.6</v>
      </c>
      <c r="Q858" s="2" t="s">
        <v>95</v>
      </c>
      <c r="R858" s="10" t="s">
        <v>216</v>
      </c>
      <c r="S858" s="14" t="s">
        <v>215</v>
      </c>
      <c r="T858" s="188">
        <v>1000</v>
      </c>
      <c r="U858" s="8">
        <f t="shared" si="105"/>
        <v>180</v>
      </c>
      <c r="V858" s="234">
        <f t="shared" ref="V858:V870" si="106">SUM(V857,U858)</f>
        <v>64224.155246160299</v>
      </c>
      <c r="W858" s="15">
        <v>25</v>
      </c>
      <c r="X858" s="8">
        <f t="shared" si="102"/>
        <v>4.5</v>
      </c>
      <c r="Y858" s="233">
        <f t="shared" si="103"/>
        <v>3471.5</v>
      </c>
    </row>
    <row r="859" spans="1:25">
      <c r="A859" s="156" t="e" cm="1">
        <f t="array" aca="1" ref="A859" ca="1">_xlfn.IFS(E859=$AB$42,$AC$42,E859=$AB$43,$AC$43,E859=$AB$44,$AC$44,E859=$AB$45,$AC$45,E859=$AB$46,$AC$46,E859=$AB$47,$AC$47,E859=$AB$48,$AC$48,E859=$AB$49,$AC$49,E859=$AB$50,$AC$50,E859=$AB$51,$AC$51,E859=$AB$52,$AC$52,E859=$AB$53,$AC$53,E859=$AB$54,$AC$54,E859=$AB$55,$AC$55,E859=$AB$56,$AC$56,E859=$AB$57,$AC$57,E859=$AB$58,$AC$58,E859=$AB$59,$AC$59,E859=$AB$60,$AC$60,E859=$AB$61,$AC$61,E859=$AB$62,$AC$62,E859=$AB$63,$AC$63,E859=$AB$64,$AC$64,E859=$AB$65,$AC$65,E859=$AB$66,$AC$66,TRUE,"0")</f>
        <v>#NAME?</v>
      </c>
      <c r="C859" s="161" t="str" cm="1">
        <f t="array" ref="C859">_xlfn.IFS(E859=$AB$42,$AF$42,E859=$AB$43,$AF$43,E859=$AB$44,$AF$44,E859=$AB$45,$AF$45,E859=$AB$46,$AF$46,E859=$AB$47,$AF$47,E859=$AB$48,$AF$48,E859=$AB$49,$AF$49,E859=$AB$50,$AF$50,E859=$AB$51,$AF$51,E859=$AB$52,$AF$52,E859=$AB$53,$AF$53,E859=$AB$54,$AF$54,E859=$AB$55,$AF$55,E859=$AB$56,$AF$56,E859=$AB$57,$AF$57,E859=$AB$58,$AF$58,E859=$AB$59,$AF$59,E859=$AB$60,$AF$60,E859=$AB$61,$AF$61,E859=$AB$62,$AF$62,E859=$AB$63,$AF$63,E859=$AB$64,$AF$64,E859=$AB$65,$AF$65,E859=$AB$66,$AF$66,TRUE,"0")</f>
        <v>B4 Match, lay HT 0-0 or BACK H1 +0.5 GOALS</v>
      </c>
      <c r="D859" s="270" t="str" cm="1">
        <f t="array" ref="D859">_xlfn.IFS(E859=$AB$42,$AD$42,E859=$AB$43,$AD$43,E859=$AB$44,$AD$44,E859=$AB$45,$AD$45,E859=$AB$46,$AD$46,E859=$AB$47,$AD$47,E859=$AB$48,$AD$48,E859=$AB$49,$AD$49,E859=$AB$50,$AD$50,E859=$AB$51,$AD$51,E859=$AB$52,$AD$52,E859=$AB$53,$AD$53,E859=$AB$54,$AD$54,E859=$AB$55,$AD$55,E859=$AB$56,$AD$56,E859=$AB$57,$AD$57,E859=$AB$58,$AD$58,E859=$AB$59,$AD$59,E859=$AB$60,$AD$60,E859=$AB$61,$AD$61,E859=$AB$62,$AD$62,E859=$AB$63,$AD$63,E859=$AB$64,$AD$64,E859=$AB$65,$AD$65,E859=$AB$66,$AD$66,TRUE,"0")</f>
        <v xml:space="preserve">BFM </v>
      </c>
      <c r="E859" s="163" t="s">
        <v>448</v>
      </c>
      <c r="F859" s="2" t="s">
        <v>6</v>
      </c>
      <c r="G859" s="2" t="s">
        <v>62</v>
      </c>
      <c r="H859" s="3">
        <v>45389.75</v>
      </c>
      <c r="I859" s="2" t="s">
        <v>116</v>
      </c>
      <c r="J859" s="2" t="s">
        <v>264</v>
      </c>
      <c r="K859" s="2">
        <v>20</v>
      </c>
      <c r="L859" s="2">
        <v>5</v>
      </c>
      <c r="M859" s="2">
        <v>32</v>
      </c>
      <c r="N859" s="2">
        <v>7</v>
      </c>
      <c r="O859" s="2">
        <v>6</v>
      </c>
      <c r="P859" s="2">
        <v>6</v>
      </c>
      <c r="Q859" s="2" t="s">
        <v>95</v>
      </c>
      <c r="R859" s="10" t="s">
        <v>216</v>
      </c>
      <c r="S859" s="14" t="s">
        <v>215</v>
      </c>
      <c r="T859" s="188">
        <v>1000</v>
      </c>
      <c r="U859" s="8">
        <f t="shared" si="105"/>
        <v>180</v>
      </c>
      <c r="V859" s="234">
        <f t="shared" si="106"/>
        <v>64404.155246160299</v>
      </c>
      <c r="W859" s="15">
        <v>25</v>
      </c>
      <c r="X859" s="8">
        <f t="shared" si="102"/>
        <v>4.5</v>
      </c>
      <c r="Y859" s="233">
        <f t="shared" si="103"/>
        <v>3476</v>
      </c>
    </row>
    <row r="860" spans="1:25">
      <c r="A860" s="156" t="e" cm="1">
        <f t="array" aca="1" ref="A860" ca="1">_xlfn.IFS(E860=$AB$42,$AC$42,E860=$AB$43,$AC$43,E860=$AB$44,$AC$44,E860=$AB$45,$AC$45,E860=$AB$46,$AC$46,E860=$AB$47,$AC$47,E860=$AB$48,$AC$48,E860=$AB$49,$AC$49,E860=$AB$50,$AC$50,E860=$AB$51,$AC$51,E860=$AB$52,$AC$52,E860=$AB$53,$AC$53,E860=$AB$54,$AC$54,E860=$AB$55,$AC$55,E860=$AB$56,$AC$56,E860=$AB$57,$AC$57,E860=$AB$58,$AC$58,E860=$AB$59,$AC$59,E860=$AB$60,$AC$60,E860=$AB$61,$AC$61,E860=$AB$62,$AC$62,E860=$AB$63,$AC$63,E860=$AB$64,$AC$64,E860=$AB$65,$AC$65,E860=$AB$66,$AC$66,TRUE,"0")</f>
        <v>#NAME?</v>
      </c>
      <c r="C860" s="161" t="str" cm="1">
        <f t="array" ref="C860">_xlfn.IFS(E860=$AB$42,$AF$42,E860=$AB$43,$AF$43,E860=$AB$44,$AF$44,E860=$AB$45,$AF$45,E860=$AB$46,$AF$46,E860=$AB$47,$AF$47,E860=$AB$48,$AF$48,E860=$AB$49,$AF$49,E860=$AB$50,$AF$50,E860=$AB$51,$AF$51,E860=$AB$52,$AF$52,E860=$AB$53,$AF$53,E860=$AB$54,$AF$54,E860=$AB$55,$AF$55,E860=$AB$56,$AF$56,E860=$AB$57,$AF$57,E860=$AB$58,$AF$58,E860=$AB$59,$AF$59,E860=$AB$60,$AF$60,E860=$AB$61,$AF$61,E860=$AB$62,$AF$62,E860=$AB$63,$AF$63,E860=$AB$64,$AF$64,E860=$AB$65,$AF$65,E860=$AB$66,$AF$66,TRUE,"0")</f>
        <v>if 0-0, BACK+ 0.5 GOALS  @ 1.15+odds.  or @ 40 mins</v>
      </c>
      <c r="D860" s="270" t="str" cm="1">
        <f t="array" ref="D860">_xlfn.IFS(E860=$AB$42,$AD$42,E860=$AB$43,$AD$43,E860=$AB$44,$AD$44,E860=$AB$45,$AD$45,E860=$AB$46,$AD$46,E860=$AB$47,$AD$47,E860=$AB$48,$AD$48,E860=$AB$49,$AD$49,E860=$AB$50,$AD$50,E860=$AB$51,$AD$51,E860=$AB$52,$AD$52,E860=$AB$53,$AD$53,E860=$AB$54,$AD$54,E860=$AB$55,$AD$55,E860=$AB$56,$AD$56,E860=$AB$57,$AD$57,E860=$AB$58,$AD$58,E860=$AB$59,$AD$59,E860=$AB$60,$AD$60,E860=$AB$61,$AD$61,E860=$AB$62,$AD$62,E860=$AB$63,$AD$63,E860=$AB$64,$AD$64,E860=$AB$65,$AD$65,E860=$AB$66,$AD$66,TRUE,"0")</f>
        <v>IP</v>
      </c>
      <c r="E860" s="163" t="s">
        <v>270</v>
      </c>
      <c r="F860" s="2" t="s">
        <v>133</v>
      </c>
      <c r="G860" s="2" t="s">
        <v>78</v>
      </c>
      <c r="H860" s="3">
        <v>45389.770833333336</v>
      </c>
      <c r="I860" s="2" t="s">
        <v>447</v>
      </c>
      <c r="J860" s="2" t="s">
        <v>137</v>
      </c>
      <c r="K860" s="2">
        <v>62</v>
      </c>
      <c r="L860" s="2">
        <v>0</v>
      </c>
      <c r="M860" s="2">
        <v>20</v>
      </c>
      <c r="N860" s="2">
        <v>34</v>
      </c>
      <c r="O860" s="2">
        <v>2.5099999999999998</v>
      </c>
      <c r="P860" s="2"/>
      <c r="Q860" s="2" t="s">
        <v>95</v>
      </c>
      <c r="R860" s="10" t="s">
        <v>214</v>
      </c>
      <c r="S860" s="14" t="s">
        <v>210</v>
      </c>
      <c r="T860" s="188">
        <v>1000</v>
      </c>
      <c r="U860" s="8">
        <f t="shared" si="105"/>
        <v>180</v>
      </c>
      <c r="V860" s="234">
        <f t="shared" si="106"/>
        <v>64584.155246160299</v>
      </c>
      <c r="W860" s="15">
        <v>25</v>
      </c>
      <c r="X860" s="8">
        <f t="shared" si="102"/>
        <v>4.5</v>
      </c>
      <c r="Y860" s="233">
        <f t="shared" si="103"/>
        <v>3480.5</v>
      </c>
    </row>
    <row r="861" spans="1:25">
      <c r="A861" s="156" t="e" cm="1">
        <f t="array" aca="1" ref="A861" ca="1">_xlfn.IFS(E861=$AB$42,$AC$42,E861=$AB$43,$AC$43,E861=$AB$44,$AC$44,E861=$AB$45,$AC$45,E861=$AB$46,$AC$46,E861=$AB$47,$AC$47,E861=$AB$48,$AC$48,E861=$AB$49,$AC$49,E861=$AB$50,$AC$50,E861=$AB$51,$AC$51,E861=$AB$52,$AC$52,E861=$AB$53,$AC$53,E861=$AB$54,$AC$54,E861=$AB$55,$AC$55,E861=$AB$56,$AC$56,E861=$AB$57,$AC$57,E861=$AB$58,$AC$58,E861=$AB$59,$AC$59,E861=$AB$60,$AC$60,E861=$AB$61,$AC$61,E861=$AB$62,$AC$62,E861=$AB$63,$AC$63,E861=$AB$64,$AC$64,E861=$AB$65,$AC$65,E861=$AB$66,$AC$66,TRUE,"0")</f>
        <v>#NAME?</v>
      </c>
      <c r="C861" s="161" t="str" cm="1">
        <f t="array" ref="C861">_xlfn.IFS(E861=$AB$42,$AF$42,E861=$AB$43,$AF$43,E861=$AB$44,$AF$44,E861=$AB$45,$AF$45,E861=$AB$46,$AF$46,E861=$AB$47,$AF$47,E861=$AB$48,$AF$48,E861=$AB$49,$AF$49,E861=$AB$50,$AF$50,E861=$AB$51,$AF$51,E861=$AB$52,$AF$52,E861=$AB$53,$AF$53,E861=$AB$54,$AF$54,E861=$AB$55,$AF$55,E861=$AB$56,$AF$56,E861=$AB$57,$AF$57,E861=$AB$58,$AF$58,E861=$AB$59,$AF$59,E861=$AB$60,$AF$60,E861=$AB$61,$AF$61,E861=$AB$62,$AF$62,E861=$AB$63,$AF$63,E861=$AB$64,$AF$64,E861=$AB$65,$AF$65,E861=$AB$66,$AF$66,TRUE,"0")</f>
        <v>B4 match BACK FT +1.5 goals. X AFTER  GOAL</v>
      </c>
      <c r="D861" s="270" t="str" cm="1">
        <f t="array" ref="D861">_xlfn.IFS(E861=$AB$42,$AD$42,E861=$AB$43,$AD$43,E861=$AB$44,$AD$44,E861=$AB$45,$AD$45,E861=$AB$46,$AD$46,E861=$AB$47,$AD$47,E861=$AB$48,$AD$48,E861=$AB$49,$AD$49,E861=$AB$50,$AD$50,E861=$AB$51,$AD$51,E861=$AB$52,$AD$52,E861=$AB$53,$AD$53,E861=$AB$54,$AD$54,E861=$AB$55,$AD$55,E861=$AB$56,$AD$56,E861=$AB$57,$AD$57,E861=$AB$58,$AD$58,E861=$AB$59,$AD$59,E861=$AB$60,$AD$60,E861=$AB$61,$AD$61,E861=$AB$62,$AD$62,E861=$AB$63,$AD$63,E861=$AB$64,$AD$64,E861=$AB$65,$AD$65,E861=$AB$66,$AD$66,TRUE,"0")</f>
        <v xml:space="preserve">BFM </v>
      </c>
      <c r="E861" s="163" t="s">
        <v>623</v>
      </c>
      <c r="F861" s="2" t="s">
        <v>434</v>
      </c>
      <c r="G861" s="2" t="s">
        <v>435</v>
      </c>
      <c r="H861" s="3">
        <v>45390.75</v>
      </c>
      <c r="I861" s="2" t="s">
        <v>436</v>
      </c>
      <c r="J861" s="2" t="s">
        <v>702</v>
      </c>
      <c r="K861" s="2">
        <v>6.4</v>
      </c>
      <c r="L861" s="2">
        <v>20</v>
      </c>
      <c r="M861" s="2">
        <v>3.05</v>
      </c>
      <c r="N861" s="2">
        <v>29</v>
      </c>
      <c r="O861" s="2">
        <v>2</v>
      </c>
      <c r="P861" s="2">
        <v>10</v>
      </c>
      <c r="Q861" s="2" t="s">
        <v>95</v>
      </c>
      <c r="R861" s="10" t="s">
        <v>221</v>
      </c>
      <c r="S861" s="14" t="s">
        <v>216</v>
      </c>
      <c r="T861" s="188">
        <v>1000</v>
      </c>
      <c r="U861" s="8">
        <f t="shared" si="105"/>
        <v>180</v>
      </c>
      <c r="V861" s="234">
        <f t="shared" si="106"/>
        <v>64764.155246160299</v>
      </c>
      <c r="W861" s="15">
        <v>25</v>
      </c>
      <c r="X861" s="8">
        <f t="shared" si="102"/>
        <v>4.5</v>
      </c>
      <c r="Y861" s="233">
        <f t="shared" si="103"/>
        <v>3485</v>
      </c>
    </row>
    <row r="862" spans="1:25">
      <c r="A862" s="156" t="e" cm="1">
        <f t="array" aca="1" ref="A862" ca="1">_xlfn.IFS(E862=$AB$42,$AC$42,E862=$AB$43,$AC$43,E862=$AB$44,$AC$44,E862=$AB$45,$AC$45,E862=$AB$46,$AC$46,E862=$AB$47,$AC$47,E862=$AB$48,$AC$48,E862=$AB$49,$AC$49,E862=$AB$50,$AC$50,E862=$AB$51,$AC$51,E862=$AB$52,$AC$52,E862=$AB$53,$AC$53,E862=$AB$54,$AC$54,E862=$AB$55,$AC$55,E862=$AB$56,$AC$56,E862=$AB$57,$AC$57,E862=$AB$58,$AC$58,E862=$AB$59,$AC$59,E862=$AB$60,$AC$60,E862=$AB$61,$AC$61,E862=$AB$62,$AC$62,E862=$AB$63,$AC$63,E862=$AB$64,$AC$64,E862=$AB$65,$AC$65,E862=$AB$66,$AC$66,TRUE,"0")</f>
        <v>#NAME?</v>
      </c>
      <c r="C862" s="161" t="str" cm="1">
        <f t="array" ref="C862">_xlfn.IFS(E862=$AB$42,$AF$42,E862=$AB$43,$AF$43,E862=$AB$44,$AF$44,E862=$AB$45,$AF$45,E862=$AB$46,$AF$46,E862=$AB$47,$AF$47,E862=$AB$48,$AF$48,E862=$AB$49,$AF$49,E862=$AB$50,$AF$50,E862=$AB$51,$AF$51,E862=$AB$52,$AF$52,E862=$AB$53,$AF$53,E862=$AB$54,$AF$54,E862=$AB$55,$AF$55,E862=$AB$56,$AF$56,E862=$AB$57,$AF$57,E862=$AB$58,$AF$58,E862=$AB$59,$AF$59,E862=$AB$60,$AF$60,E862=$AB$61,$AF$61,E862=$AB$62,$AF$62,E862=$AB$63,$AF$63,E862=$AB$64,$AF$64,E862=$AB$65,$AF$65,E862=$AB$66,$AF$66,TRUE,"0")</f>
        <v>AT HT IF 0-0 BACK +0.5 GOALS</v>
      </c>
      <c r="D862" s="270" t="str" cm="1">
        <f t="array" ref="D862">_xlfn.IFS(E862=$AB$42,$AD$42,E862=$AB$43,$AD$43,E862=$AB$44,$AD$44,E862=$AB$45,$AD$45,E862=$AB$46,$AD$46,E862=$AB$47,$AD$47,E862=$AB$48,$AD$48,E862=$AB$49,$AD$49,E862=$AB$50,$AD$50,E862=$AB$51,$AD$51,E862=$AB$52,$AD$52,E862=$AB$53,$AD$53,E862=$AB$54,$AD$54,E862=$AB$55,$AD$55,E862=$AB$56,$AD$56,E862=$AB$57,$AD$57,E862=$AB$58,$AD$58,E862=$AB$59,$AD$59,E862=$AB$60,$AD$60,E862=$AB$61,$AD$61,E862=$AB$62,$AD$62,E862=$AB$63,$AD$63,E862=$AB$64,$AD$64,E862=$AB$65,$AD$65,E862=$AB$66,$AD$66,TRUE,"0")</f>
        <v>IP</v>
      </c>
      <c r="E862" s="163" t="s">
        <v>514</v>
      </c>
      <c r="F862" s="2" t="s">
        <v>434</v>
      </c>
      <c r="G862" s="2" t="s">
        <v>435</v>
      </c>
      <c r="H862" s="3">
        <v>45390.75</v>
      </c>
      <c r="I862" s="2" t="s">
        <v>436</v>
      </c>
      <c r="J862" s="2" t="s">
        <v>702</v>
      </c>
      <c r="K862" s="2">
        <v>6.4</v>
      </c>
      <c r="L862" s="2">
        <v>170</v>
      </c>
      <c r="M862" s="2">
        <v>610</v>
      </c>
      <c r="N862" s="2">
        <v>20</v>
      </c>
      <c r="O862" s="2">
        <v>15</v>
      </c>
      <c r="P862" s="2">
        <v>29</v>
      </c>
      <c r="Q862" s="2" t="s">
        <v>95</v>
      </c>
      <c r="R862" s="10" t="s">
        <v>221</v>
      </c>
      <c r="S862" s="14" t="s">
        <v>216</v>
      </c>
      <c r="T862" s="188">
        <v>1000</v>
      </c>
      <c r="U862" s="8">
        <f t="shared" si="105"/>
        <v>180</v>
      </c>
      <c r="V862" s="234">
        <f t="shared" si="106"/>
        <v>64944.155246160299</v>
      </c>
      <c r="W862" s="15">
        <v>25</v>
      </c>
      <c r="X862" s="8">
        <f t="shared" si="102"/>
        <v>4.5</v>
      </c>
      <c r="Y862" s="233">
        <f t="shared" si="103"/>
        <v>3489.5</v>
      </c>
    </row>
    <row r="863" spans="1:25">
      <c r="A863" s="156" t="e" cm="1">
        <f t="array" aca="1" ref="A863" ca="1">_xlfn.IFS(E863=$AB$42,$AC$42,E863=$AB$43,$AC$43,E863=$AB$44,$AC$44,E863=$AB$45,$AC$45,E863=$AB$46,$AC$46,E863=$AB$47,$AC$47,E863=$AB$48,$AC$48,E863=$AB$49,$AC$49,E863=$AB$50,$AC$50,E863=$AB$51,$AC$51,E863=$AB$52,$AC$52,E863=$AB$53,$AC$53,E863=$AB$54,$AC$54,E863=$AB$55,$AC$55,E863=$AB$56,$AC$56,E863=$AB$57,$AC$57,E863=$AB$58,$AC$58,E863=$AB$59,$AC$59,E863=$AB$60,$AC$60,E863=$AB$61,$AC$61,E863=$AB$62,$AC$62,E863=$AB$63,$AC$63,E863=$AB$64,$AC$64,E863=$AB$65,$AC$65,E863=$AB$66,$AC$66,TRUE,"0")</f>
        <v>#NAME?</v>
      </c>
      <c r="C863" s="161" t="str" cm="1">
        <f t="array" ref="C863">_xlfn.IFS(E863=$AB$42,$AF$42,E863=$AB$43,$AF$43,E863=$AB$44,$AF$44,E863=$AB$45,$AF$45,E863=$AB$46,$AF$46,E863=$AB$47,$AF$47,E863=$AB$48,$AF$48,E863=$AB$49,$AF$49,E863=$AB$50,$AF$50,E863=$AB$51,$AF$51,E863=$AB$52,$AF$52,E863=$AB$53,$AF$53,E863=$AB$54,$AF$54,E863=$AB$55,$AF$55,E863=$AB$56,$AF$56,E863=$AB$57,$AF$57,E863=$AB$58,$AF$58,E863=$AB$59,$AF$59,E863=$AB$60,$AF$60,E863=$AB$61,$AF$61,E863=$AB$62,$AF$62,E863=$AB$63,$AF$63,E863=$AB$64,$AF$64,E863=$AB$65,$AF$65,E863=$AB$66,$AF$66,TRUE,"0")</f>
        <v>20mins if  0-0, BACK over 1.5 goals X after goal OR LET RUN</v>
      </c>
      <c r="D863" s="270" t="str" cm="1">
        <f t="array" ref="D863">_xlfn.IFS(E863=$AB$42,$AD$42,E863=$AB$43,$AD$43,E863=$AB$44,$AD$44,E863=$AB$45,$AD$45,E863=$AB$46,$AD$46,E863=$AB$47,$AD$47,E863=$AB$48,$AD$48,E863=$AB$49,$AD$49,E863=$AB$50,$AD$50,E863=$AB$51,$AD$51,E863=$AB$52,$AD$52,E863=$AB$53,$AD$53,E863=$AB$54,$AD$54,E863=$AB$55,$AD$55,E863=$AB$56,$AD$56,E863=$AB$57,$AD$57,E863=$AB$58,$AD$58,E863=$AB$59,$AD$59,E863=$AB$60,$AD$60,E863=$AB$61,$AD$61,E863=$AB$62,$AD$62,E863=$AB$63,$AD$63,E863=$AB$64,$AD$64,E863=$AB$65,$AD$65,E863=$AB$66,$AD$66,TRUE,"0")</f>
        <v>IP</v>
      </c>
      <c r="E863" s="163" t="s">
        <v>474</v>
      </c>
      <c r="F863" s="2" t="s">
        <v>149</v>
      </c>
      <c r="G863" s="2" t="s">
        <v>150</v>
      </c>
      <c r="H863" s="3">
        <v>45390.791666666664</v>
      </c>
      <c r="I863" s="2" t="s">
        <v>700</v>
      </c>
      <c r="J863" s="2" t="s">
        <v>329</v>
      </c>
      <c r="K863" s="2">
        <v>50</v>
      </c>
      <c r="L863" s="2">
        <v>3.35</v>
      </c>
      <c r="M863" s="2">
        <v>20</v>
      </c>
      <c r="N863" s="2">
        <v>75</v>
      </c>
      <c r="O863" s="2">
        <v>90</v>
      </c>
      <c r="P863" s="2"/>
      <c r="Q863" s="2" t="s">
        <v>95</v>
      </c>
      <c r="R863" s="10" t="s">
        <v>223</v>
      </c>
      <c r="S863" s="14" t="s">
        <v>209</v>
      </c>
      <c r="T863" s="188">
        <v>1000</v>
      </c>
      <c r="U863" s="8">
        <f t="shared" si="105"/>
        <v>180</v>
      </c>
      <c r="V863" s="234">
        <f t="shared" si="106"/>
        <v>65124.155246160299</v>
      </c>
      <c r="W863" s="15">
        <v>25</v>
      </c>
      <c r="X863" s="8">
        <f t="shared" si="102"/>
        <v>4.5</v>
      </c>
      <c r="Y863" s="233">
        <f t="shared" si="103"/>
        <v>3494</v>
      </c>
    </row>
    <row r="864" spans="1:25">
      <c r="A864" s="156" t="e" cm="1">
        <f t="array" aca="1" ref="A864" ca="1">_xlfn.IFS(E864=$AB$42,$AC$42,E864=$AB$43,$AC$43,E864=$AB$44,$AC$44,E864=$AB$45,$AC$45,E864=$AB$46,$AC$46,E864=$AB$47,$AC$47,E864=$AB$48,$AC$48,E864=$AB$49,$AC$49,E864=$AB$50,$AC$50,E864=$AB$51,$AC$51,E864=$AB$52,$AC$52,E864=$AB$53,$AC$53,E864=$AB$54,$AC$54,E864=$AB$55,$AC$55,E864=$AB$56,$AC$56,E864=$AB$57,$AC$57,E864=$AB$58,$AC$58,E864=$AB$59,$AC$59,E864=$AB$60,$AC$60,E864=$AB$61,$AC$61,E864=$AB$62,$AC$62,E864=$AB$63,$AC$63,E864=$AB$64,$AC$64,E864=$AB$65,$AC$65,E864=$AB$66,$AC$66,TRUE,"0")</f>
        <v>#NAME?</v>
      </c>
      <c r="C864" s="161" t="str" cm="1">
        <f t="array" ref="C864">_xlfn.IFS(E864=$AB$42,$AF$42,E864=$AB$43,$AF$43,E864=$AB$44,$AF$44,E864=$AB$45,$AF$45,E864=$AB$46,$AF$46,E864=$AB$47,$AF$47,E864=$AB$48,$AF$48,E864=$AB$49,$AF$49,E864=$AB$50,$AF$50,E864=$AB$51,$AF$51,E864=$AB$52,$AF$52,E864=$AB$53,$AF$53,E864=$AB$54,$AF$54,E864=$AB$55,$AF$55,E864=$AB$56,$AF$56,E864=$AB$57,$AF$57,E864=$AB$58,$AF$58,E864=$AB$59,$AF$59,E864=$AB$60,$AF$60,E864=$AB$61,$AF$61,E864=$AB$62,$AF$62,E864=$AB$63,$AF$63,E864=$AB$64,$AF$64,E864=$AB$65,$AF$65,E864=$AB$66,$AF$66,TRUE,"0")</f>
        <v>B4 match BACK FT +1.5 goals. X AFTER  GOAL</v>
      </c>
      <c r="D864" s="270" t="str" cm="1">
        <f t="array" ref="D864">_xlfn.IFS(E864=$AB$42,$AD$42,E864=$AB$43,$AD$43,E864=$AB$44,$AD$44,E864=$AB$45,$AD$45,E864=$AB$46,$AD$46,E864=$AB$47,$AD$47,E864=$AB$48,$AD$48,E864=$AB$49,$AD$49,E864=$AB$50,$AD$50,E864=$AB$51,$AD$51,E864=$AB$52,$AD$52,E864=$AB$53,$AD$53,E864=$AB$54,$AD$54,E864=$AB$55,$AD$55,E864=$AB$56,$AD$56,E864=$AB$57,$AD$57,E864=$AB$58,$AD$58,E864=$AB$59,$AD$59,E864=$AB$60,$AD$60,E864=$AB$61,$AD$61,E864=$AB$62,$AD$62,E864=$AB$63,$AD$63,E864=$AB$64,$AD$64,E864=$AB$65,$AD$65,E864=$AB$66,$AD$66,TRUE,"0")</f>
        <v xml:space="preserve">BFM </v>
      </c>
      <c r="E864" s="163" t="s">
        <v>531</v>
      </c>
      <c r="F864" s="2" t="s">
        <v>149</v>
      </c>
      <c r="G864" s="2" t="s">
        <v>150</v>
      </c>
      <c r="H864" s="3">
        <v>45390.791666666664</v>
      </c>
      <c r="I864" s="2" t="s">
        <v>256</v>
      </c>
      <c r="J864" s="2" t="s">
        <v>236</v>
      </c>
      <c r="K864" s="2">
        <v>4.5999999999999996</v>
      </c>
      <c r="L864" s="2">
        <v>31</v>
      </c>
      <c r="M864" s="2">
        <v>2.35</v>
      </c>
      <c r="N864" s="2">
        <v>30</v>
      </c>
      <c r="O864" s="2">
        <v>3</v>
      </c>
      <c r="P864" s="2">
        <v>16</v>
      </c>
      <c r="Q864" s="2" t="s">
        <v>95</v>
      </c>
      <c r="R864" s="10" t="s">
        <v>221</v>
      </c>
      <c r="S864" s="14" t="s">
        <v>216</v>
      </c>
      <c r="T864" s="188">
        <v>1000</v>
      </c>
      <c r="U864" s="8">
        <f t="shared" si="105"/>
        <v>180</v>
      </c>
      <c r="V864" s="234">
        <f t="shared" si="106"/>
        <v>65304.155246160299</v>
      </c>
      <c r="W864" s="15">
        <v>25</v>
      </c>
      <c r="X864" s="8">
        <f t="shared" si="102"/>
        <v>4.5</v>
      </c>
      <c r="Y864" s="233">
        <f t="shared" si="103"/>
        <v>3498.5</v>
      </c>
    </row>
    <row r="865" spans="1:25">
      <c r="A865" s="156" t="e" cm="1">
        <f t="array" aca="1" ref="A865" ca="1">_xlfn.IFS(E865=$AB$42,$AC$42,E865=$AB$43,$AC$43,E865=$AB$44,$AC$44,E865=$AB$45,$AC$45,E865=$AB$46,$AC$46,E865=$AB$47,$AC$47,E865=$AB$48,$AC$48,E865=$AB$49,$AC$49,E865=$AB$50,$AC$50,E865=$AB$51,$AC$51,E865=$AB$52,$AC$52,E865=$AB$53,$AC$53,E865=$AB$54,$AC$54,E865=$AB$55,$AC$55,E865=$AB$56,$AC$56,E865=$AB$57,$AC$57,E865=$AB$58,$AC$58,E865=$AB$59,$AC$59,E865=$AB$60,$AC$60,E865=$AB$61,$AC$61,E865=$AB$62,$AC$62,E865=$AB$63,$AC$63,E865=$AB$64,$AC$64,E865=$AB$65,$AC$65,E865=$AB$66,$AC$66,TRUE,"0")</f>
        <v>#NAME?</v>
      </c>
      <c r="C865" s="161" t="str" cm="1">
        <f t="array" ref="C865">_xlfn.IFS(E865=$AB$42,$AF$42,E865=$AB$43,$AF$43,E865=$AB$44,$AF$44,E865=$AB$45,$AF$45,E865=$AB$46,$AF$46,E865=$AB$47,$AF$47,E865=$AB$48,$AF$48,E865=$AB$49,$AF$49,E865=$AB$50,$AF$50,E865=$AB$51,$AF$51,E865=$AB$52,$AF$52,E865=$AB$53,$AF$53,E865=$AB$54,$AF$54,E865=$AB$55,$AF$55,E865=$AB$56,$AF$56,E865=$AB$57,$AF$57,E865=$AB$58,$AF$58,E865=$AB$59,$AF$59,E865=$AB$60,$AF$60,E865=$AB$61,$AF$61,E865=$AB$62,$AF$62,E865=$AB$63,$AF$63,E865=$AB$64,$AF$64,E865=$AB$65,$AF$65,E865=$AB$66,$AF$66,TRUE,"0")</f>
        <v>AT HT IF 0-0 BACK +0.5 GOALS</v>
      </c>
      <c r="D865" s="270" t="str" cm="1">
        <f t="array" ref="D865">_xlfn.IFS(E865=$AB$42,$AD$42,E865=$AB$43,$AD$43,E865=$AB$44,$AD$44,E865=$AB$45,$AD$45,E865=$AB$46,$AD$46,E865=$AB$47,$AD$47,E865=$AB$48,$AD$48,E865=$AB$49,$AD$49,E865=$AB$50,$AD$50,E865=$AB$51,$AD$51,E865=$AB$52,$AD$52,E865=$AB$53,$AD$53,E865=$AB$54,$AD$54,E865=$AB$55,$AD$55,E865=$AB$56,$AD$56,E865=$AB$57,$AD$57,E865=$AB$58,$AD$58,E865=$AB$59,$AD$59,E865=$AB$60,$AD$60,E865=$AB$61,$AD$61,E865=$AB$62,$AD$62,E865=$AB$63,$AD$63,E865=$AB$64,$AD$64,E865=$AB$65,$AD$65,E865=$AB$66,$AD$66,TRUE,"0")</f>
        <v>IP</v>
      </c>
      <c r="E865" s="163" t="s">
        <v>514</v>
      </c>
      <c r="F865" s="2" t="s">
        <v>149</v>
      </c>
      <c r="G865" s="2" t="s">
        <v>150</v>
      </c>
      <c r="H865" s="3">
        <v>45390.791666666664</v>
      </c>
      <c r="I865" s="2" t="s">
        <v>256</v>
      </c>
      <c r="J865" s="2" t="s">
        <v>236</v>
      </c>
      <c r="K865" s="2">
        <v>100</v>
      </c>
      <c r="L865" s="2">
        <v>4.5999999999999996</v>
      </c>
      <c r="M865" s="2">
        <v>950</v>
      </c>
      <c r="N865" s="2">
        <v>20</v>
      </c>
      <c r="O865" s="2">
        <v>20</v>
      </c>
      <c r="P865" s="2">
        <v>29</v>
      </c>
      <c r="Q865" s="2" t="s">
        <v>95</v>
      </c>
      <c r="R865" s="10" t="s">
        <v>221</v>
      </c>
      <c r="S865" s="14" t="s">
        <v>216</v>
      </c>
      <c r="T865" s="188">
        <v>1000</v>
      </c>
      <c r="U865" s="8">
        <f t="shared" si="105"/>
        <v>180</v>
      </c>
      <c r="V865" s="234">
        <f t="shared" si="106"/>
        <v>65484.155246160299</v>
      </c>
      <c r="W865" s="15">
        <v>25</v>
      </c>
      <c r="X865" s="8">
        <f t="shared" si="102"/>
        <v>4.5</v>
      </c>
      <c r="Y865" s="233">
        <f t="shared" si="103"/>
        <v>3503</v>
      </c>
    </row>
    <row r="866" spans="1:25">
      <c r="A866" s="156" t="e" cm="1">
        <f t="array" aca="1" ref="A866" ca="1">_xlfn.IFS(E866=$AB$42,$AC$42,E866=$AB$43,$AC$43,E866=$AB$44,$AC$44,E866=$AB$45,$AC$45,E866=$AB$46,$AC$46,E866=$AB$47,$AC$47,E866=$AB$48,$AC$48,E866=$AB$49,$AC$49,E866=$AB$50,$AC$50,E866=$AB$51,$AC$51,E866=$AB$52,$AC$52,E866=$AB$53,$AC$53,E866=$AB$54,$AC$54,E866=$AB$55,$AC$55,E866=$AB$56,$AC$56,E866=$AB$57,$AC$57,E866=$AB$58,$AC$58,E866=$AB$59,$AC$59,E866=$AB$60,$AC$60,E866=$AB$61,$AC$61,E866=$AB$62,$AC$62,E866=$AB$63,$AC$63,E866=$AB$64,$AC$64,E866=$AB$65,$AC$65,E866=$AB$66,$AC$66,TRUE,"0")</f>
        <v>#NAME?</v>
      </c>
      <c r="C866" s="161" t="str" cm="1">
        <f t="array" ref="C866">_xlfn.IFS(E866=$AB$42,$AF$42,E866=$AB$43,$AF$43,E866=$AB$44,$AF$44,E866=$AB$45,$AF$45,E866=$AB$46,$AF$46,E866=$AB$47,$AF$47,E866=$AB$48,$AF$48,E866=$AB$49,$AF$49,E866=$AB$50,$AF$50,E866=$AB$51,$AF$51,E866=$AB$52,$AF$52,E866=$AB$53,$AF$53,E866=$AB$54,$AF$54,E866=$AB$55,$AF$55,E866=$AB$56,$AF$56,E866=$AB$57,$AF$57,E866=$AB$58,$AF$58,E866=$AB$59,$AF$59,E866=$AB$60,$AF$60,E866=$AB$61,$AF$61,E866=$AB$62,$AF$62,E866=$AB$63,$AF$63,E866=$AB$64,$AF$64,E866=$AB$65,$AF$65,E866=$AB$66,$AF$66,TRUE,"0")</f>
        <v>B4 match BACK FT +1.5 goals. X AFTER  GOAL</v>
      </c>
      <c r="D866" s="270" t="str" cm="1">
        <f t="array" ref="D866">_xlfn.IFS(E866=$AB$42,$AD$42,E866=$AB$43,$AD$43,E866=$AB$44,$AD$44,E866=$AB$45,$AD$45,E866=$AB$46,$AD$46,E866=$AB$47,$AD$47,E866=$AB$48,$AD$48,E866=$AB$49,$AD$49,E866=$AB$50,$AD$50,E866=$AB$51,$AD$51,E866=$AB$52,$AD$52,E866=$AB$53,$AD$53,E866=$AB$54,$AD$54,E866=$AB$55,$AD$55,E866=$AB$56,$AD$56,E866=$AB$57,$AD$57,E866=$AB$58,$AD$58,E866=$AB$59,$AD$59,E866=$AB$60,$AD$60,E866=$AB$61,$AD$61,E866=$AB$62,$AD$62,E866=$AB$63,$AD$63,E866=$AB$64,$AD$64,E866=$AB$65,$AD$65,E866=$AB$66,$AD$66,TRUE,"0")</f>
        <v xml:space="preserve">BFM </v>
      </c>
      <c r="E866" s="163" t="s">
        <v>623</v>
      </c>
      <c r="F866" s="2" t="s">
        <v>145</v>
      </c>
      <c r="G866" s="2" t="s">
        <v>268</v>
      </c>
      <c r="H866" s="3">
        <v>45390.822916666664</v>
      </c>
      <c r="I866" s="2" t="s">
        <v>703</v>
      </c>
      <c r="J866" s="2" t="s">
        <v>638</v>
      </c>
      <c r="K866" s="2">
        <v>6</v>
      </c>
      <c r="L866" s="2">
        <v>20</v>
      </c>
      <c r="M866" s="2">
        <v>2.25</v>
      </c>
      <c r="N866" s="2">
        <v>36</v>
      </c>
      <c r="O866" s="2">
        <v>1</v>
      </c>
      <c r="P866" s="2">
        <v>10</v>
      </c>
      <c r="Q866" s="2" t="s">
        <v>95</v>
      </c>
      <c r="R866" s="10" t="s">
        <v>221</v>
      </c>
      <c r="S866" s="14" t="s">
        <v>220</v>
      </c>
      <c r="T866" s="188">
        <v>1000</v>
      </c>
      <c r="U866" s="8">
        <f t="shared" si="105"/>
        <v>180</v>
      </c>
      <c r="V866" s="234">
        <f t="shared" si="106"/>
        <v>65664.155246160299</v>
      </c>
      <c r="W866" s="15">
        <v>25</v>
      </c>
      <c r="X866" s="8">
        <f t="shared" si="102"/>
        <v>4.5</v>
      </c>
      <c r="Y866" s="233">
        <f t="shared" si="103"/>
        <v>3507.5</v>
      </c>
    </row>
    <row r="867" spans="1:25">
      <c r="A867" s="156" t="e" cm="1">
        <f t="array" aca="1" ref="A867" ca="1">_xlfn.IFS(E867=$AB$42,$AC$42,E867=$AB$43,$AC$43,E867=$AB$44,$AC$44,E867=$AB$45,$AC$45,E867=$AB$46,$AC$46,E867=$AB$47,$AC$47,E867=$AB$48,$AC$48,E867=$AB$49,$AC$49,E867=$AB$50,$AC$50,E867=$AB$51,$AC$51,E867=$AB$52,$AC$52,E867=$AB$53,$AC$53,E867=$AB$54,$AC$54,E867=$AB$55,$AC$55,E867=$AB$56,$AC$56,E867=$AB$57,$AC$57,E867=$AB$58,$AC$58,E867=$AB$59,$AC$59,E867=$AB$60,$AC$60,E867=$AB$61,$AC$61,E867=$AB$62,$AC$62,E867=$AB$63,$AC$63,E867=$AB$64,$AC$64,E867=$AB$65,$AC$65,E867=$AB$66,$AC$66,TRUE,"0")</f>
        <v>#NAME?</v>
      </c>
      <c r="C867" s="161" t="str" cm="1">
        <f t="array" ref="C867">_xlfn.IFS(E867=$AB$42,$AF$42,E867=$AB$43,$AF$43,E867=$AB$44,$AF$44,E867=$AB$45,$AF$45,E867=$AB$46,$AF$46,E867=$AB$47,$AF$47,E867=$AB$48,$AF$48,E867=$AB$49,$AF$49,E867=$AB$50,$AF$50,E867=$AB$51,$AF$51,E867=$AB$52,$AF$52,E867=$AB$53,$AF$53,E867=$AB$54,$AF$54,E867=$AB$55,$AF$55,E867=$AB$56,$AF$56,E867=$AB$57,$AF$57,E867=$AB$58,$AF$58,E867=$AB$59,$AF$59,E867=$AB$60,$AF$60,E867=$AB$61,$AF$61,E867=$AB$62,$AF$62,E867=$AB$63,$AF$63,E867=$AB$64,$AF$64,E867=$AB$65,$AF$65,E867=$AB$66,$AF$66,TRUE,"0")</f>
        <v>AT HT IF 0-0 BACK +0.5 GOALS</v>
      </c>
      <c r="D867" s="270" t="str" cm="1">
        <f t="array" ref="D867">_xlfn.IFS(E867=$AB$42,$AD$42,E867=$AB$43,$AD$43,E867=$AB$44,$AD$44,E867=$AB$45,$AD$45,E867=$AB$46,$AD$46,E867=$AB$47,$AD$47,E867=$AB$48,$AD$48,E867=$AB$49,$AD$49,E867=$AB$50,$AD$50,E867=$AB$51,$AD$51,E867=$AB$52,$AD$52,E867=$AB$53,$AD$53,E867=$AB$54,$AD$54,E867=$AB$55,$AD$55,E867=$AB$56,$AD$56,E867=$AB$57,$AD$57,E867=$AB$58,$AD$58,E867=$AB$59,$AD$59,E867=$AB$60,$AD$60,E867=$AB$61,$AD$61,E867=$AB$62,$AD$62,E867=$AB$63,$AD$63,E867=$AB$64,$AD$64,E867=$AB$65,$AD$65,E867=$AB$66,$AD$66,TRUE,"0")</f>
        <v>IP</v>
      </c>
      <c r="E867" s="163" t="s">
        <v>514</v>
      </c>
      <c r="F867" s="2" t="s">
        <v>145</v>
      </c>
      <c r="G867" s="2" t="s">
        <v>268</v>
      </c>
      <c r="H867" s="3">
        <v>45390.822916666664</v>
      </c>
      <c r="I867" s="2" t="s">
        <v>703</v>
      </c>
      <c r="J867" s="2" t="s">
        <v>638</v>
      </c>
      <c r="K867" s="2">
        <v>6</v>
      </c>
      <c r="L867" s="2">
        <v>110</v>
      </c>
      <c r="M867" s="2">
        <v>0</v>
      </c>
      <c r="N867" s="2">
        <v>20</v>
      </c>
      <c r="O867" s="2">
        <v>10</v>
      </c>
      <c r="P867" s="2">
        <v>36</v>
      </c>
      <c r="Q867" s="2" t="s">
        <v>95</v>
      </c>
      <c r="R867" s="10" t="s">
        <v>221</v>
      </c>
      <c r="S867" s="14" t="s">
        <v>220</v>
      </c>
      <c r="T867" s="188">
        <v>1000</v>
      </c>
      <c r="U867" s="8">
        <f t="shared" si="105"/>
        <v>180</v>
      </c>
      <c r="V867" s="234">
        <f t="shared" si="106"/>
        <v>65844.155246160299</v>
      </c>
      <c r="W867" s="15">
        <v>25</v>
      </c>
      <c r="X867" s="8">
        <f t="shared" si="102"/>
        <v>4.5</v>
      </c>
      <c r="Y867" s="233">
        <f t="shared" si="103"/>
        <v>3512</v>
      </c>
    </row>
    <row r="868" spans="1:25">
      <c r="A868" s="156" t="e" cm="1">
        <f t="array" aca="1" ref="A868" ca="1">_xlfn.IFS(E868=$AB$42,$AC$42,E868=$AB$43,$AC$43,E868=$AB$44,$AC$44,E868=$AB$45,$AC$45,E868=$AB$46,$AC$46,E868=$AB$47,$AC$47,E868=$AB$48,$AC$48,E868=$AB$49,$AC$49,E868=$AB$50,$AC$50,E868=$AB$51,$AC$51,E868=$AB$52,$AC$52,E868=$AB$53,$AC$53,E868=$AB$54,$AC$54,E868=$AB$55,$AC$55,E868=$AB$56,$AC$56,E868=$AB$57,$AC$57,E868=$AB$58,$AC$58,E868=$AB$59,$AC$59,E868=$AB$60,$AC$60,E868=$AB$61,$AC$61,E868=$AB$62,$AC$62,E868=$AB$63,$AC$63,E868=$AB$64,$AC$64,E868=$AB$65,$AC$65,E868=$AB$66,$AC$66,TRUE,"0")</f>
        <v>#NAME?</v>
      </c>
      <c r="C868" s="161" t="str" cm="1">
        <f t="array" ref="C868">_xlfn.IFS(E868=$AB$42,$AF$42,E868=$AB$43,$AF$43,E868=$AB$44,$AF$44,E868=$AB$45,$AF$45,E868=$AB$46,$AF$46,E868=$AB$47,$AF$47,E868=$AB$48,$AF$48,E868=$AB$49,$AF$49,E868=$AB$50,$AF$50,E868=$AB$51,$AF$51,E868=$AB$52,$AF$52,E868=$AB$53,$AF$53,E868=$AB$54,$AF$54,E868=$AB$55,$AF$55,E868=$AB$56,$AF$56,E868=$AB$57,$AF$57,E868=$AB$58,$AF$58,E868=$AB$59,$AF$59,E868=$AB$60,$AF$60,E868=$AB$61,$AF$61,E868=$AB$62,$AF$62,E868=$AB$63,$AF$63,E868=$AB$64,$AF$64,E868=$AB$65,$AF$65,E868=$AB$66,$AF$66,TRUE,"0")</f>
        <v>B4 Match, lay HT 0-0 or BACK H1 +0.5 GOALS</v>
      </c>
      <c r="D868" s="270" t="str" cm="1">
        <f t="array" ref="D868">_xlfn.IFS(E868=$AB$42,$AD$42,E868=$AB$43,$AD$43,E868=$AB$44,$AD$44,E868=$AB$45,$AD$45,E868=$AB$46,$AD$46,E868=$AB$47,$AD$47,E868=$AB$48,$AD$48,E868=$AB$49,$AD$49,E868=$AB$50,$AD$50,E868=$AB$51,$AD$51,E868=$AB$52,$AD$52,E868=$AB$53,$AD$53,E868=$AB$54,$AD$54,E868=$AB$55,$AD$55,E868=$AB$56,$AD$56,E868=$AB$57,$AD$57,E868=$AB$58,$AD$58,E868=$AB$59,$AD$59,E868=$AB$60,$AD$60,E868=$AB$61,$AD$61,E868=$AB$62,$AD$62,E868=$AB$63,$AD$63,E868=$AB$64,$AD$64,E868=$AB$65,$AD$65,E868=$AB$66,$AD$66,TRUE,"0")</f>
        <v xml:space="preserve">BFM </v>
      </c>
      <c r="E868" s="163" t="s">
        <v>432</v>
      </c>
      <c r="F868" s="2" t="s">
        <v>20</v>
      </c>
      <c r="G868" s="2" t="s">
        <v>21</v>
      </c>
      <c r="H868" s="3">
        <v>45390.822916666664</v>
      </c>
      <c r="I868" s="2" t="s">
        <v>100</v>
      </c>
      <c r="J868" s="2" t="s">
        <v>25</v>
      </c>
      <c r="K868" s="2">
        <v>5</v>
      </c>
      <c r="L868" s="2">
        <v>20</v>
      </c>
      <c r="M868" s="2">
        <v>14</v>
      </c>
      <c r="N868" s="2">
        <v>15</v>
      </c>
      <c r="O868" s="2">
        <v>25</v>
      </c>
      <c r="P868" s="2">
        <v>1.45</v>
      </c>
      <c r="Q868" s="2" t="s">
        <v>95</v>
      </c>
      <c r="R868" s="10" t="s">
        <v>214</v>
      </c>
      <c r="S868" s="14" t="s">
        <v>223</v>
      </c>
      <c r="T868" s="188">
        <v>1000</v>
      </c>
      <c r="U868" s="8">
        <f t="shared" si="105"/>
        <v>180</v>
      </c>
      <c r="V868" s="234">
        <f t="shared" si="106"/>
        <v>66024.155246160299</v>
      </c>
      <c r="W868" s="15">
        <v>25</v>
      </c>
      <c r="X868" s="8">
        <f t="shared" si="102"/>
        <v>4.5</v>
      </c>
      <c r="Y868" s="233">
        <f t="shared" si="103"/>
        <v>3516.5</v>
      </c>
    </row>
    <row r="869" spans="1:25">
      <c r="A869" s="156" t="e" cm="1">
        <f t="array" aca="1" ref="A869" ca="1">_xlfn.IFS(E869=$AB$42,$AC$42,E869=$AB$43,$AC$43,E869=$AB$44,$AC$44,E869=$AB$45,$AC$45,E869=$AB$46,$AC$46,E869=$AB$47,$AC$47,E869=$AB$48,$AC$48,E869=$AB$49,$AC$49,E869=$AB$50,$AC$50,E869=$AB$51,$AC$51,E869=$AB$52,$AC$52,E869=$AB$53,$AC$53,E869=$AB$54,$AC$54,E869=$AB$55,$AC$55,E869=$AB$56,$AC$56,E869=$AB$57,$AC$57,E869=$AB$58,$AC$58,E869=$AB$59,$AC$59,E869=$AB$60,$AC$60,E869=$AB$61,$AC$61,E869=$AB$62,$AC$62,E869=$AB$63,$AC$63,E869=$AB$64,$AC$64,E869=$AB$65,$AC$65,E869=$AB$66,$AC$66,TRUE,"0")</f>
        <v>#NAME?</v>
      </c>
      <c r="C869" s="161" t="str" cm="1">
        <f t="array" ref="C869">_xlfn.IFS(E869=$AB$42,$AF$42,E869=$AB$43,$AF$43,E869=$AB$44,$AF$44,E869=$AB$45,$AF$45,E869=$AB$46,$AF$46,E869=$AB$47,$AF$47,E869=$AB$48,$AF$48,E869=$AB$49,$AF$49,E869=$AB$50,$AF$50,E869=$AB$51,$AF$51,E869=$AB$52,$AF$52,E869=$AB$53,$AF$53,E869=$AB$54,$AF$54,E869=$AB$55,$AF$55,E869=$AB$56,$AF$56,E869=$AB$57,$AF$57,E869=$AB$58,$AF$58,E869=$AB$59,$AF$59,E869=$AB$60,$AF$60,E869=$AB$61,$AF$61,E869=$AB$62,$AF$62,E869=$AB$63,$AF$63,E869=$AB$64,$AF$64,E869=$AB$65,$AF$65,E869=$AB$66,$AF$66,TRUE,"0")</f>
        <v>10mins if  0-0, BACK over 1.5 goals X after goal OR LET RUN</v>
      </c>
      <c r="D869" s="270" t="str" cm="1">
        <f t="array" ref="D869">_xlfn.IFS(E869=$AB$42,$AD$42,E869=$AB$43,$AD$43,E869=$AB$44,$AD$44,E869=$AB$45,$AD$45,E869=$AB$46,$AD$46,E869=$AB$47,$AD$47,E869=$AB$48,$AD$48,E869=$AB$49,$AD$49,E869=$AB$50,$AD$50,E869=$AB$51,$AD$51,E869=$AB$52,$AD$52,E869=$AB$53,$AD$53,E869=$AB$54,$AD$54,E869=$AB$55,$AD$55,E869=$AB$56,$AD$56,E869=$AB$57,$AD$57,E869=$AB$58,$AD$58,E869=$AB$59,$AD$59,E869=$AB$60,$AD$60,E869=$AB$61,$AD$61,E869=$AB$62,$AD$62,E869=$AB$63,$AD$63,E869=$AB$64,$AD$64,E869=$AB$65,$AD$65,E869=$AB$66,$AD$66,TRUE,"0")</f>
        <v>IP</v>
      </c>
      <c r="E869" s="163" t="s">
        <v>498</v>
      </c>
      <c r="F869" s="2" t="s">
        <v>20</v>
      </c>
      <c r="G869" s="2" t="s">
        <v>21</v>
      </c>
      <c r="H869" s="3">
        <v>45390.822916666664</v>
      </c>
      <c r="I869" s="2" t="s">
        <v>100</v>
      </c>
      <c r="J869" s="2" t="s">
        <v>25</v>
      </c>
      <c r="K869" s="2">
        <v>64</v>
      </c>
      <c r="L869" s="2">
        <v>85</v>
      </c>
      <c r="M869" s="2">
        <v>1.45</v>
      </c>
      <c r="N869" s="2">
        <v>20</v>
      </c>
      <c r="O869" s="2"/>
      <c r="P869" s="2"/>
      <c r="Q869" s="2" t="s">
        <v>95</v>
      </c>
      <c r="R869" s="10" t="s">
        <v>214</v>
      </c>
      <c r="S869" s="14" t="s">
        <v>223</v>
      </c>
      <c r="T869" s="188">
        <v>1000</v>
      </c>
      <c r="U869" s="8">
        <f t="shared" si="105"/>
        <v>180</v>
      </c>
      <c r="V869" s="234">
        <f t="shared" si="106"/>
        <v>66204.155246160299</v>
      </c>
      <c r="W869" s="15">
        <v>25</v>
      </c>
      <c r="X869" s="8">
        <f t="shared" ref="X869:X876" si="107">IF(Q869="won",W869*0.18,-W869)</f>
        <v>4.5</v>
      </c>
      <c r="Y869" s="233">
        <f t="shared" ref="Y869:Y932" si="108">SUM(Y868,X869)</f>
        <v>3521</v>
      </c>
    </row>
    <row r="870" spans="1:25">
      <c r="A870" s="156" t="e" cm="1">
        <f t="array" aca="1" ref="A870" ca="1">_xlfn.IFS(E870=$AB$42,$AC$42,E870=$AB$43,$AC$43,E870=$AB$44,$AC$44,E870=$AB$45,$AC$45,E870=$AB$46,$AC$46,E870=$AB$47,$AC$47,E870=$AB$48,$AC$48,E870=$AB$49,$AC$49,E870=$AB$50,$AC$50,E870=$AB$51,$AC$51,E870=$AB$52,$AC$52,E870=$AB$53,$AC$53,E870=$AB$54,$AC$54,E870=$AB$55,$AC$55,E870=$AB$56,$AC$56,E870=$AB$57,$AC$57,E870=$AB$58,$AC$58,E870=$AB$59,$AC$59,E870=$AB$60,$AC$60,E870=$AB$61,$AC$61,E870=$AB$62,$AC$62,E870=$AB$63,$AC$63,E870=$AB$64,$AC$64,E870=$AB$65,$AC$65,E870=$AB$66,$AC$66,TRUE,"0")</f>
        <v>#NAME?</v>
      </c>
      <c r="C870" s="161" t="str" cm="1">
        <f t="array" ref="C870">_xlfn.IFS(E870=$AB$42,$AF$42,E870=$AB$43,$AF$43,E870=$AB$44,$AF$44,E870=$AB$45,$AF$45,E870=$AB$46,$AF$46,E870=$AB$47,$AF$47,E870=$AB$48,$AF$48,E870=$AB$49,$AF$49,E870=$AB$50,$AF$50,E870=$AB$51,$AF$51,E870=$AB$52,$AF$52,E870=$AB$53,$AF$53,E870=$AB$54,$AF$54,E870=$AB$55,$AF$55,E870=$AB$56,$AF$56,E870=$AB$57,$AF$57,E870=$AB$58,$AF$58,E870=$AB$59,$AF$59,E870=$AB$60,$AF$60,E870=$AB$61,$AF$61,E870=$AB$62,$AF$62,E870=$AB$63,$AF$63,E870=$AB$64,$AF$64,E870=$AB$65,$AF$65,E870=$AB$66,$AF$66,TRUE,"0")</f>
        <v>40 mins Back ANother Goal</v>
      </c>
      <c r="D870" s="270" t="str" cm="1">
        <f t="array" ref="D870">_xlfn.IFS(E870=$AB$42,$AD$42,E870=$AB$43,$AD$43,E870=$AB$44,$AD$44,E870=$AB$45,$AD$45,E870=$AB$46,$AD$46,E870=$AB$47,$AD$47,E870=$AB$48,$AD$48,E870=$AB$49,$AD$49,E870=$AB$50,$AD$50,E870=$AB$51,$AD$51,E870=$AB$52,$AD$52,E870=$AB$53,$AD$53,E870=$AB$54,$AD$54,E870=$AB$55,$AD$55,E870=$AB$56,$AD$56,E870=$AB$57,$AD$57,E870=$AB$58,$AD$58,E870=$AB$59,$AD$59,E870=$AB$60,$AD$60,E870=$AB$61,$AD$61,E870=$AB$62,$AD$62,E870=$AB$63,$AD$63,E870=$AB$64,$AD$64,E870=$AB$65,$AD$65,E870=$AB$66,$AD$66,TRUE,"0")</f>
        <v xml:space="preserve">  BANG</v>
      </c>
      <c r="E870" s="163" t="s">
        <v>43</v>
      </c>
      <c r="F870" s="2" t="s">
        <v>516</v>
      </c>
      <c r="G870" s="2" t="s">
        <v>78</v>
      </c>
      <c r="H870" s="3">
        <v>45391.458333333336</v>
      </c>
      <c r="I870" s="2" t="s">
        <v>674</v>
      </c>
      <c r="J870" s="2" t="s">
        <v>538</v>
      </c>
      <c r="K870" s="2">
        <v>83</v>
      </c>
      <c r="L870" s="2">
        <v>74</v>
      </c>
      <c r="M870" s="2">
        <v>64</v>
      </c>
      <c r="N870" s="2">
        <v>1.65</v>
      </c>
      <c r="O870" s="2">
        <v>0.92</v>
      </c>
      <c r="P870" s="2"/>
      <c r="Q870" s="2" t="s">
        <v>95</v>
      </c>
      <c r="R870" s="10" t="s">
        <v>217</v>
      </c>
      <c r="S870" s="14" t="s">
        <v>218</v>
      </c>
      <c r="T870" s="188">
        <v>1000</v>
      </c>
      <c r="U870" s="8">
        <f t="shared" si="105"/>
        <v>180</v>
      </c>
      <c r="V870" s="234">
        <f t="shared" si="106"/>
        <v>66384.155246160299</v>
      </c>
      <c r="W870" s="15">
        <v>25</v>
      </c>
      <c r="X870" s="8">
        <f t="shared" si="107"/>
        <v>4.5</v>
      </c>
      <c r="Y870" s="233">
        <f t="shared" si="108"/>
        <v>3525.5</v>
      </c>
    </row>
    <row r="871" spans="1:25">
      <c r="A871" s="156" t="e" cm="1">
        <f t="array" aca="1" ref="A871" ca="1">_xlfn.IFS(E871=$AB$42,$AC$42,E871=$AB$43,$AC$43,E871=$AB$44,$AC$44,E871=$AB$45,$AC$45,E871=$AB$46,$AC$46,E871=$AB$47,$AC$47,E871=$AB$48,$AC$48,E871=$AB$49,$AC$49,E871=$AB$50,$AC$50,E871=$AB$51,$AC$51,E871=$AB$52,$AC$52,E871=$AB$53,$AC$53,E871=$AB$54,$AC$54,E871=$AB$55,$AC$55,E871=$AB$56,$AC$56,E871=$AB$57,$AC$57,E871=$AB$58,$AC$58,E871=$AB$59,$AC$59,E871=$AB$60,$AC$60,E871=$AB$61,$AC$61,E871=$AB$62,$AC$62,E871=$AB$63,$AC$63,E871=$AB$64,$AC$64,E871=$AB$65,$AC$65,E871=$AB$66,$AC$66,TRUE,"0")</f>
        <v>#NAME?</v>
      </c>
      <c r="C871" s="161" t="str" cm="1">
        <f t="array" ref="C871">_xlfn.IFS(E871=$AB$42,$AF$42,E871=$AB$43,$AF$43,E871=$AB$44,$AF$44,E871=$AB$45,$AF$45,E871=$AB$46,$AF$46,E871=$AB$47,$AF$47,E871=$AB$48,$AF$48,E871=$AB$49,$AF$49,E871=$AB$50,$AF$50,E871=$AB$51,$AF$51,E871=$AB$52,$AF$52,E871=$AB$53,$AF$53,E871=$AB$54,$AF$54,E871=$AB$55,$AF$55,E871=$AB$56,$AF$56,E871=$AB$57,$AF$57,E871=$AB$58,$AF$58,E871=$AB$59,$AF$59,E871=$AB$60,$AF$60,E871=$AB$61,$AF$61,E871=$AB$62,$AF$62,E871=$AB$63,$AF$63,E871=$AB$64,$AF$64,E871=$AB$65,$AF$65,E871=$AB$66,$AF$66,TRUE,"0")</f>
        <v>if 0-0, BACK+ 0.5 GOALS  @ 1.15+odds.  or @ 40 mins</v>
      </c>
      <c r="D871" s="270" t="str" cm="1">
        <f t="array" ref="D871">_xlfn.IFS(E871=$AB$42,$AD$42,E871=$AB$43,$AD$43,E871=$AB$44,$AD$44,E871=$AB$45,$AD$45,E871=$AB$46,$AD$46,E871=$AB$47,$AD$47,E871=$AB$48,$AD$48,E871=$AB$49,$AD$49,E871=$AB$50,$AD$50,E871=$AB$51,$AD$51,E871=$AB$52,$AD$52,E871=$AB$53,$AD$53,E871=$AB$54,$AD$54,E871=$AB$55,$AD$55,E871=$AB$56,$AD$56,E871=$AB$57,$AD$57,E871=$AB$58,$AD$58,E871=$AB$59,$AD$59,E871=$AB$60,$AD$60,E871=$AB$61,$AD$61,E871=$AB$62,$AD$62,E871=$AB$63,$AD$63,E871=$AB$64,$AD$64,E871=$AB$65,$AD$65,E871=$AB$66,$AD$66,TRUE,"0")</f>
        <v>IP</v>
      </c>
      <c r="E871" s="163" t="s">
        <v>270</v>
      </c>
      <c r="F871" s="2" t="s">
        <v>48</v>
      </c>
      <c r="G871" s="2" t="s">
        <v>49</v>
      </c>
      <c r="H871" s="3">
        <v>45391.625</v>
      </c>
      <c r="I871" s="2" t="s">
        <v>486</v>
      </c>
      <c r="J871" s="2" t="s">
        <v>50</v>
      </c>
      <c r="K871" s="2">
        <v>59</v>
      </c>
      <c r="L871" s="2">
        <v>0</v>
      </c>
      <c r="M871" s="2">
        <v>20</v>
      </c>
      <c r="N871" s="2">
        <v>34</v>
      </c>
      <c r="O871" s="2">
        <v>1.97</v>
      </c>
      <c r="P871" s="2"/>
      <c r="Q871" s="2" t="s">
        <v>95</v>
      </c>
      <c r="R871" s="10" t="s">
        <v>221</v>
      </c>
      <c r="S871" s="14" t="s">
        <v>222</v>
      </c>
      <c r="T871" s="188">
        <v>1000</v>
      </c>
      <c r="U871" s="8">
        <f t="shared" si="105"/>
        <v>180</v>
      </c>
      <c r="V871" s="234">
        <f>SUM(V870,U871)</f>
        <v>66564.155246160299</v>
      </c>
      <c r="W871" s="15">
        <v>25</v>
      </c>
      <c r="X871" s="8">
        <f t="shared" si="107"/>
        <v>4.5</v>
      </c>
      <c r="Y871" s="233">
        <f t="shared" si="108"/>
        <v>3530</v>
      </c>
    </row>
    <row r="872" spans="1:25">
      <c r="A872" s="156" t="e" cm="1">
        <f t="array" aca="1" ref="A872" ca="1">_xlfn.IFS(E872=$AB$42,$AC$42,E872=$AB$43,$AC$43,E872=$AB$44,$AC$44,E872=$AB$45,$AC$45,E872=$AB$46,$AC$46,E872=$AB$47,$AC$47,E872=$AB$48,$AC$48,E872=$AB$49,$AC$49,E872=$AB$50,$AC$50,E872=$AB$51,$AC$51,E872=$AB$52,$AC$52,E872=$AB$53,$AC$53,E872=$AB$54,$AC$54,E872=$AB$55,$AC$55,E872=$AB$56,$AC$56,E872=$AB$57,$AC$57,E872=$AB$58,$AC$58,E872=$AB$59,$AC$59,E872=$AB$60,$AC$60,E872=$AB$61,$AC$61,E872=$AB$62,$AC$62,E872=$AB$63,$AC$63,E872=$AB$64,$AC$64,E872=$AB$65,$AC$65,E872=$AB$66,$AC$66,TRUE,"0")</f>
        <v>#NAME?</v>
      </c>
      <c r="C872" s="161" t="str" cm="1">
        <f t="array" ref="C872">_xlfn.IFS(E872=$AB$42,$AF$42,E872=$AB$43,$AF$43,E872=$AB$44,$AF$44,E872=$AB$45,$AF$45,E872=$AB$46,$AF$46,E872=$AB$47,$AF$47,E872=$AB$48,$AF$48,E872=$AB$49,$AF$49,E872=$AB$50,$AF$50,E872=$AB$51,$AF$51,E872=$AB$52,$AF$52,E872=$AB$53,$AF$53,E872=$AB$54,$AF$54,E872=$AB$55,$AF$55,E872=$AB$56,$AF$56,E872=$AB$57,$AF$57,E872=$AB$58,$AF$58,E872=$AB$59,$AF$59,E872=$AB$60,$AF$60,E872=$AB$61,$AF$61,E872=$AB$62,$AF$62,E872=$AB$63,$AF$63,E872=$AB$64,$AF$64,E872=$AB$65,$AF$65,E872=$AB$66,$AF$66,TRUE,"0")</f>
        <v>10mins if  0-0, BACK over 1.5 goals X after goal OR LET RUN</v>
      </c>
      <c r="D872" s="270" t="str" cm="1">
        <f t="array" ref="D872">_xlfn.IFS(E872=$AB$42,$AD$42,E872=$AB$43,$AD$43,E872=$AB$44,$AD$44,E872=$AB$45,$AD$45,E872=$AB$46,$AD$46,E872=$AB$47,$AD$47,E872=$AB$48,$AD$48,E872=$AB$49,$AD$49,E872=$AB$50,$AD$50,E872=$AB$51,$AD$51,E872=$AB$52,$AD$52,E872=$AB$53,$AD$53,E872=$AB$54,$AD$54,E872=$AB$55,$AD$55,E872=$AB$56,$AD$56,E872=$AB$57,$AD$57,E872=$AB$58,$AD$58,E872=$AB$59,$AD$59,E872=$AB$60,$AD$60,E872=$AB$61,$AD$61,E872=$AB$62,$AD$62,E872=$AB$63,$AD$63,E872=$AB$64,$AD$64,E872=$AB$65,$AD$65,E872=$AB$66,$AD$66,TRUE,"0")</f>
        <v>IP</v>
      </c>
      <c r="E872" s="163" t="s">
        <v>498</v>
      </c>
      <c r="F872" s="2" t="s">
        <v>6</v>
      </c>
      <c r="G872" s="2" t="s">
        <v>11</v>
      </c>
      <c r="H872" s="3">
        <v>45391.822916666664</v>
      </c>
      <c r="I872" s="2" t="s">
        <v>301</v>
      </c>
      <c r="J872" s="2" t="s">
        <v>585</v>
      </c>
      <c r="K872" s="2">
        <v>64</v>
      </c>
      <c r="L872" s="2">
        <v>85</v>
      </c>
      <c r="M872" s="2">
        <v>1.25</v>
      </c>
      <c r="N872" s="2">
        <v>20</v>
      </c>
      <c r="O872" s="2"/>
      <c r="P872" s="2"/>
      <c r="Q872" s="2" t="s">
        <v>95</v>
      </c>
      <c r="R872" s="10" t="s">
        <v>193</v>
      </c>
      <c r="S872" s="14" t="s">
        <v>193</v>
      </c>
      <c r="T872" s="188">
        <v>1000</v>
      </c>
      <c r="U872" s="8">
        <f t="shared" si="105"/>
        <v>180</v>
      </c>
      <c r="V872" s="234">
        <f>SUM(V871,U872)</f>
        <v>66744.155246160299</v>
      </c>
      <c r="W872" s="15">
        <v>25</v>
      </c>
      <c r="X872" s="8">
        <f t="shared" si="107"/>
        <v>4.5</v>
      </c>
      <c r="Y872" s="233">
        <f t="shared" si="108"/>
        <v>3534.5</v>
      </c>
    </row>
    <row r="873" spans="1:25">
      <c r="A873" s="156" t="e" cm="1">
        <f t="array" aca="1" ref="A873" ca="1">_xlfn.IFS(E873=$AB$42,$AC$42,E873=$AB$43,$AC$43,E873=$AB$44,$AC$44,E873=$AB$45,$AC$45,E873=$AB$46,$AC$46,E873=$AB$47,$AC$47,E873=$AB$48,$AC$48,E873=$AB$49,$AC$49,E873=$AB$50,$AC$50,E873=$AB$51,$AC$51,E873=$AB$52,$AC$52,E873=$AB$53,$AC$53,E873=$AB$54,$AC$54,E873=$AB$55,$AC$55,E873=$AB$56,$AC$56,E873=$AB$57,$AC$57,E873=$AB$58,$AC$58,E873=$AB$59,$AC$59,E873=$AB$60,$AC$60,E873=$AB$61,$AC$61,E873=$AB$62,$AC$62,E873=$AB$63,$AC$63,E873=$AB$64,$AC$64,E873=$AB$65,$AC$65,E873=$AB$66,$AC$66,TRUE,"0")</f>
        <v>#NAME?</v>
      </c>
      <c r="C873" s="161" t="str" cm="1">
        <f t="array" ref="C873">_xlfn.IFS(E873=$AB$42,$AF$42,E873=$AB$43,$AF$43,E873=$AB$44,$AF$44,E873=$AB$45,$AF$45,E873=$AB$46,$AF$46,E873=$AB$47,$AF$47,E873=$AB$48,$AF$48,E873=$AB$49,$AF$49,E873=$AB$50,$AF$50,E873=$AB$51,$AF$51,E873=$AB$52,$AF$52,E873=$AB$53,$AF$53,E873=$AB$54,$AF$54,E873=$AB$55,$AF$55,E873=$AB$56,$AF$56,E873=$AB$57,$AF$57,E873=$AB$58,$AF$58,E873=$AB$59,$AF$59,E873=$AB$60,$AF$60,E873=$AB$61,$AF$61,E873=$AB$62,$AF$62,E873=$AB$63,$AF$63,E873=$AB$64,$AF$64,E873=$AB$65,$AF$65,E873=$AB$66,$AF$66,TRUE,"0")</f>
        <v>15mins if  0-0, BACK over 1.5 goals X after goal OR LET RUN</v>
      </c>
      <c r="D873" s="270" t="str" cm="1">
        <f t="array" ref="D873">_xlfn.IFS(E873=$AB$42,$AD$42,E873=$AB$43,$AD$43,E873=$AB$44,$AD$44,E873=$AB$45,$AD$45,E873=$AB$46,$AD$46,E873=$AB$47,$AD$47,E873=$AB$48,$AD$48,E873=$AB$49,$AD$49,E873=$AB$50,$AD$50,E873=$AB$51,$AD$51,E873=$AB$52,$AD$52,E873=$AB$53,$AD$53,E873=$AB$54,$AD$54,E873=$AB$55,$AD$55,E873=$AB$56,$AD$56,E873=$AB$57,$AD$57,E873=$AB$58,$AD$58,E873=$AB$59,$AD$59,E873=$AB$60,$AD$60,E873=$AB$61,$AD$61,E873=$AB$62,$AD$62,E873=$AB$63,$AD$63,E873=$AB$64,$AD$64,E873=$AB$65,$AD$65,E873=$AB$66,$AD$66,TRUE,"0")</f>
        <v>IP</v>
      </c>
      <c r="E873" s="163" t="s">
        <v>473</v>
      </c>
      <c r="F873" s="2" t="s">
        <v>6</v>
      </c>
      <c r="G873" s="2" t="s">
        <v>11</v>
      </c>
      <c r="H873" s="3">
        <v>45391.822916666664</v>
      </c>
      <c r="I873" s="2" t="s">
        <v>301</v>
      </c>
      <c r="J873" s="2" t="s">
        <v>585</v>
      </c>
      <c r="K873" s="2">
        <v>66</v>
      </c>
      <c r="L873" s="2">
        <v>85</v>
      </c>
      <c r="M873" s="2">
        <v>20</v>
      </c>
      <c r="N873" s="2">
        <v>2.95</v>
      </c>
      <c r="O873" s="2"/>
      <c r="P873" s="2"/>
      <c r="Q873" s="2" t="s">
        <v>95</v>
      </c>
      <c r="R873" s="10" t="s">
        <v>193</v>
      </c>
      <c r="S873" s="14" t="s">
        <v>193</v>
      </c>
      <c r="T873" s="188">
        <v>1000</v>
      </c>
      <c r="U873" s="8">
        <f t="shared" si="105"/>
        <v>180</v>
      </c>
      <c r="V873" s="234">
        <f>SUM(V872,U873)</f>
        <v>66924.155246160299</v>
      </c>
      <c r="W873" s="15">
        <v>25</v>
      </c>
      <c r="X873" s="8">
        <f t="shared" si="107"/>
        <v>4.5</v>
      </c>
      <c r="Y873" s="233">
        <f t="shared" si="108"/>
        <v>3539</v>
      </c>
    </row>
    <row r="874" spans="1:25">
      <c r="A874" s="156" t="e" cm="1">
        <f t="array" aca="1" ref="A874" ca="1">_xlfn.IFS(E874=$AB$42,$AC$42,E874=$AB$43,$AC$43,E874=$AB$44,$AC$44,E874=$AB$45,$AC$45,E874=$AB$46,$AC$46,E874=$AB$47,$AC$47,E874=$AB$48,$AC$48,E874=$AB$49,$AC$49,E874=$AB$50,$AC$50,E874=$AB$51,$AC$51,E874=$AB$52,$AC$52,E874=$AB$53,$AC$53,E874=$AB$54,$AC$54,E874=$AB$55,$AC$55,E874=$AB$56,$AC$56,E874=$AB$57,$AC$57,E874=$AB$58,$AC$58,E874=$AB$59,$AC$59,E874=$AB$60,$AC$60,E874=$AB$61,$AC$61,E874=$AB$62,$AC$62,E874=$AB$63,$AC$63,E874=$AB$64,$AC$64,E874=$AB$65,$AC$65,E874=$AB$66,$AC$66,TRUE,"0")</f>
        <v>#NAME?</v>
      </c>
      <c r="C874" s="161" t="str" cm="1">
        <f t="array" ref="C874">_xlfn.IFS(E874=$AB$42,$AF$42,E874=$AB$43,$AF$43,E874=$AB$44,$AF$44,E874=$AB$45,$AF$45,E874=$AB$46,$AF$46,E874=$AB$47,$AF$47,E874=$AB$48,$AF$48,E874=$AB$49,$AF$49,E874=$AB$50,$AF$50,E874=$AB$51,$AF$51,E874=$AB$52,$AF$52,E874=$AB$53,$AF$53,E874=$AB$54,$AF$54,E874=$AB$55,$AF$55,E874=$AB$56,$AF$56,E874=$AB$57,$AF$57,E874=$AB$58,$AF$58,E874=$AB$59,$AF$59,E874=$AB$60,$AF$60,E874=$AB$61,$AF$61,E874=$AB$62,$AF$62,E874=$AB$63,$AF$63,E874=$AB$64,$AF$64,E874=$AB$65,$AF$65,E874=$AB$66,$AF$66,TRUE,"0")</f>
        <v>20mins if  0-0, BACK over 1.5 goals X after goal OR LET RUN</v>
      </c>
      <c r="D874" s="270" t="str" cm="1">
        <f t="array" ref="D874">_xlfn.IFS(E874=$AB$42,$AD$42,E874=$AB$43,$AD$43,E874=$AB$44,$AD$44,E874=$AB$45,$AD$45,E874=$AB$46,$AD$46,E874=$AB$47,$AD$47,E874=$AB$48,$AD$48,E874=$AB$49,$AD$49,E874=$AB$50,$AD$50,E874=$AB$51,$AD$51,E874=$AB$52,$AD$52,E874=$AB$53,$AD$53,E874=$AB$54,$AD$54,E874=$AB$55,$AD$55,E874=$AB$56,$AD$56,E874=$AB$57,$AD$57,E874=$AB$58,$AD$58,E874=$AB$59,$AD$59,E874=$AB$60,$AD$60,E874=$AB$61,$AD$61,E874=$AB$62,$AD$62,E874=$AB$63,$AD$63,E874=$AB$64,$AD$64,E874=$AB$65,$AD$65,E874=$AB$66,$AD$66,TRUE,"0")</f>
        <v>IP</v>
      </c>
      <c r="E874" s="163" t="s">
        <v>474</v>
      </c>
      <c r="F874" s="2" t="s">
        <v>6</v>
      </c>
      <c r="G874" s="2" t="s">
        <v>11</v>
      </c>
      <c r="H874" s="3">
        <v>45391.822916666664</v>
      </c>
      <c r="I874" s="2" t="s">
        <v>301</v>
      </c>
      <c r="J874" s="2" t="s">
        <v>585</v>
      </c>
      <c r="K874" s="2">
        <v>56</v>
      </c>
      <c r="L874" s="2">
        <v>2.95</v>
      </c>
      <c r="M874" s="2">
        <v>20</v>
      </c>
      <c r="N874" s="2">
        <v>65</v>
      </c>
      <c r="O874" s="2">
        <v>85</v>
      </c>
      <c r="P874" s="2"/>
      <c r="Q874" s="2" t="s">
        <v>95</v>
      </c>
      <c r="R874" s="10" t="s">
        <v>193</v>
      </c>
      <c r="S874" s="14" t="s">
        <v>193</v>
      </c>
      <c r="T874" s="188">
        <v>1000</v>
      </c>
      <c r="U874" s="8">
        <f t="shared" si="105"/>
        <v>180</v>
      </c>
      <c r="V874" s="234">
        <f>SUM(V873,U874)</f>
        <v>67104.155246160299</v>
      </c>
      <c r="W874" s="15">
        <v>25</v>
      </c>
      <c r="X874" s="8">
        <f t="shared" si="107"/>
        <v>4.5</v>
      </c>
      <c r="Y874" s="233">
        <f t="shared" si="108"/>
        <v>3543.5</v>
      </c>
    </row>
    <row r="875" spans="1:25">
      <c r="A875" s="156" t="e" cm="1">
        <f t="array" aca="1" ref="A875" ca="1">_xlfn.IFS(E875=$AB$42,$AC$42,E875=$AB$43,$AC$43,E875=$AB$44,$AC$44,E875=$AB$45,$AC$45,E875=$AB$46,$AC$46,E875=$AB$47,$AC$47,E875=$AB$48,$AC$48,E875=$AB$49,$AC$49,E875=$AB$50,$AC$50,E875=$AB$51,$AC$51,E875=$AB$52,$AC$52,E875=$AB$53,$AC$53,E875=$AB$54,$AC$54,E875=$AB$55,$AC$55,E875=$AB$56,$AC$56,E875=$AB$57,$AC$57,E875=$AB$58,$AC$58,E875=$AB$59,$AC$59,E875=$AB$60,$AC$60,E875=$AB$61,$AC$61,E875=$AB$62,$AC$62,E875=$AB$63,$AC$63,E875=$AB$64,$AC$64,E875=$AB$65,$AC$65,E875=$AB$66,$AC$66,TRUE,"0")</f>
        <v>#NAME?</v>
      </c>
      <c r="C875" s="161" t="str" cm="1">
        <f t="array" ref="C875">_xlfn.IFS(E875=$AB$42,$AF$42,E875=$AB$43,$AF$43,E875=$AB$44,$AF$44,E875=$AB$45,$AF$45,E875=$AB$46,$AF$46,E875=$AB$47,$AF$47,E875=$AB$48,$AF$48,E875=$AB$49,$AF$49,E875=$AB$50,$AF$50,E875=$AB$51,$AF$51,E875=$AB$52,$AF$52,E875=$AB$53,$AF$53,E875=$AB$54,$AF$54,E875=$AB$55,$AF$55,E875=$AB$56,$AF$56,E875=$AB$57,$AF$57,E875=$AB$58,$AF$58,E875=$AB$59,$AF$59,E875=$AB$60,$AF$60,E875=$AB$61,$AF$61,E875=$AB$62,$AF$62,E875=$AB$63,$AF$63,E875=$AB$64,$AF$64,E875=$AB$65,$AF$65,E875=$AB$66,$AF$66,TRUE,"0")</f>
        <v>B4 match BACK FT +1.5 goals. X AFTER  GOAL</v>
      </c>
      <c r="D875" s="270" t="str" cm="1">
        <f t="array" ref="D875">_xlfn.IFS(E875=$AB$42,$AD$42,E875=$AB$43,$AD$43,E875=$AB$44,$AD$44,E875=$AB$45,$AD$45,E875=$AB$46,$AD$46,E875=$AB$47,$AD$47,E875=$AB$48,$AD$48,E875=$AB$49,$AD$49,E875=$AB$50,$AD$50,E875=$AB$51,$AD$51,E875=$AB$52,$AD$52,E875=$AB$53,$AD$53,E875=$AB$54,$AD$54,E875=$AB$55,$AD$55,E875=$AB$56,$AD$56,E875=$AB$57,$AD$57,E875=$AB$58,$AD$58,E875=$AB$59,$AD$59,E875=$AB$60,$AD$60,E875=$AB$61,$AD$61,E875=$AB$62,$AD$62,E875=$AB$63,$AD$63,E875=$AB$64,$AD$64,E875=$AB$65,$AD$65,E875=$AB$66,$AD$66,TRUE,"0")</f>
        <v xml:space="preserve">BFM </v>
      </c>
      <c r="E875" s="163" t="s">
        <v>531</v>
      </c>
      <c r="F875" s="2" t="s">
        <v>6</v>
      </c>
      <c r="G875" s="2" t="s">
        <v>7</v>
      </c>
      <c r="H875" s="3">
        <v>45391.822916666664</v>
      </c>
      <c r="I875" s="2" t="s">
        <v>27</v>
      </c>
      <c r="J875" s="2" t="s">
        <v>18</v>
      </c>
      <c r="K875" s="2">
        <v>5</v>
      </c>
      <c r="L875" s="2">
        <v>39</v>
      </c>
      <c r="M875" s="2">
        <v>3.31</v>
      </c>
      <c r="N875" s="2">
        <v>31</v>
      </c>
      <c r="O875" s="2">
        <v>3</v>
      </c>
      <c r="P875" s="2">
        <v>20</v>
      </c>
      <c r="Q875" s="2" t="s">
        <v>95</v>
      </c>
      <c r="R875" s="10" t="s">
        <v>216</v>
      </c>
      <c r="S875" s="14" t="s">
        <v>223</v>
      </c>
      <c r="T875" s="188">
        <v>1000</v>
      </c>
      <c r="U875" s="8">
        <f t="shared" si="105"/>
        <v>180</v>
      </c>
      <c r="V875" s="234">
        <f>SUM(V874,U875)</f>
        <v>67284.155246160299</v>
      </c>
      <c r="W875" s="15">
        <v>25</v>
      </c>
      <c r="X875" s="8">
        <f t="shared" si="107"/>
        <v>4.5</v>
      </c>
      <c r="Y875" s="233">
        <f t="shared" si="108"/>
        <v>3548</v>
      </c>
    </row>
    <row r="876" spans="1:25">
      <c r="A876" s="156" t="e" cm="1">
        <f t="array" aca="1" ref="A876" ca="1">_xlfn.IFS(E876=$AB$42,$AC$42,E876=$AB$43,$AC$43,E876=$AB$44,$AC$44,E876=$AB$45,$AC$45,E876=$AB$46,$AC$46,E876=$AB$47,$AC$47,E876=$AB$48,$AC$48,E876=$AB$49,$AC$49,E876=$AB$50,$AC$50,E876=$AB$51,$AC$51,E876=$AB$52,$AC$52,E876=$AB$53,$AC$53,E876=$AB$54,$AC$54,E876=$AB$55,$AC$55,E876=$AB$56,$AC$56,E876=$AB$57,$AC$57,E876=$AB$58,$AC$58,E876=$AB$59,$AC$59,E876=$AB$60,$AC$60,E876=$AB$61,$AC$61,E876=$AB$62,$AC$62,E876=$AB$63,$AC$63,E876=$AB$64,$AC$64,E876=$AB$65,$AC$65,E876=$AB$66,$AC$66,TRUE,"0")</f>
        <v>#NAME?</v>
      </c>
      <c r="C876" s="161" t="str" cm="1">
        <f t="array" ref="C876">_xlfn.IFS(E876=$AB$42,$AF$42,E876=$AB$43,$AF$43,E876=$AB$44,$AF$44,E876=$AB$45,$AF$45,E876=$AB$46,$AF$46,E876=$AB$47,$AF$47,E876=$AB$48,$AF$48,E876=$AB$49,$AF$49,E876=$AB$50,$AF$50,E876=$AB$51,$AF$51,E876=$AB$52,$AF$52,E876=$AB$53,$AF$53,E876=$AB$54,$AF$54,E876=$AB$55,$AF$55,E876=$AB$56,$AF$56,E876=$AB$57,$AF$57,E876=$AB$58,$AF$58,E876=$AB$59,$AF$59,E876=$AB$60,$AF$60,E876=$AB$61,$AF$61,E876=$AB$62,$AF$62,E876=$AB$63,$AF$63,E876=$AB$64,$AF$64,E876=$AB$65,$AF$65,E876=$AB$66,$AF$66,TRUE,"0")</f>
        <v>20mins if  0-0, BACK over 1.5 goals X after goal OR LET RUN</v>
      </c>
      <c r="D876" s="270" t="str" cm="1">
        <f t="array" ref="D876">_xlfn.IFS(E876=$AB$42,$AD$42,E876=$AB$43,$AD$43,E876=$AB$44,$AD$44,E876=$AB$45,$AD$45,E876=$AB$46,$AD$46,E876=$AB$47,$AD$47,E876=$AB$48,$AD$48,E876=$AB$49,$AD$49,E876=$AB$50,$AD$50,E876=$AB$51,$AD$51,E876=$AB$52,$AD$52,E876=$AB$53,$AD$53,E876=$AB$54,$AD$54,E876=$AB$55,$AD$55,E876=$AB$56,$AD$56,E876=$AB$57,$AD$57,E876=$AB$58,$AD$58,E876=$AB$59,$AD$59,E876=$AB$60,$AD$60,E876=$AB$61,$AD$61,E876=$AB$62,$AD$62,E876=$AB$63,$AD$63,E876=$AB$64,$AD$64,E876=$AB$65,$AD$65,E876=$AB$66,$AD$66,TRUE,"0")</f>
        <v>IP</v>
      </c>
      <c r="E876" s="163" t="s">
        <v>474</v>
      </c>
      <c r="F876" s="2" t="s">
        <v>6</v>
      </c>
      <c r="G876" s="2" t="s">
        <v>7</v>
      </c>
      <c r="H876" s="3">
        <v>45391.822916666664</v>
      </c>
      <c r="I876" s="2" t="s">
        <v>27</v>
      </c>
      <c r="J876" s="2" t="s">
        <v>18</v>
      </c>
      <c r="K876" s="2">
        <v>52</v>
      </c>
      <c r="L876" s="2">
        <v>3.05</v>
      </c>
      <c r="M876" s="2">
        <v>20</v>
      </c>
      <c r="N876" s="2">
        <v>65</v>
      </c>
      <c r="O876" s="2">
        <v>85</v>
      </c>
      <c r="P876" s="2"/>
      <c r="Q876" s="2" t="s">
        <v>95</v>
      </c>
      <c r="R876" s="10" t="s">
        <v>216</v>
      </c>
      <c r="S876" s="14" t="s">
        <v>223</v>
      </c>
      <c r="T876" s="188">
        <v>1000</v>
      </c>
      <c r="U876" s="8">
        <f t="shared" si="105"/>
        <v>180</v>
      </c>
      <c r="V876" s="234">
        <f t="shared" ref="V876:V879" si="109">SUM(V875,U876)</f>
        <v>67464.155246160299</v>
      </c>
      <c r="W876" s="15">
        <v>25</v>
      </c>
      <c r="X876" s="8">
        <f t="shared" si="107"/>
        <v>4.5</v>
      </c>
      <c r="Y876" s="233">
        <f t="shared" si="108"/>
        <v>3552.5</v>
      </c>
    </row>
    <row r="877" spans="1:25">
      <c r="A877" s="156" t="e" cm="1">
        <f t="array" aca="1" ref="A877" ca="1">_xlfn.IFS(E877=$AB$42,$AC$42,E877=$AB$43,$AC$43,E877=$AB$44,$AC$44,E877=$AB$45,$AC$45,E877=$AB$46,$AC$46,E877=$AB$47,$AC$47,E877=$AB$48,$AC$48,E877=$AB$49,$AC$49,E877=$AB$50,$AC$50,E877=$AB$51,$AC$51,E877=$AB$52,$AC$52,E877=$AB$53,$AC$53,E877=$AB$54,$AC$54,E877=$AB$55,$AC$55,E877=$AB$56,$AC$56,E877=$AB$57,$AC$57,E877=$AB$58,$AC$58,E877=$AB$59,$AC$59,E877=$AB$60,$AC$60,E877=$AB$61,$AC$61,E877=$AB$62,$AC$62,E877=$AB$63,$AC$63,E877=$AB$64,$AC$64,E877=$AB$65,$AC$65,E877=$AB$66,$AC$66,TRUE,"0")</f>
        <v>#NAME?</v>
      </c>
      <c r="C877" s="161" t="str" cm="1">
        <f t="array" ref="C877">_xlfn.IFS(E877=$AB$42,$AF$42,E877=$AB$43,$AF$43,E877=$AB$44,$AF$44,E877=$AB$45,$AF$45,E877=$AB$46,$AF$46,E877=$AB$47,$AF$47,E877=$AB$48,$AF$48,E877=$AB$49,$AF$49,E877=$AB$50,$AF$50,E877=$AB$51,$AF$51,E877=$AB$52,$AF$52,E877=$AB$53,$AF$53,E877=$AB$54,$AF$54,E877=$AB$55,$AF$55,E877=$AB$56,$AF$56,E877=$AB$57,$AF$57,E877=$AB$58,$AF$58,E877=$AB$59,$AF$59,E877=$AB$60,$AF$60,E877=$AB$61,$AF$61,E877=$AB$62,$AF$62,E877=$AB$63,$AF$63,E877=$AB$64,$AF$64,E877=$AB$65,$AF$65,E877=$AB$66,$AF$66,TRUE,"0")</f>
        <v>15mins if  0-0, BACK over 1.5 goals X after goal OR LET RUN</v>
      </c>
      <c r="D877" s="270" t="str" cm="1">
        <f t="array" ref="D877">_xlfn.IFS(E877=$AB$42,$AD$42,E877=$AB$43,$AD$43,E877=$AB$44,$AD$44,E877=$AB$45,$AD$45,E877=$AB$46,$AD$46,E877=$AB$47,$AD$47,E877=$AB$48,$AD$48,E877=$AB$49,$AD$49,E877=$AB$50,$AD$50,E877=$AB$51,$AD$51,E877=$AB$52,$AD$52,E877=$AB$53,$AD$53,E877=$AB$54,$AD$54,E877=$AB$55,$AD$55,E877=$AB$56,$AD$56,E877=$AB$57,$AD$57,E877=$AB$58,$AD$58,E877=$AB$59,$AD$59,E877=$AB$60,$AD$60,E877=$AB$61,$AD$61,E877=$AB$62,$AD$62,E877=$AB$63,$AD$63,E877=$AB$64,$AD$64,E877=$AB$65,$AD$65,E877=$AB$66,$AD$66,TRUE,"0")</f>
        <v>IP</v>
      </c>
      <c r="E877" s="163" t="s">
        <v>473</v>
      </c>
      <c r="F877" s="2" t="s">
        <v>6</v>
      </c>
      <c r="G877" s="2" t="s">
        <v>7</v>
      </c>
      <c r="H877" s="3">
        <v>45391.822916666664</v>
      </c>
      <c r="I877" s="2" t="s">
        <v>705</v>
      </c>
      <c r="J877" s="2" t="s">
        <v>114</v>
      </c>
      <c r="K877" s="2">
        <v>65</v>
      </c>
      <c r="L877" s="2">
        <v>85</v>
      </c>
      <c r="M877" s="2">
        <v>20</v>
      </c>
      <c r="N877" s="2">
        <v>3.05</v>
      </c>
      <c r="O877" s="2"/>
      <c r="P877" s="2"/>
      <c r="Q877" s="2" t="s">
        <v>95</v>
      </c>
      <c r="R877" s="10" t="s">
        <v>214</v>
      </c>
      <c r="S877" s="14" t="s">
        <v>222</v>
      </c>
      <c r="T877" s="188">
        <v>1000</v>
      </c>
      <c r="U877" s="8">
        <f t="shared" ref="U877:U907" si="110">IF(Q877="won",T877*0.18,-T877)</f>
        <v>180</v>
      </c>
      <c r="V877" s="234">
        <f t="shared" si="109"/>
        <v>67644.155246160299</v>
      </c>
      <c r="W877" s="15">
        <v>25</v>
      </c>
      <c r="X877" s="8">
        <f t="shared" ref="X877:X928" si="111">IF(Q877="won",W877*0.18,-W877)</f>
        <v>4.5</v>
      </c>
      <c r="Y877" s="233">
        <f t="shared" si="108"/>
        <v>3557</v>
      </c>
    </row>
    <row r="878" spans="1:25">
      <c r="A878" s="156" t="e" cm="1">
        <f t="array" aca="1" ref="A878" ca="1">_xlfn.IFS(E878=$AB$42,$AC$42,E878=$AB$43,$AC$43,E878=$AB$44,$AC$44,E878=$AB$45,$AC$45,E878=$AB$46,$AC$46,E878=$AB$47,$AC$47,E878=$AB$48,$AC$48,E878=$AB$49,$AC$49,E878=$AB$50,$AC$50,E878=$AB$51,$AC$51,E878=$AB$52,$AC$52,E878=$AB$53,$AC$53,E878=$AB$54,$AC$54,E878=$AB$55,$AC$55,E878=$AB$56,$AC$56,E878=$AB$57,$AC$57,E878=$AB$58,$AC$58,E878=$AB$59,$AC$59,E878=$AB$60,$AC$60,E878=$AB$61,$AC$61,E878=$AB$62,$AC$62,E878=$AB$63,$AC$63,E878=$AB$64,$AC$64,E878=$AB$65,$AC$65,E878=$AB$66,$AC$66,TRUE,"0")</f>
        <v>#NAME?</v>
      </c>
      <c r="C878" s="161" t="str" cm="1">
        <f t="array" ref="C878">_xlfn.IFS(E878=$AB$42,$AF$42,E878=$AB$43,$AF$43,E878=$AB$44,$AF$44,E878=$AB$45,$AF$45,E878=$AB$46,$AF$46,E878=$AB$47,$AF$47,E878=$AB$48,$AF$48,E878=$AB$49,$AF$49,E878=$AB$50,$AF$50,E878=$AB$51,$AF$51,E878=$AB$52,$AF$52,E878=$AB$53,$AF$53,E878=$AB$54,$AF$54,E878=$AB$55,$AF$55,E878=$AB$56,$AF$56,E878=$AB$57,$AF$57,E878=$AB$58,$AF$58,E878=$AB$59,$AF$59,E878=$AB$60,$AF$60,E878=$AB$61,$AF$61,E878=$AB$62,$AF$62,E878=$AB$63,$AF$63,E878=$AB$64,$AF$64,E878=$AB$65,$AF$65,E878=$AB$66,$AF$66,TRUE,"0")</f>
        <v>B4 match BACK FT +1.5 goals. X AFTER  GOAL</v>
      </c>
      <c r="D878" s="270" t="str" cm="1">
        <f t="array" ref="D878">_xlfn.IFS(E878=$AB$42,$AD$42,E878=$AB$43,$AD$43,E878=$AB$44,$AD$44,E878=$AB$45,$AD$45,E878=$AB$46,$AD$46,E878=$AB$47,$AD$47,E878=$AB$48,$AD$48,E878=$AB$49,$AD$49,E878=$AB$50,$AD$50,E878=$AB$51,$AD$51,E878=$AB$52,$AD$52,E878=$AB$53,$AD$53,E878=$AB$54,$AD$54,E878=$AB$55,$AD$55,E878=$AB$56,$AD$56,E878=$AB$57,$AD$57,E878=$AB$58,$AD$58,E878=$AB$59,$AD$59,E878=$AB$60,$AD$60,E878=$AB$61,$AD$61,E878=$AB$62,$AD$62,E878=$AB$63,$AD$63,E878=$AB$64,$AD$64,E878=$AB$65,$AD$65,E878=$AB$66,$AD$66,TRUE,"0")</f>
        <v xml:space="preserve">BFM </v>
      </c>
      <c r="E878" s="163" t="s">
        <v>623</v>
      </c>
      <c r="F878" s="2" t="s">
        <v>6</v>
      </c>
      <c r="G878" s="2" t="s">
        <v>7</v>
      </c>
      <c r="H878" s="3">
        <v>45391.822916666664</v>
      </c>
      <c r="I878" s="2" t="s">
        <v>307</v>
      </c>
      <c r="J878" s="2" t="s">
        <v>386</v>
      </c>
      <c r="K878" s="2">
        <v>4.4000000000000004</v>
      </c>
      <c r="L878" s="2">
        <v>20</v>
      </c>
      <c r="M878" s="2">
        <v>3.3</v>
      </c>
      <c r="N878" s="2">
        <v>19</v>
      </c>
      <c r="O878" s="2">
        <v>3</v>
      </c>
      <c r="P878" s="2">
        <v>10</v>
      </c>
      <c r="Q878" s="2" t="s">
        <v>95</v>
      </c>
      <c r="R878" s="10" t="s">
        <v>214</v>
      </c>
      <c r="S878" s="14" t="s">
        <v>214</v>
      </c>
      <c r="T878" s="188">
        <v>1000</v>
      </c>
      <c r="U878" s="8">
        <f t="shared" si="110"/>
        <v>180</v>
      </c>
      <c r="V878" s="234">
        <f t="shared" si="109"/>
        <v>67824.155246160299</v>
      </c>
      <c r="W878" s="15">
        <v>25</v>
      </c>
      <c r="X878" s="8">
        <f t="shared" si="111"/>
        <v>4.5</v>
      </c>
      <c r="Y878" s="233">
        <f t="shared" si="108"/>
        <v>3561.5</v>
      </c>
    </row>
    <row r="879" spans="1:25">
      <c r="A879" s="156" t="e" cm="1">
        <f t="array" aca="1" ref="A879" ca="1">_xlfn.IFS(E879=$AB$42,$AC$42,E879=$AB$43,$AC$43,E879=$AB$44,$AC$44,E879=$AB$45,$AC$45,E879=$AB$46,$AC$46,E879=$AB$47,$AC$47,E879=$AB$48,$AC$48,E879=$AB$49,$AC$49,E879=$AB$50,$AC$50,E879=$AB$51,$AC$51,E879=$AB$52,$AC$52,E879=$AB$53,$AC$53,E879=$AB$54,$AC$54,E879=$AB$55,$AC$55,E879=$AB$56,$AC$56,E879=$AB$57,$AC$57,E879=$AB$58,$AC$58,E879=$AB$59,$AC$59,E879=$AB$60,$AC$60,E879=$AB$61,$AC$61,E879=$AB$62,$AC$62,E879=$AB$63,$AC$63,E879=$AB$64,$AC$64,E879=$AB$65,$AC$65,E879=$AB$66,$AC$66,TRUE,"0")</f>
        <v>#NAME?</v>
      </c>
      <c r="C879" s="161" t="str" cm="1">
        <f t="array" ref="C879">_xlfn.IFS(E879=$AB$42,$AF$42,E879=$AB$43,$AF$43,E879=$AB$44,$AF$44,E879=$AB$45,$AF$45,E879=$AB$46,$AF$46,E879=$AB$47,$AF$47,E879=$AB$48,$AF$48,E879=$AB$49,$AF$49,E879=$AB$50,$AF$50,E879=$AB$51,$AF$51,E879=$AB$52,$AF$52,E879=$AB$53,$AF$53,E879=$AB$54,$AF$54,E879=$AB$55,$AF$55,E879=$AB$56,$AF$56,E879=$AB$57,$AF$57,E879=$AB$58,$AF$58,E879=$AB$59,$AF$59,E879=$AB$60,$AF$60,E879=$AB$61,$AF$61,E879=$AB$62,$AF$62,E879=$AB$63,$AF$63,E879=$AB$64,$AF$64,E879=$AB$65,$AF$65,E879=$AB$66,$AF$66,TRUE,"0")</f>
        <v>if 0-0, BACK+ 0.5 GOALS  @ 1.15+odds.  or @ 40 mins</v>
      </c>
      <c r="D879" s="270" t="str" cm="1">
        <f t="array" ref="D879">_xlfn.IFS(E879=$AB$42,$AD$42,E879=$AB$43,$AD$43,E879=$AB$44,$AD$44,E879=$AB$45,$AD$45,E879=$AB$46,$AD$46,E879=$AB$47,$AD$47,E879=$AB$48,$AD$48,E879=$AB$49,$AD$49,E879=$AB$50,$AD$50,E879=$AB$51,$AD$51,E879=$AB$52,$AD$52,E879=$AB$53,$AD$53,E879=$AB$54,$AD$54,E879=$AB$55,$AD$55,E879=$AB$56,$AD$56,E879=$AB$57,$AD$57,E879=$AB$58,$AD$58,E879=$AB$59,$AD$59,E879=$AB$60,$AD$60,E879=$AB$61,$AD$61,E879=$AB$62,$AD$62,E879=$AB$63,$AD$63,E879=$AB$64,$AD$64,E879=$AB$65,$AD$65,E879=$AB$66,$AD$66,TRUE,"0")</f>
        <v>IP</v>
      </c>
      <c r="E879" s="163" t="s">
        <v>270</v>
      </c>
      <c r="F879" s="2" t="s">
        <v>6</v>
      </c>
      <c r="G879" s="2" t="s">
        <v>7</v>
      </c>
      <c r="H879" s="3">
        <v>45391.822916666664</v>
      </c>
      <c r="I879" s="2" t="s">
        <v>397</v>
      </c>
      <c r="J879" s="2" t="s">
        <v>420</v>
      </c>
      <c r="K879" s="2">
        <v>67</v>
      </c>
      <c r="L879" s="2">
        <v>0</v>
      </c>
      <c r="M879" s="2">
        <v>20</v>
      </c>
      <c r="N879" s="2">
        <v>34</v>
      </c>
      <c r="O879" s="2">
        <v>2.92</v>
      </c>
      <c r="P879" s="2"/>
      <c r="Q879" s="2" t="s">
        <v>95</v>
      </c>
      <c r="R879" s="10" t="s">
        <v>216</v>
      </c>
      <c r="S879" s="14" t="s">
        <v>211</v>
      </c>
      <c r="T879" s="188">
        <v>1000</v>
      </c>
      <c r="U879" s="8">
        <f t="shared" si="110"/>
        <v>180</v>
      </c>
      <c r="V879" s="234">
        <f t="shared" si="109"/>
        <v>68004.155246160299</v>
      </c>
      <c r="W879" s="15">
        <v>25</v>
      </c>
      <c r="X879" s="8">
        <f t="shared" si="111"/>
        <v>4.5</v>
      </c>
      <c r="Y879" s="233">
        <f t="shared" si="108"/>
        <v>3566</v>
      </c>
    </row>
    <row r="880" spans="1:25">
      <c r="A880" s="156" t="e" cm="1">
        <f t="array" aca="1" ref="A880" ca="1">_xlfn.IFS(E880=$AB$42,$AC$42,E880=$AB$43,$AC$43,E880=$AB$44,$AC$44,E880=$AB$45,$AC$45,E880=$AB$46,$AC$46,E880=$AB$47,$AC$47,E880=$AB$48,$AC$48,E880=$AB$49,$AC$49,E880=$AB$50,$AC$50,E880=$AB$51,$AC$51,E880=$AB$52,$AC$52,E880=$AB$53,$AC$53,E880=$AB$54,$AC$54,E880=$AB$55,$AC$55,E880=$AB$56,$AC$56,E880=$AB$57,$AC$57,E880=$AB$58,$AC$58,E880=$AB$59,$AC$59,E880=$AB$60,$AC$60,E880=$AB$61,$AC$61,E880=$AB$62,$AC$62,E880=$AB$63,$AC$63,E880=$AB$64,$AC$64,E880=$AB$65,$AC$65,E880=$AB$66,$AC$66,TRUE,"0")</f>
        <v>#NAME?</v>
      </c>
      <c r="C880" s="161" t="str" cm="1">
        <f t="array" ref="C880">_xlfn.IFS(E880=$AB$42,$AF$42,E880=$AB$43,$AF$43,E880=$AB$44,$AF$44,E880=$AB$45,$AF$45,E880=$AB$46,$AF$46,E880=$AB$47,$AF$47,E880=$AB$48,$AF$48,E880=$AB$49,$AF$49,E880=$AB$50,$AF$50,E880=$AB$51,$AF$51,E880=$AB$52,$AF$52,E880=$AB$53,$AF$53,E880=$AB$54,$AF$54,E880=$AB$55,$AF$55,E880=$AB$56,$AF$56,E880=$AB$57,$AF$57,E880=$AB$58,$AF$58,E880=$AB$59,$AF$59,E880=$AB$60,$AF$60,E880=$AB$61,$AF$61,E880=$AB$62,$AF$62,E880=$AB$63,$AF$63,E880=$AB$64,$AF$64,E880=$AB$65,$AF$65,E880=$AB$66,$AF$66,TRUE,"0")</f>
        <v>40 mins Back ANother Goal</v>
      </c>
      <c r="D880" s="270" t="str" cm="1">
        <f t="array" ref="D880">_xlfn.IFS(E880=$AB$42,$AD$42,E880=$AB$43,$AD$43,E880=$AB$44,$AD$44,E880=$AB$45,$AD$45,E880=$AB$46,$AD$46,E880=$AB$47,$AD$47,E880=$AB$48,$AD$48,E880=$AB$49,$AD$49,E880=$AB$50,$AD$50,E880=$AB$51,$AD$51,E880=$AB$52,$AD$52,E880=$AB$53,$AD$53,E880=$AB$54,$AD$54,E880=$AB$55,$AD$55,E880=$AB$56,$AD$56,E880=$AB$57,$AD$57,E880=$AB$58,$AD$58,E880=$AB$59,$AD$59,E880=$AB$60,$AD$60,E880=$AB$61,$AD$61,E880=$AB$62,$AD$62,E880=$AB$63,$AD$63,E880=$AB$64,$AD$64,E880=$AB$65,$AD$65,E880=$AB$66,$AD$66,TRUE,"0")</f>
        <v xml:space="preserve">  BANG</v>
      </c>
      <c r="E880" s="163" t="s">
        <v>43</v>
      </c>
      <c r="F880" s="2" t="s">
        <v>6</v>
      </c>
      <c r="G880" s="2" t="s">
        <v>14</v>
      </c>
      <c r="H880" s="3">
        <v>45391.822916666664</v>
      </c>
      <c r="I880" s="2" t="s">
        <v>56</v>
      </c>
      <c r="J880" s="2" t="s">
        <v>376</v>
      </c>
      <c r="K880" s="2">
        <v>69</v>
      </c>
      <c r="L880" s="2">
        <v>68</v>
      </c>
      <c r="M880" s="2">
        <v>63</v>
      </c>
      <c r="N880" s="2">
        <v>2.25</v>
      </c>
      <c r="O880" s="2">
        <v>1.63</v>
      </c>
      <c r="P880" s="2"/>
      <c r="Q880" s="2" t="s">
        <v>95</v>
      </c>
      <c r="R880" s="9" t="s">
        <v>220</v>
      </c>
      <c r="S880" s="14" t="s">
        <v>222</v>
      </c>
      <c r="T880" s="188">
        <v>1000</v>
      </c>
      <c r="U880" s="8">
        <f t="shared" si="110"/>
        <v>180</v>
      </c>
      <c r="V880" s="234">
        <f t="shared" ref="V880:V914" si="112">SUM(V879,U880)</f>
        <v>68184.155246160299</v>
      </c>
      <c r="W880" s="15">
        <v>25</v>
      </c>
      <c r="X880" s="8">
        <f t="shared" si="111"/>
        <v>4.5</v>
      </c>
      <c r="Y880" s="233">
        <f t="shared" si="108"/>
        <v>3570.5</v>
      </c>
    </row>
    <row r="881" spans="1:25">
      <c r="A881" s="156" t="e" cm="1">
        <f t="array" aca="1" ref="A881" ca="1">_xlfn.IFS(E881=$AB$42,$AC$42,E881=$AB$43,$AC$43,E881=$AB$44,$AC$44,E881=$AB$45,$AC$45,E881=$AB$46,$AC$46,E881=$AB$47,$AC$47,E881=$AB$48,$AC$48,E881=$AB$49,$AC$49,E881=$AB$50,$AC$50,E881=$AB$51,$AC$51,E881=$AB$52,$AC$52,E881=$AB$53,$AC$53,E881=$AB$54,$AC$54,E881=$AB$55,$AC$55,E881=$AB$56,$AC$56,E881=$AB$57,$AC$57,E881=$AB$58,$AC$58,E881=$AB$59,$AC$59,E881=$AB$60,$AC$60,E881=$AB$61,$AC$61,E881=$AB$62,$AC$62,E881=$AB$63,$AC$63,E881=$AB$64,$AC$64,E881=$AB$65,$AC$65,E881=$AB$66,$AC$66,TRUE,"0")</f>
        <v>#NAME?</v>
      </c>
      <c r="C881" s="161" t="str" cm="1">
        <f t="array" ref="C881">_xlfn.IFS(E881=$AB$42,$AF$42,E881=$AB$43,$AF$43,E881=$AB$44,$AF$44,E881=$AB$45,$AF$45,E881=$AB$46,$AF$46,E881=$AB$47,$AF$47,E881=$AB$48,$AF$48,E881=$AB$49,$AF$49,E881=$AB$50,$AF$50,E881=$AB$51,$AF$51,E881=$AB$52,$AF$52,E881=$AB$53,$AF$53,E881=$AB$54,$AF$54,E881=$AB$55,$AF$55,E881=$AB$56,$AF$56,E881=$AB$57,$AF$57,E881=$AB$58,$AF$58,E881=$AB$59,$AF$59,E881=$AB$60,$AF$60,E881=$AB$61,$AF$61,E881=$AB$62,$AF$62,E881=$AB$63,$AF$63,E881=$AB$64,$AF$64,E881=$AB$65,$AF$65,E881=$AB$66,$AF$66,TRUE,"0")</f>
        <v>B4 match BACK FT +1.5 goals. X AFTER  GOAL</v>
      </c>
      <c r="D881" s="270" t="str" cm="1">
        <f t="array" ref="D881">_xlfn.IFS(E881=$AB$42,$AD$42,E881=$AB$43,$AD$43,E881=$AB$44,$AD$44,E881=$AB$45,$AD$45,E881=$AB$46,$AD$46,E881=$AB$47,$AD$47,E881=$AB$48,$AD$48,E881=$AB$49,$AD$49,E881=$AB$50,$AD$50,E881=$AB$51,$AD$51,E881=$AB$52,$AD$52,E881=$AB$53,$AD$53,E881=$AB$54,$AD$54,E881=$AB$55,$AD$55,E881=$AB$56,$AD$56,E881=$AB$57,$AD$57,E881=$AB$58,$AD$58,E881=$AB$59,$AD$59,E881=$AB$60,$AD$60,E881=$AB$61,$AD$61,E881=$AB$62,$AD$62,E881=$AB$63,$AD$63,E881=$AB$64,$AD$64,E881=$AB$65,$AD$65,E881=$AB$66,$AD$66,TRUE,"0")</f>
        <v xml:space="preserve">BFM </v>
      </c>
      <c r="E881" s="163" t="s">
        <v>623</v>
      </c>
      <c r="F881" s="2" t="s">
        <v>6</v>
      </c>
      <c r="G881" s="2" t="s">
        <v>14</v>
      </c>
      <c r="H881" s="3">
        <v>45391.822916666664</v>
      </c>
      <c r="I881" s="2" t="s">
        <v>56</v>
      </c>
      <c r="J881" s="2" t="s">
        <v>376</v>
      </c>
      <c r="K881" s="2">
        <v>6.4</v>
      </c>
      <c r="L881" s="2">
        <v>20</v>
      </c>
      <c r="M881" s="2">
        <v>3.5</v>
      </c>
      <c r="N881" s="2">
        <v>30</v>
      </c>
      <c r="O881" s="2">
        <v>5</v>
      </c>
      <c r="P881" s="2">
        <v>10</v>
      </c>
      <c r="Q881" s="2" t="s">
        <v>95</v>
      </c>
      <c r="R881" s="9" t="s">
        <v>220</v>
      </c>
      <c r="S881" s="14" t="s">
        <v>222</v>
      </c>
      <c r="T881" s="188">
        <v>1000</v>
      </c>
      <c r="U881" s="8">
        <f t="shared" si="110"/>
        <v>180</v>
      </c>
      <c r="V881" s="234">
        <f t="shared" si="112"/>
        <v>68364.155246160299</v>
      </c>
      <c r="W881" s="15">
        <v>25</v>
      </c>
      <c r="X881" s="8">
        <f t="shared" si="111"/>
        <v>4.5</v>
      </c>
      <c r="Y881" s="233">
        <f t="shared" si="108"/>
        <v>3575</v>
      </c>
    </row>
    <row r="882" spans="1:25">
      <c r="A882" s="156" t="e" cm="1">
        <f t="array" aca="1" ref="A882" ca="1">_xlfn.IFS(E882=$AB$42,$AC$42,E882=$AB$43,$AC$43,E882=$AB$44,$AC$44,E882=$AB$45,$AC$45,E882=$AB$46,$AC$46,E882=$AB$47,$AC$47,E882=$AB$48,$AC$48,E882=$AB$49,$AC$49,E882=$AB$50,$AC$50,E882=$AB$51,$AC$51,E882=$AB$52,$AC$52,E882=$AB$53,$AC$53,E882=$AB$54,$AC$54,E882=$AB$55,$AC$55,E882=$AB$56,$AC$56,E882=$AB$57,$AC$57,E882=$AB$58,$AC$58,E882=$AB$59,$AC$59,E882=$AB$60,$AC$60,E882=$AB$61,$AC$61,E882=$AB$62,$AC$62,E882=$AB$63,$AC$63,E882=$AB$64,$AC$64,E882=$AB$65,$AC$65,E882=$AB$66,$AC$66,TRUE,"0")</f>
        <v>#NAME?</v>
      </c>
      <c r="C882" s="161" t="str" cm="1">
        <f t="array" ref="C882">_xlfn.IFS(E882=$AB$42,$AF$42,E882=$AB$43,$AF$43,E882=$AB$44,$AF$44,E882=$AB$45,$AF$45,E882=$AB$46,$AF$46,E882=$AB$47,$AF$47,E882=$AB$48,$AF$48,E882=$AB$49,$AF$49,E882=$AB$50,$AF$50,E882=$AB$51,$AF$51,E882=$AB$52,$AF$52,E882=$AB$53,$AF$53,E882=$AB$54,$AF$54,E882=$AB$55,$AF$55,E882=$AB$56,$AF$56,E882=$AB$57,$AF$57,E882=$AB$58,$AF$58,E882=$AB$59,$AF$59,E882=$AB$60,$AF$60,E882=$AB$61,$AF$61,E882=$AB$62,$AF$62,E882=$AB$63,$AF$63,E882=$AB$64,$AF$64,E882=$AB$65,$AF$65,E882=$AB$66,$AF$66,TRUE,"0")</f>
        <v>if 0-0, BACK+ 0.5 GOALS  @ 1.15+odds.  or @ 40 mins</v>
      </c>
      <c r="D882" s="270" t="str" cm="1">
        <f t="array" ref="D882">_xlfn.IFS(E882=$AB$42,$AD$42,E882=$AB$43,$AD$43,E882=$AB$44,$AD$44,E882=$AB$45,$AD$45,E882=$AB$46,$AD$46,E882=$AB$47,$AD$47,E882=$AB$48,$AD$48,E882=$AB$49,$AD$49,E882=$AB$50,$AD$50,E882=$AB$51,$AD$51,E882=$AB$52,$AD$52,E882=$AB$53,$AD$53,E882=$AB$54,$AD$54,E882=$AB$55,$AD$55,E882=$AB$56,$AD$56,E882=$AB$57,$AD$57,E882=$AB$58,$AD$58,E882=$AB$59,$AD$59,E882=$AB$60,$AD$60,E882=$AB$61,$AD$61,E882=$AB$62,$AD$62,E882=$AB$63,$AD$63,E882=$AB$64,$AD$64,E882=$AB$65,$AD$65,E882=$AB$66,$AD$66,TRUE,"0")</f>
        <v>IP</v>
      </c>
      <c r="E882" s="163" t="s">
        <v>270</v>
      </c>
      <c r="F882" s="2" t="s">
        <v>6</v>
      </c>
      <c r="G882" s="2" t="s">
        <v>14</v>
      </c>
      <c r="H882" s="3">
        <v>45391.822916666664</v>
      </c>
      <c r="I882" s="2" t="s">
        <v>56</v>
      </c>
      <c r="J882" s="2" t="s">
        <v>376</v>
      </c>
      <c r="K882" s="2">
        <v>64</v>
      </c>
      <c r="L882" s="2">
        <v>0</v>
      </c>
      <c r="M882" s="2">
        <v>20</v>
      </c>
      <c r="N882" s="2">
        <v>30</v>
      </c>
      <c r="O882" s="2">
        <v>2.8</v>
      </c>
      <c r="P882" s="2"/>
      <c r="Q882" s="2" t="s">
        <v>95</v>
      </c>
      <c r="R882" s="9" t="s">
        <v>220</v>
      </c>
      <c r="S882" s="14" t="s">
        <v>222</v>
      </c>
      <c r="T882" s="188">
        <v>1000</v>
      </c>
      <c r="U882" s="8">
        <f t="shared" si="110"/>
        <v>180</v>
      </c>
      <c r="V882" s="234">
        <f t="shared" si="112"/>
        <v>68544.155246160299</v>
      </c>
      <c r="W882" s="15">
        <v>25</v>
      </c>
      <c r="X882" s="8">
        <f t="shared" si="111"/>
        <v>4.5</v>
      </c>
      <c r="Y882" s="233">
        <f t="shared" si="108"/>
        <v>3579.5</v>
      </c>
    </row>
    <row r="883" spans="1:25">
      <c r="A883" s="156" t="e" cm="1">
        <f t="array" aca="1" ref="A883" ca="1">_xlfn.IFS(E883=$AB$42,$AC$42,E883=$AB$43,$AC$43,E883=$AB$44,$AC$44,E883=$AB$45,$AC$45,E883=$AB$46,$AC$46,E883=$AB$47,$AC$47,E883=$AB$48,$AC$48,E883=$AB$49,$AC$49,E883=$AB$50,$AC$50,E883=$AB$51,$AC$51,E883=$AB$52,$AC$52,E883=$AB$53,$AC$53,E883=$AB$54,$AC$54,E883=$AB$55,$AC$55,E883=$AB$56,$AC$56,E883=$AB$57,$AC$57,E883=$AB$58,$AC$58,E883=$AB$59,$AC$59,E883=$AB$60,$AC$60,E883=$AB$61,$AC$61,E883=$AB$62,$AC$62,E883=$AB$63,$AC$63,E883=$AB$64,$AC$64,E883=$AB$65,$AC$65,E883=$AB$66,$AC$66,TRUE,"0")</f>
        <v>#NAME?</v>
      </c>
      <c r="C883" s="161" t="str" cm="1">
        <f t="array" ref="C883">_xlfn.IFS(E883=$AB$42,$AF$42,E883=$AB$43,$AF$43,E883=$AB$44,$AF$44,E883=$AB$45,$AF$45,E883=$AB$46,$AF$46,E883=$AB$47,$AF$47,E883=$AB$48,$AF$48,E883=$AB$49,$AF$49,E883=$AB$50,$AF$50,E883=$AB$51,$AF$51,E883=$AB$52,$AF$52,E883=$AB$53,$AF$53,E883=$AB$54,$AF$54,E883=$AB$55,$AF$55,E883=$AB$56,$AF$56,E883=$AB$57,$AF$57,E883=$AB$58,$AF$58,E883=$AB$59,$AF$59,E883=$AB$60,$AF$60,E883=$AB$61,$AF$61,E883=$AB$62,$AF$62,E883=$AB$63,$AF$63,E883=$AB$64,$AF$64,E883=$AB$65,$AF$65,E883=$AB$66,$AF$66,TRUE,"0")</f>
        <v>B4 match BACK FT +1.5 goals. X AFTER  GOAL</v>
      </c>
      <c r="D883" s="270" t="str" cm="1">
        <f t="array" ref="D883">_xlfn.IFS(E883=$AB$42,$AD$42,E883=$AB$43,$AD$43,E883=$AB$44,$AD$44,E883=$AB$45,$AD$45,E883=$AB$46,$AD$46,E883=$AB$47,$AD$47,E883=$AB$48,$AD$48,E883=$AB$49,$AD$49,E883=$AB$50,$AD$50,E883=$AB$51,$AD$51,E883=$AB$52,$AD$52,E883=$AB$53,$AD$53,E883=$AB$54,$AD$54,E883=$AB$55,$AD$55,E883=$AB$56,$AD$56,E883=$AB$57,$AD$57,E883=$AB$58,$AD$58,E883=$AB$59,$AD$59,E883=$AB$60,$AD$60,E883=$AB$61,$AD$61,E883=$AB$62,$AD$62,E883=$AB$63,$AD$63,E883=$AB$64,$AD$64,E883=$AB$65,$AD$65,E883=$AB$66,$AD$66,TRUE,"0")</f>
        <v xml:space="preserve">BFM </v>
      </c>
      <c r="E883" s="163" t="s">
        <v>406</v>
      </c>
      <c r="F883" s="2" t="s">
        <v>6</v>
      </c>
      <c r="G883" s="2" t="s">
        <v>14</v>
      </c>
      <c r="H883" s="3">
        <v>45391.833333333336</v>
      </c>
      <c r="I883" s="2" t="s">
        <v>280</v>
      </c>
      <c r="J883" s="2" t="s">
        <v>503</v>
      </c>
      <c r="K883" s="2">
        <v>1.34</v>
      </c>
      <c r="L883" s="2">
        <v>12</v>
      </c>
      <c r="M883" s="2">
        <v>2.4500000000000002</v>
      </c>
      <c r="N883" s="2">
        <v>4.7</v>
      </c>
      <c r="O883" s="2">
        <v>2.41</v>
      </c>
      <c r="P883" s="2"/>
      <c r="Q883" s="2" t="s">
        <v>95</v>
      </c>
      <c r="R883" s="9" t="s">
        <v>221</v>
      </c>
      <c r="S883" s="14" t="s">
        <v>221</v>
      </c>
      <c r="T883" s="188">
        <v>1000</v>
      </c>
      <c r="U883" s="8">
        <f t="shared" si="110"/>
        <v>180</v>
      </c>
      <c r="V883" s="234">
        <f t="shared" si="112"/>
        <v>68724.155246160299</v>
      </c>
      <c r="W883" s="15">
        <v>25</v>
      </c>
      <c r="X883" s="8">
        <f t="shared" si="111"/>
        <v>4.5</v>
      </c>
      <c r="Y883" s="233">
        <f t="shared" si="108"/>
        <v>3584</v>
      </c>
    </row>
    <row r="884" spans="1:25">
      <c r="A884" s="156" t="e" cm="1">
        <f t="array" aca="1" ref="A884" ca="1">_xlfn.IFS(E884=$AB$42,$AC$42,E884=$AB$43,$AC$43,E884=$AB$44,$AC$44,E884=$AB$45,$AC$45,E884=$AB$46,$AC$46,E884=$AB$47,$AC$47,E884=$AB$48,$AC$48,E884=$AB$49,$AC$49,E884=$AB$50,$AC$50,E884=$AB$51,$AC$51,E884=$AB$52,$AC$52,E884=$AB$53,$AC$53,E884=$AB$54,$AC$54,E884=$AB$55,$AC$55,E884=$AB$56,$AC$56,E884=$AB$57,$AC$57,E884=$AB$58,$AC$58,E884=$AB$59,$AC$59,E884=$AB$60,$AC$60,E884=$AB$61,$AC$61,E884=$AB$62,$AC$62,E884=$AB$63,$AC$63,E884=$AB$64,$AC$64,E884=$AB$65,$AC$65,E884=$AB$66,$AC$66,TRUE,"0")</f>
        <v>#NAME?</v>
      </c>
      <c r="C884" s="161" t="str" cm="1">
        <f t="array" ref="C884">_xlfn.IFS(E884=$AB$42,$AF$42,E884=$AB$43,$AF$43,E884=$AB$44,$AF$44,E884=$AB$45,$AF$45,E884=$AB$46,$AF$46,E884=$AB$47,$AF$47,E884=$AB$48,$AF$48,E884=$AB$49,$AF$49,E884=$AB$50,$AF$50,E884=$AB$51,$AF$51,E884=$AB$52,$AF$52,E884=$AB$53,$AF$53,E884=$AB$54,$AF$54,E884=$AB$55,$AF$55,E884=$AB$56,$AF$56,E884=$AB$57,$AF$57,E884=$AB$58,$AF$58,E884=$AB$59,$AF$59,E884=$AB$60,$AF$60,E884=$AB$61,$AF$61,E884=$AB$62,$AF$62,E884=$AB$63,$AF$63,E884=$AB$64,$AF$64,E884=$AB$65,$AF$65,E884=$AB$66,$AF$66,TRUE,"0")</f>
        <v>B4 match BACK FT +1.5 goals. X AFTER  GOAL</v>
      </c>
      <c r="D884" s="270" t="str" cm="1">
        <f t="array" ref="D884">_xlfn.IFS(E884=$AB$42,$AD$42,E884=$AB$43,$AD$43,E884=$AB$44,$AD$44,E884=$AB$45,$AD$45,E884=$AB$46,$AD$46,E884=$AB$47,$AD$47,E884=$AB$48,$AD$48,E884=$AB$49,$AD$49,E884=$AB$50,$AD$50,E884=$AB$51,$AD$51,E884=$AB$52,$AD$52,E884=$AB$53,$AD$53,E884=$AB$54,$AD$54,E884=$AB$55,$AD$55,E884=$AB$56,$AD$56,E884=$AB$57,$AD$57,E884=$AB$58,$AD$58,E884=$AB$59,$AD$59,E884=$AB$60,$AD$60,E884=$AB$61,$AD$61,E884=$AB$62,$AD$62,E884=$AB$63,$AD$63,E884=$AB$64,$AD$64,E884=$AB$65,$AD$65,E884=$AB$66,$AD$66,TRUE,"0")</f>
        <v xml:space="preserve">BFM </v>
      </c>
      <c r="E884" s="163" t="s">
        <v>623</v>
      </c>
      <c r="F884" s="2" t="s">
        <v>6</v>
      </c>
      <c r="G884" s="2" t="s">
        <v>14</v>
      </c>
      <c r="H884" s="3">
        <v>45391.833333333336</v>
      </c>
      <c r="I884" s="2" t="s">
        <v>280</v>
      </c>
      <c r="J884" s="2" t="s">
        <v>503</v>
      </c>
      <c r="K884" s="2">
        <v>4.7</v>
      </c>
      <c r="L884" s="2">
        <v>20</v>
      </c>
      <c r="M884" s="2">
        <v>2.4500000000000002</v>
      </c>
      <c r="N884" s="2">
        <v>31</v>
      </c>
      <c r="O884" s="2">
        <v>1</v>
      </c>
      <c r="P884" s="2">
        <v>10</v>
      </c>
      <c r="Q884" s="2" t="s">
        <v>96</v>
      </c>
      <c r="R884" s="9" t="s">
        <v>221</v>
      </c>
      <c r="S884" s="14" t="s">
        <v>221</v>
      </c>
      <c r="T884" s="188">
        <v>1000</v>
      </c>
      <c r="U884" s="8">
        <f t="shared" si="110"/>
        <v>-1000</v>
      </c>
      <c r="V884" s="234">
        <f t="shared" si="112"/>
        <v>67724.155246160299</v>
      </c>
      <c r="W884" s="15">
        <v>25</v>
      </c>
      <c r="X884" s="8">
        <f t="shared" si="111"/>
        <v>-25</v>
      </c>
      <c r="Y884" s="233">
        <f t="shared" si="108"/>
        <v>3559</v>
      </c>
    </row>
    <row r="885" spans="1:25">
      <c r="A885" s="156" t="e" cm="1">
        <f t="array" aca="1" ref="A885" ca="1">_xlfn.IFS(E885=$AB$42,$AC$42,E885=$AB$43,$AC$43,E885=$AB$44,$AC$44,E885=$AB$45,$AC$45,E885=$AB$46,$AC$46,E885=$AB$47,$AC$47,E885=$AB$48,$AC$48,E885=$AB$49,$AC$49,E885=$AB$50,$AC$50,E885=$AB$51,$AC$51,E885=$AB$52,$AC$52,E885=$AB$53,$AC$53,E885=$AB$54,$AC$54,E885=$AB$55,$AC$55,E885=$AB$56,$AC$56,E885=$AB$57,$AC$57,E885=$AB$58,$AC$58,E885=$AB$59,$AC$59,E885=$AB$60,$AC$60,E885=$AB$61,$AC$61,E885=$AB$62,$AC$62,E885=$AB$63,$AC$63,E885=$AB$64,$AC$64,E885=$AB$65,$AC$65,E885=$AB$66,$AC$66,TRUE,"0")</f>
        <v>#NAME?</v>
      </c>
      <c r="C885" s="161" t="str" cm="1">
        <f t="array" ref="C885">_xlfn.IFS(E885=$AB$42,$AF$42,E885=$AB$43,$AF$43,E885=$AB$44,$AF$44,E885=$AB$45,$AF$45,E885=$AB$46,$AF$46,E885=$AB$47,$AF$47,E885=$AB$48,$AF$48,E885=$AB$49,$AF$49,E885=$AB$50,$AF$50,E885=$AB$51,$AF$51,E885=$AB$52,$AF$52,E885=$AB$53,$AF$53,E885=$AB$54,$AF$54,E885=$AB$55,$AF$55,E885=$AB$56,$AF$56,E885=$AB$57,$AF$57,E885=$AB$58,$AF$58,E885=$AB$59,$AF$59,E885=$AB$60,$AF$60,E885=$AB$61,$AF$61,E885=$AB$62,$AF$62,E885=$AB$63,$AF$63,E885=$AB$64,$AF$64,E885=$AB$65,$AF$65,E885=$AB$66,$AF$66,TRUE,"0")</f>
        <v>B4 match BACK FT +1.5 goals. X AFTER  GOAL</v>
      </c>
      <c r="D885" s="270" t="str" cm="1">
        <f t="array" ref="D885">_xlfn.IFS(E885=$AB$42,$AD$42,E885=$AB$43,$AD$43,E885=$AB$44,$AD$44,E885=$AB$45,$AD$45,E885=$AB$46,$AD$46,E885=$AB$47,$AD$47,E885=$AB$48,$AD$48,E885=$AB$49,$AD$49,E885=$AB$50,$AD$50,E885=$AB$51,$AD$51,E885=$AB$52,$AD$52,E885=$AB$53,$AD$53,E885=$AB$54,$AD$54,E885=$AB$55,$AD$55,E885=$AB$56,$AD$56,E885=$AB$57,$AD$57,E885=$AB$58,$AD$58,E885=$AB$59,$AD$59,E885=$AB$60,$AD$60,E885=$AB$61,$AD$61,E885=$AB$62,$AD$62,E885=$AB$63,$AD$63,E885=$AB$64,$AD$64,E885=$AB$65,$AD$65,E885=$AB$66,$AD$66,TRUE,"0")</f>
        <v xml:space="preserve">BFM </v>
      </c>
      <c r="E885" s="163" t="s">
        <v>623</v>
      </c>
      <c r="F885" s="2" t="s">
        <v>6</v>
      </c>
      <c r="G885" s="2" t="s">
        <v>14</v>
      </c>
      <c r="H885" s="3">
        <v>45392.822916666664</v>
      </c>
      <c r="I885" s="2" t="s">
        <v>291</v>
      </c>
      <c r="J885" s="2" t="s">
        <v>431</v>
      </c>
      <c r="K885" s="2">
        <v>6</v>
      </c>
      <c r="L885" s="2">
        <v>20</v>
      </c>
      <c r="M885" s="2">
        <v>3.35</v>
      </c>
      <c r="N885" s="2">
        <v>27</v>
      </c>
      <c r="O885" s="2">
        <v>2</v>
      </c>
      <c r="P885" s="2">
        <v>10</v>
      </c>
      <c r="Q885" s="2" t="s">
        <v>96</v>
      </c>
      <c r="R885" s="9" t="s">
        <v>221</v>
      </c>
      <c r="S885" s="14" t="s">
        <v>221</v>
      </c>
      <c r="T885" s="188">
        <v>1000</v>
      </c>
      <c r="U885" s="8">
        <f t="shared" si="110"/>
        <v>-1000</v>
      </c>
      <c r="V885" s="234">
        <f t="shared" si="112"/>
        <v>66724.155246160299</v>
      </c>
      <c r="W885" s="15">
        <v>25</v>
      </c>
      <c r="X885" s="8">
        <f t="shared" si="111"/>
        <v>-25</v>
      </c>
      <c r="Y885" s="233">
        <f t="shared" si="108"/>
        <v>3534</v>
      </c>
    </row>
    <row r="886" spans="1:25">
      <c r="A886" s="156" t="e" cm="1">
        <f t="array" aca="1" ref="A886" ca="1">_xlfn.IFS(E886=$AB$42,$AC$42,E886=$AB$43,$AC$43,E886=$AB$44,$AC$44,E886=$AB$45,$AC$45,E886=$AB$46,$AC$46,E886=$AB$47,$AC$47,E886=$AB$48,$AC$48,E886=$AB$49,$AC$49,E886=$AB$50,$AC$50,E886=$AB$51,$AC$51,E886=$AB$52,$AC$52,E886=$AB$53,$AC$53,E886=$AB$54,$AC$54,E886=$AB$55,$AC$55,E886=$AB$56,$AC$56,E886=$AB$57,$AC$57,E886=$AB$58,$AC$58,E886=$AB$59,$AC$59,E886=$AB$60,$AC$60,E886=$AB$61,$AC$61,E886=$AB$62,$AC$62,E886=$AB$63,$AC$63,E886=$AB$64,$AC$64,E886=$AB$65,$AC$65,E886=$AB$66,$AC$66,TRUE,"0")</f>
        <v>#NAME?</v>
      </c>
      <c r="C886" s="161" t="str" cm="1">
        <f t="array" ref="C886">_xlfn.IFS(E886=$AB$42,$AF$42,E886=$AB$43,$AF$43,E886=$AB$44,$AF$44,E886=$AB$45,$AF$45,E886=$AB$46,$AF$46,E886=$AB$47,$AF$47,E886=$AB$48,$AF$48,E886=$AB$49,$AF$49,E886=$AB$50,$AF$50,E886=$AB$51,$AF$51,E886=$AB$52,$AF$52,E886=$AB$53,$AF$53,E886=$AB$54,$AF$54,E886=$AB$55,$AF$55,E886=$AB$56,$AF$56,E886=$AB$57,$AF$57,E886=$AB$58,$AF$58,E886=$AB$59,$AF$59,E886=$AB$60,$AF$60,E886=$AB$61,$AF$61,E886=$AB$62,$AF$62,E886=$AB$63,$AF$63,E886=$AB$64,$AF$64,E886=$AB$65,$AF$65,E886=$AB$66,$AF$66,TRUE,"0")</f>
        <v>B4 match BACK FT +1.5 goals. X AFTER  GOAL</v>
      </c>
      <c r="D886" s="270" t="str" cm="1">
        <f t="array" ref="D886">_xlfn.IFS(E886=$AB$42,$AD$42,E886=$AB$43,$AD$43,E886=$AB$44,$AD$44,E886=$AB$45,$AD$45,E886=$AB$46,$AD$46,E886=$AB$47,$AD$47,E886=$AB$48,$AD$48,E886=$AB$49,$AD$49,E886=$AB$50,$AD$50,E886=$AB$51,$AD$51,E886=$AB$52,$AD$52,E886=$AB$53,$AD$53,E886=$AB$54,$AD$54,E886=$AB$55,$AD$55,E886=$AB$56,$AD$56,E886=$AB$57,$AD$57,E886=$AB$58,$AD$58,E886=$AB$59,$AD$59,E886=$AB$60,$AD$60,E886=$AB$61,$AD$61,E886=$AB$62,$AD$62,E886=$AB$63,$AD$63,E886=$AB$64,$AD$64,E886=$AB$65,$AD$65,E886=$AB$66,$AD$66,TRUE,"0")</f>
        <v xml:space="preserve">BFM </v>
      </c>
      <c r="E886" s="163" t="s">
        <v>623</v>
      </c>
      <c r="F886" s="2" t="s">
        <v>6</v>
      </c>
      <c r="G886" s="2" t="s">
        <v>11</v>
      </c>
      <c r="H886" s="3">
        <v>45392.822916666664</v>
      </c>
      <c r="I886" s="2" t="s">
        <v>12</v>
      </c>
      <c r="J886" s="2" t="s">
        <v>710</v>
      </c>
      <c r="K886" s="2">
        <v>5.2</v>
      </c>
      <c r="L886" s="2">
        <v>20</v>
      </c>
      <c r="M886" s="2">
        <v>2.8</v>
      </c>
      <c r="N886" s="2">
        <v>35</v>
      </c>
      <c r="O886" s="2">
        <v>1</v>
      </c>
      <c r="P886" s="2">
        <v>10</v>
      </c>
      <c r="Q886" s="2" t="s">
        <v>95</v>
      </c>
      <c r="R886" s="159" t="s">
        <v>214</v>
      </c>
      <c r="S886" s="14" t="s">
        <v>207</v>
      </c>
      <c r="T886" s="188">
        <v>1000</v>
      </c>
      <c r="U886" s="8">
        <f t="shared" si="110"/>
        <v>180</v>
      </c>
      <c r="V886" s="234">
        <f t="shared" si="112"/>
        <v>66904.155246160299</v>
      </c>
      <c r="W886" s="15">
        <v>25</v>
      </c>
      <c r="X886" s="8">
        <f t="shared" si="111"/>
        <v>4.5</v>
      </c>
      <c r="Y886" s="233">
        <f t="shared" si="108"/>
        <v>3538.5</v>
      </c>
    </row>
    <row r="887" spans="1:25">
      <c r="A887" s="156" t="e" cm="1">
        <f t="array" aca="1" ref="A887" ca="1">_xlfn.IFS(E887=$AB$42,$AC$42,E887=$AB$43,$AC$43,E887=$AB$44,$AC$44,E887=$AB$45,$AC$45,E887=$AB$46,$AC$46,E887=$AB$47,$AC$47,E887=$AB$48,$AC$48,E887=$AB$49,$AC$49,E887=$AB$50,$AC$50,E887=$AB$51,$AC$51,E887=$AB$52,$AC$52,E887=$AB$53,$AC$53,E887=$AB$54,$AC$54,E887=$AB$55,$AC$55,E887=$AB$56,$AC$56,E887=$AB$57,$AC$57,E887=$AB$58,$AC$58,E887=$AB$59,$AC$59,E887=$AB$60,$AC$60,E887=$AB$61,$AC$61,E887=$AB$62,$AC$62,E887=$AB$63,$AC$63,E887=$AB$64,$AC$64,E887=$AB$65,$AC$65,E887=$AB$66,$AC$66,TRUE,"0")</f>
        <v>#NAME?</v>
      </c>
      <c r="C887" s="161" t="str" cm="1">
        <f t="array" ref="C887">_xlfn.IFS(E887=$AB$42,$AF$42,E887=$AB$43,$AF$43,E887=$AB$44,$AF$44,E887=$AB$45,$AF$45,E887=$AB$46,$AF$46,E887=$AB$47,$AF$47,E887=$AB$48,$AF$48,E887=$AB$49,$AF$49,E887=$AB$50,$AF$50,E887=$AB$51,$AF$51,E887=$AB$52,$AF$52,E887=$AB$53,$AF$53,E887=$AB$54,$AF$54,E887=$AB$55,$AF$55,E887=$AB$56,$AF$56,E887=$AB$57,$AF$57,E887=$AB$58,$AF$58,E887=$AB$59,$AF$59,E887=$AB$60,$AF$60,E887=$AB$61,$AF$61,E887=$AB$62,$AF$62,E887=$AB$63,$AF$63,E887=$AB$64,$AF$64,E887=$AB$65,$AF$65,E887=$AB$66,$AF$66,TRUE,"0")</f>
        <v>B4 match BACK FT +1.5 goals. X AFTER  GOAL</v>
      </c>
      <c r="D887" s="270" t="str" cm="1">
        <f t="array" ref="D887">_xlfn.IFS(E887=$AB$42,$AD$42,E887=$AB$43,$AD$43,E887=$AB$44,$AD$44,E887=$AB$45,$AD$45,E887=$AB$46,$AD$46,E887=$AB$47,$AD$47,E887=$AB$48,$AD$48,E887=$AB$49,$AD$49,E887=$AB$50,$AD$50,E887=$AB$51,$AD$51,E887=$AB$52,$AD$52,E887=$AB$53,$AD$53,E887=$AB$54,$AD$54,E887=$AB$55,$AD$55,E887=$AB$56,$AD$56,E887=$AB$57,$AD$57,E887=$AB$58,$AD$58,E887=$AB$59,$AD$59,E887=$AB$60,$AD$60,E887=$AB$61,$AD$61,E887=$AB$62,$AD$62,E887=$AB$63,$AD$63,E887=$AB$64,$AD$64,E887=$AB$65,$AD$65,E887=$AB$66,$AD$66,TRUE,"0")</f>
        <v xml:space="preserve">BFM </v>
      </c>
      <c r="E887" s="163" t="s">
        <v>623</v>
      </c>
      <c r="F887" s="2" t="s">
        <v>6</v>
      </c>
      <c r="G887" s="2" t="s">
        <v>14</v>
      </c>
      <c r="H887" s="3">
        <v>45392.833333333336</v>
      </c>
      <c r="I887" s="2" t="s">
        <v>414</v>
      </c>
      <c r="J887" s="2" t="s">
        <v>262</v>
      </c>
      <c r="K887" s="2">
        <v>4.7</v>
      </c>
      <c r="L887" s="2">
        <v>20</v>
      </c>
      <c r="M887" s="2">
        <v>3.15</v>
      </c>
      <c r="N887" s="2">
        <v>26</v>
      </c>
      <c r="O887" s="2">
        <v>1</v>
      </c>
      <c r="P887" s="2">
        <v>10</v>
      </c>
      <c r="Q887" s="2" t="s">
        <v>95</v>
      </c>
      <c r="R887" s="9" t="s">
        <v>220</v>
      </c>
      <c r="S887" s="14" t="s">
        <v>220</v>
      </c>
      <c r="T887" s="188">
        <v>1000</v>
      </c>
      <c r="U887" s="8">
        <f t="shared" si="110"/>
        <v>180</v>
      </c>
      <c r="V887" s="234">
        <f t="shared" si="112"/>
        <v>67084.155246160299</v>
      </c>
      <c r="W887" s="15">
        <v>25</v>
      </c>
      <c r="X887" s="8">
        <f t="shared" si="111"/>
        <v>4.5</v>
      </c>
      <c r="Y887" s="233">
        <f t="shared" si="108"/>
        <v>3543</v>
      </c>
    </row>
    <row r="888" spans="1:25">
      <c r="A888" s="156" t="e" cm="1">
        <f t="array" aca="1" ref="A888" ca="1">_xlfn.IFS(E888=$AB$42,$AC$42,E888=$AB$43,$AC$43,E888=$AB$44,$AC$44,E888=$AB$45,$AC$45,E888=$AB$46,$AC$46,E888=$AB$47,$AC$47,E888=$AB$48,$AC$48,E888=$AB$49,$AC$49,E888=$AB$50,$AC$50,E888=$AB$51,$AC$51,E888=$AB$52,$AC$52,E888=$AB$53,$AC$53,E888=$AB$54,$AC$54,E888=$AB$55,$AC$55,E888=$AB$56,$AC$56,E888=$AB$57,$AC$57,E888=$AB$58,$AC$58,E888=$AB$59,$AC$59,E888=$AB$60,$AC$60,E888=$AB$61,$AC$61,E888=$AB$62,$AC$62,E888=$AB$63,$AC$63,E888=$AB$64,$AC$64,E888=$AB$65,$AC$65,E888=$AB$66,$AC$66,TRUE,"0")</f>
        <v>#NAME?</v>
      </c>
      <c r="C888" s="161" t="str" cm="1">
        <f t="array" ref="C888">_xlfn.IFS(E888=$AB$42,$AF$42,E888=$AB$43,$AF$43,E888=$AB$44,$AF$44,E888=$AB$45,$AF$45,E888=$AB$46,$AF$46,E888=$AB$47,$AF$47,E888=$AB$48,$AF$48,E888=$AB$49,$AF$49,E888=$AB$50,$AF$50,E888=$AB$51,$AF$51,E888=$AB$52,$AF$52,E888=$AB$53,$AF$53,E888=$AB$54,$AF$54,E888=$AB$55,$AF$55,E888=$AB$56,$AF$56,E888=$AB$57,$AF$57,E888=$AB$58,$AF$58,E888=$AB$59,$AF$59,E888=$AB$60,$AF$60,E888=$AB$61,$AF$61,E888=$AB$62,$AF$62,E888=$AB$63,$AF$63,E888=$AB$64,$AF$64,E888=$AB$65,$AF$65,E888=$AB$66,$AF$66,TRUE,"0")</f>
        <v>40 mins Back ANother Goal</v>
      </c>
      <c r="D888" s="270" t="str" cm="1">
        <f t="array" ref="D888">_xlfn.IFS(E888=$AB$42,$AD$42,E888=$AB$43,$AD$43,E888=$AB$44,$AD$44,E888=$AB$45,$AD$45,E888=$AB$46,$AD$46,E888=$AB$47,$AD$47,E888=$AB$48,$AD$48,E888=$AB$49,$AD$49,E888=$AB$50,$AD$50,E888=$AB$51,$AD$51,E888=$AB$52,$AD$52,E888=$AB$53,$AD$53,E888=$AB$54,$AD$54,E888=$AB$55,$AD$55,E888=$AB$56,$AD$56,E888=$AB$57,$AD$57,E888=$AB$58,$AD$58,E888=$AB$59,$AD$59,E888=$AB$60,$AD$60,E888=$AB$61,$AD$61,E888=$AB$62,$AD$62,E888=$AB$63,$AD$63,E888=$AB$64,$AD$64,E888=$AB$65,$AD$65,E888=$AB$66,$AD$66,TRUE,"0")</f>
        <v xml:space="preserve">  BANG</v>
      </c>
      <c r="E888" s="163" t="s">
        <v>726</v>
      </c>
      <c r="F888" s="2" t="s">
        <v>44</v>
      </c>
      <c r="G888" s="2" t="s">
        <v>45</v>
      </c>
      <c r="H888" s="3">
        <v>45394.447916666664</v>
      </c>
      <c r="I888" s="2" t="s">
        <v>124</v>
      </c>
      <c r="J888" s="2" t="s">
        <v>143</v>
      </c>
      <c r="K888" s="2">
        <v>80</v>
      </c>
      <c r="L888" s="2">
        <v>20</v>
      </c>
      <c r="M888" s="2">
        <v>2.15</v>
      </c>
      <c r="N888" s="2">
        <v>64</v>
      </c>
      <c r="O888" s="2"/>
      <c r="P888" s="2"/>
      <c r="Q888" s="2" t="s">
        <v>95</v>
      </c>
      <c r="R888" s="9" t="s">
        <v>214</v>
      </c>
      <c r="S888" s="14" t="s">
        <v>223</v>
      </c>
      <c r="T888" s="188">
        <v>1000</v>
      </c>
      <c r="U888" s="8">
        <f t="shared" si="110"/>
        <v>180</v>
      </c>
      <c r="V888" s="234">
        <f t="shared" si="112"/>
        <v>67264.155246160299</v>
      </c>
      <c r="W888" s="15">
        <v>25</v>
      </c>
      <c r="X888" s="8">
        <f t="shared" si="111"/>
        <v>4.5</v>
      </c>
      <c r="Y888" s="233">
        <f t="shared" si="108"/>
        <v>3547.5</v>
      </c>
    </row>
    <row r="889" spans="1:25">
      <c r="A889" s="156" t="e" cm="1">
        <f t="array" aca="1" ref="A889" ca="1">_xlfn.IFS(E889=$AB$42,$AC$42,E889=$AB$43,$AC$43,E889=$AB$44,$AC$44,E889=$AB$45,$AC$45,E889=$AB$46,$AC$46,E889=$AB$47,$AC$47,E889=$AB$48,$AC$48,E889=$AB$49,$AC$49,E889=$AB$50,$AC$50,E889=$AB$51,$AC$51,E889=$AB$52,$AC$52,E889=$AB$53,$AC$53,E889=$AB$54,$AC$54,E889=$AB$55,$AC$55,E889=$AB$56,$AC$56,E889=$AB$57,$AC$57,E889=$AB$58,$AC$58,E889=$AB$59,$AC$59,E889=$AB$60,$AC$60,E889=$AB$61,$AC$61,E889=$AB$62,$AC$62,E889=$AB$63,$AC$63,E889=$AB$64,$AC$64,E889=$AB$65,$AC$65,E889=$AB$66,$AC$66,TRUE,"0")</f>
        <v>#NAME?</v>
      </c>
      <c r="C889" s="161" t="str" cm="1">
        <f t="array" ref="C889">_xlfn.IFS(E889=$AB$42,$AF$42,E889=$AB$43,$AF$43,E889=$AB$44,$AF$44,E889=$AB$45,$AF$45,E889=$AB$46,$AF$46,E889=$AB$47,$AF$47,E889=$AB$48,$AF$48,E889=$AB$49,$AF$49,E889=$AB$50,$AF$50,E889=$AB$51,$AF$51,E889=$AB$52,$AF$52,E889=$AB$53,$AF$53,E889=$AB$54,$AF$54,E889=$AB$55,$AF$55,E889=$AB$56,$AF$56,E889=$AB$57,$AF$57,E889=$AB$58,$AF$58,E889=$AB$59,$AF$59,E889=$AB$60,$AF$60,E889=$AB$61,$AF$61,E889=$AB$62,$AF$62,E889=$AB$63,$AF$63,E889=$AB$64,$AF$64,E889=$AB$65,$AF$65,E889=$AB$66,$AF$66,TRUE,"0")</f>
        <v>if 0-0, BACK+ 0.5 GOALS  @ 1.15+odds.  or @ 40 mins</v>
      </c>
      <c r="D889" s="270" t="str" cm="1">
        <f t="array" ref="D889">_xlfn.IFS(E889=$AB$42,$AD$42,E889=$AB$43,$AD$43,E889=$AB$44,$AD$44,E889=$AB$45,$AD$45,E889=$AB$46,$AD$46,E889=$AB$47,$AD$47,E889=$AB$48,$AD$48,E889=$AB$49,$AD$49,E889=$AB$50,$AD$50,E889=$AB$51,$AD$51,E889=$AB$52,$AD$52,E889=$AB$53,$AD$53,E889=$AB$54,$AD$54,E889=$AB$55,$AD$55,E889=$AB$56,$AD$56,E889=$AB$57,$AD$57,E889=$AB$58,$AD$58,E889=$AB$59,$AD$59,E889=$AB$60,$AD$60,E889=$AB$61,$AD$61,E889=$AB$62,$AD$62,E889=$AB$63,$AD$63,E889=$AB$64,$AD$64,E889=$AB$65,$AD$65,E889=$AB$66,$AD$66,TRUE,"0")</f>
        <v>IP</v>
      </c>
      <c r="E889" s="163" t="s">
        <v>270</v>
      </c>
      <c r="F889" s="2" t="s">
        <v>77</v>
      </c>
      <c r="G889" s="2" t="s">
        <v>234</v>
      </c>
      <c r="H889" s="3">
        <v>45394.729166666664</v>
      </c>
      <c r="I889" s="2" t="s">
        <v>633</v>
      </c>
      <c r="J889" s="2" t="s">
        <v>631</v>
      </c>
      <c r="K889" s="2">
        <v>61</v>
      </c>
      <c r="L889" s="2">
        <v>0</v>
      </c>
      <c r="M889" s="2">
        <v>20</v>
      </c>
      <c r="N889" s="2">
        <v>33</v>
      </c>
      <c r="O889" s="2">
        <v>3.13</v>
      </c>
      <c r="P889" s="2"/>
      <c r="Q889" s="2" t="s">
        <v>95</v>
      </c>
      <c r="R889" s="9" t="s">
        <v>193</v>
      </c>
      <c r="S889" s="14" t="s">
        <v>222</v>
      </c>
      <c r="T889" s="188">
        <v>1000</v>
      </c>
      <c r="U889" s="8">
        <f t="shared" si="110"/>
        <v>180</v>
      </c>
      <c r="V889" s="234">
        <f t="shared" si="112"/>
        <v>67444.155246160299</v>
      </c>
      <c r="W889" s="15">
        <v>25</v>
      </c>
      <c r="X889" s="8">
        <f t="shared" si="111"/>
        <v>4.5</v>
      </c>
      <c r="Y889" s="233">
        <f t="shared" si="108"/>
        <v>3552</v>
      </c>
    </row>
    <row r="890" spans="1:25">
      <c r="A890" s="156" t="e" cm="1">
        <f t="array" aca="1" ref="A890" ca="1">_xlfn.IFS(E890=$AB$42,$AC$42,E890=$AB$43,$AC$43,E890=$AB$44,$AC$44,E890=$AB$45,$AC$45,E890=$AB$46,$AC$46,E890=$AB$47,$AC$47,E890=$AB$48,$AC$48,E890=$AB$49,$AC$49,E890=$AB$50,$AC$50,E890=$AB$51,$AC$51,E890=$AB$52,$AC$52,E890=$AB$53,$AC$53,E890=$AB$54,$AC$54,E890=$AB$55,$AC$55,E890=$AB$56,$AC$56,E890=$AB$57,$AC$57,E890=$AB$58,$AC$58,E890=$AB$59,$AC$59,E890=$AB$60,$AC$60,E890=$AB$61,$AC$61,E890=$AB$62,$AC$62,E890=$AB$63,$AC$63,E890=$AB$64,$AC$64,E890=$AB$65,$AC$65,E890=$AB$66,$AC$66,TRUE,"0")</f>
        <v>#NAME?</v>
      </c>
      <c r="C890" s="161" t="str" cm="1">
        <f t="array" ref="C890">_xlfn.IFS(E890=$AB$42,$AF$42,E890=$AB$43,$AF$43,E890=$AB$44,$AF$44,E890=$AB$45,$AF$45,E890=$AB$46,$AF$46,E890=$AB$47,$AF$47,E890=$AB$48,$AF$48,E890=$AB$49,$AF$49,E890=$AB$50,$AF$50,E890=$AB$51,$AF$51,E890=$AB$52,$AF$52,E890=$AB$53,$AF$53,E890=$AB$54,$AF$54,E890=$AB$55,$AF$55,E890=$AB$56,$AF$56,E890=$AB$57,$AF$57,E890=$AB$58,$AF$58,E890=$AB$59,$AF$59,E890=$AB$60,$AF$60,E890=$AB$61,$AF$61,E890=$AB$62,$AF$62,E890=$AB$63,$AF$63,E890=$AB$64,$AF$64,E890=$AB$65,$AF$65,E890=$AB$66,$AF$66,TRUE,"0")</f>
        <v>B4 match BACK FT +1.5 goals. X AFTER  GOAL</v>
      </c>
      <c r="D890" s="270" t="str" cm="1">
        <f t="array" ref="D890">_xlfn.IFS(E890=$AB$42,$AD$42,E890=$AB$43,$AD$43,E890=$AB$44,$AD$44,E890=$AB$45,$AD$45,E890=$AB$46,$AD$46,E890=$AB$47,$AD$47,E890=$AB$48,$AD$48,E890=$AB$49,$AD$49,E890=$AB$50,$AD$50,E890=$AB$51,$AD$51,E890=$AB$52,$AD$52,E890=$AB$53,$AD$53,E890=$AB$54,$AD$54,E890=$AB$55,$AD$55,E890=$AB$56,$AD$56,E890=$AB$57,$AD$57,E890=$AB$58,$AD$58,E890=$AB$59,$AD$59,E890=$AB$60,$AD$60,E890=$AB$61,$AD$61,E890=$AB$62,$AD$62,E890=$AB$63,$AD$63,E890=$AB$64,$AD$64,E890=$AB$65,$AD$65,E890=$AB$66,$AD$66,TRUE,"0")</f>
        <v xml:space="preserve">BFM </v>
      </c>
      <c r="E890" s="163" t="s">
        <v>623</v>
      </c>
      <c r="F890" s="2" t="s">
        <v>77</v>
      </c>
      <c r="G890" s="2" t="s">
        <v>234</v>
      </c>
      <c r="H890" s="3">
        <v>45394.729166666664</v>
      </c>
      <c r="I890" s="2" t="s">
        <v>475</v>
      </c>
      <c r="J890" s="2" t="s">
        <v>646</v>
      </c>
      <c r="K890" s="2">
        <v>5.9</v>
      </c>
      <c r="L890" s="2">
        <v>20</v>
      </c>
      <c r="M890" s="2">
        <v>3.25</v>
      </c>
      <c r="N890" s="2">
        <v>23</v>
      </c>
      <c r="O890" s="2">
        <v>2</v>
      </c>
      <c r="P890" s="2">
        <v>10</v>
      </c>
      <c r="Q890" s="2" t="s">
        <v>95</v>
      </c>
      <c r="R890" s="9" t="s">
        <v>220</v>
      </c>
      <c r="S890" s="14" t="s">
        <v>194</v>
      </c>
      <c r="T890" s="188">
        <v>1000</v>
      </c>
      <c r="U890" s="8">
        <f t="shared" si="110"/>
        <v>180</v>
      </c>
      <c r="V890" s="234">
        <f t="shared" si="112"/>
        <v>67624.155246160299</v>
      </c>
      <c r="W890" s="15">
        <v>25</v>
      </c>
      <c r="X890" s="8">
        <f t="shared" si="111"/>
        <v>4.5</v>
      </c>
      <c r="Y890" s="233">
        <f t="shared" si="108"/>
        <v>3556.5</v>
      </c>
    </row>
    <row r="891" spans="1:25">
      <c r="A891" s="156" t="e" cm="1">
        <f t="array" aca="1" ref="A891" ca="1">_xlfn.IFS(E891=$AB$42,$AC$42,E891=$AB$43,$AC$43,E891=$AB$44,$AC$44,E891=$AB$45,$AC$45,E891=$AB$46,$AC$46,E891=$AB$47,$AC$47,E891=$AB$48,$AC$48,E891=$AB$49,$AC$49,E891=$AB$50,$AC$50,E891=$AB$51,$AC$51,E891=$AB$52,$AC$52,E891=$AB$53,$AC$53,E891=$AB$54,$AC$54,E891=$AB$55,$AC$55,E891=$AB$56,$AC$56,E891=$AB$57,$AC$57,E891=$AB$58,$AC$58,E891=$AB$59,$AC$59,E891=$AB$60,$AC$60,E891=$AB$61,$AC$61,E891=$AB$62,$AC$62,E891=$AB$63,$AC$63,E891=$AB$64,$AC$64,E891=$AB$65,$AC$65,E891=$AB$66,$AC$66,TRUE,"0")</f>
        <v>#NAME?</v>
      </c>
      <c r="C891" s="161" t="str" cm="1">
        <f t="array" ref="C891">_xlfn.IFS(E891=$AB$42,$AF$42,E891=$AB$43,$AF$43,E891=$AB$44,$AF$44,E891=$AB$45,$AF$45,E891=$AB$46,$AF$46,E891=$AB$47,$AF$47,E891=$AB$48,$AF$48,E891=$AB$49,$AF$49,E891=$AB$50,$AF$50,E891=$AB$51,$AF$51,E891=$AB$52,$AF$52,E891=$AB$53,$AF$53,E891=$AB$54,$AF$54,E891=$AB$55,$AF$55,E891=$AB$56,$AF$56,E891=$AB$57,$AF$57,E891=$AB$58,$AF$58,E891=$AB$59,$AF$59,E891=$AB$60,$AF$60,E891=$AB$61,$AF$61,E891=$AB$62,$AF$62,E891=$AB$63,$AF$63,E891=$AB$64,$AF$64,E891=$AB$65,$AF$65,E891=$AB$66,$AF$66,TRUE,"0")</f>
        <v>10mins if  0-0, BACK over 1.5 goals X after goal OR LET RUN</v>
      </c>
      <c r="D891" s="270" t="str" cm="1">
        <f t="array" ref="D891">_xlfn.IFS(E891=$AB$42,$AD$42,E891=$AB$43,$AD$43,E891=$AB$44,$AD$44,E891=$AB$45,$AD$45,E891=$AB$46,$AD$46,E891=$AB$47,$AD$47,E891=$AB$48,$AD$48,E891=$AB$49,$AD$49,E891=$AB$50,$AD$50,E891=$AB$51,$AD$51,E891=$AB$52,$AD$52,E891=$AB$53,$AD$53,E891=$AB$54,$AD$54,E891=$AB$55,$AD$55,E891=$AB$56,$AD$56,E891=$AB$57,$AD$57,E891=$AB$58,$AD$58,E891=$AB$59,$AD$59,E891=$AB$60,$AD$60,E891=$AB$61,$AD$61,E891=$AB$62,$AD$62,E891=$AB$63,$AD$63,E891=$AB$64,$AD$64,E891=$AB$65,$AD$65,E891=$AB$66,$AD$66,TRUE,"0")</f>
        <v>IP</v>
      </c>
      <c r="E891" s="163" t="s">
        <v>498</v>
      </c>
      <c r="F891" s="2" t="s">
        <v>77</v>
      </c>
      <c r="G891" s="2" t="s">
        <v>234</v>
      </c>
      <c r="H891" s="3">
        <v>45394.729166666664</v>
      </c>
      <c r="I891" s="2" t="s">
        <v>475</v>
      </c>
      <c r="J891" s="2" t="s">
        <v>646</v>
      </c>
      <c r="K891" s="2">
        <v>66</v>
      </c>
      <c r="L891" s="2">
        <v>80</v>
      </c>
      <c r="M891" s="2">
        <v>1.8</v>
      </c>
      <c r="N891" s="2">
        <v>20</v>
      </c>
      <c r="O891" s="2"/>
      <c r="P891" s="2"/>
      <c r="Q891" s="2" t="s">
        <v>95</v>
      </c>
      <c r="R891" s="9" t="s">
        <v>220</v>
      </c>
      <c r="S891" s="14" t="s">
        <v>194</v>
      </c>
      <c r="T891" s="188">
        <v>1000</v>
      </c>
      <c r="U891" s="8">
        <f t="shared" si="110"/>
        <v>180</v>
      </c>
      <c r="V891" s="234">
        <f t="shared" si="112"/>
        <v>67804.155246160299</v>
      </c>
      <c r="W891" s="15">
        <v>25</v>
      </c>
      <c r="X891" s="8">
        <f t="shared" si="111"/>
        <v>4.5</v>
      </c>
      <c r="Y891" s="233">
        <f t="shared" si="108"/>
        <v>3561</v>
      </c>
    </row>
    <row r="892" spans="1:25">
      <c r="A892" s="156" t="e" cm="1">
        <f t="array" aca="1" ref="A892" ca="1">_xlfn.IFS(E892=$AB$42,$AC$42,E892=$AB$43,$AC$43,E892=$AB$44,$AC$44,E892=$AB$45,$AC$45,E892=$AB$46,$AC$46,E892=$AB$47,$AC$47,E892=$AB$48,$AC$48,E892=$AB$49,$AC$49,E892=$AB$50,$AC$50,E892=$AB$51,$AC$51,E892=$AB$52,$AC$52,E892=$AB$53,$AC$53,E892=$AB$54,$AC$54,E892=$AB$55,$AC$55,E892=$AB$56,$AC$56,E892=$AB$57,$AC$57,E892=$AB$58,$AC$58,E892=$AB$59,$AC$59,E892=$AB$60,$AC$60,E892=$AB$61,$AC$61,E892=$AB$62,$AC$62,E892=$AB$63,$AC$63,E892=$AB$64,$AC$64,E892=$AB$65,$AC$65,E892=$AB$66,$AC$66,TRUE,"0")</f>
        <v>#NAME?</v>
      </c>
      <c r="C892" s="161" t="str" cm="1">
        <f t="array" ref="C892">_xlfn.IFS(E892=$AB$42,$AF$42,E892=$AB$43,$AF$43,E892=$AB$44,$AF$44,E892=$AB$45,$AF$45,E892=$AB$46,$AF$46,E892=$AB$47,$AF$47,E892=$AB$48,$AF$48,E892=$AB$49,$AF$49,E892=$AB$50,$AF$50,E892=$AB$51,$AF$51,E892=$AB$52,$AF$52,E892=$AB$53,$AF$53,E892=$AB$54,$AF$54,E892=$AB$55,$AF$55,E892=$AB$56,$AF$56,E892=$AB$57,$AF$57,E892=$AB$58,$AF$58,E892=$AB$59,$AF$59,E892=$AB$60,$AF$60,E892=$AB$61,$AF$61,E892=$AB$62,$AF$62,E892=$AB$63,$AF$63,E892=$AB$64,$AF$64,E892=$AB$65,$AF$65,E892=$AB$66,$AF$66,TRUE,"0")</f>
        <v>40 mins Back ANother Goal</v>
      </c>
      <c r="D892" s="270" t="str" cm="1">
        <f t="array" ref="D892">_xlfn.IFS(E892=$AB$42,$AD$42,E892=$AB$43,$AD$43,E892=$AB$44,$AD$44,E892=$AB$45,$AD$45,E892=$AB$46,$AD$46,E892=$AB$47,$AD$47,E892=$AB$48,$AD$48,E892=$AB$49,$AD$49,E892=$AB$50,$AD$50,E892=$AB$51,$AD$51,E892=$AB$52,$AD$52,E892=$AB$53,$AD$53,E892=$AB$54,$AD$54,E892=$AB$55,$AD$55,E892=$AB$56,$AD$56,E892=$AB$57,$AD$57,E892=$AB$58,$AD$58,E892=$AB$59,$AD$59,E892=$AB$60,$AD$60,E892=$AB$61,$AD$61,E892=$AB$62,$AD$62,E892=$AB$63,$AD$63,E892=$AB$64,$AD$64,E892=$AB$65,$AD$65,E892=$AB$66,$AD$66,TRUE,"0")</f>
        <v xml:space="preserve">  BANG</v>
      </c>
      <c r="E892" s="163" t="s">
        <v>726</v>
      </c>
      <c r="F892" s="2" t="s">
        <v>77</v>
      </c>
      <c r="G892" s="2" t="s">
        <v>251</v>
      </c>
      <c r="H892" s="3">
        <v>45394.75</v>
      </c>
      <c r="I892" s="2" t="s">
        <v>707</v>
      </c>
      <c r="J892" s="2" t="s">
        <v>259</v>
      </c>
      <c r="K892" s="2">
        <v>85</v>
      </c>
      <c r="L892" s="2">
        <v>20</v>
      </c>
      <c r="M892" s="2">
        <v>2.0499999999999998</v>
      </c>
      <c r="N892" s="2">
        <v>64</v>
      </c>
      <c r="O892" s="2"/>
      <c r="P892" s="2"/>
      <c r="Q892" s="2" t="s">
        <v>95</v>
      </c>
      <c r="R892" s="9" t="s">
        <v>214</v>
      </c>
      <c r="S892" s="14" t="s">
        <v>216</v>
      </c>
      <c r="T892" s="188">
        <v>1000</v>
      </c>
      <c r="U892" s="8">
        <f t="shared" si="110"/>
        <v>180</v>
      </c>
      <c r="V892" s="234">
        <f t="shared" si="112"/>
        <v>67984.155246160299</v>
      </c>
      <c r="W892" s="15">
        <v>25</v>
      </c>
      <c r="X892" s="8">
        <f t="shared" si="111"/>
        <v>4.5</v>
      </c>
      <c r="Y892" s="233">
        <f t="shared" si="108"/>
        <v>3565.5</v>
      </c>
    </row>
    <row r="893" spans="1:25">
      <c r="A893" s="156" t="e" cm="1">
        <f t="array" aca="1" ref="A893" ca="1">_xlfn.IFS(E893=$AB$42,$AC$42,E893=$AB$43,$AC$43,E893=$AB$44,$AC$44,E893=$AB$45,$AC$45,E893=$AB$46,$AC$46,E893=$AB$47,$AC$47,E893=$AB$48,$AC$48,E893=$AB$49,$AC$49,E893=$AB$50,$AC$50,E893=$AB$51,$AC$51,E893=$AB$52,$AC$52,E893=$AB$53,$AC$53,E893=$AB$54,$AC$54,E893=$AB$55,$AC$55,E893=$AB$56,$AC$56,E893=$AB$57,$AC$57,E893=$AB$58,$AC$58,E893=$AB$59,$AC$59,E893=$AB$60,$AC$60,E893=$AB$61,$AC$61,E893=$AB$62,$AC$62,E893=$AB$63,$AC$63,E893=$AB$64,$AC$64,E893=$AB$65,$AC$65,E893=$AB$66,$AC$66,TRUE,"0")</f>
        <v>#NAME?</v>
      </c>
      <c r="C893" s="161" t="str" cm="1">
        <f t="array" ref="C893">_xlfn.IFS(E893=$AB$42,$AF$42,E893=$AB$43,$AF$43,E893=$AB$44,$AF$44,E893=$AB$45,$AF$45,E893=$AB$46,$AF$46,E893=$AB$47,$AF$47,E893=$AB$48,$AF$48,E893=$AB$49,$AF$49,E893=$AB$50,$AF$50,E893=$AB$51,$AF$51,E893=$AB$52,$AF$52,E893=$AB$53,$AF$53,E893=$AB$54,$AF$54,E893=$AB$55,$AF$55,E893=$AB$56,$AF$56,E893=$AB$57,$AF$57,E893=$AB$58,$AF$58,E893=$AB$59,$AF$59,E893=$AB$60,$AF$60,E893=$AB$61,$AF$61,E893=$AB$62,$AF$62,E893=$AB$63,$AF$63,E893=$AB$64,$AF$64,E893=$AB$65,$AF$65,E893=$AB$66,$AF$66,TRUE,"0")</f>
        <v>if 0-0, BACK+ 0.5 GOALS  @ 1.15+odds.  or @ 40 mins</v>
      </c>
      <c r="D893" s="270" t="str" cm="1">
        <f t="array" ref="D893">_xlfn.IFS(E893=$AB$42,$AD$42,E893=$AB$43,$AD$43,E893=$AB$44,$AD$44,E893=$AB$45,$AD$45,E893=$AB$46,$AD$46,E893=$AB$47,$AD$47,E893=$AB$48,$AD$48,E893=$AB$49,$AD$49,E893=$AB$50,$AD$50,E893=$AB$51,$AD$51,E893=$AB$52,$AD$52,E893=$AB$53,$AD$53,E893=$AB$54,$AD$54,E893=$AB$55,$AD$55,E893=$AB$56,$AD$56,E893=$AB$57,$AD$57,E893=$AB$58,$AD$58,E893=$AB$59,$AD$59,E893=$AB$60,$AD$60,E893=$AB$61,$AD$61,E893=$AB$62,$AD$62,E893=$AB$63,$AD$63,E893=$AB$64,$AD$64,E893=$AB$65,$AD$65,E893=$AB$66,$AD$66,TRUE,"0")</f>
        <v>IP</v>
      </c>
      <c r="E893" s="163" t="s">
        <v>270</v>
      </c>
      <c r="F893" s="2" t="s">
        <v>77</v>
      </c>
      <c r="G893" s="2" t="s">
        <v>251</v>
      </c>
      <c r="H893" s="3">
        <v>45394.75</v>
      </c>
      <c r="I893" s="2" t="s">
        <v>707</v>
      </c>
      <c r="J893" s="2" t="s">
        <v>259</v>
      </c>
      <c r="K893" s="2">
        <v>65</v>
      </c>
      <c r="L893" s="2">
        <v>0</v>
      </c>
      <c r="M893" s="2">
        <v>20</v>
      </c>
      <c r="N893" s="2">
        <v>35</v>
      </c>
      <c r="O893" s="2">
        <v>0</v>
      </c>
      <c r="P893" s="2"/>
      <c r="Q893" s="2" t="s">
        <v>95</v>
      </c>
      <c r="R893" s="9" t="s">
        <v>214</v>
      </c>
      <c r="S893" s="14" t="s">
        <v>216</v>
      </c>
      <c r="T893" s="188">
        <v>1000</v>
      </c>
      <c r="U893" s="8">
        <f t="shared" si="110"/>
        <v>180</v>
      </c>
      <c r="V893" s="234">
        <f t="shared" si="112"/>
        <v>68164.155246160299</v>
      </c>
      <c r="W893" s="15">
        <v>25</v>
      </c>
      <c r="X893" s="8">
        <f t="shared" si="111"/>
        <v>4.5</v>
      </c>
      <c r="Y893" s="233">
        <f t="shared" si="108"/>
        <v>3570</v>
      </c>
    </row>
    <row r="894" spans="1:25">
      <c r="A894" s="156" t="e" cm="1">
        <f t="array" aca="1" ref="A894" ca="1">_xlfn.IFS(E894=$AB$42,$AC$42,E894=$AB$43,$AC$43,E894=$AB$44,$AC$44,E894=$AB$45,$AC$45,E894=$AB$46,$AC$46,E894=$AB$47,$AC$47,E894=$AB$48,$AC$48,E894=$AB$49,$AC$49,E894=$AB$50,$AC$50,E894=$AB$51,$AC$51,E894=$AB$52,$AC$52,E894=$AB$53,$AC$53,E894=$AB$54,$AC$54,E894=$AB$55,$AC$55,E894=$AB$56,$AC$56,E894=$AB$57,$AC$57,E894=$AB$58,$AC$58,E894=$AB$59,$AC$59,E894=$AB$60,$AC$60,E894=$AB$61,$AC$61,E894=$AB$62,$AC$62,E894=$AB$63,$AC$63,E894=$AB$64,$AC$64,E894=$AB$65,$AC$65,E894=$AB$66,$AC$66,TRUE,"0")</f>
        <v>#NAME?</v>
      </c>
      <c r="C894" s="161" t="str" cm="1">
        <f t="array" ref="C894">_xlfn.IFS(E894=$AB$42,$AF$42,E894=$AB$43,$AF$43,E894=$AB$44,$AF$44,E894=$AB$45,$AF$45,E894=$AB$46,$AF$46,E894=$AB$47,$AF$47,E894=$AB$48,$AF$48,E894=$AB$49,$AF$49,E894=$AB$50,$AF$50,E894=$AB$51,$AF$51,E894=$AB$52,$AF$52,E894=$AB$53,$AF$53,E894=$AB$54,$AF$54,E894=$AB$55,$AF$55,E894=$AB$56,$AF$56,E894=$AB$57,$AF$57,E894=$AB$58,$AF$58,E894=$AB$59,$AF$59,E894=$AB$60,$AF$60,E894=$AB$61,$AF$61,E894=$AB$62,$AF$62,E894=$AB$63,$AF$63,E894=$AB$64,$AF$64,E894=$AB$65,$AF$65,E894=$AB$66,$AF$66,TRUE,"0")</f>
        <v>10mins if  0-0, BACK over 1.5 goals X after goal OR LET RUN</v>
      </c>
      <c r="D894" s="270" t="str" cm="1">
        <f t="array" ref="D894">_xlfn.IFS(E894=$AB$42,$AD$42,E894=$AB$43,$AD$43,E894=$AB$44,$AD$44,E894=$AB$45,$AD$45,E894=$AB$46,$AD$46,E894=$AB$47,$AD$47,E894=$AB$48,$AD$48,E894=$AB$49,$AD$49,E894=$AB$50,$AD$50,E894=$AB$51,$AD$51,E894=$AB$52,$AD$52,E894=$AB$53,$AD$53,E894=$AB$54,$AD$54,E894=$AB$55,$AD$55,E894=$AB$56,$AD$56,E894=$AB$57,$AD$57,E894=$AB$58,$AD$58,E894=$AB$59,$AD$59,E894=$AB$60,$AD$60,E894=$AB$61,$AD$61,E894=$AB$62,$AD$62,E894=$AB$63,$AD$63,E894=$AB$64,$AD$64,E894=$AB$65,$AD$65,E894=$AB$66,$AD$66,TRUE,"0")</f>
        <v>IP</v>
      </c>
      <c r="E894" s="163" t="s">
        <v>498</v>
      </c>
      <c r="F894" s="2" t="s">
        <v>296</v>
      </c>
      <c r="G894" s="2" t="s">
        <v>525</v>
      </c>
      <c r="H894" s="3">
        <v>45394.770833333336</v>
      </c>
      <c r="I894" s="2" t="s">
        <v>528</v>
      </c>
      <c r="J894" s="2" t="s">
        <v>527</v>
      </c>
      <c r="K894" s="2">
        <v>69</v>
      </c>
      <c r="L894" s="2">
        <v>85</v>
      </c>
      <c r="M894" s="2">
        <v>1.35</v>
      </c>
      <c r="N894" s="2">
        <v>20</v>
      </c>
      <c r="O894" s="2"/>
      <c r="P894" s="2"/>
      <c r="Q894" s="2" t="s">
        <v>95</v>
      </c>
      <c r="R894" s="9" t="s">
        <v>214</v>
      </c>
      <c r="S894" s="14" t="s">
        <v>215</v>
      </c>
      <c r="T894" s="188">
        <v>1000</v>
      </c>
      <c r="U894" s="8">
        <f t="shared" si="110"/>
        <v>180</v>
      </c>
      <c r="V894" s="234">
        <f t="shared" si="112"/>
        <v>68344.155246160299</v>
      </c>
      <c r="W894" s="15">
        <v>25</v>
      </c>
      <c r="X894" s="8">
        <f t="shared" si="111"/>
        <v>4.5</v>
      </c>
      <c r="Y894" s="233">
        <f t="shared" si="108"/>
        <v>3574.5</v>
      </c>
    </row>
    <row r="895" spans="1:25">
      <c r="A895" s="156" t="e" cm="1">
        <f t="array" aca="1" ref="A895" ca="1">_xlfn.IFS(E895=$AB$42,$AC$42,E895=$AB$43,$AC$43,E895=$AB$44,$AC$44,E895=$AB$45,$AC$45,E895=$AB$46,$AC$46,E895=$AB$47,$AC$47,E895=$AB$48,$AC$48,E895=$AB$49,$AC$49,E895=$AB$50,$AC$50,E895=$AB$51,$AC$51,E895=$AB$52,$AC$52,E895=$AB$53,$AC$53,E895=$AB$54,$AC$54,E895=$AB$55,$AC$55,E895=$AB$56,$AC$56,E895=$AB$57,$AC$57,E895=$AB$58,$AC$58,E895=$AB$59,$AC$59,E895=$AB$60,$AC$60,E895=$AB$61,$AC$61,E895=$AB$62,$AC$62,E895=$AB$63,$AC$63,E895=$AB$64,$AC$64,E895=$AB$65,$AC$65,E895=$AB$66,$AC$66,TRUE,"0")</f>
        <v>#NAME?</v>
      </c>
      <c r="C895" s="161" t="str" cm="1">
        <f t="array" ref="C895">_xlfn.IFS(E895=$AB$42,$AF$42,E895=$AB$43,$AF$43,E895=$AB$44,$AF$44,E895=$AB$45,$AF$45,E895=$AB$46,$AF$46,E895=$AB$47,$AF$47,E895=$AB$48,$AF$48,E895=$AB$49,$AF$49,E895=$AB$50,$AF$50,E895=$AB$51,$AF$51,E895=$AB$52,$AF$52,E895=$AB$53,$AF$53,E895=$AB$54,$AF$54,E895=$AB$55,$AF$55,E895=$AB$56,$AF$56,E895=$AB$57,$AF$57,E895=$AB$58,$AF$58,E895=$AB$59,$AF$59,E895=$AB$60,$AF$60,E895=$AB$61,$AF$61,E895=$AB$62,$AF$62,E895=$AB$63,$AF$63,E895=$AB$64,$AF$64,E895=$AB$65,$AF$65,E895=$AB$66,$AF$66,TRUE,"0")</f>
        <v>15mins if  0-0, BACK over 1.5 goals X after goal OR LET RUN</v>
      </c>
      <c r="D895" s="270" t="str" cm="1">
        <f t="array" ref="D895">_xlfn.IFS(E895=$AB$42,$AD$42,E895=$AB$43,$AD$43,E895=$AB$44,$AD$44,E895=$AB$45,$AD$45,E895=$AB$46,$AD$46,E895=$AB$47,$AD$47,E895=$AB$48,$AD$48,E895=$AB$49,$AD$49,E895=$AB$50,$AD$50,E895=$AB$51,$AD$51,E895=$AB$52,$AD$52,E895=$AB$53,$AD$53,E895=$AB$54,$AD$54,E895=$AB$55,$AD$55,E895=$AB$56,$AD$56,E895=$AB$57,$AD$57,E895=$AB$58,$AD$58,E895=$AB$59,$AD$59,E895=$AB$60,$AD$60,E895=$AB$61,$AD$61,E895=$AB$62,$AD$62,E895=$AB$63,$AD$63,E895=$AB$64,$AD$64,E895=$AB$65,$AD$65,E895=$AB$66,$AD$66,TRUE,"0")</f>
        <v>IP</v>
      </c>
      <c r="E895" s="163" t="s">
        <v>473</v>
      </c>
      <c r="F895" s="2" t="s">
        <v>296</v>
      </c>
      <c r="G895" s="2" t="s">
        <v>525</v>
      </c>
      <c r="H895" s="3">
        <v>45394.770833333336</v>
      </c>
      <c r="I895" s="2" t="s">
        <v>528</v>
      </c>
      <c r="J895" s="2" t="s">
        <v>527</v>
      </c>
      <c r="K895" s="2">
        <v>71</v>
      </c>
      <c r="L895" s="2">
        <v>85</v>
      </c>
      <c r="M895" s="2">
        <v>20</v>
      </c>
      <c r="N895" s="2">
        <v>2.7</v>
      </c>
      <c r="O895" s="2"/>
      <c r="P895" s="2"/>
      <c r="Q895" s="2" t="s">
        <v>95</v>
      </c>
      <c r="R895" s="9" t="s">
        <v>214</v>
      </c>
      <c r="S895" s="14" t="s">
        <v>215</v>
      </c>
      <c r="T895" s="188">
        <v>1000</v>
      </c>
      <c r="U895" s="8">
        <f t="shared" si="110"/>
        <v>180</v>
      </c>
      <c r="V895" s="234">
        <f t="shared" si="112"/>
        <v>68524.155246160299</v>
      </c>
      <c r="W895" s="15">
        <v>25</v>
      </c>
      <c r="X895" s="8">
        <f t="shared" si="111"/>
        <v>4.5</v>
      </c>
      <c r="Y895" s="233">
        <f t="shared" si="108"/>
        <v>3579</v>
      </c>
    </row>
    <row r="896" spans="1:25">
      <c r="A896" s="156" t="e" cm="1">
        <f t="array" aca="1" ref="A896" ca="1">_xlfn.IFS(E896=$AB$42,$AC$42,E896=$AB$43,$AC$43,E896=$AB$44,$AC$44,E896=$AB$45,$AC$45,E896=$AB$46,$AC$46,E896=$AB$47,$AC$47,E896=$AB$48,$AC$48,E896=$AB$49,$AC$49,E896=$AB$50,$AC$50,E896=$AB$51,$AC$51,E896=$AB$52,$AC$52,E896=$AB$53,$AC$53,E896=$AB$54,$AC$54,E896=$AB$55,$AC$55,E896=$AB$56,$AC$56,E896=$AB$57,$AC$57,E896=$AB$58,$AC$58,E896=$AB$59,$AC$59,E896=$AB$60,$AC$60,E896=$AB$61,$AC$61,E896=$AB$62,$AC$62,E896=$AB$63,$AC$63,E896=$AB$64,$AC$64,E896=$AB$65,$AC$65,E896=$AB$66,$AC$66,TRUE,"0")</f>
        <v>#NAME?</v>
      </c>
      <c r="C896" s="161" t="str" cm="1">
        <f t="array" ref="C896">_xlfn.IFS(E896=$AB$42,$AF$42,E896=$AB$43,$AF$43,E896=$AB$44,$AF$44,E896=$AB$45,$AF$45,E896=$AB$46,$AF$46,E896=$AB$47,$AF$47,E896=$AB$48,$AF$48,E896=$AB$49,$AF$49,E896=$AB$50,$AF$50,E896=$AB$51,$AF$51,E896=$AB$52,$AF$52,E896=$AB$53,$AF$53,E896=$AB$54,$AF$54,E896=$AB$55,$AF$55,E896=$AB$56,$AF$56,E896=$AB$57,$AF$57,E896=$AB$58,$AF$58,E896=$AB$59,$AF$59,E896=$AB$60,$AF$60,E896=$AB$61,$AF$61,E896=$AB$62,$AF$62,E896=$AB$63,$AF$63,E896=$AB$64,$AF$64,E896=$AB$65,$AF$65,E896=$AB$66,$AF$66,TRUE,"0")</f>
        <v>10mins if  0-0, BACK over 1.5 goals X after goal OR LET RUN</v>
      </c>
      <c r="D896" s="270" t="str" cm="1">
        <f t="array" ref="D896">_xlfn.IFS(E896=$AB$42,$AD$42,E896=$AB$43,$AD$43,E896=$AB$44,$AD$44,E896=$AB$45,$AD$45,E896=$AB$46,$AD$46,E896=$AB$47,$AD$47,E896=$AB$48,$AD$48,E896=$AB$49,$AD$49,E896=$AB$50,$AD$50,E896=$AB$51,$AD$51,E896=$AB$52,$AD$52,E896=$AB$53,$AD$53,E896=$AB$54,$AD$54,E896=$AB$55,$AD$55,E896=$AB$56,$AD$56,E896=$AB$57,$AD$57,E896=$AB$58,$AD$58,E896=$AB$59,$AD$59,E896=$AB$60,$AD$60,E896=$AB$61,$AD$61,E896=$AB$62,$AD$62,E896=$AB$63,$AD$63,E896=$AB$64,$AD$64,E896=$AB$65,$AD$65,E896=$AB$66,$AD$66,TRUE,"0")</f>
        <v>IP</v>
      </c>
      <c r="E896" s="163" t="s">
        <v>498</v>
      </c>
      <c r="F896" s="2" t="s">
        <v>149</v>
      </c>
      <c r="G896" s="2" t="s">
        <v>150</v>
      </c>
      <c r="H896" s="3">
        <v>45394.791666666664</v>
      </c>
      <c r="I896" s="2" t="s">
        <v>178</v>
      </c>
      <c r="J896" s="2" t="s">
        <v>709</v>
      </c>
      <c r="K896" s="2">
        <v>63</v>
      </c>
      <c r="L896" s="2">
        <v>80</v>
      </c>
      <c r="M896" s="2">
        <v>1.7</v>
      </c>
      <c r="N896" s="2">
        <v>20</v>
      </c>
      <c r="O896" s="2"/>
      <c r="P896" s="2"/>
      <c r="Q896" s="2" t="s">
        <v>95</v>
      </c>
      <c r="R896" s="9" t="s">
        <v>221</v>
      </c>
      <c r="S896" s="14" t="s">
        <v>193</v>
      </c>
      <c r="T896" s="188">
        <v>1000</v>
      </c>
      <c r="U896" s="8">
        <f t="shared" si="110"/>
        <v>180</v>
      </c>
      <c r="V896" s="234">
        <f t="shared" si="112"/>
        <v>68704.155246160299</v>
      </c>
      <c r="W896" s="15">
        <v>25</v>
      </c>
      <c r="X896" s="8">
        <f t="shared" si="111"/>
        <v>4.5</v>
      </c>
      <c r="Y896" s="233">
        <f t="shared" si="108"/>
        <v>3583.5</v>
      </c>
    </row>
    <row r="897" spans="1:25">
      <c r="A897" s="156" t="e" cm="1">
        <f t="array" aca="1" ref="A897" ca="1">_xlfn.IFS(E897=$AB$42,$AC$42,E897=$AB$43,$AC$43,E897=$AB$44,$AC$44,E897=$AB$45,$AC$45,E897=$AB$46,$AC$46,E897=$AB$47,$AC$47,E897=$AB$48,$AC$48,E897=$AB$49,$AC$49,E897=$AB$50,$AC$50,E897=$AB$51,$AC$51,E897=$AB$52,$AC$52,E897=$AB$53,$AC$53,E897=$AB$54,$AC$54,E897=$AB$55,$AC$55,E897=$AB$56,$AC$56,E897=$AB$57,$AC$57,E897=$AB$58,$AC$58,E897=$AB$59,$AC$59,E897=$AB$60,$AC$60,E897=$AB$61,$AC$61,E897=$AB$62,$AC$62,E897=$AB$63,$AC$63,E897=$AB$64,$AC$64,E897=$AB$65,$AC$65,E897=$AB$66,$AC$66,TRUE,"0")</f>
        <v>#NAME?</v>
      </c>
      <c r="C897" s="161" t="str" cm="1">
        <f t="array" ref="C897">_xlfn.IFS(E897=$AB$42,$AF$42,E897=$AB$43,$AF$43,E897=$AB$44,$AF$44,E897=$AB$45,$AF$45,E897=$AB$46,$AF$46,E897=$AB$47,$AF$47,E897=$AB$48,$AF$48,E897=$AB$49,$AF$49,E897=$AB$50,$AF$50,E897=$AB$51,$AF$51,E897=$AB$52,$AF$52,E897=$AB$53,$AF$53,E897=$AB$54,$AF$54,E897=$AB$55,$AF$55,E897=$AB$56,$AF$56,E897=$AB$57,$AF$57,E897=$AB$58,$AF$58,E897=$AB$59,$AF$59,E897=$AB$60,$AF$60,E897=$AB$61,$AF$61,E897=$AB$62,$AF$62,E897=$AB$63,$AF$63,E897=$AB$64,$AF$64,E897=$AB$65,$AF$65,E897=$AB$66,$AF$66,TRUE,"0")</f>
        <v>40 mins Back ANother Goal</v>
      </c>
      <c r="D897" s="270" t="str" cm="1">
        <f t="array" ref="D897">_xlfn.IFS(E897=$AB$42,$AD$42,E897=$AB$43,$AD$43,E897=$AB$44,$AD$44,E897=$AB$45,$AD$45,E897=$AB$46,$AD$46,E897=$AB$47,$AD$47,E897=$AB$48,$AD$48,E897=$AB$49,$AD$49,E897=$AB$50,$AD$50,E897=$AB$51,$AD$51,E897=$AB$52,$AD$52,E897=$AB$53,$AD$53,E897=$AB$54,$AD$54,E897=$AB$55,$AD$55,E897=$AB$56,$AD$56,E897=$AB$57,$AD$57,E897=$AB$58,$AD$58,E897=$AB$59,$AD$59,E897=$AB$60,$AD$60,E897=$AB$61,$AD$61,E897=$AB$62,$AD$62,E897=$AB$63,$AD$63,E897=$AB$64,$AD$64,E897=$AB$65,$AD$65,E897=$AB$66,$AD$66,TRUE,"0")</f>
        <v xml:space="preserve">  BANG</v>
      </c>
      <c r="E897" s="163" t="s">
        <v>726</v>
      </c>
      <c r="F897" s="2" t="s">
        <v>149</v>
      </c>
      <c r="G897" s="2" t="s">
        <v>153</v>
      </c>
      <c r="H897" s="3">
        <v>45394.791666666664</v>
      </c>
      <c r="I897" s="2" t="s">
        <v>647</v>
      </c>
      <c r="J897" s="2" t="s">
        <v>244</v>
      </c>
      <c r="K897" s="2">
        <v>90</v>
      </c>
      <c r="L897" s="2">
        <v>20</v>
      </c>
      <c r="M897" s="2">
        <v>2.1</v>
      </c>
      <c r="N897" s="2">
        <v>62</v>
      </c>
      <c r="O897" s="2"/>
      <c r="P897" s="2"/>
      <c r="Q897" s="2" t="s">
        <v>95</v>
      </c>
      <c r="R897" s="9" t="s">
        <v>220</v>
      </c>
      <c r="S897" s="14" t="s">
        <v>194</v>
      </c>
      <c r="T897" s="188">
        <v>1000</v>
      </c>
      <c r="U897" s="8">
        <f t="shared" si="110"/>
        <v>180</v>
      </c>
      <c r="V897" s="234">
        <f t="shared" si="112"/>
        <v>68884.155246160299</v>
      </c>
      <c r="W897" s="15">
        <v>25</v>
      </c>
      <c r="X897" s="8">
        <f t="shared" si="111"/>
        <v>4.5</v>
      </c>
      <c r="Y897" s="233">
        <f t="shared" si="108"/>
        <v>3588</v>
      </c>
    </row>
    <row r="898" spans="1:25">
      <c r="A898" s="156" t="e" cm="1">
        <f t="array" aca="1" ref="A898" ca="1">_xlfn.IFS(E898=$AB$42,$AC$42,E898=$AB$43,$AC$43,E898=$AB$44,$AC$44,E898=$AB$45,$AC$45,E898=$AB$46,$AC$46,E898=$AB$47,$AC$47,E898=$AB$48,$AC$48,E898=$AB$49,$AC$49,E898=$AB$50,$AC$50,E898=$AB$51,$AC$51,E898=$AB$52,$AC$52,E898=$AB$53,$AC$53,E898=$AB$54,$AC$54,E898=$AB$55,$AC$55,E898=$AB$56,$AC$56,E898=$AB$57,$AC$57,E898=$AB$58,$AC$58,E898=$AB$59,$AC$59,E898=$AB$60,$AC$60,E898=$AB$61,$AC$61,E898=$AB$62,$AC$62,E898=$AB$63,$AC$63,E898=$AB$64,$AC$64,E898=$AB$65,$AC$65,E898=$AB$66,$AC$66,TRUE,"0")</f>
        <v>#NAME?</v>
      </c>
      <c r="C898" s="161" t="str" cm="1">
        <f t="array" ref="C898">_xlfn.IFS(E898=$AB$42,$AF$42,E898=$AB$43,$AF$43,E898=$AB$44,$AF$44,E898=$AB$45,$AF$45,E898=$AB$46,$AF$46,E898=$AB$47,$AF$47,E898=$AB$48,$AF$48,E898=$AB$49,$AF$49,E898=$AB$50,$AF$50,E898=$AB$51,$AF$51,E898=$AB$52,$AF$52,E898=$AB$53,$AF$53,E898=$AB$54,$AF$54,E898=$AB$55,$AF$55,E898=$AB$56,$AF$56,E898=$AB$57,$AF$57,E898=$AB$58,$AF$58,E898=$AB$59,$AF$59,E898=$AB$60,$AF$60,E898=$AB$61,$AF$61,E898=$AB$62,$AF$62,E898=$AB$63,$AF$63,E898=$AB$64,$AF$64,E898=$AB$65,$AF$65,E898=$AB$66,$AF$66,TRUE,"0")</f>
        <v>if 0-0, BACK+ 0.5 GOALS  @ 1.15+odds.  or @ 40 mins</v>
      </c>
      <c r="D898" s="270" t="str" cm="1">
        <f t="array" ref="D898">_xlfn.IFS(E898=$AB$42,$AD$42,E898=$AB$43,$AD$43,E898=$AB$44,$AD$44,E898=$AB$45,$AD$45,E898=$AB$46,$AD$46,E898=$AB$47,$AD$47,E898=$AB$48,$AD$48,E898=$AB$49,$AD$49,E898=$AB$50,$AD$50,E898=$AB$51,$AD$51,E898=$AB$52,$AD$52,E898=$AB$53,$AD$53,E898=$AB$54,$AD$54,E898=$AB$55,$AD$55,E898=$AB$56,$AD$56,E898=$AB$57,$AD$57,E898=$AB$58,$AD$58,E898=$AB$59,$AD$59,E898=$AB$60,$AD$60,E898=$AB$61,$AD$61,E898=$AB$62,$AD$62,E898=$AB$63,$AD$63,E898=$AB$64,$AD$64,E898=$AB$65,$AD$65,E898=$AB$66,$AD$66,TRUE,"0")</f>
        <v>IP</v>
      </c>
      <c r="E898" s="163" t="s">
        <v>270</v>
      </c>
      <c r="F898" s="2" t="s">
        <v>149</v>
      </c>
      <c r="G898" s="2" t="s">
        <v>150</v>
      </c>
      <c r="H898" s="3">
        <v>45394.791666666664</v>
      </c>
      <c r="I898" s="2" t="s">
        <v>329</v>
      </c>
      <c r="J898" s="2" t="s">
        <v>152</v>
      </c>
      <c r="K898" s="2">
        <v>59</v>
      </c>
      <c r="L898" s="2">
        <v>0</v>
      </c>
      <c r="M898" s="2">
        <v>20</v>
      </c>
      <c r="N898" s="2">
        <v>33</v>
      </c>
      <c r="O898" s="2">
        <v>2.36</v>
      </c>
      <c r="P898" s="2"/>
      <c r="Q898" s="2" t="s">
        <v>95</v>
      </c>
      <c r="R898" s="9" t="s">
        <v>214</v>
      </c>
      <c r="S898" s="14" t="s">
        <v>211</v>
      </c>
      <c r="T898" s="188">
        <v>1000</v>
      </c>
      <c r="U898" s="8">
        <f t="shared" si="110"/>
        <v>180</v>
      </c>
      <c r="V898" s="234">
        <f t="shared" si="112"/>
        <v>69064.155246160299</v>
      </c>
      <c r="W898" s="15">
        <v>25</v>
      </c>
      <c r="X898" s="8">
        <f t="shared" si="111"/>
        <v>4.5</v>
      </c>
      <c r="Y898" s="233">
        <f t="shared" si="108"/>
        <v>3592.5</v>
      </c>
    </row>
    <row r="899" spans="1:25">
      <c r="A899" s="156" t="e" cm="1">
        <f t="array" aca="1" ref="A899" ca="1">_xlfn.IFS(E899=$AB$42,$AC$42,E899=$AB$43,$AC$43,E899=$AB$44,$AC$44,E899=$AB$45,$AC$45,E899=$AB$46,$AC$46,E899=$AB$47,$AC$47,E899=$AB$48,$AC$48,E899=$AB$49,$AC$49,E899=$AB$50,$AC$50,E899=$AB$51,$AC$51,E899=$AB$52,$AC$52,E899=$AB$53,$AC$53,E899=$AB$54,$AC$54,E899=$AB$55,$AC$55,E899=$AB$56,$AC$56,E899=$AB$57,$AC$57,E899=$AB$58,$AC$58,E899=$AB$59,$AC$59,E899=$AB$60,$AC$60,E899=$AB$61,$AC$61,E899=$AB$62,$AC$62,E899=$AB$63,$AC$63,E899=$AB$64,$AC$64,E899=$AB$65,$AC$65,E899=$AB$66,$AC$66,TRUE,"0")</f>
        <v>#NAME?</v>
      </c>
      <c r="C899" s="161" t="str" cm="1">
        <f t="array" ref="C899">_xlfn.IFS(E899=$AB$42,$AF$42,E899=$AB$43,$AF$43,E899=$AB$44,$AF$44,E899=$AB$45,$AF$45,E899=$AB$46,$AF$46,E899=$AB$47,$AF$47,E899=$AB$48,$AF$48,E899=$AB$49,$AF$49,E899=$AB$50,$AF$50,E899=$AB$51,$AF$51,E899=$AB$52,$AF$52,E899=$AB$53,$AF$53,E899=$AB$54,$AF$54,E899=$AB$55,$AF$55,E899=$AB$56,$AF$56,E899=$AB$57,$AF$57,E899=$AB$58,$AF$58,E899=$AB$59,$AF$59,E899=$AB$60,$AF$60,E899=$AB$61,$AF$61,E899=$AB$62,$AF$62,E899=$AB$63,$AF$63,E899=$AB$64,$AF$64,E899=$AB$65,$AF$65,E899=$AB$66,$AF$66,TRUE,"0")</f>
        <v>B4 match BACK FT +1.5 goals. X AFTER  GOAL</v>
      </c>
      <c r="D899" s="270" t="str" cm="1">
        <f t="array" ref="D899">_xlfn.IFS(E899=$AB$42,$AD$42,E899=$AB$43,$AD$43,E899=$AB$44,$AD$44,E899=$AB$45,$AD$45,E899=$AB$46,$AD$46,E899=$AB$47,$AD$47,E899=$AB$48,$AD$48,E899=$AB$49,$AD$49,E899=$AB$50,$AD$50,E899=$AB$51,$AD$51,E899=$AB$52,$AD$52,E899=$AB$53,$AD$53,E899=$AB$54,$AD$54,E899=$AB$55,$AD$55,E899=$AB$56,$AD$56,E899=$AB$57,$AD$57,E899=$AB$58,$AD$58,E899=$AB$59,$AD$59,E899=$AB$60,$AD$60,E899=$AB$61,$AD$61,E899=$AB$62,$AD$62,E899=$AB$63,$AD$63,E899=$AB$64,$AD$64,E899=$AB$65,$AD$65,E899=$AB$66,$AD$66,TRUE,"0")</f>
        <v xml:space="preserve">BFM </v>
      </c>
      <c r="E899" s="163" t="s">
        <v>623</v>
      </c>
      <c r="F899" s="2" t="s">
        <v>149</v>
      </c>
      <c r="G899" s="2" t="s">
        <v>150</v>
      </c>
      <c r="H899" s="3">
        <v>45394.791666666664</v>
      </c>
      <c r="I899" s="2" t="s">
        <v>236</v>
      </c>
      <c r="J899" s="2" t="s">
        <v>700</v>
      </c>
      <c r="K899" s="2">
        <v>6</v>
      </c>
      <c r="L899" s="2">
        <v>20</v>
      </c>
      <c r="M899" s="2">
        <v>3</v>
      </c>
      <c r="N899" s="2">
        <v>22</v>
      </c>
      <c r="O899" s="2">
        <v>1</v>
      </c>
      <c r="P899" s="2">
        <v>10</v>
      </c>
      <c r="Q899" s="2" t="s">
        <v>95</v>
      </c>
      <c r="R899" s="10" t="s">
        <v>222</v>
      </c>
      <c r="S899" s="14" t="s">
        <v>196</v>
      </c>
      <c r="T899" s="188">
        <v>1000</v>
      </c>
      <c r="U899" s="8">
        <f t="shared" si="110"/>
        <v>180</v>
      </c>
      <c r="V899" s="234">
        <f t="shared" si="112"/>
        <v>69244.155246160299</v>
      </c>
      <c r="W899" s="15">
        <v>25</v>
      </c>
      <c r="X899" s="8">
        <f t="shared" si="111"/>
        <v>4.5</v>
      </c>
      <c r="Y899" s="233">
        <f t="shared" si="108"/>
        <v>3597</v>
      </c>
    </row>
    <row r="900" spans="1:25">
      <c r="A900" s="156" t="e" cm="1">
        <f t="array" aca="1" ref="A900" ca="1">_xlfn.IFS(E900=$AB$42,$AC$42,E900=$AB$43,$AC$43,E900=$AB$44,$AC$44,E900=$AB$45,$AC$45,E900=$AB$46,$AC$46,E900=$AB$47,$AC$47,E900=$AB$48,$AC$48,E900=$AB$49,$AC$49,E900=$AB$50,$AC$50,E900=$AB$51,$AC$51,E900=$AB$52,$AC$52,E900=$AB$53,$AC$53,E900=$AB$54,$AC$54,E900=$AB$55,$AC$55,E900=$AB$56,$AC$56,E900=$AB$57,$AC$57,E900=$AB$58,$AC$58,E900=$AB$59,$AC$59,E900=$AB$60,$AC$60,E900=$AB$61,$AC$61,E900=$AB$62,$AC$62,E900=$AB$63,$AC$63,E900=$AB$64,$AC$64,E900=$AB$65,$AC$65,E900=$AB$66,$AC$66,TRUE,"0")</f>
        <v>#NAME?</v>
      </c>
      <c r="C900" s="161" t="str" cm="1">
        <f t="array" ref="C900">_xlfn.IFS(E900=$AB$42,$AF$42,E900=$AB$43,$AF$43,E900=$AB$44,$AF$44,E900=$AB$45,$AF$45,E900=$AB$46,$AF$46,E900=$AB$47,$AF$47,E900=$AB$48,$AF$48,E900=$AB$49,$AF$49,E900=$AB$50,$AF$50,E900=$AB$51,$AF$51,E900=$AB$52,$AF$52,E900=$AB$53,$AF$53,E900=$AB$54,$AF$54,E900=$AB$55,$AF$55,E900=$AB$56,$AF$56,E900=$AB$57,$AF$57,E900=$AB$58,$AF$58,E900=$AB$59,$AF$59,E900=$AB$60,$AF$60,E900=$AB$61,$AF$61,E900=$AB$62,$AF$62,E900=$AB$63,$AF$63,E900=$AB$64,$AF$64,E900=$AB$65,$AF$65,E900=$AB$66,$AF$66,TRUE,"0")</f>
        <v>10mins if  0-0, BACK over 1.5 goals X after goal OR LET RUN</v>
      </c>
      <c r="D900" s="270" t="str" cm="1">
        <f t="array" ref="D900">_xlfn.IFS(E900=$AB$42,$AD$42,E900=$AB$43,$AD$43,E900=$AB$44,$AD$44,E900=$AB$45,$AD$45,E900=$AB$46,$AD$46,E900=$AB$47,$AD$47,E900=$AB$48,$AD$48,E900=$AB$49,$AD$49,E900=$AB$50,$AD$50,E900=$AB$51,$AD$51,E900=$AB$52,$AD$52,E900=$AB$53,$AD$53,E900=$AB$54,$AD$54,E900=$AB$55,$AD$55,E900=$AB$56,$AD$56,E900=$AB$57,$AD$57,E900=$AB$58,$AD$58,E900=$AB$59,$AD$59,E900=$AB$60,$AD$60,E900=$AB$61,$AD$61,E900=$AB$62,$AD$62,E900=$AB$63,$AD$63,E900=$AB$64,$AD$64,E900=$AB$65,$AD$65,E900=$AB$66,$AD$66,TRUE,"0")</f>
        <v>IP</v>
      </c>
      <c r="E900" s="163" t="s">
        <v>498</v>
      </c>
      <c r="F900" s="2" t="s">
        <v>20</v>
      </c>
      <c r="G900" s="2" t="s">
        <v>322</v>
      </c>
      <c r="H900" s="3">
        <v>45394.8125</v>
      </c>
      <c r="I900" s="2" t="s">
        <v>693</v>
      </c>
      <c r="J900" s="2" t="s">
        <v>333</v>
      </c>
      <c r="K900" s="2">
        <v>68</v>
      </c>
      <c r="L900" s="2">
        <v>80</v>
      </c>
      <c r="M900" s="2">
        <v>1.4</v>
      </c>
      <c r="N900" s="2">
        <v>20</v>
      </c>
      <c r="O900" s="2"/>
      <c r="P900" s="2"/>
      <c r="Q900" s="2" t="s">
        <v>95</v>
      </c>
      <c r="R900" s="10" t="s">
        <v>223</v>
      </c>
      <c r="S900" s="14" t="s">
        <v>211</v>
      </c>
      <c r="T900" s="188">
        <v>1000</v>
      </c>
      <c r="U900" s="8">
        <f t="shared" si="110"/>
        <v>180</v>
      </c>
      <c r="V900" s="234">
        <f t="shared" si="112"/>
        <v>69424.155246160299</v>
      </c>
      <c r="W900" s="15">
        <v>25</v>
      </c>
      <c r="X900" s="8">
        <f t="shared" si="111"/>
        <v>4.5</v>
      </c>
      <c r="Y900" s="233">
        <f t="shared" si="108"/>
        <v>3601.5</v>
      </c>
    </row>
    <row r="901" spans="1:25">
      <c r="A901" s="156" t="e" cm="1">
        <f t="array" aca="1" ref="A901" ca="1">_xlfn.IFS(E901=$AB$42,$AC$42,E901=$AB$43,$AC$43,E901=$AB$44,$AC$44,E901=$AB$45,$AC$45,E901=$AB$46,$AC$46,E901=$AB$47,$AC$47,E901=$AB$48,$AC$48,E901=$AB$49,$AC$49,E901=$AB$50,$AC$50,E901=$AB$51,$AC$51,E901=$AB$52,$AC$52,E901=$AB$53,$AC$53,E901=$AB$54,$AC$54,E901=$AB$55,$AC$55,E901=$AB$56,$AC$56,E901=$AB$57,$AC$57,E901=$AB$58,$AC$58,E901=$AB$59,$AC$59,E901=$AB$60,$AC$60,E901=$AB$61,$AC$61,E901=$AB$62,$AC$62,E901=$AB$63,$AC$63,E901=$AB$64,$AC$64,E901=$AB$65,$AC$65,E901=$AB$66,$AC$66,TRUE,"0")</f>
        <v>#NAME?</v>
      </c>
      <c r="C901" s="161" t="str" cm="1">
        <f t="array" ref="C901">_xlfn.IFS(E901=$AB$42,$AF$42,E901=$AB$43,$AF$43,E901=$AB$44,$AF$44,E901=$AB$45,$AF$45,E901=$AB$46,$AF$46,E901=$AB$47,$AF$47,E901=$AB$48,$AF$48,E901=$AB$49,$AF$49,E901=$AB$50,$AF$50,E901=$AB$51,$AF$51,E901=$AB$52,$AF$52,E901=$AB$53,$AF$53,E901=$AB$54,$AF$54,E901=$AB$55,$AF$55,E901=$AB$56,$AF$56,E901=$AB$57,$AF$57,E901=$AB$58,$AF$58,E901=$AB$59,$AF$59,E901=$AB$60,$AF$60,E901=$AB$61,$AF$61,E901=$AB$62,$AF$62,E901=$AB$63,$AF$63,E901=$AB$64,$AF$64,E901=$AB$65,$AF$65,E901=$AB$66,$AF$66,TRUE,"0")</f>
        <v>B4 match BACK FT +1.5 goals. X AFTER  GOAL</v>
      </c>
      <c r="D901" s="270" t="str" cm="1">
        <f t="array" ref="D901">_xlfn.IFS(E901=$AB$42,$AD$42,E901=$AB$43,$AD$43,E901=$AB$44,$AD$44,E901=$AB$45,$AD$45,E901=$AB$46,$AD$46,E901=$AB$47,$AD$47,E901=$AB$48,$AD$48,E901=$AB$49,$AD$49,E901=$AB$50,$AD$50,E901=$AB$51,$AD$51,E901=$AB$52,$AD$52,E901=$AB$53,$AD$53,E901=$AB$54,$AD$54,E901=$AB$55,$AD$55,E901=$AB$56,$AD$56,E901=$AB$57,$AD$57,E901=$AB$58,$AD$58,E901=$AB$59,$AD$59,E901=$AB$60,$AD$60,E901=$AB$61,$AD$61,E901=$AB$62,$AD$62,E901=$AB$63,$AD$63,E901=$AB$64,$AD$64,E901=$AB$65,$AD$65,E901=$AB$66,$AD$66,TRUE,"0")</f>
        <v xml:space="preserve">BFM </v>
      </c>
      <c r="E901" s="163" t="s">
        <v>623</v>
      </c>
      <c r="F901" s="2" t="s">
        <v>20</v>
      </c>
      <c r="G901" s="2" t="s">
        <v>21</v>
      </c>
      <c r="H901" s="3">
        <v>45394.822916666664</v>
      </c>
      <c r="I901" s="2" t="s">
        <v>590</v>
      </c>
      <c r="J901" s="2" t="s">
        <v>110</v>
      </c>
      <c r="K901" s="2">
        <v>5.4</v>
      </c>
      <c r="L901" s="2">
        <v>20</v>
      </c>
      <c r="M901" s="2">
        <v>2.35</v>
      </c>
      <c r="N901" s="2">
        <v>33</v>
      </c>
      <c r="O901" s="2">
        <v>0</v>
      </c>
      <c r="P901" s="2">
        <v>10</v>
      </c>
      <c r="Q901" s="2" t="s">
        <v>95</v>
      </c>
      <c r="R901" s="10" t="s">
        <v>215</v>
      </c>
      <c r="S901" s="14" t="s">
        <v>196</v>
      </c>
      <c r="T901" s="188">
        <v>1000</v>
      </c>
      <c r="U901" s="8">
        <f t="shared" si="110"/>
        <v>180</v>
      </c>
      <c r="V901" s="234">
        <f t="shared" si="112"/>
        <v>69604.155246160299</v>
      </c>
      <c r="W901" s="15">
        <v>25</v>
      </c>
      <c r="X901" s="8">
        <f t="shared" si="111"/>
        <v>4.5</v>
      </c>
      <c r="Y901" s="233">
        <f t="shared" si="108"/>
        <v>3606</v>
      </c>
    </row>
    <row r="902" spans="1:25">
      <c r="A902" s="156" t="e" cm="1">
        <f t="array" aca="1" ref="A902" ca="1">_xlfn.IFS(E902=$AB$42,$AC$42,E902=$AB$43,$AC$43,E902=$AB$44,$AC$44,E902=$AB$45,$AC$45,E902=$AB$46,$AC$46,E902=$AB$47,$AC$47,E902=$AB$48,$AC$48,E902=$AB$49,$AC$49,E902=$AB$50,$AC$50,E902=$AB$51,$AC$51,E902=$AB$52,$AC$52,E902=$AB$53,$AC$53,E902=$AB$54,$AC$54,E902=$AB$55,$AC$55,E902=$AB$56,$AC$56,E902=$AB$57,$AC$57,E902=$AB$58,$AC$58,E902=$AB$59,$AC$59,E902=$AB$60,$AC$60,E902=$AB$61,$AC$61,E902=$AB$62,$AC$62,E902=$AB$63,$AC$63,E902=$AB$64,$AC$64,E902=$AB$65,$AC$65,E902=$AB$66,$AC$66,TRUE,"0")</f>
        <v>#NAME?</v>
      </c>
      <c r="C902" s="161" t="str" cm="1">
        <f t="array" ref="C902">_xlfn.IFS(E902=$AB$42,$AF$42,E902=$AB$43,$AF$43,E902=$AB$44,$AF$44,E902=$AB$45,$AF$45,E902=$AB$46,$AF$46,E902=$AB$47,$AF$47,E902=$AB$48,$AF$48,E902=$AB$49,$AF$49,E902=$AB$50,$AF$50,E902=$AB$51,$AF$51,E902=$AB$52,$AF$52,E902=$AB$53,$AF$53,E902=$AB$54,$AF$54,E902=$AB$55,$AF$55,E902=$AB$56,$AF$56,E902=$AB$57,$AF$57,E902=$AB$58,$AF$58,E902=$AB$59,$AF$59,E902=$AB$60,$AF$60,E902=$AB$61,$AF$61,E902=$AB$62,$AF$62,E902=$AB$63,$AF$63,E902=$AB$64,$AF$64,E902=$AB$65,$AF$65,E902=$AB$66,$AF$66,TRUE,"0")</f>
        <v>40 mins Back ANother Goal</v>
      </c>
      <c r="D902" s="270" t="str" cm="1">
        <f t="array" ref="D902">_xlfn.IFS(E902=$AB$42,$AD$42,E902=$AB$43,$AD$43,E902=$AB$44,$AD$44,E902=$AB$45,$AD$45,E902=$AB$46,$AD$46,E902=$AB$47,$AD$47,E902=$AB$48,$AD$48,E902=$AB$49,$AD$49,E902=$AB$50,$AD$50,E902=$AB$51,$AD$51,E902=$AB$52,$AD$52,E902=$AB$53,$AD$53,E902=$AB$54,$AD$54,E902=$AB$55,$AD$55,E902=$AB$56,$AD$56,E902=$AB$57,$AD$57,E902=$AB$58,$AD$58,E902=$AB$59,$AD$59,E902=$AB$60,$AD$60,E902=$AB$61,$AD$61,E902=$AB$62,$AD$62,E902=$AB$63,$AD$63,E902=$AB$64,$AD$64,E902=$AB$65,$AD$65,E902=$AB$66,$AD$66,TRUE,"0")</f>
        <v xml:space="preserve">  BANG</v>
      </c>
      <c r="E902" s="163" t="s">
        <v>515</v>
      </c>
      <c r="F902" s="2" t="s">
        <v>564</v>
      </c>
      <c r="G902" s="2" t="s">
        <v>565</v>
      </c>
      <c r="H902" s="3">
        <v>45394.822916666664</v>
      </c>
      <c r="I902" s="2" t="s">
        <v>567</v>
      </c>
      <c r="J902" s="2" t="s">
        <v>708</v>
      </c>
      <c r="K902" s="2">
        <v>20</v>
      </c>
      <c r="L902" s="2">
        <v>70</v>
      </c>
      <c r="M902" s="2">
        <v>1.5</v>
      </c>
      <c r="N902" s="2"/>
      <c r="O902" s="2"/>
      <c r="P902" s="2"/>
      <c r="Q902" s="2" t="s">
        <v>95</v>
      </c>
      <c r="R902" s="10" t="s">
        <v>217</v>
      </c>
      <c r="S902" s="14" t="s">
        <v>223</v>
      </c>
      <c r="T902" s="188">
        <v>1000</v>
      </c>
      <c r="U902" s="8">
        <f t="shared" si="110"/>
        <v>180</v>
      </c>
      <c r="V902" s="234">
        <f t="shared" si="112"/>
        <v>69784.155246160299</v>
      </c>
      <c r="W902" s="15">
        <v>25</v>
      </c>
      <c r="X902" s="8">
        <f t="shared" si="111"/>
        <v>4.5</v>
      </c>
      <c r="Y902" s="233">
        <f t="shared" si="108"/>
        <v>3610.5</v>
      </c>
    </row>
    <row r="903" spans="1:25">
      <c r="A903" s="156" t="e" cm="1">
        <f t="array" aca="1" ref="A903" ca="1">_xlfn.IFS(E903=$AB$42,$AC$42,E903=$AB$43,$AC$43,E903=$AB$44,$AC$44,E903=$AB$45,$AC$45,E903=$AB$46,$AC$46,E903=$AB$47,$AC$47,E903=$AB$48,$AC$48,E903=$AB$49,$AC$49,E903=$AB$50,$AC$50,E903=$AB$51,$AC$51,E903=$AB$52,$AC$52,E903=$AB$53,$AC$53,E903=$AB$54,$AC$54,E903=$AB$55,$AC$55,E903=$AB$56,$AC$56,E903=$AB$57,$AC$57,E903=$AB$58,$AC$58,E903=$AB$59,$AC$59,E903=$AB$60,$AC$60,E903=$AB$61,$AC$61,E903=$AB$62,$AC$62,E903=$AB$63,$AC$63,E903=$AB$64,$AC$64,E903=$AB$65,$AC$65,E903=$AB$66,$AC$66,TRUE,"0")</f>
        <v>#NAME?</v>
      </c>
      <c r="C903" s="161" t="str" cm="1">
        <f t="array" ref="C903">_xlfn.IFS(E903=$AB$42,$AF$42,E903=$AB$43,$AF$43,E903=$AB$44,$AF$44,E903=$AB$45,$AF$45,E903=$AB$46,$AF$46,E903=$AB$47,$AF$47,E903=$AB$48,$AF$48,E903=$AB$49,$AF$49,E903=$AB$50,$AF$50,E903=$AB$51,$AF$51,E903=$AB$52,$AF$52,E903=$AB$53,$AF$53,E903=$AB$54,$AF$54,E903=$AB$55,$AF$55,E903=$AB$56,$AF$56,E903=$AB$57,$AF$57,E903=$AB$58,$AF$58,E903=$AB$59,$AF$59,E903=$AB$60,$AF$60,E903=$AB$61,$AF$61,E903=$AB$62,$AF$62,E903=$AB$63,$AF$63,E903=$AB$64,$AF$64,E903=$AB$65,$AF$65,E903=$AB$66,$AF$66,TRUE,"0")</f>
        <v>B4 match BACK FT +1.5 goals. X AFTER  GOAL</v>
      </c>
      <c r="D903" s="270" t="str" cm="1">
        <f t="array" ref="D903">_xlfn.IFS(E903=$AB$42,$AD$42,E903=$AB$43,$AD$43,E903=$AB$44,$AD$44,E903=$AB$45,$AD$45,E903=$AB$46,$AD$46,E903=$AB$47,$AD$47,E903=$AB$48,$AD$48,E903=$AB$49,$AD$49,E903=$AB$50,$AD$50,E903=$AB$51,$AD$51,E903=$AB$52,$AD$52,E903=$AB$53,$AD$53,E903=$AB$54,$AD$54,E903=$AB$55,$AD$55,E903=$AB$56,$AD$56,E903=$AB$57,$AD$57,E903=$AB$58,$AD$58,E903=$AB$59,$AD$59,E903=$AB$60,$AD$60,E903=$AB$61,$AD$61,E903=$AB$62,$AD$62,E903=$AB$63,$AD$63,E903=$AB$64,$AD$64,E903=$AB$65,$AD$65,E903=$AB$66,$AD$66,TRUE,"0")</f>
        <v xml:space="preserve">BFM </v>
      </c>
      <c r="E903" s="163" t="s">
        <v>531</v>
      </c>
      <c r="F903" s="2" t="s">
        <v>6</v>
      </c>
      <c r="G903" s="2" t="s">
        <v>14</v>
      </c>
      <c r="H903" s="3">
        <v>45394.833333333336</v>
      </c>
      <c r="I903" s="2" t="s">
        <v>57</v>
      </c>
      <c r="J903" s="2" t="s">
        <v>290</v>
      </c>
      <c r="K903" s="2">
        <v>5.2</v>
      </c>
      <c r="L903" s="2">
        <v>40</v>
      </c>
      <c r="M903" s="2">
        <v>3.25</v>
      </c>
      <c r="N903" s="2">
        <v>32</v>
      </c>
      <c r="O903" s="2">
        <v>3</v>
      </c>
      <c r="P903" s="2">
        <v>20</v>
      </c>
      <c r="Q903" s="2" t="s">
        <v>95</v>
      </c>
      <c r="R903" s="10" t="s">
        <v>214</v>
      </c>
      <c r="S903" s="14" t="s">
        <v>214</v>
      </c>
      <c r="T903" s="188">
        <v>1000</v>
      </c>
      <c r="U903" s="8">
        <f t="shared" si="110"/>
        <v>180</v>
      </c>
      <c r="V903" s="234">
        <f t="shared" si="112"/>
        <v>69964.155246160299</v>
      </c>
      <c r="W903" s="15">
        <v>25</v>
      </c>
      <c r="X903" s="8">
        <f t="shared" si="111"/>
        <v>4.5</v>
      </c>
      <c r="Y903" s="233">
        <f t="shared" si="108"/>
        <v>3615</v>
      </c>
    </row>
    <row r="904" spans="1:25">
      <c r="A904" s="156" t="e" cm="1">
        <f t="array" aca="1" ref="A904" ca="1">_xlfn.IFS(E904=$AB$42,$AC$42,E904=$AB$43,$AC$43,E904=$AB$44,$AC$44,E904=$AB$45,$AC$45,E904=$AB$46,$AC$46,E904=$AB$47,$AC$47,E904=$AB$48,$AC$48,E904=$AB$49,$AC$49,E904=$AB$50,$AC$50,E904=$AB$51,$AC$51,E904=$AB$52,$AC$52,E904=$AB$53,$AC$53,E904=$AB$54,$AC$54,E904=$AB$55,$AC$55,E904=$AB$56,$AC$56,E904=$AB$57,$AC$57,E904=$AB$58,$AC$58,E904=$AB$59,$AC$59,E904=$AB$60,$AC$60,E904=$AB$61,$AC$61,E904=$AB$62,$AC$62,E904=$AB$63,$AC$63,E904=$AB$64,$AC$64,E904=$AB$65,$AC$65,E904=$AB$66,$AC$66,TRUE,"0")</f>
        <v>#NAME?</v>
      </c>
      <c r="C904" s="161" t="str" cm="1">
        <f t="array" ref="C904">_xlfn.IFS(E904=$AB$42,$AF$42,E904=$AB$43,$AF$43,E904=$AB$44,$AF$44,E904=$AB$45,$AF$45,E904=$AB$46,$AF$46,E904=$AB$47,$AF$47,E904=$AB$48,$AF$48,E904=$AB$49,$AF$49,E904=$AB$50,$AF$50,E904=$AB$51,$AF$51,E904=$AB$52,$AF$52,E904=$AB$53,$AF$53,E904=$AB$54,$AF$54,E904=$AB$55,$AF$55,E904=$AB$56,$AF$56,E904=$AB$57,$AF$57,E904=$AB$58,$AF$58,E904=$AB$59,$AF$59,E904=$AB$60,$AF$60,E904=$AB$61,$AF$61,E904=$AB$62,$AF$62,E904=$AB$63,$AF$63,E904=$AB$64,$AF$64,E904=$AB$65,$AF$65,E904=$AB$66,$AF$66,TRUE,"0")</f>
        <v>if 0-0, BACK+ 0.5 GOALS  @ 1.15+odds.  or @ 40 mins</v>
      </c>
      <c r="D904" s="270" t="str" cm="1">
        <f t="array" ref="D904">_xlfn.IFS(E904=$AB$42,$AD$42,E904=$AB$43,$AD$43,E904=$AB$44,$AD$44,E904=$AB$45,$AD$45,E904=$AB$46,$AD$46,E904=$AB$47,$AD$47,E904=$AB$48,$AD$48,E904=$AB$49,$AD$49,E904=$AB$50,$AD$50,E904=$AB$51,$AD$51,E904=$AB$52,$AD$52,E904=$AB$53,$AD$53,E904=$AB$54,$AD$54,E904=$AB$55,$AD$55,E904=$AB$56,$AD$56,E904=$AB$57,$AD$57,E904=$AB$58,$AD$58,E904=$AB$59,$AD$59,E904=$AB$60,$AD$60,E904=$AB$61,$AD$61,E904=$AB$62,$AD$62,E904=$AB$63,$AD$63,E904=$AB$64,$AD$64,E904=$AB$65,$AD$65,E904=$AB$66,$AD$66,TRUE,"0")</f>
        <v>IP</v>
      </c>
      <c r="E904" s="163" t="s">
        <v>270</v>
      </c>
      <c r="F904" s="2" t="s">
        <v>6</v>
      </c>
      <c r="G904" s="2" t="s">
        <v>14</v>
      </c>
      <c r="H904" s="3">
        <v>45394.833333333336</v>
      </c>
      <c r="I904" s="2" t="s">
        <v>57</v>
      </c>
      <c r="J904" s="2" t="s">
        <v>290</v>
      </c>
      <c r="K904" s="2">
        <v>62</v>
      </c>
      <c r="L904" s="2">
        <v>0</v>
      </c>
      <c r="M904" s="2">
        <v>20</v>
      </c>
      <c r="N904" s="2">
        <v>35</v>
      </c>
      <c r="O904" s="2">
        <v>2.34</v>
      </c>
      <c r="P904" s="2"/>
      <c r="Q904" s="2" t="s">
        <v>95</v>
      </c>
      <c r="R904" s="10" t="s">
        <v>214</v>
      </c>
      <c r="S904" s="14" t="s">
        <v>214</v>
      </c>
      <c r="T904" s="188">
        <v>1000</v>
      </c>
      <c r="U904" s="8">
        <f t="shared" si="110"/>
        <v>180</v>
      </c>
      <c r="V904" s="234">
        <f t="shared" si="112"/>
        <v>70144.155246160299</v>
      </c>
      <c r="W904" s="15">
        <v>25</v>
      </c>
      <c r="X904" s="8">
        <f t="shared" si="111"/>
        <v>4.5</v>
      </c>
      <c r="Y904" s="233">
        <f t="shared" si="108"/>
        <v>3619.5</v>
      </c>
    </row>
    <row r="905" spans="1:25">
      <c r="A905" s="156" t="e" cm="1">
        <f t="array" aca="1" ref="A905" ca="1">_xlfn.IFS(E905=$AB$42,$AC$42,E905=$AB$43,$AC$43,E905=$AB$44,$AC$44,E905=$AB$45,$AC$45,E905=$AB$46,$AC$46,E905=$AB$47,$AC$47,E905=$AB$48,$AC$48,E905=$AB$49,$AC$49,E905=$AB$50,$AC$50,E905=$AB$51,$AC$51,E905=$AB$52,$AC$52,E905=$AB$53,$AC$53,E905=$AB$54,$AC$54,E905=$AB$55,$AC$55,E905=$AB$56,$AC$56,E905=$AB$57,$AC$57,E905=$AB$58,$AC$58,E905=$AB$59,$AC$59,E905=$AB$60,$AC$60,E905=$AB$61,$AC$61,E905=$AB$62,$AC$62,E905=$AB$63,$AC$63,E905=$AB$64,$AC$64,E905=$AB$65,$AC$65,E905=$AB$66,$AC$66,TRUE,"0")</f>
        <v>#NAME?</v>
      </c>
      <c r="C905" s="161" t="str" cm="1">
        <f t="array" ref="C905">_xlfn.IFS(E905=$AB$42,$AF$42,E905=$AB$43,$AF$43,E905=$AB$44,$AF$44,E905=$AB$45,$AF$45,E905=$AB$46,$AF$46,E905=$AB$47,$AF$47,E905=$AB$48,$AF$48,E905=$AB$49,$AF$49,E905=$AB$50,$AF$50,E905=$AB$51,$AF$51,E905=$AB$52,$AF$52,E905=$AB$53,$AF$53,E905=$AB$54,$AF$54,E905=$AB$55,$AF$55,E905=$AB$56,$AF$56,E905=$AB$57,$AF$57,E905=$AB$58,$AF$58,E905=$AB$59,$AF$59,E905=$AB$60,$AF$60,E905=$AB$61,$AF$61,E905=$AB$62,$AF$62,E905=$AB$63,$AF$63,E905=$AB$64,$AF$64,E905=$AB$65,$AF$65,E905=$AB$66,$AF$66,TRUE,"0")</f>
        <v>B4 MATCH bet H1 'under 2.5goals'- X at 40 minutes</v>
      </c>
      <c r="D905" s="270" t="str" cm="1">
        <f t="array" ref="D905">_xlfn.IFS(E905=$AB$42,$AD$42,E905=$AB$43,$AD$43,E905=$AB$44,$AD$44,E905=$AB$45,$AD$45,E905=$AB$46,$AD$46,E905=$AB$47,$AD$47,E905=$AB$48,$AD$48,E905=$AB$49,$AD$49,E905=$AB$50,$AD$50,E905=$AB$51,$AD$51,E905=$AB$52,$AD$52,E905=$AB$53,$AD$53,E905=$AB$54,$AD$54,E905=$AB$55,$AD$55,E905=$AB$56,$AD$56,E905=$AB$57,$AD$57,E905=$AB$58,$AD$58,E905=$AB$59,$AD$59,E905=$AB$60,$AD$60,E905=$AB$61,$AD$61,E905=$AB$62,$AD$62,E905=$AB$63,$AD$63,E905=$AB$64,$AD$64,E905=$AB$65,$AD$65,E905=$AB$66,$AD$66,TRUE,"0")</f>
        <v xml:space="preserve">BFM </v>
      </c>
      <c r="E905" s="164" t="s">
        <v>458</v>
      </c>
      <c r="F905" s="2" t="s">
        <v>572</v>
      </c>
      <c r="G905" s="2" t="s">
        <v>670</v>
      </c>
      <c r="H905" s="3">
        <v>45395.25</v>
      </c>
      <c r="I905" s="2" t="s">
        <v>727</v>
      </c>
      <c r="J905" s="2" t="s">
        <v>728</v>
      </c>
      <c r="K905" s="2">
        <v>20</v>
      </c>
      <c r="L905" s="2">
        <v>80</v>
      </c>
      <c r="M905" s="2">
        <v>100</v>
      </c>
      <c r="N905" s="2">
        <v>43</v>
      </c>
      <c r="O905" s="2">
        <v>1.45</v>
      </c>
      <c r="P905" s="2"/>
      <c r="Q905" s="2" t="s">
        <v>95</v>
      </c>
      <c r="R905" s="10" t="s">
        <v>216</v>
      </c>
      <c r="S905" s="14" t="s">
        <v>216</v>
      </c>
      <c r="T905" s="188">
        <v>1000</v>
      </c>
      <c r="U905" s="8">
        <f t="shared" si="110"/>
        <v>180</v>
      </c>
      <c r="V905" s="234">
        <f t="shared" si="112"/>
        <v>70324.155246160299</v>
      </c>
      <c r="W905" s="15">
        <v>25</v>
      </c>
      <c r="X905" s="8">
        <f t="shared" si="111"/>
        <v>4.5</v>
      </c>
      <c r="Y905" s="233">
        <f t="shared" si="108"/>
        <v>3624</v>
      </c>
    </row>
    <row r="906" spans="1:25">
      <c r="A906" s="156" t="e" cm="1">
        <f t="array" aca="1" ref="A906" ca="1">_xlfn.IFS(E906=$AB$42,$AC$42,E906=$AB$43,$AC$43,E906=$AB$44,$AC$44,E906=$AB$45,$AC$45,E906=$AB$46,$AC$46,E906=$AB$47,$AC$47,E906=$AB$48,$AC$48,E906=$AB$49,$AC$49,E906=$AB$50,$AC$50,E906=$AB$51,$AC$51,E906=$AB$52,$AC$52,E906=$AB$53,$AC$53,E906=$AB$54,$AC$54,E906=$AB$55,$AC$55,E906=$AB$56,$AC$56,E906=$AB$57,$AC$57,E906=$AB$58,$AC$58,E906=$AB$59,$AC$59,E906=$AB$60,$AC$60,E906=$AB$61,$AC$61,E906=$AB$62,$AC$62,E906=$AB$63,$AC$63,E906=$AB$64,$AC$64,E906=$AB$65,$AC$65,E906=$AB$66,$AC$66,TRUE,"0")</f>
        <v>#NAME?</v>
      </c>
      <c r="C906" s="161" t="str" cm="1">
        <f t="array" ref="C906">_xlfn.IFS(E906=$AB$42,$AF$42,E906=$AB$43,$AF$43,E906=$AB$44,$AF$44,E906=$AB$45,$AF$45,E906=$AB$46,$AF$46,E906=$AB$47,$AF$47,E906=$AB$48,$AF$48,E906=$AB$49,$AF$49,E906=$AB$50,$AF$50,E906=$AB$51,$AF$51,E906=$AB$52,$AF$52,E906=$AB$53,$AF$53,E906=$AB$54,$AF$54,E906=$AB$55,$AF$55,E906=$AB$56,$AF$56,E906=$AB$57,$AF$57,E906=$AB$58,$AF$58,E906=$AB$59,$AF$59,E906=$AB$60,$AF$60,E906=$AB$61,$AF$61,E906=$AB$62,$AF$62,E906=$AB$63,$AF$63,E906=$AB$64,$AF$64,E906=$AB$65,$AF$65,E906=$AB$66,$AF$66,TRUE,"0")</f>
        <v>40 mins Back ANother Goal</v>
      </c>
      <c r="D906" s="270" t="str" cm="1">
        <f t="array" ref="D906">_xlfn.IFS(E906=$AB$42,$AD$42,E906=$AB$43,$AD$43,E906=$AB$44,$AD$44,E906=$AB$45,$AD$45,E906=$AB$46,$AD$46,E906=$AB$47,$AD$47,E906=$AB$48,$AD$48,E906=$AB$49,$AD$49,E906=$AB$50,$AD$50,E906=$AB$51,$AD$51,E906=$AB$52,$AD$52,E906=$AB$53,$AD$53,E906=$AB$54,$AD$54,E906=$AB$55,$AD$55,E906=$AB$56,$AD$56,E906=$AB$57,$AD$57,E906=$AB$58,$AD$58,E906=$AB$59,$AD$59,E906=$AB$60,$AD$60,E906=$AB$61,$AD$61,E906=$AB$62,$AD$62,E906=$AB$63,$AD$63,E906=$AB$64,$AD$64,E906=$AB$65,$AD$65,E906=$AB$66,$AD$66,TRUE,"0")</f>
        <v xml:space="preserve">  BANG</v>
      </c>
      <c r="E906" s="163" t="s">
        <v>726</v>
      </c>
      <c r="F906" s="2" t="s">
        <v>44</v>
      </c>
      <c r="G906" s="2" t="s">
        <v>45</v>
      </c>
      <c r="H906" s="3">
        <v>45395.354166666664</v>
      </c>
      <c r="I906" s="2" t="s">
        <v>233</v>
      </c>
      <c r="J906" s="2" t="s">
        <v>52</v>
      </c>
      <c r="K906" s="2">
        <v>85</v>
      </c>
      <c r="L906" s="2">
        <v>20</v>
      </c>
      <c r="M906" s="2">
        <v>2.15</v>
      </c>
      <c r="N906" s="2">
        <v>57</v>
      </c>
      <c r="O906" s="2"/>
      <c r="P906" s="2"/>
      <c r="Q906" s="2" t="s">
        <v>95</v>
      </c>
      <c r="R906" s="10" t="s">
        <v>221</v>
      </c>
      <c r="S906" s="14" t="s">
        <v>217</v>
      </c>
      <c r="T906" s="188">
        <v>1000</v>
      </c>
      <c r="U906" s="8">
        <f t="shared" si="110"/>
        <v>180</v>
      </c>
      <c r="V906" s="234">
        <f t="shared" si="112"/>
        <v>70504.155246160299</v>
      </c>
      <c r="W906" s="15">
        <v>25</v>
      </c>
      <c r="X906" s="8">
        <f t="shared" si="111"/>
        <v>4.5</v>
      </c>
      <c r="Y906" s="233">
        <f t="shared" si="108"/>
        <v>3628.5</v>
      </c>
    </row>
    <row r="907" spans="1:25">
      <c r="A907" s="156" t="e" cm="1">
        <f t="array" aca="1" ref="A907" ca="1">_xlfn.IFS(E907=$AB$42,$AC$42,E907=$AB$43,$AC$43,E907=$AB$44,$AC$44,E907=$AB$45,$AC$45,E907=$AB$46,$AC$46,E907=$AB$47,$AC$47,E907=$AB$48,$AC$48,E907=$AB$49,$AC$49,E907=$AB$50,$AC$50,E907=$AB$51,$AC$51,E907=$AB$52,$AC$52,E907=$AB$53,$AC$53,E907=$AB$54,$AC$54,E907=$AB$55,$AC$55,E907=$AB$56,$AC$56,E907=$AB$57,$AC$57,E907=$AB$58,$AC$58,E907=$AB$59,$AC$59,E907=$AB$60,$AC$60,E907=$AB$61,$AC$61,E907=$AB$62,$AC$62,E907=$AB$63,$AC$63,E907=$AB$64,$AC$64,E907=$AB$65,$AC$65,E907=$AB$66,$AC$66,TRUE,"0")</f>
        <v>#NAME?</v>
      </c>
      <c r="C907" s="161" t="str" cm="1">
        <f t="array" ref="C907">_xlfn.IFS(E907=$AB$42,$AF$42,E907=$AB$43,$AF$43,E907=$AB$44,$AF$44,E907=$AB$45,$AF$45,E907=$AB$46,$AF$46,E907=$AB$47,$AF$47,E907=$AB$48,$AF$48,E907=$AB$49,$AF$49,E907=$AB$50,$AF$50,E907=$AB$51,$AF$51,E907=$AB$52,$AF$52,E907=$AB$53,$AF$53,E907=$AB$54,$AF$54,E907=$AB$55,$AF$55,E907=$AB$56,$AF$56,E907=$AB$57,$AF$57,E907=$AB$58,$AF$58,E907=$AB$59,$AF$59,E907=$AB$60,$AF$60,E907=$AB$61,$AF$61,E907=$AB$62,$AF$62,E907=$AB$63,$AF$63,E907=$AB$64,$AF$64,E907=$AB$65,$AF$65,E907=$AB$66,$AF$66,TRUE,"0")</f>
        <v>AT HT IF 0-0 BACK +0.5 GOALS</v>
      </c>
      <c r="D907" s="270" t="str" cm="1">
        <f t="array" ref="D907">_xlfn.IFS(E907=$AB$42,$AD$42,E907=$AB$43,$AD$43,E907=$AB$44,$AD$44,E907=$AB$45,$AD$45,E907=$AB$46,$AD$46,E907=$AB$47,$AD$47,E907=$AB$48,$AD$48,E907=$AB$49,$AD$49,E907=$AB$50,$AD$50,E907=$AB$51,$AD$51,E907=$AB$52,$AD$52,E907=$AB$53,$AD$53,E907=$AB$54,$AD$54,E907=$AB$55,$AD$55,E907=$AB$56,$AD$56,E907=$AB$57,$AD$57,E907=$AB$58,$AD$58,E907=$AB$59,$AD$59,E907=$AB$60,$AD$60,E907=$AB$61,$AD$61,E907=$AB$62,$AD$62,E907=$AB$63,$AD$63,E907=$AB$64,$AD$64,E907=$AB$65,$AD$65,E907=$AB$66,$AD$66,TRUE,"0")</f>
        <v>IP</v>
      </c>
      <c r="E907" s="163" t="s">
        <v>514</v>
      </c>
      <c r="F907" s="2" t="s">
        <v>44</v>
      </c>
      <c r="G907" s="2" t="s">
        <v>45</v>
      </c>
      <c r="H907" s="3">
        <v>45395.354166666664</v>
      </c>
      <c r="I907" s="2" t="s">
        <v>233</v>
      </c>
      <c r="J907" s="2" t="s">
        <v>52</v>
      </c>
      <c r="K907" s="2">
        <v>5.4</v>
      </c>
      <c r="L907" s="2">
        <v>22</v>
      </c>
      <c r="M907" s="2">
        <v>120</v>
      </c>
      <c r="N907" s="2">
        <v>20</v>
      </c>
      <c r="O907" s="2">
        <v>10</v>
      </c>
      <c r="P907" s="2">
        <v>19</v>
      </c>
      <c r="Q907" s="2" t="s">
        <v>95</v>
      </c>
      <c r="R907" s="10" t="s">
        <v>221</v>
      </c>
      <c r="S907" s="14" t="s">
        <v>217</v>
      </c>
      <c r="T907" s="188">
        <v>1000</v>
      </c>
      <c r="U907" s="8">
        <f t="shared" si="110"/>
        <v>180</v>
      </c>
      <c r="V907" s="234">
        <f t="shared" si="112"/>
        <v>70684.155246160299</v>
      </c>
      <c r="W907" s="15">
        <v>25</v>
      </c>
      <c r="X907" s="8">
        <f t="shared" si="111"/>
        <v>4.5</v>
      </c>
      <c r="Y907" s="233">
        <f t="shared" si="108"/>
        <v>3633</v>
      </c>
    </row>
    <row r="908" spans="1:25">
      <c r="A908" s="156" t="e" cm="1">
        <f t="array" aca="1" ref="A908" ca="1">_xlfn.IFS(E908=$AB$42,$AC$42,E908=$AB$43,$AC$43,E908=$AB$44,$AC$44,E908=$AB$45,$AC$45,E908=$AB$46,$AC$46,E908=$AB$47,$AC$47,E908=$AB$48,$AC$48,E908=$AB$49,$AC$49,E908=$AB$50,$AC$50,E908=$AB$51,$AC$51,E908=$AB$52,$AC$52,E908=$AB$53,$AC$53,E908=$AB$54,$AC$54,E908=$AB$55,$AC$55,E908=$AB$56,$AC$56,E908=$AB$57,$AC$57,E908=$AB$58,$AC$58,E908=$AB$59,$AC$59,E908=$AB$60,$AC$60,E908=$AB$61,$AC$61,E908=$AB$62,$AC$62,E908=$AB$63,$AC$63,E908=$AB$64,$AC$64,E908=$AB$65,$AC$65,E908=$AB$66,$AC$66,TRUE,"0")</f>
        <v>#NAME?</v>
      </c>
      <c r="C908" s="161" t="str" cm="1">
        <f t="array" ref="C908">_xlfn.IFS(E908=$AB$42,$AF$42,E908=$AB$43,$AF$43,E908=$AB$44,$AF$44,E908=$AB$45,$AF$45,E908=$AB$46,$AF$46,E908=$AB$47,$AF$47,E908=$AB$48,$AF$48,E908=$AB$49,$AF$49,E908=$AB$50,$AF$50,E908=$AB$51,$AF$51,E908=$AB$52,$AF$52,E908=$AB$53,$AF$53,E908=$AB$54,$AF$54,E908=$AB$55,$AF$55,E908=$AB$56,$AF$56,E908=$AB$57,$AF$57,E908=$AB$58,$AF$58,E908=$AB$59,$AF$59,E908=$AB$60,$AF$60,E908=$AB$61,$AF$61,E908=$AB$62,$AF$62,E908=$AB$63,$AF$63,E908=$AB$64,$AF$64,E908=$AB$65,$AF$65,E908=$AB$66,$AF$66,TRUE,"0")</f>
        <v>B4 match BACK FT +1.5 goals. X AFTER  GOAL</v>
      </c>
      <c r="D908" s="270" t="str" cm="1">
        <f t="array" ref="D908">_xlfn.IFS(E908=$AB$42,$AD$42,E908=$AB$43,$AD$43,E908=$AB$44,$AD$44,E908=$AB$45,$AD$45,E908=$AB$46,$AD$46,E908=$AB$47,$AD$47,E908=$AB$48,$AD$48,E908=$AB$49,$AD$49,E908=$AB$50,$AD$50,E908=$AB$51,$AD$51,E908=$AB$52,$AD$52,E908=$AB$53,$AD$53,E908=$AB$54,$AD$54,E908=$AB$55,$AD$55,E908=$AB$56,$AD$56,E908=$AB$57,$AD$57,E908=$AB$58,$AD$58,E908=$AB$59,$AD$59,E908=$AB$60,$AD$60,E908=$AB$61,$AD$61,E908=$AB$62,$AD$62,E908=$AB$63,$AD$63,E908=$AB$64,$AD$64,E908=$AB$65,$AD$65,E908=$AB$66,$AD$66,TRUE,"0")</f>
        <v xml:space="preserve">BFM </v>
      </c>
      <c r="E908" s="163" t="s">
        <v>623</v>
      </c>
      <c r="F908" s="2" t="s">
        <v>44</v>
      </c>
      <c r="G908" s="2" t="s">
        <v>45</v>
      </c>
      <c r="H908" s="3">
        <v>45395.447916666664</v>
      </c>
      <c r="I908" s="2" t="s">
        <v>46</v>
      </c>
      <c r="J908" s="2" t="s">
        <v>321</v>
      </c>
      <c r="K908" s="2">
        <v>5.7</v>
      </c>
      <c r="L908" s="2">
        <v>20</v>
      </c>
      <c r="M908" s="2">
        <v>3.2</v>
      </c>
      <c r="N908" s="2">
        <v>38</v>
      </c>
      <c r="O908" s="2">
        <v>2</v>
      </c>
      <c r="P908" s="2">
        <v>10</v>
      </c>
      <c r="Q908" s="2" t="s">
        <v>95</v>
      </c>
      <c r="R908" s="10" t="s">
        <v>221</v>
      </c>
      <c r="S908" s="14" t="s">
        <v>222</v>
      </c>
      <c r="T908" s="188">
        <v>1000</v>
      </c>
      <c r="U908" s="8">
        <f t="shared" ref="U908:U971" si="113">IF(Q908="won",T908*0.18,-T908)</f>
        <v>180</v>
      </c>
      <c r="V908" s="234">
        <f t="shared" si="112"/>
        <v>70864.155246160299</v>
      </c>
      <c r="W908" s="15">
        <v>25</v>
      </c>
      <c r="X908" s="8">
        <f t="shared" si="111"/>
        <v>4.5</v>
      </c>
      <c r="Y908" s="233">
        <f t="shared" si="108"/>
        <v>3637.5</v>
      </c>
    </row>
    <row r="909" spans="1:25">
      <c r="A909" s="156" t="e" cm="1">
        <f t="array" aca="1" ref="A909" ca="1">_xlfn.IFS(E909=$AB$42,$AC$42,E909=$AB$43,$AC$43,E909=$AB$44,$AC$44,E909=$AB$45,$AC$45,E909=$AB$46,$AC$46,E909=$AB$47,$AC$47,E909=$AB$48,$AC$48,E909=$AB$49,$AC$49,E909=$AB$50,$AC$50,E909=$AB$51,$AC$51,E909=$AB$52,$AC$52,E909=$AB$53,$AC$53,E909=$AB$54,$AC$54,E909=$AB$55,$AC$55,E909=$AB$56,$AC$56,E909=$AB$57,$AC$57,E909=$AB$58,$AC$58,E909=$AB$59,$AC$59,E909=$AB$60,$AC$60,E909=$AB$61,$AC$61,E909=$AB$62,$AC$62,E909=$AB$63,$AC$63,E909=$AB$64,$AC$64,E909=$AB$65,$AC$65,E909=$AB$66,$AC$66,TRUE,"0")</f>
        <v>#NAME?</v>
      </c>
      <c r="C909" s="161" t="str" cm="1">
        <f t="array" ref="C909">_xlfn.IFS(E909=$AB$42,$AF$42,E909=$AB$43,$AF$43,E909=$AB$44,$AF$44,E909=$AB$45,$AF$45,E909=$AB$46,$AF$46,E909=$AB$47,$AF$47,E909=$AB$48,$AF$48,E909=$AB$49,$AF$49,E909=$AB$50,$AF$50,E909=$AB$51,$AF$51,E909=$AB$52,$AF$52,E909=$AB$53,$AF$53,E909=$AB$54,$AF$54,E909=$AB$55,$AF$55,E909=$AB$56,$AF$56,E909=$AB$57,$AF$57,E909=$AB$58,$AF$58,E909=$AB$59,$AF$59,E909=$AB$60,$AF$60,E909=$AB$61,$AF$61,E909=$AB$62,$AF$62,E909=$AB$63,$AF$63,E909=$AB$64,$AF$64,E909=$AB$65,$AF$65,E909=$AB$66,$AF$66,TRUE,"0")</f>
        <v>AT HT IF 0-0 BACK +0.5 GOALS</v>
      </c>
      <c r="D909" s="270" t="str" cm="1">
        <f t="array" ref="D909">_xlfn.IFS(E909=$AB$42,$AD$42,E909=$AB$43,$AD$43,E909=$AB$44,$AD$44,E909=$AB$45,$AD$45,E909=$AB$46,$AD$46,E909=$AB$47,$AD$47,E909=$AB$48,$AD$48,E909=$AB$49,$AD$49,E909=$AB$50,$AD$50,E909=$AB$51,$AD$51,E909=$AB$52,$AD$52,E909=$AB$53,$AD$53,E909=$AB$54,$AD$54,E909=$AB$55,$AD$55,E909=$AB$56,$AD$56,E909=$AB$57,$AD$57,E909=$AB$58,$AD$58,E909=$AB$59,$AD$59,E909=$AB$60,$AD$60,E909=$AB$61,$AD$61,E909=$AB$62,$AD$62,E909=$AB$63,$AD$63,E909=$AB$64,$AD$64,E909=$AB$65,$AD$65,E909=$AB$66,$AD$66,TRUE,"0")</f>
        <v>IP</v>
      </c>
      <c r="E909" s="163" t="s">
        <v>514</v>
      </c>
      <c r="F909" s="2" t="s">
        <v>44</v>
      </c>
      <c r="G909" s="2" t="s">
        <v>45</v>
      </c>
      <c r="H909" s="3">
        <v>45395.447916666664</v>
      </c>
      <c r="I909" s="2" t="s">
        <v>46</v>
      </c>
      <c r="J909" s="2" t="s">
        <v>321</v>
      </c>
      <c r="K909" s="2">
        <v>5.7</v>
      </c>
      <c r="L909" s="2">
        <v>32</v>
      </c>
      <c r="M909" s="2">
        <v>85</v>
      </c>
      <c r="N909" s="2">
        <v>20</v>
      </c>
      <c r="O909" s="2">
        <v>20</v>
      </c>
      <c r="P909" s="2">
        <v>38</v>
      </c>
      <c r="Q909" s="2" t="s">
        <v>95</v>
      </c>
      <c r="R909" s="10" t="s">
        <v>221</v>
      </c>
      <c r="S909" s="14" t="s">
        <v>222</v>
      </c>
      <c r="T909" s="188">
        <v>1000</v>
      </c>
      <c r="U909" s="8">
        <f t="shared" si="113"/>
        <v>180</v>
      </c>
      <c r="V909" s="234">
        <f t="shared" si="112"/>
        <v>71044.155246160299</v>
      </c>
      <c r="W909" s="15">
        <v>25</v>
      </c>
      <c r="X909" s="8">
        <f t="shared" si="111"/>
        <v>4.5</v>
      </c>
      <c r="Y909" s="233">
        <f t="shared" si="108"/>
        <v>3642</v>
      </c>
    </row>
    <row r="910" spans="1:25">
      <c r="A910" s="156" t="e" cm="1">
        <f t="array" aca="1" ref="A910" ca="1">_xlfn.IFS(E910=$AB$42,$AC$42,E910=$AB$43,$AC$43,E910=$AB$44,$AC$44,E910=$AB$45,$AC$45,E910=$AB$46,$AC$46,E910=$AB$47,$AC$47,E910=$AB$48,$AC$48,E910=$AB$49,$AC$49,E910=$AB$50,$AC$50,E910=$AB$51,$AC$51,E910=$AB$52,$AC$52,E910=$AB$53,$AC$53,E910=$AB$54,$AC$54,E910=$AB$55,$AC$55,E910=$AB$56,$AC$56,E910=$AB$57,$AC$57,E910=$AB$58,$AC$58,E910=$AB$59,$AC$59,E910=$AB$60,$AC$60,E910=$AB$61,$AC$61,E910=$AB$62,$AC$62,E910=$AB$63,$AC$63,E910=$AB$64,$AC$64,E910=$AB$65,$AC$65,E910=$AB$66,$AC$66,TRUE,"0")</f>
        <v>#NAME?</v>
      </c>
      <c r="C910" s="161" t="str" cm="1">
        <f t="array" ref="C910">_xlfn.IFS(E910=$AB$42,$AF$42,E910=$AB$43,$AF$43,E910=$AB$44,$AF$44,E910=$AB$45,$AF$45,E910=$AB$46,$AF$46,E910=$AB$47,$AF$47,E910=$AB$48,$AF$48,E910=$AB$49,$AF$49,E910=$AB$50,$AF$50,E910=$AB$51,$AF$51,E910=$AB$52,$AF$52,E910=$AB$53,$AF$53,E910=$AB$54,$AF$54,E910=$AB$55,$AF$55,E910=$AB$56,$AF$56,E910=$AB$57,$AF$57,E910=$AB$58,$AF$58,E910=$AB$59,$AF$59,E910=$AB$60,$AF$60,E910=$AB$61,$AF$61,E910=$AB$62,$AF$62,E910=$AB$63,$AF$63,E910=$AB$64,$AF$64,E910=$AB$65,$AF$65,E910=$AB$66,$AF$66,TRUE,"0")</f>
        <v>10mins if  0-0, BACK over 1.5 goals X after goal OR LET RUN</v>
      </c>
      <c r="D910" s="270" t="str" cm="1">
        <f t="array" ref="D910">_xlfn.IFS(E910=$AB$42,$AD$42,E910=$AB$43,$AD$43,E910=$AB$44,$AD$44,E910=$AB$45,$AD$45,E910=$AB$46,$AD$46,E910=$AB$47,$AD$47,E910=$AB$48,$AD$48,E910=$AB$49,$AD$49,E910=$AB$50,$AD$50,E910=$AB$51,$AD$51,E910=$AB$52,$AD$52,E910=$AB$53,$AD$53,E910=$AB$54,$AD$54,E910=$AB$55,$AD$55,E910=$AB$56,$AD$56,E910=$AB$57,$AD$57,E910=$AB$58,$AD$58,E910=$AB$59,$AD$59,E910=$AB$60,$AD$60,E910=$AB$61,$AD$61,E910=$AB$62,$AD$62,E910=$AB$63,$AD$63,E910=$AB$64,$AD$64,E910=$AB$65,$AD$65,E910=$AB$66,$AD$66,TRUE,"0")</f>
        <v>IP</v>
      </c>
      <c r="E910" s="163" t="s">
        <v>498</v>
      </c>
      <c r="F910" s="2" t="s">
        <v>80</v>
      </c>
      <c r="G910" s="2" t="s">
        <v>81</v>
      </c>
      <c r="H910" s="3">
        <v>45395.479166666664</v>
      </c>
      <c r="I910" s="2" t="s">
        <v>609</v>
      </c>
      <c r="J910" s="2" t="s">
        <v>82</v>
      </c>
      <c r="K910" s="2">
        <v>65</v>
      </c>
      <c r="L910" s="2">
        <v>85</v>
      </c>
      <c r="M910" s="2">
        <v>1.5</v>
      </c>
      <c r="N910" s="2">
        <v>20</v>
      </c>
      <c r="O910" s="2"/>
      <c r="P910" s="2"/>
      <c r="Q910" s="2" t="s">
        <v>95</v>
      </c>
      <c r="R910" s="10" t="s">
        <v>193</v>
      </c>
      <c r="S910" s="14" t="s">
        <v>217</v>
      </c>
      <c r="T910" s="188">
        <v>1000</v>
      </c>
      <c r="U910" s="8">
        <f t="shared" si="113"/>
        <v>180</v>
      </c>
      <c r="V910" s="234">
        <f t="shared" si="112"/>
        <v>71224.155246160299</v>
      </c>
      <c r="W910" s="15">
        <v>25</v>
      </c>
      <c r="X910" s="8">
        <f t="shared" si="111"/>
        <v>4.5</v>
      </c>
      <c r="Y910" s="233">
        <f t="shared" si="108"/>
        <v>3646.5</v>
      </c>
    </row>
    <row r="911" spans="1:25">
      <c r="A911" s="156" t="e" cm="1">
        <f t="array" aca="1" ref="A911" ca="1">_xlfn.IFS(E911=$AB$42,$AC$42,E911=$AB$43,$AC$43,E911=$AB$44,$AC$44,E911=$AB$45,$AC$45,E911=$AB$46,$AC$46,E911=$AB$47,$AC$47,E911=$AB$48,$AC$48,E911=$AB$49,$AC$49,E911=$AB$50,$AC$50,E911=$AB$51,$AC$51,E911=$AB$52,$AC$52,E911=$AB$53,$AC$53,E911=$AB$54,$AC$54,E911=$AB$55,$AC$55,E911=$AB$56,$AC$56,E911=$AB$57,$AC$57,E911=$AB$58,$AC$58,E911=$AB$59,$AC$59,E911=$AB$60,$AC$60,E911=$AB$61,$AC$61,E911=$AB$62,$AC$62,E911=$AB$63,$AC$63,E911=$AB$64,$AC$64,E911=$AB$65,$AC$65,E911=$AB$66,$AC$66,TRUE,"0")</f>
        <v>#NAME?</v>
      </c>
      <c r="C911" s="161" t="str" cm="1">
        <f t="array" ref="C911">_xlfn.IFS(E911=$AB$42,$AF$42,E911=$AB$43,$AF$43,E911=$AB$44,$AF$44,E911=$AB$45,$AF$45,E911=$AB$46,$AF$46,E911=$AB$47,$AF$47,E911=$AB$48,$AF$48,E911=$AB$49,$AF$49,E911=$AB$50,$AF$50,E911=$AB$51,$AF$51,E911=$AB$52,$AF$52,E911=$AB$53,$AF$53,E911=$AB$54,$AF$54,E911=$AB$55,$AF$55,E911=$AB$56,$AF$56,E911=$AB$57,$AF$57,E911=$AB$58,$AF$58,E911=$AB$59,$AF$59,E911=$AB$60,$AF$60,E911=$AB$61,$AF$61,E911=$AB$62,$AF$62,E911=$AB$63,$AF$63,E911=$AB$64,$AF$64,E911=$AB$65,$AF$65,E911=$AB$66,$AF$66,TRUE,"0")</f>
        <v>40 mins Back ANother Goal</v>
      </c>
      <c r="D911" s="270" t="str" cm="1">
        <f t="array" ref="D911">_xlfn.IFS(E911=$AB$42,$AD$42,E911=$AB$43,$AD$43,E911=$AB$44,$AD$44,E911=$AB$45,$AD$45,E911=$AB$46,$AD$46,E911=$AB$47,$AD$47,E911=$AB$48,$AD$48,E911=$AB$49,$AD$49,E911=$AB$50,$AD$50,E911=$AB$51,$AD$51,E911=$AB$52,$AD$52,E911=$AB$53,$AD$53,E911=$AB$54,$AD$54,E911=$AB$55,$AD$55,E911=$AB$56,$AD$56,E911=$AB$57,$AD$57,E911=$AB$58,$AD$58,E911=$AB$59,$AD$59,E911=$AB$60,$AD$60,E911=$AB$61,$AD$61,E911=$AB$62,$AD$62,E911=$AB$63,$AD$63,E911=$AB$64,$AD$64,E911=$AB$65,$AD$65,E911=$AB$66,$AD$66,TRUE,"0")</f>
        <v xml:space="preserve">  BANG</v>
      </c>
      <c r="E911" s="163" t="s">
        <v>726</v>
      </c>
      <c r="F911" s="2" t="s">
        <v>77</v>
      </c>
      <c r="G911" s="2" t="s">
        <v>234</v>
      </c>
      <c r="H911" s="3">
        <v>45395.5</v>
      </c>
      <c r="I911" s="2" t="s">
        <v>235</v>
      </c>
      <c r="J911" s="2" t="s">
        <v>650</v>
      </c>
      <c r="K911" s="2">
        <v>85</v>
      </c>
      <c r="L911" s="2">
        <v>20</v>
      </c>
      <c r="M911" s="2">
        <v>1.9</v>
      </c>
      <c r="N911" s="2">
        <v>58</v>
      </c>
      <c r="O911" s="2"/>
      <c r="P911" s="2"/>
      <c r="Q911" s="2" t="s">
        <v>95</v>
      </c>
      <c r="R911" s="10" t="s">
        <v>220</v>
      </c>
      <c r="S911" s="14" t="s">
        <v>194</v>
      </c>
      <c r="T911" s="188">
        <v>1000</v>
      </c>
      <c r="U911" s="8">
        <f t="shared" si="113"/>
        <v>180</v>
      </c>
      <c r="V911" s="234">
        <f t="shared" si="112"/>
        <v>71404.155246160299</v>
      </c>
      <c r="W911" s="15">
        <v>25</v>
      </c>
      <c r="X911" s="8">
        <f t="shared" si="111"/>
        <v>4.5</v>
      </c>
      <c r="Y911" s="233">
        <f t="shared" si="108"/>
        <v>3651</v>
      </c>
    </row>
    <row r="912" spans="1:25">
      <c r="A912" s="156" t="e" cm="1">
        <f t="array" aca="1" ref="A912" ca="1">_xlfn.IFS(E912=$AB$42,$AC$42,E912=$AB$43,$AC$43,E912=$AB$44,$AC$44,E912=$AB$45,$AC$45,E912=$AB$46,$AC$46,E912=$AB$47,$AC$47,E912=$AB$48,$AC$48,E912=$AB$49,$AC$49,E912=$AB$50,$AC$50,E912=$AB$51,$AC$51,E912=$AB$52,$AC$52,E912=$AB$53,$AC$53,E912=$AB$54,$AC$54,E912=$AB$55,$AC$55,E912=$AB$56,$AC$56,E912=$AB$57,$AC$57,E912=$AB$58,$AC$58,E912=$AB$59,$AC$59,E912=$AB$60,$AC$60,E912=$AB$61,$AC$61,E912=$AB$62,$AC$62,E912=$AB$63,$AC$63,E912=$AB$64,$AC$64,E912=$AB$65,$AC$65,E912=$AB$66,$AC$66,TRUE,"0")</f>
        <v>#NAME?</v>
      </c>
      <c r="C912" s="161" t="str" cm="1">
        <f t="array" ref="C912">_xlfn.IFS(E912=$AB$42,$AF$42,E912=$AB$43,$AF$43,E912=$AB$44,$AF$44,E912=$AB$45,$AF$45,E912=$AB$46,$AF$46,E912=$AB$47,$AF$47,E912=$AB$48,$AF$48,E912=$AB$49,$AF$49,E912=$AB$50,$AF$50,E912=$AB$51,$AF$51,E912=$AB$52,$AF$52,E912=$AB$53,$AF$53,E912=$AB$54,$AF$54,E912=$AB$55,$AF$55,E912=$AB$56,$AF$56,E912=$AB$57,$AF$57,E912=$AB$58,$AF$58,E912=$AB$59,$AF$59,E912=$AB$60,$AF$60,E912=$AB$61,$AF$61,E912=$AB$62,$AF$62,E912=$AB$63,$AF$63,E912=$AB$64,$AF$64,E912=$AB$65,$AF$65,E912=$AB$66,$AF$66,TRUE,"0")</f>
        <v>40 mins Back ANother Goal</v>
      </c>
      <c r="D912" s="270" t="str" cm="1">
        <f t="array" ref="D912">_xlfn.IFS(E912=$AB$42,$AD$42,E912=$AB$43,$AD$43,E912=$AB$44,$AD$44,E912=$AB$45,$AD$45,E912=$AB$46,$AD$46,E912=$AB$47,$AD$47,E912=$AB$48,$AD$48,E912=$AB$49,$AD$49,E912=$AB$50,$AD$50,E912=$AB$51,$AD$51,E912=$AB$52,$AD$52,E912=$AB$53,$AD$53,E912=$AB$54,$AD$54,E912=$AB$55,$AD$55,E912=$AB$56,$AD$56,E912=$AB$57,$AD$57,E912=$AB$58,$AD$58,E912=$AB$59,$AD$59,E912=$AB$60,$AD$60,E912=$AB$61,$AD$61,E912=$AB$62,$AD$62,E912=$AB$63,$AD$63,E912=$AB$64,$AD$64,E912=$AB$65,$AD$65,E912=$AB$66,$AD$66,TRUE,"0")</f>
        <v xml:space="preserve">  BANG</v>
      </c>
      <c r="E912" s="163" t="s">
        <v>726</v>
      </c>
      <c r="F912" s="2" t="s">
        <v>77</v>
      </c>
      <c r="G912" s="2" t="s">
        <v>234</v>
      </c>
      <c r="H912" s="3">
        <v>45395.5</v>
      </c>
      <c r="I912" s="2" t="s">
        <v>407</v>
      </c>
      <c r="J912" s="2" t="s">
        <v>632</v>
      </c>
      <c r="K912" s="2">
        <v>95</v>
      </c>
      <c r="L912" s="2">
        <v>20</v>
      </c>
      <c r="M912" s="2">
        <v>2.0499999999999998</v>
      </c>
      <c r="N912" s="2">
        <v>60</v>
      </c>
      <c r="O912" s="2"/>
      <c r="P912" s="2"/>
      <c r="Q912" s="2" t="s">
        <v>95</v>
      </c>
      <c r="R912" s="10" t="s">
        <v>193</v>
      </c>
      <c r="S912" s="14" t="s">
        <v>217</v>
      </c>
      <c r="T912" s="188">
        <v>1000</v>
      </c>
      <c r="U912" s="8">
        <f t="shared" si="113"/>
        <v>180</v>
      </c>
      <c r="V912" s="234">
        <f t="shared" si="112"/>
        <v>71584.155246160299</v>
      </c>
      <c r="W912" s="15">
        <v>25</v>
      </c>
      <c r="X912" s="8">
        <f t="shared" si="111"/>
        <v>4.5</v>
      </c>
      <c r="Y912" s="233">
        <f t="shared" si="108"/>
        <v>3655.5</v>
      </c>
    </row>
    <row r="913" spans="1:25">
      <c r="A913" s="156" t="e" cm="1">
        <f t="array" aca="1" ref="A913" ca="1">_xlfn.IFS(E913=$AB$42,$AC$42,E913=$AB$43,$AC$43,E913=$AB$44,$AC$44,E913=$AB$45,$AC$45,E913=$AB$46,$AC$46,E913=$AB$47,$AC$47,E913=$AB$48,$AC$48,E913=$AB$49,$AC$49,E913=$AB$50,$AC$50,E913=$AB$51,$AC$51,E913=$AB$52,$AC$52,E913=$AB$53,$AC$53,E913=$AB$54,$AC$54,E913=$AB$55,$AC$55,E913=$AB$56,$AC$56,E913=$AB$57,$AC$57,E913=$AB$58,$AC$58,E913=$AB$59,$AC$59,E913=$AB$60,$AC$60,E913=$AB$61,$AC$61,E913=$AB$62,$AC$62,E913=$AB$63,$AC$63,E913=$AB$64,$AC$64,E913=$AB$65,$AC$65,E913=$AB$66,$AC$66,TRUE,"0")</f>
        <v>#NAME?</v>
      </c>
      <c r="C913" s="161" t="str" cm="1">
        <f t="array" ref="C913">_xlfn.IFS(E913=$AB$42,$AF$42,E913=$AB$43,$AF$43,E913=$AB$44,$AF$44,E913=$AB$45,$AF$45,E913=$AB$46,$AF$46,E913=$AB$47,$AF$47,E913=$AB$48,$AF$48,E913=$AB$49,$AF$49,E913=$AB$50,$AF$50,E913=$AB$51,$AF$51,E913=$AB$52,$AF$52,E913=$AB$53,$AF$53,E913=$AB$54,$AF$54,E913=$AB$55,$AF$55,E913=$AB$56,$AF$56,E913=$AB$57,$AF$57,E913=$AB$58,$AF$58,E913=$AB$59,$AF$59,E913=$AB$60,$AF$60,E913=$AB$61,$AF$61,E913=$AB$62,$AF$62,E913=$AB$63,$AF$63,E913=$AB$64,$AF$64,E913=$AB$65,$AF$65,E913=$AB$66,$AF$66,TRUE,"0")</f>
        <v>if 0-0, BACK+ 0.5 GOALS  @ 1.15+odds.  or @ 40 mins</v>
      </c>
      <c r="D913" s="270" t="str" cm="1">
        <f t="array" ref="D913">_xlfn.IFS(E913=$AB$42,$AD$42,E913=$AB$43,$AD$43,E913=$AB$44,$AD$44,E913=$AB$45,$AD$45,E913=$AB$46,$AD$46,E913=$AB$47,$AD$47,E913=$AB$48,$AD$48,E913=$AB$49,$AD$49,E913=$AB$50,$AD$50,E913=$AB$51,$AD$51,E913=$AB$52,$AD$52,E913=$AB$53,$AD$53,E913=$AB$54,$AD$54,E913=$AB$55,$AD$55,E913=$AB$56,$AD$56,E913=$AB$57,$AD$57,E913=$AB$58,$AD$58,E913=$AB$59,$AD$59,E913=$AB$60,$AD$60,E913=$AB$61,$AD$61,E913=$AB$62,$AD$62,E913=$AB$63,$AD$63,E913=$AB$64,$AD$64,E913=$AB$65,$AD$65,E913=$AB$66,$AD$66,TRUE,"0")</f>
        <v>IP</v>
      </c>
      <c r="E913" s="163" t="s">
        <v>270</v>
      </c>
      <c r="F913" s="2" t="s">
        <v>77</v>
      </c>
      <c r="G913" s="2" t="s">
        <v>234</v>
      </c>
      <c r="H913" s="3">
        <v>45395.5</v>
      </c>
      <c r="I913" s="2" t="s">
        <v>407</v>
      </c>
      <c r="J913" s="2" t="s">
        <v>632</v>
      </c>
      <c r="K913" s="2">
        <v>61</v>
      </c>
      <c r="L913" s="2">
        <v>0</v>
      </c>
      <c r="M913" s="2">
        <v>20</v>
      </c>
      <c r="N913" s="2">
        <v>35</v>
      </c>
      <c r="O913" s="2">
        <v>3.17</v>
      </c>
      <c r="P913" s="2"/>
      <c r="Q913" s="2" t="s">
        <v>95</v>
      </c>
      <c r="R913" s="10" t="s">
        <v>193</v>
      </c>
      <c r="S913" s="14" t="s">
        <v>217</v>
      </c>
      <c r="T913" s="188">
        <v>1000</v>
      </c>
      <c r="U913" s="8">
        <f t="shared" si="113"/>
        <v>180</v>
      </c>
      <c r="V913" s="234">
        <f t="shared" si="112"/>
        <v>71764.155246160299</v>
      </c>
      <c r="W913" s="15">
        <v>25</v>
      </c>
      <c r="X913" s="8">
        <f t="shared" si="111"/>
        <v>4.5</v>
      </c>
      <c r="Y913" s="233">
        <f t="shared" si="108"/>
        <v>3660</v>
      </c>
    </row>
    <row r="914" spans="1:25">
      <c r="A914" s="156" t="e" cm="1">
        <f t="array" aca="1" ref="A914" ca="1">_xlfn.IFS(E914=$AB$42,$AC$42,E914=$AB$43,$AC$43,E914=$AB$44,$AC$44,E914=$AB$45,$AC$45,E914=$AB$46,$AC$46,E914=$AB$47,$AC$47,E914=$AB$48,$AC$48,E914=$AB$49,$AC$49,E914=$AB$50,$AC$50,E914=$AB$51,$AC$51,E914=$AB$52,$AC$52,E914=$AB$53,$AC$53,E914=$AB$54,$AC$54,E914=$AB$55,$AC$55,E914=$AB$56,$AC$56,E914=$AB$57,$AC$57,E914=$AB$58,$AC$58,E914=$AB$59,$AC$59,E914=$AB$60,$AC$60,E914=$AB$61,$AC$61,E914=$AB$62,$AC$62,E914=$AB$63,$AC$63,E914=$AB$64,$AC$64,E914=$AB$65,$AC$65,E914=$AB$66,$AC$66,TRUE,"0")</f>
        <v>#NAME?</v>
      </c>
      <c r="C914" s="161" t="str" cm="1">
        <f t="array" ref="C914">_xlfn.IFS(E914=$AB$42,$AF$42,E914=$AB$43,$AF$43,E914=$AB$44,$AF$44,E914=$AB$45,$AF$45,E914=$AB$46,$AF$46,E914=$AB$47,$AF$47,E914=$AB$48,$AF$48,E914=$AB$49,$AF$49,E914=$AB$50,$AF$50,E914=$AB$51,$AF$51,E914=$AB$52,$AF$52,E914=$AB$53,$AF$53,E914=$AB$54,$AF$54,E914=$AB$55,$AF$55,E914=$AB$56,$AF$56,E914=$AB$57,$AF$57,E914=$AB$58,$AF$58,E914=$AB$59,$AF$59,E914=$AB$60,$AF$60,E914=$AB$61,$AF$61,E914=$AB$62,$AF$62,E914=$AB$63,$AF$63,E914=$AB$64,$AF$64,E914=$AB$65,$AF$65,E914=$AB$66,$AF$66,TRUE,"0")</f>
        <v>10mins if  0-0, BACK over 1.5 goals X after goal OR LET RUN</v>
      </c>
      <c r="D914" s="270" t="str" cm="1">
        <f t="array" ref="D914">_xlfn.IFS(E914=$AB$42,$AD$42,E914=$AB$43,$AD$43,E914=$AB$44,$AD$44,E914=$AB$45,$AD$45,E914=$AB$46,$AD$46,E914=$AB$47,$AD$47,E914=$AB$48,$AD$48,E914=$AB$49,$AD$49,E914=$AB$50,$AD$50,E914=$AB$51,$AD$51,E914=$AB$52,$AD$52,E914=$AB$53,$AD$53,E914=$AB$54,$AD$54,E914=$AB$55,$AD$55,E914=$AB$56,$AD$56,E914=$AB$57,$AD$57,E914=$AB$58,$AD$58,E914=$AB$59,$AD$59,E914=$AB$60,$AD$60,E914=$AB$61,$AD$61,E914=$AB$62,$AD$62,E914=$AB$63,$AD$63,E914=$AB$64,$AD$64,E914=$AB$65,$AD$65,E914=$AB$66,$AD$66,TRUE,"0")</f>
        <v>IP</v>
      </c>
      <c r="E914" s="163" t="s">
        <v>498</v>
      </c>
      <c r="F914" s="2" t="s">
        <v>77</v>
      </c>
      <c r="G914" s="2" t="s">
        <v>234</v>
      </c>
      <c r="H914" s="3">
        <v>45395.5</v>
      </c>
      <c r="I914" s="2" t="s">
        <v>407</v>
      </c>
      <c r="J914" s="2" t="s">
        <v>632</v>
      </c>
      <c r="K914" s="2">
        <v>63</v>
      </c>
      <c r="L914" s="2">
        <v>85</v>
      </c>
      <c r="M914" s="2">
        <v>1.3</v>
      </c>
      <c r="N914" s="2">
        <v>20</v>
      </c>
      <c r="O914" s="2"/>
      <c r="P914" s="2"/>
      <c r="Q914" s="2" t="s">
        <v>95</v>
      </c>
      <c r="R914" s="10" t="s">
        <v>193</v>
      </c>
      <c r="S914" s="14" t="s">
        <v>217</v>
      </c>
      <c r="T914" s="188">
        <v>1000</v>
      </c>
      <c r="U914" s="8">
        <f t="shared" si="113"/>
        <v>180</v>
      </c>
      <c r="V914" s="234">
        <f t="shared" si="112"/>
        <v>71944.155246160299</v>
      </c>
      <c r="W914" s="15">
        <v>25</v>
      </c>
      <c r="X914" s="8">
        <f t="shared" si="111"/>
        <v>4.5</v>
      </c>
      <c r="Y914" s="233">
        <f t="shared" si="108"/>
        <v>3664.5</v>
      </c>
    </row>
    <row r="915" spans="1:25">
      <c r="A915" s="156" t="e" cm="1">
        <f t="array" aca="1" ref="A915" ca="1">_xlfn.IFS(E915=$AB$42,$AC$42,E915=$AB$43,$AC$43,E915=$AB$44,$AC$44,E915=$AB$45,$AC$45,E915=$AB$46,$AC$46,E915=$AB$47,$AC$47,E915=$AB$48,$AC$48,E915=$AB$49,$AC$49,E915=$AB$50,$AC$50,E915=$AB$51,$AC$51,E915=$AB$52,$AC$52,E915=$AB$53,$AC$53,E915=$AB$54,$AC$54,E915=$AB$55,$AC$55,E915=$AB$56,$AC$56,E915=$AB$57,$AC$57,E915=$AB$58,$AC$58,E915=$AB$59,$AC$59,E915=$AB$60,$AC$60,E915=$AB$61,$AC$61,E915=$AB$62,$AC$62,E915=$AB$63,$AC$63,E915=$AB$64,$AC$64,E915=$AB$65,$AC$65,E915=$AB$66,$AC$66,TRUE,"0")</f>
        <v>#NAME?</v>
      </c>
      <c r="C915" s="161" t="str" cm="1">
        <f t="array" ref="C915">_xlfn.IFS(E915=$AB$42,$AF$42,E915=$AB$43,$AF$43,E915=$AB$44,$AF$44,E915=$AB$45,$AF$45,E915=$AB$46,$AF$46,E915=$AB$47,$AF$47,E915=$AB$48,$AF$48,E915=$AB$49,$AF$49,E915=$AB$50,$AF$50,E915=$AB$51,$AF$51,E915=$AB$52,$AF$52,E915=$AB$53,$AF$53,E915=$AB$54,$AF$54,E915=$AB$55,$AF$55,E915=$AB$56,$AF$56,E915=$AB$57,$AF$57,E915=$AB$58,$AF$58,E915=$AB$59,$AF$59,E915=$AB$60,$AF$60,E915=$AB$61,$AF$61,E915=$AB$62,$AF$62,E915=$AB$63,$AF$63,E915=$AB$64,$AF$64,E915=$AB$65,$AF$65,E915=$AB$66,$AF$66,TRUE,"0")</f>
        <v>B4 match BACK FT +1.5 goals. X AFTER  GOAL</v>
      </c>
      <c r="D915" s="270" t="str" cm="1">
        <f t="array" ref="D915">_xlfn.IFS(E915=$AB$42,$AD$42,E915=$AB$43,$AD$43,E915=$AB$44,$AD$44,E915=$AB$45,$AD$45,E915=$AB$46,$AD$46,E915=$AB$47,$AD$47,E915=$AB$48,$AD$48,E915=$AB$49,$AD$49,E915=$AB$50,$AD$50,E915=$AB$51,$AD$51,E915=$AB$52,$AD$52,E915=$AB$53,$AD$53,E915=$AB$54,$AD$54,E915=$AB$55,$AD$55,E915=$AB$56,$AD$56,E915=$AB$57,$AD$57,E915=$AB$58,$AD$58,E915=$AB$59,$AD$59,E915=$AB$60,$AD$60,E915=$AB$61,$AD$61,E915=$AB$62,$AD$62,E915=$AB$63,$AD$63,E915=$AB$64,$AD$64,E915=$AB$65,$AD$65,E915=$AB$66,$AD$66,TRUE,"0")</f>
        <v xml:space="preserve">BFM </v>
      </c>
      <c r="E915" s="163" t="s">
        <v>406</v>
      </c>
      <c r="F915" s="2" t="s">
        <v>6</v>
      </c>
      <c r="G915" s="2" t="s">
        <v>14</v>
      </c>
      <c r="H915" s="3">
        <v>45395.520833333336</v>
      </c>
      <c r="I915" s="2" t="s">
        <v>280</v>
      </c>
      <c r="J915" s="2" t="s">
        <v>428</v>
      </c>
      <c r="K915" s="2">
        <v>1.34</v>
      </c>
      <c r="L915" s="2">
        <v>12</v>
      </c>
      <c r="M915" s="2">
        <v>2.85</v>
      </c>
      <c r="N915" s="2">
        <v>4.9000000000000004</v>
      </c>
      <c r="O915" s="2">
        <v>2.25</v>
      </c>
      <c r="P915" s="2"/>
      <c r="Q915" s="2" t="s">
        <v>95</v>
      </c>
      <c r="R915" s="10" t="s">
        <v>221</v>
      </c>
      <c r="S915" s="14" t="s">
        <v>193</v>
      </c>
      <c r="T915" s="188">
        <v>1000</v>
      </c>
      <c r="U915" s="8">
        <f t="shared" si="113"/>
        <v>180</v>
      </c>
      <c r="V915" s="234">
        <f t="shared" ref="V915:V922" si="114">SUM(V914,U915)</f>
        <v>72124.155246160299</v>
      </c>
      <c r="W915" s="15">
        <v>25</v>
      </c>
      <c r="X915" s="8">
        <f t="shared" si="111"/>
        <v>4.5</v>
      </c>
      <c r="Y915" s="233">
        <f t="shared" si="108"/>
        <v>3669</v>
      </c>
    </row>
    <row r="916" spans="1:25">
      <c r="A916" s="156" t="e" cm="1">
        <f t="array" aca="1" ref="A916" ca="1">_xlfn.IFS(E916=$AB$42,$AC$42,E916=$AB$43,$AC$43,E916=$AB$44,$AC$44,E916=$AB$45,$AC$45,E916=$AB$46,$AC$46,E916=$AB$47,$AC$47,E916=$AB$48,$AC$48,E916=$AB$49,$AC$49,E916=$AB$50,$AC$50,E916=$AB$51,$AC$51,E916=$AB$52,$AC$52,E916=$AB$53,$AC$53,E916=$AB$54,$AC$54,E916=$AB$55,$AC$55,E916=$AB$56,$AC$56,E916=$AB$57,$AC$57,E916=$AB$58,$AC$58,E916=$AB$59,$AC$59,E916=$AB$60,$AC$60,E916=$AB$61,$AC$61,E916=$AB$62,$AC$62,E916=$AB$63,$AC$63,E916=$AB$64,$AC$64,E916=$AB$65,$AC$65,E916=$AB$66,$AC$66,TRUE,"0")</f>
        <v>#NAME?</v>
      </c>
      <c r="C916" s="161" t="str" cm="1">
        <f t="array" ref="C916">_xlfn.IFS(E916=$AB$42,$AF$42,E916=$AB$43,$AF$43,E916=$AB$44,$AF$44,E916=$AB$45,$AF$45,E916=$AB$46,$AF$46,E916=$AB$47,$AF$47,E916=$AB$48,$AF$48,E916=$AB$49,$AF$49,E916=$AB$50,$AF$50,E916=$AB$51,$AF$51,E916=$AB$52,$AF$52,E916=$AB$53,$AF$53,E916=$AB$54,$AF$54,E916=$AB$55,$AF$55,E916=$AB$56,$AF$56,E916=$AB$57,$AF$57,E916=$AB$58,$AF$58,E916=$AB$59,$AF$59,E916=$AB$60,$AF$60,E916=$AB$61,$AF$61,E916=$AB$62,$AF$62,E916=$AB$63,$AF$63,E916=$AB$64,$AF$64,E916=$AB$65,$AF$65,E916=$AB$66,$AF$66,TRUE,"0")</f>
        <v>B4 match BACK FT +1.5 goals. X AFTER  GOAL</v>
      </c>
      <c r="D916" s="270" t="str" cm="1">
        <f t="array" ref="D916">_xlfn.IFS(E916=$AB$42,$AD$42,E916=$AB$43,$AD$43,E916=$AB$44,$AD$44,E916=$AB$45,$AD$45,E916=$AB$46,$AD$46,E916=$AB$47,$AD$47,E916=$AB$48,$AD$48,E916=$AB$49,$AD$49,E916=$AB$50,$AD$50,E916=$AB$51,$AD$51,E916=$AB$52,$AD$52,E916=$AB$53,$AD$53,E916=$AB$54,$AD$54,E916=$AB$55,$AD$55,E916=$AB$56,$AD$56,E916=$AB$57,$AD$57,E916=$AB$58,$AD$58,E916=$AB$59,$AD$59,E916=$AB$60,$AD$60,E916=$AB$61,$AD$61,E916=$AB$62,$AD$62,E916=$AB$63,$AD$63,E916=$AB$64,$AD$64,E916=$AB$65,$AD$65,E916=$AB$66,$AD$66,TRUE,"0")</f>
        <v xml:space="preserve">BFM </v>
      </c>
      <c r="E916" s="163" t="s">
        <v>623</v>
      </c>
      <c r="F916" s="2" t="s">
        <v>6</v>
      </c>
      <c r="G916" s="2" t="s">
        <v>14</v>
      </c>
      <c r="H916" s="3">
        <v>45395.520833333336</v>
      </c>
      <c r="I916" s="2" t="s">
        <v>280</v>
      </c>
      <c r="J916" s="2" t="s">
        <v>428</v>
      </c>
      <c r="K916" s="2">
        <v>4.9000000000000004</v>
      </c>
      <c r="L916" s="2">
        <v>20</v>
      </c>
      <c r="M916" s="2">
        <v>2.85</v>
      </c>
      <c r="N916" s="2">
        <v>21</v>
      </c>
      <c r="O916" s="2">
        <v>1</v>
      </c>
      <c r="P916" s="2">
        <v>10</v>
      </c>
      <c r="Q916" s="2" t="s">
        <v>95</v>
      </c>
      <c r="R916" s="10" t="s">
        <v>221</v>
      </c>
      <c r="S916" s="14" t="s">
        <v>193</v>
      </c>
      <c r="T916" s="188">
        <v>1000</v>
      </c>
      <c r="U916" s="8">
        <f t="shared" si="113"/>
        <v>180</v>
      </c>
      <c r="V916" s="234">
        <f t="shared" si="114"/>
        <v>72304.155246160299</v>
      </c>
      <c r="W916" s="15">
        <v>25</v>
      </c>
      <c r="X916" s="8">
        <f t="shared" si="111"/>
        <v>4.5</v>
      </c>
      <c r="Y916" s="233">
        <f t="shared" si="108"/>
        <v>3673.5</v>
      </c>
    </row>
    <row r="917" spans="1:25">
      <c r="A917" s="156" t="e" cm="1">
        <f t="array" aca="1" ref="A917" ca="1">_xlfn.IFS(E917=$AB$42,$AC$42,E917=$AB$43,$AC$43,E917=$AB$44,$AC$44,E917=$AB$45,$AC$45,E917=$AB$46,$AC$46,E917=$AB$47,$AC$47,E917=$AB$48,$AC$48,E917=$AB$49,$AC$49,E917=$AB$50,$AC$50,E917=$AB$51,$AC$51,E917=$AB$52,$AC$52,E917=$AB$53,$AC$53,E917=$AB$54,$AC$54,E917=$AB$55,$AC$55,E917=$AB$56,$AC$56,E917=$AB$57,$AC$57,E917=$AB$58,$AC$58,E917=$AB$59,$AC$59,E917=$AB$60,$AC$60,E917=$AB$61,$AC$61,E917=$AB$62,$AC$62,E917=$AB$63,$AC$63,E917=$AB$64,$AC$64,E917=$AB$65,$AC$65,E917=$AB$66,$AC$66,TRUE,"0")</f>
        <v>#NAME?</v>
      </c>
      <c r="C917" s="161" t="str" cm="1">
        <f t="array" ref="C917">_xlfn.IFS(E917=$AB$42,$AF$42,E917=$AB$43,$AF$43,E917=$AB$44,$AF$44,E917=$AB$45,$AF$45,E917=$AB$46,$AF$46,E917=$AB$47,$AF$47,E917=$AB$48,$AF$48,E917=$AB$49,$AF$49,E917=$AB$50,$AF$50,E917=$AB$51,$AF$51,E917=$AB$52,$AF$52,E917=$AB$53,$AF$53,E917=$AB$54,$AF$54,E917=$AB$55,$AF$55,E917=$AB$56,$AF$56,E917=$AB$57,$AF$57,E917=$AB$58,$AF$58,E917=$AB$59,$AF$59,E917=$AB$60,$AF$60,E917=$AB$61,$AF$61,E917=$AB$62,$AF$62,E917=$AB$63,$AF$63,E917=$AB$64,$AF$64,E917=$AB$65,$AF$65,E917=$AB$66,$AF$66,TRUE,"0")</f>
        <v>40 mins Back ANother Goal</v>
      </c>
      <c r="D917" s="270" t="str" cm="1">
        <f t="array" ref="D917">_xlfn.IFS(E917=$AB$42,$AD$42,E917=$AB$43,$AD$43,E917=$AB$44,$AD$44,E917=$AB$45,$AD$45,E917=$AB$46,$AD$46,E917=$AB$47,$AD$47,E917=$AB$48,$AD$48,E917=$AB$49,$AD$49,E917=$AB$50,$AD$50,E917=$AB$51,$AD$51,E917=$AB$52,$AD$52,E917=$AB$53,$AD$53,E917=$AB$54,$AD$54,E917=$AB$55,$AD$55,E917=$AB$56,$AD$56,E917=$AB$57,$AD$57,E917=$AB$58,$AD$58,E917=$AB$59,$AD$59,E917=$AB$60,$AD$60,E917=$AB$61,$AD$61,E917=$AB$62,$AD$62,E917=$AB$63,$AD$63,E917=$AB$64,$AD$64,E917=$AB$65,$AD$65,E917=$AB$66,$AD$66,TRUE,"0")</f>
        <v xml:space="preserve">  BANG</v>
      </c>
      <c r="E917" s="163" t="s">
        <v>726</v>
      </c>
      <c r="F917" s="2" t="s">
        <v>6</v>
      </c>
      <c r="G917" s="2" t="s">
        <v>62</v>
      </c>
      <c r="H917" s="3">
        <v>45395.520833333336</v>
      </c>
      <c r="I917" s="2" t="s">
        <v>164</v>
      </c>
      <c r="J917" s="2" t="s">
        <v>116</v>
      </c>
      <c r="K917" s="2">
        <v>95</v>
      </c>
      <c r="L917" s="2">
        <v>20</v>
      </c>
      <c r="M917" s="2">
        <v>2.2999999999999998</v>
      </c>
      <c r="N917" s="2">
        <v>64</v>
      </c>
      <c r="O917" s="2"/>
      <c r="P917" s="2"/>
      <c r="Q917" s="2" t="s">
        <v>95</v>
      </c>
      <c r="R917" s="10" t="s">
        <v>220</v>
      </c>
      <c r="S917" s="14" t="s">
        <v>194</v>
      </c>
      <c r="T917" s="188">
        <v>1000</v>
      </c>
      <c r="U917" s="8">
        <f t="shared" si="113"/>
        <v>180</v>
      </c>
      <c r="V917" s="234">
        <f t="shared" si="114"/>
        <v>72484.155246160299</v>
      </c>
      <c r="W917" s="15">
        <v>25</v>
      </c>
      <c r="X917" s="8">
        <f t="shared" si="111"/>
        <v>4.5</v>
      </c>
      <c r="Y917" s="233">
        <f t="shared" si="108"/>
        <v>3678</v>
      </c>
    </row>
    <row r="918" spans="1:25">
      <c r="A918" s="156" t="e" cm="1">
        <f t="array" aca="1" ref="A918" ca="1">_xlfn.IFS(E918=$AB$42,$AC$42,E918=$AB$43,$AC$43,E918=$AB$44,$AC$44,E918=$AB$45,$AC$45,E918=$AB$46,$AC$46,E918=$AB$47,$AC$47,E918=$AB$48,$AC$48,E918=$AB$49,$AC$49,E918=$AB$50,$AC$50,E918=$AB$51,$AC$51,E918=$AB$52,$AC$52,E918=$AB$53,$AC$53,E918=$AB$54,$AC$54,E918=$AB$55,$AC$55,E918=$AB$56,$AC$56,E918=$AB$57,$AC$57,E918=$AB$58,$AC$58,E918=$AB$59,$AC$59,E918=$AB$60,$AC$60,E918=$AB$61,$AC$61,E918=$AB$62,$AC$62,E918=$AB$63,$AC$63,E918=$AB$64,$AC$64,E918=$AB$65,$AC$65,E918=$AB$66,$AC$66,TRUE,"0")</f>
        <v>#NAME?</v>
      </c>
      <c r="C918" s="161" t="str" cm="1">
        <f t="array" ref="C918">_xlfn.IFS(E918=$AB$42,$AF$42,E918=$AB$43,$AF$43,E918=$AB$44,$AF$44,E918=$AB$45,$AF$45,E918=$AB$46,$AF$46,E918=$AB$47,$AF$47,E918=$AB$48,$AF$48,E918=$AB$49,$AF$49,E918=$AB$50,$AF$50,E918=$AB$51,$AF$51,E918=$AB$52,$AF$52,E918=$AB$53,$AF$53,E918=$AB$54,$AF$54,E918=$AB$55,$AF$55,E918=$AB$56,$AF$56,E918=$AB$57,$AF$57,E918=$AB$58,$AF$58,E918=$AB$59,$AF$59,E918=$AB$60,$AF$60,E918=$AB$61,$AF$61,E918=$AB$62,$AF$62,E918=$AB$63,$AF$63,E918=$AB$64,$AF$64,E918=$AB$65,$AF$65,E918=$AB$66,$AF$66,TRUE,"0")</f>
        <v>40 mins Back ANother Goal</v>
      </c>
      <c r="D918" s="270" t="str" cm="1">
        <f t="array" ref="D918">_xlfn.IFS(E918=$AB$42,$AD$42,E918=$AB$43,$AD$43,E918=$AB$44,$AD$44,E918=$AB$45,$AD$45,E918=$AB$46,$AD$46,E918=$AB$47,$AD$47,E918=$AB$48,$AD$48,E918=$AB$49,$AD$49,E918=$AB$50,$AD$50,E918=$AB$51,$AD$51,E918=$AB$52,$AD$52,E918=$AB$53,$AD$53,E918=$AB$54,$AD$54,E918=$AB$55,$AD$55,E918=$AB$56,$AD$56,E918=$AB$57,$AD$57,E918=$AB$58,$AD$58,E918=$AB$59,$AD$59,E918=$AB$60,$AD$60,E918=$AB$61,$AD$61,E918=$AB$62,$AD$62,E918=$AB$63,$AD$63,E918=$AB$64,$AD$64,E918=$AB$65,$AD$65,E918=$AB$66,$AD$66,TRUE,"0")</f>
        <v xml:space="preserve">  BANG</v>
      </c>
      <c r="E918" s="163" t="s">
        <v>726</v>
      </c>
      <c r="F918" s="2" t="s">
        <v>89</v>
      </c>
      <c r="G918" s="2" t="s">
        <v>90</v>
      </c>
      <c r="H918" s="3">
        <v>45395.53125</v>
      </c>
      <c r="I918" s="2" t="s">
        <v>712</v>
      </c>
      <c r="J918" s="2" t="s">
        <v>713</v>
      </c>
      <c r="K918" s="2">
        <v>85</v>
      </c>
      <c r="L918" s="2">
        <v>20</v>
      </c>
      <c r="M918" s="2">
        <v>1.95</v>
      </c>
      <c r="N918" s="2">
        <v>63</v>
      </c>
      <c r="O918" s="2"/>
      <c r="P918" s="2"/>
      <c r="Q918" s="2" t="s">
        <v>95</v>
      </c>
      <c r="R918" s="10" t="s">
        <v>220</v>
      </c>
      <c r="S918" s="14" t="s">
        <v>215</v>
      </c>
      <c r="T918" s="188">
        <v>1000</v>
      </c>
      <c r="U918" s="8">
        <f t="shared" si="113"/>
        <v>180</v>
      </c>
      <c r="V918" s="234">
        <f t="shared" si="114"/>
        <v>72664.155246160299</v>
      </c>
      <c r="W918" s="15">
        <v>25</v>
      </c>
      <c r="X918" s="8">
        <f t="shared" si="111"/>
        <v>4.5</v>
      </c>
      <c r="Y918" s="233">
        <f t="shared" si="108"/>
        <v>3682.5</v>
      </c>
    </row>
    <row r="919" spans="1:25">
      <c r="A919" s="156" t="e" cm="1">
        <f t="array" aca="1" ref="A919" ca="1">_xlfn.IFS(E919=$AB$42,$AC$42,E919=$AB$43,$AC$43,E919=$AB$44,$AC$44,E919=$AB$45,$AC$45,E919=$AB$46,$AC$46,E919=$AB$47,$AC$47,E919=$AB$48,$AC$48,E919=$AB$49,$AC$49,E919=$AB$50,$AC$50,E919=$AB$51,$AC$51,E919=$AB$52,$AC$52,E919=$AB$53,$AC$53,E919=$AB$54,$AC$54,E919=$AB$55,$AC$55,E919=$AB$56,$AC$56,E919=$AB$57,$AC$57,E919=$AB$58,$AC$58,E919=$AB$59,$AC$59,E919=$AB$60,$AC$60,E919=$AB$61,$AC$61,E919=$AB$62,$AC$62,E919=$AB$63,$AC$63,E919=$AB$64,$AC$64,E919=$AB$65,$AC$65,E919=$AB$66,$AC$66,TRUE,"0")</f>
        <v>#NAME?</v>
      </c>
      <c r="C919" s="161" t="str" cm="1">
        <f t="array" ref="C919">_xlfn.IFS(E919=$AB$42,$AF$42,E919=$AB$43,$AF$43,E919=$AB$44,$AF$44,E919=$AB$45,$AF$45,E919=$AB$46,$AF$46,E919=$AB$47,$AF$47,E919=$AB$48,$AF$48,E919=$AB$49,$AF$49,E919=$AB$50,$AF$50,E919=$AB$51,$AF$51,E919=$AB$52,$AF$52,E919=$AB$53,$AF$53,E919=$AB$54,$AF$54,E919=$AB$55,$AF$55,E919=$AB$56,$AF$56,E919=$AB$57,$AF$57,E919=$AB$58,$AF$58,E919=$AB$59,$AF$59,E919=$AB$60,$AF$60,E919=$AB$61,$AF$61,E919=$AB$62,$AF$62,E919=$AB$63,$AF$63,E919=$AB$64,$AF$64,E919=$AB$65,$AF$65,E919=$AB$66,$AF$66,TRUE,"0")</f>
        <v>if 0-0, BACK+ 0.5 GOALS  @ 1.15+odds.  or @ 40 mins</v>
      </c>
      <c r="D919" s="270" t="str" cm="1">
        <f t="array" ref="D919">_xlfn.IFS(E919=$AB$42,$AD$42,E919=$AB$43,$AD$43,E919=$AB$44,$AD$44,E919=$AB$45,$AD$45,E919=$AB$46,$AD$46,E919=$AB$47,$AD$47,E919=$AB$48,$AD$48,E919=$AB$49,$AD$49,E919=$AB$50,$AD$50,E919=$AB$51,$AD$51,E919=$AB$52,$AD$52,E919=$AB$53,$AD$53,E919=$AB$54,$AD$54,E919=$AB$55,$AD$55,E919=$AB$56,$AD$56,E919=$AB$57,$AD$57,E919=$AB$58,$AD$58,E919=$AB$59,$AD$59,E919=$AB$60,$AD$60,E919=$AB$61,$AD$61,E919=$AB$62,$AD$62,E919=$AB$63,$AD$63,E919=$AB$64,$AD$64,E919=$AB$65,$AD$65,E919=$AB$66,$AD$66,TRUE,"0")</f>
        <v>IP</v>
      </c>
      <c r="E919" s="163" t="s">
        <v>270</v>
      </c>
      <c r="F919" s="2" t="s">
        <v>20</v>
      </c>
      <c r="G919" s="2" t="s">
        <v>322</v>
      </c>
      <c r="H919" s="3">
        <v>45395.541666666664</v>
      </c>
      <c r="I919" s="2" t="s">
        <v>454</v>
      </c>
      <c r="J919" s="2" t="s">
        <v>341</v>
      </c>
      <c r="K919" s="2">
        <v>59</v>
      </c>
      <c r="L919" s="2">
        <v>0</v>
      </c>
      <c r="M919" s="2">
        <v>20</v>
      </c>
      <c r="N919" s="2">
        <v>41</v>
      </c>
      <c r="O919" s="2">
        <v>2.4300000000000002</v>
      </c>
      <c r="P919" s="2"/>
      <c r="Q919" s="2" t="s">
        <v>95</v>
      </c>
      <c r="R919" s="10" t="s">
        <v>216</v>
      </c>
      <c r="S919" s="14" t="s">
        <v>223</v>
      </c>
      <c r="T919" s="188">
        <v>1000</v>
      </c>
      <c r="U919" s="8">
        <f t="shared" si="113"/>
        <v>180</v>
      </c>
      <c r="V919" s="234">
        <f t="shared" si="114"/>
        <v>72844.155246160299</v>
      </c>
      <c r="W919" s="15">
        <v>25</v>
      </c>
      <c r="X919" s="8">
        <f t="shared" si="111"/>
        <v>4.5</v>
      </c>
      <c r="Y919" s="233">
        <f t="shared" si="108"/>
        <v>3687</v>
      </c>
    </row>
    <row r="920" spans="1:25">
      <c r="A920" s="156" t="e" cm="1">
        <f t="array" aca="1" ref="A920" ca="1">_xlfn.IFS(E920=$AB$42,$AC$42,E920=$AB$43,$AC$43,E920=$AB$44,$AC$44,E920=$AB$45,$AC$45,E920=$AB$46,$AC$46,E920=$AB$47,$AC$47,E920=$AB$48,$AC$48,E920=$AB$49,$AC$49,E920=$AB$50,$AC$50,E920=$AB$51,$AC$51,E920=$AB$52,$AC$52,E920=$AB$53,$AC$53,E920=$AB$54,$AC$54,E920=$AB$55,$AC$55,E920=$AB$56,$AC$56,E920=$AB$57,$AC$57,E920=$AB$58,$AC$58,E920=$AB$59,$AC$59,E920=$AB$60,$AC$60,E920=$AB$61,$AC$61,E920=$AB$62,$AC$62,E920=$AB$63,$AC$63,E920=$AB$64,$AC$64,E920=$AB$65,$AC$65,E920=$AB$66,$AC$66,TRUE,"0")</f>
        <v>#NAME?</v>
      </c>
      <c r="C920" s="161" t="str" cm="1">
        <f t="array" ref="C920">_xlfn.IFS(E920=$AB$42,$AF$42,E920=$AB$43,$AF$43,E920=$AB$44,$AF$44,E920=$AB$45,$AF$45,E920=$AB$46,$AF$46,E920=$AB$47,$AF$47,E920=$AB$48,$AF$48,E920=$AB$49,$AF$49,E920=$AB$50,$AF$50,E920=$AB$51,$AF$51,E920=$AB$52,$AF$52,E920=$AB$53,$AF$53,E920=$AB$54,$AF$54,E920=$AB$55,$AF$55,E920=$AB$56,$AF$56,E920=$AB$57,$AF$57,E920=$AB$58,$AF$58,E920=$AB$59,$AF$59,E920=$AB$60,$AF$60,E920=$AB$61,$AF$61,E920=$AB$62,$AF$62,E920=$AB$63,$AF$63,E920=$AB$64,$AF$64,E920=$AB$65,$AF$65,E920=$AB$66,$AF$66,TRUE,"0")</f>
        <v>20mins if  0-0, BACK over 1.5 goals X after goal OR LET RUN</v>
      </c>
      <c r="D920" s="270" t="str" cm="1">
        <f t="array" ref="D920">_xlfn.IFS(E920=$AB$42,$AD$42,E920=$AB$43,$AD$43,E920=$AB$44,$AD$44,E920=$AB$45,$AD$45,E920=$AB$46,$AD$46,E920=$AB$47,$AD$47,E920=$AB$48,$AD$48,E920=$AB$49,$AD$49,E920=$AB$50,$AD$50,E920=$AB$51,$AD$51,E920=$AB$52,$AD$52,E920=$AB$53,$AD$53,E920=$AB$54,$AD$54,E920=$AB$55,$AD$55,E920=$AB$56,$AD$56,E920=$AB$57,$AD$57,E920=$AB$58,$AD$58,E920=$AB$59,$AD$59,E920=$AB$60,$AD$60,E920=$AB$61,$AD$61,E920=$AB$62,$AD$62,E920=$AB$63,$AD$63,E920=$AB$64,$AD$64,E920=$AB$65,$AD$65,E920=$AB$66,$AD$66,TRUE,"0")</f>
        <v>IP</v>
      </c>
      <c r="E920" s="163" t="s">
        <v>474</v>
      </c>
      <c r="F920" s="2" t="s">
        <v>77</v>
      </c>
      <c r="G920" s="2" t="s">
        <v>251</v>
      </c>
      <c r="H920" s="3">
        <v>45395.541666666664</v>
      </c>
      <c r="I920" s="2" t="s">
        <v>295</v>
      </c>
      <c r="J920" s="2" t="s">
        <v>549</v>
      </c>
      <c r="K920" s="2">
        <v>52</v>
      </c>
      <c r="L920" s="2">
        <v>3.3</v>
      </c>
      <c r="M920" s="2">
        <v>20</v>
      </c>
      <c r="N920" s="2">
        <v>65</v>
      </c>
      <c r="O920" s="2">
        <v>85</v>
      </c>
      <c r="P920" s="2"/>
      <c r="Q920" s="2" t="s">
        <v>95</v>
      </c>
      <c r="R920" s="10" t="s">
        <v>221</v>
      </c>
      <c r="S920" s="14" t="s">
        <v>277</v>
      </c>
      <c r="T920" s="188">
        <v>1000</v>
      </c>
      <c r="U920" s="8">
        <f t="shared" si="113"/>
        <v>180</v>
      </c>
      <c r="V920" s="234">
        <f t="shared" si="114"/>
        <v>73024.155246160299</v>
      </c>
      <c r="W920" s="15">
        <v>25</v>
      </c>
      <c r="X920" s="8">
        <f t="shared" si="111"/>
        <v>4.5</v>
      </c>
      <c r="Y920" s="233">
        <f t="shared" si="108"/>
        <v>3691.5</v>
      </c>
    </row>
    <row r="921" spans="1:25">
      <c r="A921" s="156" t="e" cm="1">
        <f t="array" aca="1" ref="A921" ca="1">_xlfn.IFS(E921=$AB$42,$AC$42,E921=$AB$43,$AC$43,E921=$AB$44,$AC$44,E921=$AB$45,$AC$45,E921=$AB$46,$AC$46,E921=$AB$47,$AC$47,E921=$AB$48,$AC$48,E921=$AB$49,$AC$49,E921=$AB$50,$AC$50,E921=$AB$51,$AC$51,E921=$AB$52,$AC$52,E921=$AB$53,$AC$53,E921=$AB$54,$AC$54,E921=$AB$55,$AC$55,E921=$AB$56,$AC$56,E921=$AB$57,$AC$57,E921=$AB$58,$AC$58,E921=$AB$59,$AC$59,E921=$AB$60,$AC$60,E921=$AB$61,$AC$61,E921=$AB$62,$AC$62,E921=$AB$63,$AC$63,E921=$AB$64,$AC$64,E921=$AB$65,$AC$65,E921=$AB$66,$AC$66,TRUE,"0")</f>
        <v>#NAME?</v>
      </c>
      <c r="C921" s="161" t="str" cm="1">
        <f t="array" ref="C921">_xlfn.IFS(E921=$AB$42,$AF$42,E921=$AB$43,$AF$43,E921=$AB$44,$AF$44,E921=$AB$45,$AF$45,E921=$AB$46,$AF$46,E921=$AB$47,$AF$47,E921=$AB$48,$AF$48,E921=$AB$49,$AF$49,E921=$AB$50,$AF$50,E921=$AB$51,$AF$51,E921=$AB$52,$AF$52,E921=$AB$53,$AF$53,E921=$AB$54,$AF$54,E921=$AB$55,$AF$55,E921=$AB$56,$AF$56,E921=$AB$57,$AF$57,E921=$AB$58,$AF$58,E921=$AB$59,$AF$59,E921=$AB$60,$AF$60,E921=$AB$61,$AF$61,E921=$AB$62,$AF$62,E921=$AB$63,$AF$63,E921=$AB$64,$AF$64,E921=$AB$65,$AF$65,E921=$AB$66,$AF$66,TRUE,"0")</f>
        <v>if 0-0, BACK+ 0.5 GOALS  @ 1.15+odds.  or @ 40 mins</v>
      </c>
      <c r="D921" s="270" t="str" cm="1">
        <f t="array" ref="D921">_xlfn.IFS(E921=$AB$42,$AD$42,E921=$AB$43,$AD$43,E921=$AB$44,$AD$44,E921=$AB$45,$AD$45,E921=$AB$46,$AD$46,E921=$AB$47,$AD$47,E921=$AB$48,$AD$48,E921=$AB$49,$AD$49,E921=$AB$50,$AD$50,E921=$AB$51,$AD$51,E921=$AB$52,$AD$52,E921=$AB$53,$AD$53,E921=$AB$54,$AD$54,E921=$AB$55,$AD$55,E921=$AB$56,$AD$56,E921=$AB$57,$AD$57,E921=$AB$58,$AD$58,E921=$AB$59,$AD$59,E921=$AB$60,$AD$60,E921=$AB$61,$AD$61,E921=$AB$62,$AD$62,E921=$AB$63,$AD$63,E921=$AB$64,$AD$64,E921=$AB$65,$AD$65,E921=$AB$66,$AD$66,TRUE,"0")</f>
        <v>IP</v>
      </c>
      <c r="E921" s="163" t="s">
        <v>270</v>
      </c>
      <c r="F921" s="2" t="s">
        <v>77</v>
      </c>
      <c r="G921" s="2" t="s">
        <v>156</v>
      </c>
      <c r="H921" s="3">
        <v>45395.604166666664</v>
      </c>
      <c r="I921" s="2" t="s">
        <v>160</v>
      </c>
      <c r="J921" s="2" t="s">
        <v>158</v>
      </c>
      <c r="K921" s="2">
        <v>59</v>
      </c>
      <c r="L921" s="2">
        <v>0</v>
      </c>
      <c r="M921" s="2">
        <v>20</v>
      </c>
      <c r="N921" s="2">
        <v>26</v>
      </c>
      <c r="O921" s="2">
        <v>3.36</v>
      </c>
      <c r="P921" s="2"/>
      <c r="Q921" s="2" t="s">
        <v>95</v>
      </c>
      <c r="R921" s="10" t="s">
        <v>193</v>
      </c>
      <c r="S921" s="14" t="s">
        <v>196</v>
      </c>
      <c r="T921" s="188">
        <v>1000</v>
      </c>
      <c r="U921" s="8">
        <f t="shared" si="113"/>
        <v>180</v>
      </c>
      <c r="V921" s="234">
        <f t="shared" si="114"/>
        <v>73204.155246160299</v>
      </c>
      <c r="W921" s="15">
        <v>25</v>
      </c>
      <c r="X921" s="8">
        <f t="shared" si="111"/>
        <v>4.5</v>
      </c>
      <c r="Y921" s="233">
        <f t="shared" si="108"/>
        <v>3696</v>
      </c>
    </row>
    <row r="922" spans="1:25">
      <c r="A922" s="156" t="e" cm="1">
        <f t="array" aca="1" ref="A922" ca="1">_xlfn.IFS(E922=$AB$42,$AC$42,E922=$AB$43,$AC$43,E922=$AB$44,$AC$44,E922=$AB$45,$AC$45,E922=$AB$46,$AC$46,E922=$AB$47,$AC$47,E922=$AB$48,$AC$48,E922=$AB$49,$AC$49,E922=$AB$50,$AC$50,E922=$AB$51,$AC$51,E922=$AB$52,$AC$52,E922=$AB$53,$AC$53,E922=$AB$54,$AC$54,E922=$AB$55,$AC$55,E922=$AB$56,$AC$56,E922=$AB$57,$AC$57,E922=$AB$58,$AC$58,E922=$AB$59,$AC$59,E922=$AB$60,$AC$60,E922=$AB$61,$AC$61,E922=$AB$62,$AC$62,E922=$AB$63,$AC$63,E922=$AB$64,$AC$64,E922=$AB$65,$AC$65,E922=$AB$66,$AC$66,TRUE,"0")</f>
        <v>#NAME?</v>
      </c>
      <c r="C922" s="161" t="str" cm="1">
        <f t="array" ref="C922">_xlfn.IFS(E922=$AB$42,$AF$42,E922=$AB$43,$AF$43,E922=$AB$44,$AF$44,E922=$AB$45,$AF$45,E922=$AB$46,$AF$46,E922=$AB$47,$AF$47,E922=$AB$48,$AF$48,E922=$AB$49,$AF$49,E922=$AB$50,$AF$50,E922=$AB$51,$AF$51,E922=$AB$52,$AF$52,E922=$AB$53,$AF$53,E922=$AB$54,$AF$54,E922=$AB$55,$AF$55,E922=$AB$56,$AF$56,E922=$AB$57,$AF$57,E922=$AB$58,$AF$58,E922=$AB$59,$AF$59,E922=$AB$60,$AF$60,E922=$AB$61,$AF$61,E922=$AB$62,$AF$62,E922=$AB$63,$AF$63,E922=$AB$64,$AF$64,E922=$AB$65,$AF$65,E922=$AB$66,$AF$66,TRUE,"0")</f>
        <v>40 mins Back ANother Goal</v>
      </c>
      <c r="D922" s="270" t="str" cm="1">
        <f t="array" ref="D922">_xlfn.IFS(E922=$AB$42,$AD$42,E922=$AB$43,$AD$43,E922=$AB$44,$AD$44,E922=$AB$45,$AD$45,E922=$AB$46,$AD$46,E922=$AB$47,$AD$47,E922=$AB$48,$AD$48,E922=$AB$49,$AD$49,E922=$AB$50,$AD$50,E922=$AB$51,$AD$51,E922=$AB$52,$AD$52,E922=$AB$53,$AD$53,E922=$AB$54,$AD$54,E922=$AB$55,$AD$55,E922=$AB$56,$AD$56,E922=$AB$57,$AD$57,E922=$AB$58,$AD$58,E922=$AB$59,$AD$59,E922=$AB$60,$AD$60,E922=$AB$61,$AD$61,E922=$AB$62,$AD$62,E922=$AB$63,$AD$63,E922=$AB$64,$AD$64,E922=$AB$65,$AD$65,E922=$AB$66,$AD$66,TRUE,"0")</f>
        <v xml:space="preserve">  BANG</v>
      </c>
      <c r="E922" s="163" t="s">
        <v>515</v>
      </c>
      <c r="F922" s="2" t="s">
        <v>89</v>
      </c>
      <c r="G922" s="2" t="s">
        <v>90</v>
      </c>
      <c r="H922" s="3">
        <v>45395.604166666664</v>
      </c>
      <c r="I922" s="2" t="s">
        <v>714</v>
      </c>
      <c r="J922" s="2" t="s">
        <v>706</v>
      </c>
      <c r="K922" s="2">
        <v>20</v>
      </c>
      <c r="L922" s="2">
        <v>73</v>
      </c>
      <c r="M922" s="2">
        <v>1.75</v>
      </c>
      <c r="N922" s="2"/>
      <c r="O922" s="2"/>
      <c r="P922" s="2"/>
      <c r="Q922" s="2" t="s">
        <v>95</v>
      </c>
      <c r="R922" s="10" t="s">
        <v>214</v>
      </c>
      <c r="S922" s="14" t="s">
        <v>222</v>
      </c>
      <c r="T922" s="188">
        <v>1000</v>
      </c>
      <c r="U922" s="8">
        <f t="shared" si="113"/>
        <v>180</v>
      </c>
      <c r="V922" s="234">
        <f t="shared" si="114"/>
        <v>73384.155246160299</v>
      </c>
      <c r="W922" s="15">
        <v>25</v>
      </c>
      <c r="X922" s="8">
        <f t="shared" si="111"/>
        <v>4.5</v>
      </c>
      <c r="Y922" s="233">
        <f t="shared" si="108"/>
        <v>3700.5</v>
      </c>
    </row>
    <row r="923" spans="1:25">
      <c r="A923" s="156" t="e" cm="1">
        <f t="array" aca="1" ref="A923" ca="1">_xlfn.IFS(E923=$AB$42,$AC$42,E923=$AB$43,$AC$43,E923=$AB$44,$AC$44,E923=$AB$45,$AC$45,E923=$AB$46,$AC$46,E923=$AB$47,$AC$47,E923=$AB$48,$AC$48,E923=$AB$49,$AC$49,E923=$AB$50,$AC$50,E923=$AB$51,$AC$51,E923=$AB$52,$AC$52,E923=$AB$53,$AC$53,E923=$AB$54,$AC$54,E923=$AB$55,$AC$55,E923=$AB$56,$AC$56,E923=$AB$57,$AC$57,E923=$AB$58,$AC$58,E923=$AB$59,$AC$59,E923=$AB$60,$AC$60,E923=$AB$61,$AC$61,E923=$AB$62,$AC$62,E923=$AB$63,$AC$63,E923=$AB$64,$AC$64,E923=$AB$65,$AC$65,E923=$AB$66,$AC$66,TRUE,"0")</f>
        <v>#NAME?</v>
      </c>
      <c r="C923" s="161" t="str" cm="1">
        <f t="array" ref="C923">_xlfn.IFS(E923=$AB$42,$AF$42,E923=$AB$43,$AF$43,E923=$AB$44,$AF$44,E923=$AB$45,$AF$45,E923=$AB$46,$AF$46,E923=$AB$47,$AF$47,E923=$AB$48,$AF$48,E923=$AB$49,$AF$49,E923=$AB$50,$AF$50,E923=$AB$51,$AF$51,E923=$AB$52,$AF$52,E923=$AB$53,$AF$53,E923=$AB$54,$AF$54,E923=$AB$55,$AF$55,E923=$AB$56,$AF$56,E923=$AB$57,$AF$57,E923=$AB$58,$AF$58,E923=$AB$59,$AF$59,E923=$AB$60,$AF$60,E923=$AB$61,$AF$61,E923=$AB$62,$AF$62,E923=$AB$63,$AF$63,E923=$AB$64,$AF$64,E923=$AB$65,$AF$65,E923=$AB$66,$AF$66,TRUE,"0")</f>
        <v>B4 match BACK FT +1.5 goals. X AFTER  GOAL</v>
      </c>
      <c r="D923" s="270" t="str" cm="1">
        <f t="array" ref="D923">_xlfn.IFS(E923=$AB$42,$AD$42,E923=$AB$43,$AD$43,E923=$AB$44,$AD$44,E923=$AB$45,$AD$45,E923=$AB$46,$AD$46,E923=$AB$47,$AD$47,E923=$AB$48,$AD$48,E923=$AB$49,$AD$49,E923=$AB$50,$AD$50,E923=$AB$51,$AD$51,E923=$AB$52,$AD$52,E923=$AB$53,$AD$53,E923=$AB$54,$AD$54,E923=$AB$55,$AD$55,E923=$AB$56,$AD$56,E923=$AB$57,$AD$57,E923=$AB$58,$AD$58,E923=$AB$59,$AD$59,E923=$AB$60,$AD$60,E923=$AB$61,$AD$61,E923=$AB$62,$AD$62,E923=$AB$63,$AD$63,E923=$AB$64,$AD$64,E923=$AB$65,$AD$65,E923=$AB$66,$AD$66,TRUE,"0")</f>
        <v xml:space="preserve">BFM </v>
      </c>
      <c r="E923" s="163" t="s">
        <v>623</v>
      </c>
      <c r="F923" s="2" t="s">
        <v>77</v>
      </c>
      <c r="G923" s="2" t="s">
        <v>156</v>
      </c>
      <c r="H923" s="3">
        <v>45395.604166666664</v>
      </c>
      <c r="I923" s="2" t="s">
        <v>157</v>
      </c>
      <c r="J923" s="2" t="s">
        <v>438</v>
      </c>
      <c r="K923" s="2">
        <v>2.88</v>
      </c>
      <c r="L923" s="2">
        <v>20</v>
      </c>
      <c r="M923" s="2">
        <v>3.35</v>
      </c>
      <c r="N923" s="2">
        <v>36</v>
      </c>
      <c r="O923" s="2">
        <v>3</v>
      </c>
      <c r="P923" s="2">
        <v>10</v>
      </c>
      <c r="Q923" s="2" t="s">
        <v>95</v>
      </c>
      <c r="R923" s="10" t="s">
        <v>221</v>
      </c>
      <c r="S923" s="14" t="s">
        <v>220</v>
      </c>
      <c r="T923" s="188">
        <v>1000</v>
      </c>
      <c r="U923" s="8">
        <f t="shared" si="113"/>
        <v>180</v>
      </c>
      <c r="V923" s="234">
        <f t="shared" ref="V923:V946" si="115">SUM(V922,U923)</f>
        <v>73564.155246160299</v>
      </c>
      <c r="W923" s="15">
        <v>25</v>
      </c>
      <c r="X923" s="8">
        <f t="shared" si="111"/>
        <v>4.5</v>
      </c>
      <c r="Y923" s="233">
        <f t="shared" si="108"/>
        <v>3705</v>
      </c>
    </row>
    <row r="924" spans="1:25">
      <c r="A924" s="156" t="e" cm="1">
        <f t="array" aca="1" ref="A924" ca="1">_xlfn.IFS(E924=$AB$42,$AC$42,E924=$AB$43,$AC$43,E924=$AB$44,$AC$44,E924=$AB$45,$AC$45,E924=$AB$46,$AC$46,E924=$AB$47,$AC$47,E924=$AB$48,$AC$48,E924=$AB$49,$AC$49,E924=$AB$50,$AC$50,E924=$AB$51,$AC$51,E924=$AB$52,$AC$52,E924=$AB$53,$AC$53,E924=$AB$54,$AC$54,E924=$AB$55,$AC$55,E924=$AB$56,$AC$56,E924=$AB$57,$AC$57,E924=$AB$58,$AC$58,E924=$AB$59,$AC$59,E924=$AB$60,$AC$60,E924=$AB$61,$AC$61,E924=$AB$62,$AC$62,E924=$AB$63,$AC$63,E924=$AB$64,$AC$64,E924=$AB$65,$AC$65,E924=$AB$66,$AC$66,TRUE,"0")</f>
        <v>#NAME?</v>
      </c>
      <c r="C924" s="161" t="str" cm="1">
        <f t="array" ref="C924">_xlfn.IFS(E924=$AB$42,$AF$42,E924=$AB$43,$AF$43,E924=$AB$44,$AF$44,E924=$AB$45,$AF$45,E924=$AB$46,$AF$46,E924=$AB$47,$AF$47,E924=$AB$48,$AF$48,E924=$AB$49,$AF$49,E924=$AB$50,$AF$50,E924=$AB$51,$AF$51,E924=$AB$52,$AF$52,E924=$AB$53,$AF$53,E924=$AB$54,$AF$54,E924=$AB$55,$AF$55,E924=$AB$56,$AF$56,E924=$AB$57,$AF$57,E924=$AB$58,$AF$58,E924=$AB$59,$AF$59,E924=$AB$60,$AF$60,E924=$AB$61,$AF$61,E924=$AB$62,$AF$62,E924=$AB$63,$AF$63,E924=$AB$64,$AF$64,E924=$AB$65,$AF$65,E924=$AB$66,$AF$66,TRUE,"0")</f>
        <v>if 0-0, BACK+ 0.5 GOALS  @ 1.15+odds.  or @ 40 mins</v>
      </c>
      <c r="D924" s="270" t="str" cm="1">
        <f t="array" ref="D924">_xlfn.IFS(E924=$AB$42,$AD$42,E924=$AB$43,$AD$43,E924=$AB$44,$AD$44,E924=$AB$45,$AD$45,E924=$AB$46,$AD$46,E924=$AB$47,$AD$47,E924=$AB$48,$AD$48,E924=$AB$49,$AD$49,E924=$AB$50,$AD$50,E924=$AB$51,$AD$51,E924=$AB$52,$AD$52,E924=$AB$53,$AD$53,E924=$AB$54,$AD$54,E924=$AB$55,$AD$55,E924=$AB$56,$AD$56,E924=$AB$57,$AD$57,E924=$AB$58,$AD$58,E924=$AB$59,$AD$59,E924=$AB$60,$AD$60,E924=$AB$61,$AD$61,E924=$AB$62,$AD$62,E924=$AB$63,$AD$63,E924=$AB$64,$AD$64,E924=$AB$65,$AD$65,E924=$AB$66,$AD$66,TRUE,"0")</f>
        <v>IP</v>
      </c>
      <c r="E924" s="163" t="s">
        <v>270</v>
      </c>
      <c r="F924" s="2" t="s">
        <v>77</v>
      </c>
      <c r="G924" s="2" t="s">
        <v>156</v>
      </c>
      <c r="H924" s="3">
        <v>45395.604166666664</v>
      </c>
      <c r="I924" s="2" t="s">
        <v>157</v>
      </c>
      <c r="J924" s="2" t="s">
        <v>438</v>
      </c>
      <c r="K924" s="2">
        <v>67</v>
      </c>
      <c r="L924" s="2">
        <v>0</v>
      </c>
      <c r="M924" s="2">
        <v>20</v>
      </c>
      <c r="N924" s="2">
        <v>36</v>
      </c>
      <c r="O924" s="2">
        <v>3.57</v>
      </c>
      <c r="P924" s="2"/>
      <c r="Q924" s="2" t="s">
        <v>95</v>
      </c>
      <c r="R924" s="10" t="s">
        <v>221</v>
      </c>
      <c r="S924" s="14" t="s">
        <v>220</v>
      </c>
      <c r="T924" s="188">
        <v>1000</v>
      </c>
      <c r="U924" s="8">
        <f t="shared" si="113"/>
        <v>180</v>
      </c>
      <c r="V924" s="234">
        <f t="shared" si="115"/>
        <v>73744.155246160299</v>
      </c>
      <c r="W924" s="15">
        <v>25</v>
      </c>
      <c r="X924" s="8">
        <f t="shared" si="111"/>
        <v>4.5</v>
      </c>
      <c r="Y924" s="233">
        <f t="shared" si="108"/>
        <v>3709.5</v>
      </c>
    </row>
    <row r="925" spans="1:25">
      <c r="A925" s="156" t="e" cm="1">
        <f t="array" aca="1" ref="A925" ca="1">_xlfn.IFS(E925=$AB$42,$AC$42,E925=$AB$43,$AC$43,E925=$AB$44,$AC$44,E925=$AB$45,$AC$45,E925=$AB$46,$AC$46,E925=$AB$47,$AC$47,E925=$AB$48,$AC$48,E925=$AB$49,$AC$49,E925=$AB$50,$AC$50,E925=$AB$51,$AC$51,E925=$AB$52,$AC$52,E925=$AB$53,$AC$53,E925=$AB$54,$AC$54,E925=$AB$55,$AC$55,E925=$AB$56,$AC$56,E925=$AB$57,$AC$57,E925=$AB$58,$AC$58,E925=$AB$59,$AC$59,E925=$AB$60,$AC$60,E925=$AB$61,$AC$61,E925=$AB$62,$AC$62,E925=$AB$63,$AC$63,E925=$AB$64,$AC$64,E925=$AB$65,$AC$65,E925=$AB$66,$AC$66,TRUE,"0")</f>
        <v>#NAME?</v>
      </c>
      <c r="C925" s="161" t="str" cm="1">
        <f t="array" ref="C925">_xlfn.IFS(E925=$AB$42,$AF$42,E925=$AB$43,$AF$43,E925=$AB$44,$AF$44,E925=$AB$45,$AF$45,E925=$AB$46,$AF$46,E925=$AB$47,$AF$47,E925=$AB$48,$AF$48,E925=$AB$49,$AF$49,E925=$AB$50,$AF$50,E925=$AB$51,$AF$51,E925=$AB$52,$AF$52,E925=$AB$53,$AF$53,E925=$AB$54,$AF$54,E925=$AB$55,$AF$55,E925=$AB$56,$AF$56,E925=$AB$57,$AF$57,E925=$AB$58,$AF$58,E925=$AB$59,$AF$59,E925=$AB$60,$AF$60,E925=$AB$61,$AF$61,E925=$AB$62,$AF$62,E925=$AB$63,$AF$63,E925=$AB$64,$AF$64,E925=$AB$65,$AF$65,E925=$AB$66,$AF$66,TRUE,"0")</f>
        <v>40 mins Back ANother Goal</v>
      </c>
      <c r="D925" s="270" t="str" cm="1">
        <f t="array" ref="D925">_xlfn.IFS(E925=$AB$42,$AD$42,E925=$AB$43,$AD$43,E925=$AB$44,$AD$44,E925=$AB$45,$AD$45,E925=$AB$46,$AD$46,E925=$AB$47,$AD$47,E925=$AB$48,$AD$48,E925=$AB$49,$AD$49,E925=$AB$50,$AD$50,E925=$AB$51,$AD$51,E925=$AB$52,$AD$52,E925=$AB$53,$AD$53,E925=$AB$54,$AD$54,E925=$AB$55,$AD$55,E925=$AB$56,$AD$56,E925=$AB$57,$AD$57,E925=$AB$58,$AD$58,E925=$AB$59,$AD$59,E925=$AB$60,$AD$60,E925=$AB$61,$AD$61,E925=$AB$62,$AD$62,E925=$AB$63,$AD$63,E925=$AB$64,$AD$64,E925=$AB$65,$AD$65,E925=$AB$66,$AD$66,TRUE,"0")</f>
        <v xml:space="preserve">  BANG</v>
      </c>
      <c r="E925" s="163" t="s">
        <v>726</v>
      </c>
      <c r="F925" s="2" t="s">
        <v>89</v>
      </c>
      <c r="G925" s="2" t="s">
        <v>90</v>
      </c>
      <c r="H925" s="3">
        <v>45395.604166666664</v>
      </c>
      <c r="I925" s="2" t="s">
        <v>483</v>
      </c>
      <c r="J925" s="2" t="s">
        <v>91</v>
      </c>
      <c r="K925" s="2">
        <v>90</v>
      </c>
      <c r="L925" s="2">
        <v>20</v>
      </c>
      <c r="M925" s="2">
        <v>2.2999999999999998</v>
      </c>
      <c r="N925" s="2">
        <v>61</v>
      </c>
      <c r="O925" s="2"/>
      <c r="P925" s="2"/>
      <c r="Q925" s="2" t="s">
        <v>95</v>
      </c>
      <c r="R925" s="10" t="s">
        <v>193</v>
      </c>
      <c r="S925" s="14" t="s">
        <v>734</v>
      </c>
      <c r="T925" s="188">
        <v>1000</v>
      </c>
      <c r="U925" s="8">
        <f t="shared" si="113"/>
        <v>180</v>
      </c>
      <c r="V925" s="234">
        <f t="shared" si="115"/>
        <v>73924.155246160299</v>
      </c>
      <c r="W925" s="15">
        <v>25</v>
      </c>
      <c r="X925" s="8">
        <f t="shared" si="111"/>
        <v>4.5</v>
      </c>
      <c r="Y925" s="233">
        <f t="shared" si="108"/>
        <v>3714</v>
      </c>
    </row>
    <row r="926" spans="1:25">
      <c r="A926" s="156" t="e" cm="1">
        <f t="array" aca="1" ref="A926" ca="1">_xlfn.IFS(E926=$AB$42,$AC$42,E926=$AB$43,$AC$43,E926=$AB$44,$AC$44,E926=$AB$45,$AC$45,E926=$AB$46,$AC$46,E926=$AB$47,$AC$47,E926=$AB$48,$AC$48,E926=$AB$49,$AC$49,E926=$AB$50,$AC$50,E926=$AB$51,$AC$51,E926=$AB$52,$AC$52,E926=$AB$53,$AC$53,E926=$AB$54,$AC$54,E926=$AB$55,$AC$55,E926=$AB$56,$AC$56,E926=$AB$57,$AC$57,E926=$AB$58,$AC$58,E926=$AB$59,$AC$59,E926=$AB$60,$AC$60,E926=$AB$61,$AC$61,E926=$AB$62,$AC$62,E926=$AB$63,$AC$63,E926=$AB$64,$AC$64,E926=$AB$65,$AC$65,E926=$AB$66,$AC$66,TRUE,"0")</f>
        <v>#NAME?</v>
      </c>
      <c r="C926" s="161" t="str" cm="1">
        <f t="array" ref="C926">_xlfn.IFS(E926=$AB$42,$AF$42,E926=$AB$43,$AF$43,E926=$AB$44,$AF$44,E926=$AB$45,$AF$45,E926=$AB$46,$AF$46,E926=$AB$47,$AF$47,E926=$AB$48,$AF$48,E926=$AB$49,$AF$49,E926=$AB$50,$AF$50,E926=$AB$51,$AF$51,E926=$AB$52,$AF$52,E926=$AB$53,$AF$53,E926=$AB$54,$AF$54,E926=$AB$55,$AF$55,E926=$AB$56,$AF$56,E926=$AB$57,$AF$57,E926=$AB$58,$AF$58,E926=$AB$59,$AF$59,E926=$AB$60,$AF$60,E926=$AB$61,$AF$61,E926=$AB$62,$AF$62,E926=$AB$63,$AF$63,E926=$AB$64,$AF$64,E926=$AB$65,$AF$65,E926=$AB$66,$AF$66,TRUE,"0")</f>
        <v>40 mins Back ANother Goal</v>
      </c>
      <c r="D926" s="270" t="str" cm="1">
        <f t="array" ref="D926">_xlfn.IFS(E926=$AB$42,$AD$42,E926=$AB$43,$AD$43,E926=$AB$44,$AD$44,E926=$AB$45,$AD$45,E926=$AB$46,$AD$46,E926=$AB$47,$AD$47,E926=$AB$48,$AD$48,E926=$AB$49,$AD$49,E926=$AB$50,$AD$50,E926=$AB$51,$AD$51,E926=$AB$52,$AD$52,E926=$AB$53,$AD$53,E926=$AB$54,$AD$54,E926=$AB$55,$AD$55,E926=$AB$56,$AD$56,E926=$AB$57,$AD$57,E926=$AB$58,$AD$58,E926=$AB$59,$AD$59,E926=$AB$60,$AD$60,E926=$AB$61,$AD$61,E926=$AB$62,$AD$62,E926=$AB$63,$AD$63,E926=$AB$64,$AD$64,E926=$AB$65,$AD$65,E926=$AB$66,$AD$66,TRUE,"0")</f>
        <v xml:space="preserve">  BANG</v>
      </c>
      <c r="E926" s="163" t="s">
        <v>726</v>
      </c>
      <c r="F926" s="2" t="s">
        <v>89</v>
      </c>
      <c r="G926" s="2" t="s">
        <v>90</v>
      </c>
      <c r="H926" s="3">
        <v>45395.604166666664</v>
      </c>
      <c r="I926" s="2" t="s">
        <v>478</v>
      </c>
      <c r="J926" s="2" t="s">
        <v>92</v>
      </c>
      <c r="K926" s="2">
        <v>85</v>
      </c>
      <c r="L926" s="2">
        <v>20</v>
      </c>
      <c r="M926" s="2">
        <v>1.85</v>
      </c>
      <c r="N926" s="2">
        <v>63</v>
      </c>
      <c r="O926" s="2"/>
      <c r="P926" s="2"/>
      <c r="Q926" s="2" t="s">
        <v>95</v>
      </c>
      <c r="R926" s="10" t="s">
        <v>214</v>
      </c>
      <c r="S926" s="14" t="s">
        <v>195</v>
      </c>
      <c r="T926" s="188">
        <v>1000</v>
      </c>
      <c r="U926" s="8">
        <f t="shared" si="113"/>
        <v>180</v>
      </c>
      <c r="V926" s="234">
        <f t="shared" si="115"/>
        <v>74104.155246160299</v>
      </c>
      <c r="W926" s="15">
        <v>25</v>
      </c>
      <c r="X926" s="8">
        <f t="shared" si="111"/>
        <v>4.5</v>
      </c>
      <c r="Y926" s="233">
        <f t="shared" si="108"/>
        <v>3718.5</v>
      </c>
    </row>
    <row r="927" spans="1:25">
      <c r="A927" s="156" t="e" cm="1">
        <f t="array" aca="1" ref="A927" ca="1">_xlfn.IFS(E927=$AB$42,$AC$42,E927=$AB$43,$AC$43,E927=$AB$44,$AC$44,E927=$AB$45,$AC$45,E927=$AB$46,$AC$46,E927=$AB$47,$AC$47,E927=$AB$48,$AC$48,E927=$AB$49,$AC$49,E927=$AB$50,$AC$50,E927=$AB$51,$AC$51,E927=$AB$52,$AC$52,E927=$AB$53,$AC$53,E927=$AB$54,$AC$54,E927=$AB$55,$AC$55,E927=$AB$56,$AC$56,E927=$AB$57,$AC$57,E927=$AB$58,$AC$58,E927=$AB$59,$AC$59,E927=$AB$60,$AC$60,E927=$AB$61,$AC$61,E927=$AB$62,$AC$62,E927=$AB$63,$AC$63,E927=$AB$64,$AC$64,E927=$AB$65,$AC$65,E927=$AB$66,$AC$66,TRUE,"0")</f>
        <v>#NAME?</v>
      </c>
      <c r="C927" s="161" t="str" cm="1">
        <f t="array" ref="C927">_xlfn.IFS(E927=$AB$42,$AF$42,E927=$AB$43,$AF$43,E927=$AB$44,$AF$44,E927=$AB$45,$AF$45,E927=$AB$46,$AF$46,E927=$AB$47,$AF$47,E927=$AB$48,$AF$48,E927=$AB$49,$AF$49,E927=$AB$50,$AF$50,E927=$AB$51,$AF$51,E927=$AB$52,$AF$52,E927=$AB$53,$AF$53,E927=$AB$54,$AF$54,E927=$AB$55,$AF$55,E927=$AB$56,$AF$56,E927=$AB$57,$AF$57,E927=$AB$58,$AF$58,E927=$AB$59,$AF$59,E927=$AB$60,$AF$60,E927=$AB$61,$AF$61,E927=$AB$62,$AF$62,E927=$AB$63,$AF$63,E927=$AB$64,$AF$64,E927=$AB$65,$AF$65,E927=$AB$66,$AF$66,TRUE,"0")</f>
        <v>B4 match BACK FT +1.5 goals. X AFTER  GOAL</v>
      </c>
      <c r="D927" s="270" t="str" cm="1">
        <f t="array" ref="D927">_xlfn.IFS(E927=$AB$42,$AD$42,E927=$AB$43,$AD$43,E927=$AB$44,$AD$44,E927=$AB$45,$AD$45,E927=$AB$46,$AD$46,E927=$AB$47,$AD$47,E927=$AB$48,$AD$48,E927=$AB$49,$AD$49,E927=$AB$50,$AD$50,E927=$AB$51,$AD$51,E927=$AB$52,$AD$52,E927=$AB$53,$AD$53,E927=$AB$54,$AD$54,E927=$AB$55,$AD$55,E927=$AB$56,$AD$56,E927=$AB$57,$AD$57,E927=$AB$58,$AD$58,E927=$AB$59,$AD$59,E927=$AB$60,$AD$60,E927=$AB$61,$AD$61,E927=$AB$62,$AD$62,E927=$AB$63,$AD$63,E927=$AB$64,$AD$64,E927=$AB$65,$AD$65,E927=$AB$66,$AD$66,TRUE,"0")</f>
        <v xml:space="preserve">BFM </v>
      </c>
      <c r="E927" s="163" t="s">
        <v>406</v>
      </c>
      <c r="F927" s="2" t="s">
        <v>77</v>
      </c>
      <c r="G927" s="2" t="s">
        <v>156</v>
      </c>
      <c r="H927" s="3">
        <v>45395.604166666664</v>
      </c>
      <c r="I927" s="2" t="s">
        <v>181</v>
      </c>
      <c r="J927" s="2" t="s">
        <v>161</v>
      </c>
      <c r="K927" s="2">
        <v>1.37</v>
      </c>
      <c r="L927" s="2">
        <v>9.8000000000000007</v>
      </c>
      <c r="M927" s="2">
        <v>2.8</v>
      </c>
      <c r="N927" s="2">
        <v>4.2</v>
      </c>
      <c r="O927" s="2">
        <v>2.99</v>
      </c>
      <c r="P927" s="2"/>
      <c r="Q927" s="2" t="s">
        <v>95</v>
      </c>
      <c r="R927" s="10" t="s">
        <v>214</v>
      </c>
      <c r="S927" s="14" t="s">
        <v>207</v>
      </c>
      <c r="T927" s="188">
        <v>1000</v>
      </c>
      <c r="U927" s="8">
        <f t="shared" si="113"/>
        <v>180</v>
      </c>
      <c r="V927" s="234">
        <f t="shared" si="115"/>
        <v>74284.155246160299</v>
      </c>
      <c r="W927" s="15">
        <v>25</v>
      </c>
      <c r="X927" s="8">
        <f t="shared" si="111"/>
        <v>4.5</v>
      </c>
      <c r="Y927" s="233">
        <f t="shared" si="108"/>
        <v>3723</v>
      </c>
    </row>
    <row r="928" spans="1:25">
      <c r="A928" s="156" t="e" cm="1">
        <f t="array" aca="1" ref="A928" ca="1">_xlfn.IFS(E928=$AB$42,$AC$42,E928=$AB$43,$AC$43,E928=$AB$44,$AC$44,E928=$AB$45,$AC$45,E928=$AB$46,$AC$46,E928=$AB$47,$AC$47,E928=$AB$48,$AC$48,E928=$AB$49,$AC$49,E928=$AB$50,$AC$50,E928=$AB$51,$AC$51,E928=$AB$52,$AC$52,E928=$AB$53,$AC$53,E928=$AB$54,$AC$54,E928=$AB$55,$AC$55,E928=$AB$56,$AC$56,E928=$AB$57,$AC$57,E928=$AB$58,$AC$58,E928=$AB$59,$AC$59,E928=$AB$60,$AC$60,E928=$AB$61,$AC$61,E928=$AB$62,$AC$62,E928=$AB$63,$AC$63,E928=$AB$64,$AC$64,E928=$AB$65,$AC$65,E928=$AB$66,$AC$66,TRUE,"0")</f>
        <v>#NAME?</v>
      </c>
      <c r="C928" s="161" t="str" cm="1">
        <f t="array" ref="C928">_xlfn.IFS(E928=$AB$42,$AF$42,E928=$AB$43,$AF$43,E928=$AB$44,$AF$44,E928=$AB$45,$AF$45,E928=$AB$46,$AF$46,E928=$AB$47,$AF$47,E928=$AB$48,$AF$48,E928=$AB$49,$AF$49,E928=$AB$50,$AF$50,E928=$AB$51,$AF$51,E928=$AB$52,$AF$52,E928=$AB$53,$AF$53,E928=$AB$54,$AF$54,E928=$AB$55,$AF$55,E928=$AB$56,$AF$56,E928=$AB$57,$AF$57,E928=$AB$58,$AF$58,E928=$AB$59,$AF$59,E928=$AB$60,$AF$60,E928=$AB$61,$AF$61,E928=$AB$62,$AF$62,E928=$AB$63,$AF$63,E928=$AB$64,$AF$64,E928=$AB$65,$AF$65,E928=$AB$66,$AF$66,TRUE,"0")</f>
        <v>B4 match BACK FT +1.5 goals. X AFTER  GOAL</v>
      </c>
      <c r="D928" s="270" t="str" cm="1">
        <f t="array" ref="D928">_xlfn.IFS(E928=$AB$42,$AD$42,E928=$AB$43,$AD$43,E928=$AB$44,$AD$44,E928=$AB$45,$AD$45,E928=$AB$46,$AD$46,E928=$AB$47,$AD$47,E928=$AB$48,$AD$48,E928=$AB$49,$AD$49,E928=$AB$50,$AD$50,E928=$AB$51,$AD$51,E928=$AB$52,$AD$52,E928=$AB$53,$AD$53,E928=$AB$54,$AD$54,E928=$AB$55,$AD$55,E928=$AB$56,$AD$56,E928=$AB$57,$AD$57,E928=$AB$58,$AD$58,E928=$AB$59,$AD$59,E928=$AB$60,$AD$60,E928=$AB$61,$AD$61,E928=$AB$62,$AD$62,E928=$AB$63,$AD$63,E928=$AB$64,$AD$64,E928=$AB$65,$AD$65,E928=$AB$66,$AD$66,TRUE,"0")</f>
        <v xml:space="preserve">BFM </v>
      </c>
      <c r="E928" s="163" t="s">
        <v>623</v>
      </c>
      <c r="F928" s="2" t="s">
        <v>77</v>
      </c>
      <c r="G928" s="2" t="s">
        <v>156</v>
      </c>
      <c r="H928" s="3">
        <v>45395.604166666664</v>
      </c>
      <c r="I928" s="2" t="s">
        <v>181</v>
      </c>
      <c r="J928" s="2" t="s">
        <v>161</v>
      </c>
      <c r="K928" s="2">
        <v>4.2</v>
      </c>
      <c r="L928" s="2">
        <v>20</v>
      </c>
      <c r="M928" s="2">
        <v>2.8</v>
      </c>
      <c r="N928" s="2">
        <v>20</v>
      </c>
      <c r="O928" s="2">
        <v>1</v>
      </c>
      <c r="P928" s="2">
        <v>10</v>
      </c>
      <c r="Q928" s="2" t="s">
        <v>95</v>
      </c>
      <c r="R928" s="10" t="s">
        <v>214</v>
      </c>
      <c r="S928" s="14" t="s">
        <v>207</v>
      </c>
      <c r="T928" s="188">
        <v>1000</v>
      </c>
      <c r="U928" s="8">
        <f t="shared" si="113"/>
        <v>180</v>
      </c>
      <c r="V928" s="234">
        <f t="shared" si="115"/>
        <v>74464.155246160299</v>
      </c>
      <c r="W928" s="15">
        <v>25</v>
      </c>
      <c r="X928" s="8">
        <f t="shared" si="111"/>
        <v>4.5</v>
      </c>
      <c r="Y928" s="233">
        <f t="shared" si="108"/>
        <v>3727.5</v>
      </c>
    </row>
    <row r="929" spans="1:25">
      <c r="A929" s="156" t="e" cm="1">
        <f t="array" aca="1" ref="A929" ca="1">_xlfn.IFS(E929=$AB$42,$AC$42,E929=$AB$43,$AC$43,E929=$AB$44,$AC$44,E929=$AB$45,$AC$45,E929=$AB$46,$AC$46,E929=$AB$47,$AC$47,E929=$AB$48,$AC$48,E929=$AB$49,$AC$49,E929=$AB$50,$AC$50,E929=$AB$51,$AC$51,E929=$AB$52,$AC$52,E929=$AB$53,$AC$53,E929=$AB$54,$AC$54,E929=$AB$55,$AC$55,E929=$AB$56,$AC$56,E929=$AB$57,$AC$57,E929=$AB$58,$AC$58,E929=$AB$59,$AC$59,E929=$AB$60,$AC$60,E929=$AB$61,$AC$61,E929=$AB$62,$AC$62,E929=$AB$63,$AC$63,E929=$AB$64,$AC$64,E929=$AB$65,$AC$65,E929=$AB$66,$AC$66,TRUE,"0")</f>
        <v>#NAME?</v>
      </c>
      <c r="C929" s="161" t="str" cm="1">
        <f t="array" ref="C929">_xlfn.IFS(E929=$AB$42,$AF$42,E929=$AB$43,$AF$43,E929=$AB$44,$AF$44,E929=$AB$45,$AF$45,E929=$AB$46,$AF$46,E929=$AB$47,$AF$47,E929=$AB$48,$AF$48,E929=$AB$49,$AF$49,E929=$AB$50,$AF$50,E929=$AB$51,$AF$51,E929=$AB$52,$AF$52,E929=$AB$53,$AF$53,E929=$AB$54,$AF$54,E929=$AB$55,$AF$55,E929=$AB$56,$AF$56,E929=$AB$57,$AF$57,E929=$AB$58,$AF$58,E929=$AB$59,$AF$59,E929=$AB$60,$AF$60,E929=$AB$61,$AF$61,E929=$AB$62,$AF$62,E929=$AB$63,$AF$63,E929=$AB$64,$AF$64,E929=$AB$65,$AF$65,E929=$AB$66,$AF$66,TRUE,"0")</f>
        <v>B4 Match, lay HT 0-0 or BACK H1 +0.5 GOALS</v>
      </c>
      <c r="D929" s="270" t="str" cm="1">
        <f t="array" ref="D929">_xlfn.IFS(E929=$AB$42,$AD$42,E929=$AB$43,$AD$43,E929=$AB$44,$AD$44,E929=$AB$45,$AD$45,E929=$AB$46,$AD$46,E929=$AB$47,$AD$47,E929=$AB$48,$AD$48,E929=$AB$49,$AD$49,E929=$AB$50,$AD$50,E929=$AB$51,$AD$51,E929=$AB$52,$AD$52,E929=$AB$53,$AD$53,E929=$AB$54,$AD$54,E929=$AB$55,$AD$55,E929=$AB$56,$AD$56,E929=$AB$57,$AD$57,E929=$AB$58,$AD$58,E929=$AB$59,$AD$59,E929=$AB$60,$AD$60,E929=$AB$61,$AD$61,E929=$AB$62,$AD$62,E929=$AB$63,$AD$63,E929=$AB$64,$AD$64,E929=$AB$65,$AD$65,E929=$AB$66,$AD$66,TRUE,"0")</f>
        <v xml:space="preserve">BFM </v>
      </c>
      <c r="E929" s="163" t="s">
        <v>448</v>
      </c>
      <c r="F929" s="2" t="s">
        <v>77</v>
      </c>
      <c r="G929" s="2" t="s">
        <v>156</v>
      </c>
      <c r="H929" s="3">
        <v>45395.604166666664</v>
      </c>
      <c r="I929" s="2" t="s">
        <v>181</v>
      </c>
      <c r="J929" s="2" t="s">
        <v>161</v>
      </c>
      <c r="K929" s="2">
        <v>20</v>
      </c>
      <c r="L929" s="2">
        <v>10</v>
      </c>
      <c r="M929" s="2">
        <v>33</v>
      </c>
      <c r="N929" s="2">
        <v>6</v>
      </c>
      <c r="O929" s="2">
        <v>8</v>
      </c>
      <c r="P929" s="2">
        <v>1</v>
      </c>
      <c r="Q929" s="2" t="s">
        <v>95</v>
      </c>
      <c r="R929" s="10" t="s">
        <v>214</v>
      </c>
      <c r="S929" s="14" t="s">
        <v>207</v>
      </c>
      <c r="T929" s="188">
        <v>1000</v>
      </c>
      <c r="U929" s="8">
        <f t="shared" si="113"/>
        <v>180</v>
      </c>
      <c r="V929" s="234">
        <f t="shared" si="115"/>
        <v>74644.155246160299</v>
      </c>
      <c r="W929" s="15">
        <v>25</v>
      </c>
      <c r="X929" s="8">
        <f t="shared" ref="X929:X992" si="116">IF(Q929="won",W929*0.18,-W929)</f>
        <v>4.5</v>
      </c>
      <c r="Y929" s="233">
        <f t="shared" si="108"/>
        <v>3732</v>
      </c>
    </row>
    <row r="930" spans="1:25">
      <c r="A930" s="156" t="e" cm="1">
        <f t="array" aca="1" ref="A930" ca="1">_xlfn.IFS(E930=$AB$42,$AC$42,E930=$AB$43,$AC$43,E930=$AB$44,$AC$44,E930=$AB$45,$AC$45,E930=$AB$46,$AC$46,E930=$AB$47,$AC$47,E930=$AB$48,$AC$48,E930=$AB$49,$AC$49,E930=$AB$50,$AC$50,E930=$AB$51,$AC$51,E930=$AB$52,$AC$52,E930=$AB$53,$AC$53,E930=$AB$54,$AC$54,E930=$AB$55,$AC$55,E930=$AB$56,$AC$56,E930=$AB$57,$AC$57,E930=$AB$58,$AC$58,E930=$AB$59,$AC$59,E930=$AB$60,$AC$60,E930=$AB$61,$AC$61,E930=$AB$62,$AC$62,E930=$AB$63,$AC$63,E930=$AB$64,$AC$64,E930=$AB$65,$AC$65,E930=$AB$66,$AC$66,TRUE,"0")</f>
        <v>#NAME?</v>
      </c>
      <c r="C930" s="161" t="str" cm="1">
        <f t="array" ref="C930">_xlfn.IFS(E930=$AB$42,$AF$42,E930=$AB$43,$AF$43,E930=$AB$44,$AF$44,E930=$AB$45,$AF$45,E930=$AB$46,$AF$46,E930=$AB$47,$AF$47,E930=$AB$48,$AF$48,E930=$AB$49,$AF$49,E930=$AB$50,$AF$50,E930=$AB$51,$AF$51,E930=$AB$52,$AF$52,E930=$AB$53,$AF$53,E930=$AB$54,$AF$54,E930=$AB$55,$AF$55,E930=$AB$56,$AF$56,E930=$AB$57,$AF$57,E930=$AB$58,$AF$58,E930=$AB$59,$AF$59,E930=$AB$60,$AF$60,E930=$AB$61,$AF$61,E930=$AB$62,$AF$62,E930=$AB$63,$AF$63,E930=$AB$64,$AF$64,E930=$AB$65,$AF$65,E930=$AB$66,$AF$66,TRUE,"0")</f>
        <v>B4 Match, lay HT 0-0 or BACK H1 +0.5 GOALS</v>
      </c>
      <c r="D930" s="270" t="str" cm="1">
        <f t="array" ref="D930">_xlfn.IFS(E930=$AB$42,$AD$42,E930=$AB$43,$AD$43,E930=$AB$44,$AD$44,E930=$AB$45,$AD$45,E930=$AB$46,$AD$46,E930=$AB$47,$AD$47,E930=$AB$48,$AD$48,E930=$AB$49,$AD$49,E930=$AB$50,$AD$50,E930=$AB$51,$AD$51,E930=$AB$52,$AD$52,E930=$AB$53,$AD$53,E930=$AB$54,$AD$54,E930=$AB$55,$AD$55,E930=$AB$56,$AD$56,E930=$AB$57,$AD$57,E930=$AB$58,$AD$58,E930=$AB$59,$AD$59,E930=$AB$60,$AD$60,E930=$AB$61,$AD$61,E930=$AB$62,$AD$62,E930=$AB$63,$AD$63,E930=$AB$64,$AD$64,E930=$AB$65,$AD$65,E930=$AB$66,$AD$66,TRUE,"0")</f>
        <v xml:space="preserve">BFM </v>
      </c>
      <c r="E930" s="163" t="s">
        <v>432</v>
      </c>
      <c r="F930" s="2" t="s">
        <v>13</v>
      </c>
      <c r="G930" s="2" t="s">
        <v>11</v>
      </c>
      <c r="H930" s="3">
        <v>45395.625</v>
      </c>
      <c r="I930" s="2" t="s">
        <v>615</v>
      </c>
      <c r="J930" s="2" t="s">
        <v>138</v>
      </c>
      <c r="K930" s="2">
        <v>5</v>
      </c>
      <c r="L930" s="2">
        <v>20</v>
      </c>
      <c r="M930" s="2">
        <v>19</v>
      </c>
      <c r="N930" s="2">
        <v>14</v>
      </c>
      <c r="O930" s="2">
        <v>22</v>
      </c>
      <c r="P930" s="2">
        <v>1.8</v>
      </c>
      <c r="Q930" s="2" t="s">
        <v>95</v>
      </c>
      <c r="R930" s="10" t="s">
        <v>210</v>
      </c>
      <c r="S930" s="14" t="s">
        <v>277</v>
      </c>
      <c r="T930" s="188">
        <v>1000</v>
      </c>
      <c r="U930" s="8">
        <f t="shared" si="113"/>
        <v>180</v>
      </c>
      <c r="V930" s="234">
        <f t="shared" si="115"/>
        <v>74824.155246160299</v>
      </c>
      <c r="W930" s="15">
        <v>25</v>
      </c>
      <c r="X930" s="8">
        <f t="shared" si="116"/>
        <v>4.5</v>
      </c>
      <c r="Y930" s="233">
        <f t="shared" si="108"/>
        <v>3736.5</v>
      </c>
    </row>
    <row r="931" spans="1:25">
      <c r="A931" s="156" t="e" cm="1">
        <f t="array" aca="1" ref="A931" ca="1">_xlfn.IFS(E931=$AB$42,$AC$42,E931=$AB$43,$AC$43,E931=$AB$44,$AC$44,E931=$AB$45,$AC$45,E931=$AB$46,$AC$46,E931=$AB$47,$AC$47,E931=$AB$48,$AC$48,E931=$AB$49,$AC$49,E931=$AB$50,$AC$50,E931=$AB$51,$AC$51,E931=$AB$52,$AC$52,E931=$AB$53,$AC$53,E931=$AB$54,$AC$54,E931=$AB$55,$AC$55,E931=$AB$56,$AC$56,E931=$AB$57,$AC$57,E931=$AB$58,$AC$58,E931=$AB$59,$AC$59,E931=$AB$60,$AC$60,E931=$AB$61,$AC$61,E931=$AB$62,$AC$62,E931=$AB$63,$AC$63,E931=$AB$64,$AC$64,E931=$AB$65,$AC$65,E931=$AB$66,$AC$66,TRUE,"0")</f>
        <v>#NAME?</v>
      </c>
      <c r="C931" s="161" t="str" cm="1">
        <f t="array" ref="C931">_xlfn.IFS(E931=$AB$42,$AF$42,E931=$AB$43,$AF$43,E931=$AB$44,$AF$44,E931=$AB$45,$AF$45,E931=$AB$46,$AF$46,E931=$AB$47,$AF$47,E931=$AB$48,$AF$48,E931=$AB$49,$AF$49,E931=$AB$50,$AF$50,E931=$AB$51,$AF$51,E931=$AB$52,$AF$52,E931=$AB$53,$AF$53,E931=$AB$54,$AF$54,E931=$AB$55,$AF$55,E931=$AB$56,$AF$56,E931=$AB$57,$AF$57,E931=$AB$58,$AF$58,E931=$AB$59,$AF$59,E931=$AB$60,$AF$60,E931=$AB$61,$AF$61,E931=$AB$62,$AF$62,E931=$AB$63,$AF$63,E931=$AB$64,$AF$64,E931=$AB$65,$AF$65,E931=$AB$66,$AF$66,TRUE,"0")</f>
        <v>40 mins Back ANother Goal</v>
      </c>
      <c r="D931" s="270" t="str" cm="1">
        <f t="array" ref="D931">_xlfn.IFS(E931=$AB$42,$AD$42,E931=$AB$43,$AD$43,E931=$AB$44,$AD$44,E931=$AB$45,$AD$45,E931=$AB$46,$AD$46,E931=$AB$47,$AD$47,E931=$AB$48,$AD$48,E931=$AB$49,$AD$49,E931=$AB$50,$AD$50,E931=$AB$51,$AD$51,E931=$AB$52,$AD$52,E931=$AB$53,$AD$53,E931=$AB$54,$AD$54,E931=$AB$55,$AD$55,E931=$AB$56,$AD$56,E931=$AB$57,$AD$57,E931=$AB$58,$AD$58,E931=$AB$59,$AD$59,E931=$AB$60,$AD$60,E931=$AB$61,$AD$61,E931=$AB$62,$AD$62,E931=$AB$63,$AD$63,E931=$AB$64,$AD$64,E931=$AB$65,$AD$65,E931=$AB$66,$AD$66,TRUE,"0")</f>
        <v xml:space="preserve">  BANG</v>
      </c>
      <c r="E931" s="163" t="s">
        <v>726</v>
      </c>
      <c r="F931" s="2" t="s">
        <v>13</v>
      </c>
      <c r="G931" s="2" t="s">
        <v>14</v>
      </c>
      <c r="H931" s="3">
        <v>45395.625</v>
      </c>
      <c r="I931" s="2" t="s">
        <v>682</v>
      </c>
      <c r="J931" s="2" t="s">
        <v>30</v>
      </c>
      <c r="K931" s="2">
        <v>80</v>
      </c>
      <c r="L931" s="2">
        <v>20</v>
      </c>
      <c r="M931" s="2">
        <v>1.9</v>
      </c>
      <c r="N931" s="2">
        <v>60</v>
      </c>
      <c r="O931" s="2"/>
      <c r="P931" s="2"/>
      <c r="Q931" s="2" t="s">
        <v>95</v>
      </c>
      <c r="R931" s="10" t="s">
        <v>207</v>
      </c>
      <c r="S931" s="14" t="s">
        <v>195</v>
      </c>
      <c r="T931" s="188">
        <v>1000</v>
      </c>
      <c r="U931" s="8">
        <f t="shared" si="113"/>
        <v>180</v>
      </c>
      <c r="V931" s="234">
        <f t="shared" si="115"/>
        <v>75004.155246160299</v>
      </c>
      <c r="W931" s="15">
        <v>25</v>
      </c>
      <c r="X931" s="8">
        <f t="shared" si="116"/>
        <v>4.5</v>
      </c>
      <c r="Y931" s="233">
        <f t="shared" si="108"/>
        <v>3741</v>
      </c>
    </row>
    <row r="932" spans="1:25">
      <c r="A932" s="156" t="e" cm="1">
        <f t="array" aca="1" ref="A932" ca="1">_xlfn.IFS(E932=$AB$42,$AC$42,E932=$AB$43,$AC$43,E932=$AB$44,$AC$44,E932=$AB$45,$AC$45,E932=$AB$46,$AC$46,E932=$AB$47,$AC$47,E932=$AB$48,$AC$48,E932=$AB$49,$AC$49,E932=$AB$50,$AC$50,E932=$AB$51,$AC$51,E932=$AB$52,$AC$52,E932=$AB$53,$AC$53,E932=$AB$54,$AC$54,E932=$AB$55,$AC$55,E932=$AB$56,$AC$56,E932=$AB$57,$AC$57,E932=$AB$58,$AC$58,E932=$AB$59,$AC$59,E932=$AB$60,$AC$60,E932=$AB$61,$AC$61,E932=$AB$62,$AC$62,E932=$AB$63,$AC$63,E932=$AB$64,$AC$64,E932=$AB$65,$AC$65,E932=$AB$66,$AC$66,TRUE,"0")</f>
        <v>#NAME?</v>
      </c>
      <c r="C932" s="161" t="str" cm="1">
        <f t="array" ref="C932">_xlfn.IFS(E932=$AB$42,$AF$42,E932=$AB$43,$AF$43,E932=$AB$44,$AF$44,E932=$AB$45,$AF$45,E932=$AB$46,$AF$46,E932=$AB$47,$AF$47,E932=$AB$48,$AF$48,E932=$AB$49,$AF$49,E932=$AB$50,$AF$50,E932=$AB$51,$AF$51,E932=$AB$52,$AF$52,E932=$AB$53,$AF$53,E932=$AB$54,$AF$54,E932=$AB$55,$AF$55,E932=$AB$56,$AF$56,E932=$AB$57,$AF$57,E932=$AB$58,$AF$58,E932=$AB$59,$AF$59,E932=$AB$60,$AF$60,E932=$AB$61,$AF$61,E932=$AB$62,$AF$62,E932=$AB$63,$AF$63,E932=$AB$64,$AF$64,E932=$AB$65,$AF$65,E932=$AB$66,$AF$66,TRUE,"0")</f>
        <v>40 mins Back ANother Goal</v>
      </c>
      <c r="D932" s="270" t="str" cm="1">
        <f t="array" ref="D932">_xlfn.IFS(E932=$AB$42,$AD$42,E932=$AB$43,$AD$43,E932=$AB$44,$AD$44,E932=$AB$45,$AD$45,E932=$AB$46,$AD$46,E932=$AB$47,$AD$47,E932=$AB$48,$AD$48,E932=$AB$49,$AD$49,E932=$AB$50,$AD$50,E932=$AB$51,$AD$51,E932=$AB$52,$AD$52,E932=$AB$53,$AD$53,E932=$AB$54,$AD$54,E932=$AB$55,$AD$55,E932=$AB$56,$AD$56,E932=$AB$57,$AD$57,E932=$AB$58,$AD$58,E932=$AB$59,$AD$59,E932=$AB$60,$AD$60,E932=$AB$61,$AD$61,E932=$AB$62,$AD$62,E932=$AB$63,$AD$63,E932=$AB$64,$AD$64,E932=$AB$65,$AD$65,E932=$AB$66,$AD$66,TRUE,"0")</f>
        <v xml:space="preserve">  BANG</v>
      </c>
      <c r="E932" s="163" t="s">
        <v>43</v>
      </c>
      <c r="F932" s="2" t="s">
        <v>6</v>
      </c>
      <c r="G932" s="2" t="s">
        <v>14</v>
      </c>
      <c r="H932" s="3">
        <v>45395.625</v>
      </c>
      <c r="I932" s="2" t="s">
        <v>680</v>
      </c>
      <c r="J932" s="2" t="s">
        <v>376</v>
      </c>
      <c r="K932" s="2">
        <v>70</v>
      </c>
      <c r="L932" s="2">
        <v>68</v>
      </c>
      <c r="M932" s="2">
        <v>63</v>
      </c>
      <c r="N932" s="2">
        <v>1.6</v>
      </c>
      <c r="O932" s="2">
        <v>1.34</v>
      </c>
      <c r="P932" s="2"/>
      <c r="Q932" s="2" t="s">
        <v>95</v>
      </c>
      <c r="R932" s="10" t="s">
        <v>220</v>
      </c>
      <c r="S932" s="14" t="s">
        <v>207</v>
      </c>
      <c r="T932" s="188">
        <v>1000</v>
      </c>
      <c r="U932" s="8">
        <f t="shared" si="113"/>
        <v>180</v>
      </c>
      <c r="V932" s="234">
        <f t="shared" si="115"/>
        <v>75184.155246160299</v>
      </c>
      <c r="W932" s="15">
        <v>25</v>
      </c>
      <c r="X932" s="8">
        <f t="shared" si="116"/>
        <v>4.5</v>
      </c>
      <c r="Y932" s="233">
        <f t="shared" si="108"/>
        <v>3745.5</v>
      </c>
    </row>
    <row r="933" spans="1:25">
      <c r="A933" s="156" t="e" cm="1">
        <f t="array" aca="1" ref="A933" ca="1">_xlfn.IFS(E933=$AB$42,$AC$42,E933=$AB$43,$AC$43,E933=$AB$44,$AC$44,E933=$AB$45,$AC$45,E933=$AB$46,$AC$46,E933=$AB$47,$AC$47,E933=$AB$48,$AC$48,E933=$AB$49,$AC$49,E933=$AB$50,$AC$50,E933=$AB$51,$AC$51,E933=$AB$52,$AC$52,E933=$AB$53,$AC$53,E933=$AB$54,$AC$54,E933=$AB$55,$AC$55,E933=$AB$56,$AC$56,E933=$AB$57,$AC$57,E933=$AB$58,$AC$58,E933=$AB$59,$AC$59,E933=$AB$60,$AC$60,E933=$AB$61,$AC$61,E933=$AB$62,$AC$62,E933=$AB$63,$AC$63,E933=$AB$64,$AC$64,E933=$AB$65,$AC$65,E933=$AB$66,$AC$66,TRUE,"0")</f>
        <v>#NAME?</v>
      </c>
      <c r="C933" s="161" t="str" cm="1">
        <f t="array" ref="C933">_xlfn.IFS(E933=$AB$42,$AF$42,E933=$AB$43,$AF$43,E933=$AB$44,$AF$44,E933=$AB$45,$AF$45,E933=$AB$46,$AF$46,E933=$AB$47,$AF$47,E933=$AB$48,$AF$48,E933=$AB$49,$AF$49,E933=$AB$50,$AF$50,E933=$AB$51,$AF$51,E933=$AB$52,$AF$52,E933=$AB$53,$AF$53,E933=$AB$54,$AF$54,E933=$AB$55,$AF$55,E933=$AB$56,$AF$56,E933=$AB$57,$AF$57,E933=$AB$58,$AF$58,E933=$AB$59,$AF$59,E933=$AB$60,$AF$60,E933=$AB$61,$AF$61,E933=$AB$62,$AF$62,E933=$AB$63,$AF$63,E933=$AB$64,$AF$64,E933=$AB$65,$AF$65,E933=$AB$66,$AF$66,TRUE,"0")</f>
        <v>40 mins Back ANother Goal</v>
      </c>
      <c r="D933" s="270" t="str" cm="1">
        <f t="array" ref="D933">_xlfn.IFS(E933=$AB$42,$AD$42,E933=$AB$43,$AD$43,E933=$AB$44,$AD$44,E933=$AB$45,$AD$45,E933=$AB$46,$AD$46,E933=$AB$47,$AD$47,E933=$AB$48,$AD$48,E933=$AB$49,$AD$49,E933=$AB$50,$AD$50,E933=$AB$51,$AD$51,E933=$AB$52,$AD$52,E933=$AB$53,$AD$53,E933=$AB$54,$AD$54,E933=$AB$55,$AD$55,E933=$AB$56,$AD$56,E933=$AB$57,$AD$57,E933=$AB$58,$AD$58,E933=$AB$59,$AD$59,E933=$AB$60,$AD$60,E933=$AB$61,$AD$61,E933=$AB$62,$AD$62,E933=$AB$63,$AD$63,E933=$AB$64,$AD$64,E933=$AB$65,$AD$65,E933=$AB$66,$AD$66,TRUE,"0")</f>
        <v xml:space="preserve">  BANG</v>
      </c>
      <c r="E933" s="163" t="s">
        <v>726</v>
      </c>
      <c r="F933" s="2" t="s">
        <v>6</v>
      </c>
      <c r="G933" s="2" t="s">
        <v>62</v>
      </c>
      <c r="H933" s="3">
        <v>45395.625</v>
      </c>
      <c r="I933" s="2" t="s">
        <v>63</v>
      </c>
      <c r="J933" s="2" t="s">
        <v>85</v>
      </c>
      <c r="K933" s="2">
        <v>90</v>
      </c>
      <c r="L933" s="2">
        <v>20</v>
      </c>
      <c r="M933" s="2">
        <v>2</v>
      </c>
      <c r="N933" s="2">
        <v>61</v>
      </c>
      <c r="O933" s="2"/>
      <c r="P933" s="2"/>
      <c r="Q933" s="2" t="s">
        <v>95</v>
      </c>
      <c r="R933" s="10" t="s">
        <v>221</v>
      </c>
      <c r="S933" s="14" t="s">
        <v>220</v>
      </c>
      <c r="T933" s="188">
        <v>1000</v>
      </c>
      <c r="U933" s="8">
        <f t="shared" si="113"/>
        <v>180</v>
      </c>
      <c r="V933" s="234">
        <f t="shared" si="115"/>
        <v>75364.155246160299</v>
      </c>
      <c r="W933" s="15">
        <v>25</v>
      </c>
      <c r="X933" s="8">
        <f t="shared" si="116"/>
        <v>4.5</v>
      </c>
      <c r="Y933" s="233">
        <f t="shared" ref="Y933:Y996" si="117">SUM(Y932,X933)</f>
        <v>3750</v>
      </c>
    </row>
    <row r="934" spans="1:25">
      <c r="A934" s="156" t="e" cm="1">
        <f t="array" aca="1" ref="A934" ca="1">_xlfn.IFS(E934=$AB$42,$AC$42,E934=$AB$43,$AC$43,E934=$AB$44,$AC$44,E934=$AB$45,$AC$45,E934=$AB$46,$AC$46,E934=$AB$47,$AC$47,E934=$AB$48,$AC$48,E934=$AB$49,$AC$49,E934=$AB$50,$AC$50,E934=$AB$51,$AC$51,E934=$AB$52,$AC$52,E934=$AB$53,$AC$53,E934=$AB$54,$AC$54,E934=$AB$55,$AC$55,E934=$AB$56,$AC$56,E934=$AB$57,$AC$57,E934=$AB$58,$AC$58,E934=$AB$59,$AC$59,E934=$AB$60,$AC$60,E934=$AB$61,$AC$61,E934=$AB$62,$AC$62,E934=$AB$63,$AC$63,E934=$AB$64,$AC$64,E934=$AB$65,$AC$65,E934=$AB$66,$AC$66,TRUE,"0")</f>
        <v>#NAME?</v>
      </c>
      <c r="C934" s="161" t="str" cm="1">
        <f t="array" ref="C934">_xlfn.IFS(E934=$AB$42,$AF$42,E934=$AB$43,$AF$43,E934=$AB$44,$AF$44,E934=$AB$45,$AF$45,E934=$AB$46,$AF$46,E934=$AB$47,$AF$47,E934=$AB$48,$AF$48,E934=$AB$49,$AF$49,E934=$AB$50,$AF$50,E934=$AB$51,$AF$51,E934=$AB$52,$AF$52,E934=$AB$53,$AF$53,E934=$AB$54,$AF$54,E934=$AB$55,$AF$55,E934=$AB$56,$AF$56,E934=$AB$57,$AF$57,E934=$AB$58,$AF$58,E934=$AB$59,$AF$59,E934=$AB$60,$AF$60,E934=$AB$61,$AF$61,E934=$AB$62,$AF$62,E934=$AB$63,$AF$63,E934=$AB$64,$AF$64,E934=$AB$65,$AF$65,E934=$AB$66,$AF$66,TRUE,"0")</f>
        <v>B4 match BACK FT +1.5 goals. X AFTER  GOAL</v>
      </c>
      <c r="D934" s="270" t="str" cm="1">
        <f t="array" ref="D934">_xlfn.IFS(E934=$AB$42,$AD$42,E934=$AB$43,$AD$43,E934=$AB$44,$AD$44,E934=$AB$45,$AD$45,E934=$AB$46,$AD$46,E934=$AB$47,$AD$47,E934=$AB$48,$AD$48,E934=$AB$49,$AD$49,E934=$AB$50,$AD$50,E934=$AB$51,$AD$51,E934=$AB$52,$AD$52,E934=$AB$53,$AD$53,E934=$AB$54,$AD$54,E934=$AB$55,$AD$55,E934=$AB$56,$AD$56,E934=$AB$57,$AD$57,E934=$AB$58,$AD$58,E934=$AB$59,$AD$59,E934=$AB$60,$AD$60,E934=$AB$61,$AD$61,E934=$AB$62,$AD$62,E934=$AB$63,$AD$63,E934=$AB$64,$AD$64,E934=$AB$65,$AD$65,E934=$AB$66,$AD$66,TRUE,"0")</f>
        <v xml:space="preserve">BFM </v>
      </c>
      <c r="E934" s="163" t="s">
        <v>623</v>
      </c>
      <c r="F934" s="2" t="s">
        <v>6</v>
      </c>
      <c r="G934" s="2" t="s">
        <v>62</v>
      </c>
      <c r="H934" s="3">
        <v>45395.625</v>
      </c>
      <c r="I934" s="2" t="s">
        <v>63</v>
      </c>
      <c r="J934" s="2" t="s">
        <v>85</v>
      </c>
      <c r="K934" s="2">
        <v>5.0999999999999996</v>
      </c>
      <c r="L934" s="2">
        <v>20</v>
      </c>
      <c r="M934" s="2">
        <v>3.2</v>
      </c>
      <c r="N934" s="2">
        <v>29</v>
      </c>
      <c r="O934" s="2">
        <v>2</v>
      </c>
      <c r="P934" s="2">
        <v>10</v>
      </c>
      <c r="Q934" s="2" t="s">
        <v>95</v>
      </c>
      <c r="R934" s="10" t="s">
        <v>221</v>
      </c>
      <c r="S934" s="14" t="s">
        <v>220</v>
      </c>
      <c r="T934" s="188">
        <v>1000</v>
      </c>
      <c r="U934" s="8">
        <f t="shared" si="113"/>
        <v>180</v>
      </c>
      <c r="V934" s="234">
        <f t="shared" si="115"/>
        <v>75544.155246160299</v>
      </c>
      <c r="W934" s="15">
        <v>25</v>
      </c>
      <c r="X934" s="8">
        <f t="shared" si="116"/>
        <v>4.5</v>
      </c>
      <c r="Y934" s="233">
        <f t="shared" si="117"/>
        <v>3754.5</v>
      </c>
    </row>
    <row r="935" spans="1:25">
      <c r="A935" s="156" t="e" cm="1">
        <f t="array" aca="1" ref="A935" ca="1">_xlfn.IFS(E935=$AB$42,$AC$42,E935=$AB$43,$AC$43,E935=$AB$44,$AC$44,E935=$AB$45,$AC$45,E935=$AB$46,$AC$46,E935=$AB$47,$AC$47,E935=$AB$48,$AC$48,E935=$AB$49,$AC$49,E935=$AB$50,$AC$50,E935=$AB$51,$AC$51,E935=$AB$52,$AC$52,E935=$AB$53,$AC$53,E935=$AB$54,$AC$54,E935=$AB$55,$AC$55,E935=$AB$56,$AC$56,E935=$AB$57,$AC$57,E935=$AB$58,$AC$58,E935=$AB$59,$AC$59,E935=$AB$60,$AC$60,E935=$AB$61,$AC$61,E935=$AB$62,$AC$62,E935=$AB$63,$AC$63,E935=$AB$64,$AC$64,E935=$AB$65,$AC$65,E935=$AB$66,$AC$66,TRUE,"0")</f>
        <v>#NAME?</v>
      </c>
      <c r="C935" s="161" t="str" cm="1">
        <f t="array" ref="C935">_xlfn.IFS(E935=$AB$42,$AF$42,E935=$AB$43,$AF$43,E935=$AB$44,$AF$44,E935=$AB$45,$AF$45,E935=$AB$46,$AF$46,E935=$AB$47,$AF$47,E935=$AB$48,$AF$48,E935=$AB$49,$AF$49,E935=$AB$50,$AF$50,E935=$AB$51,$AF$51,E935=$AB$52,$AF$52,E935=$AB$53,$AF$53,E935=$AB$54,$AF$54,E935=$AB$55,$AF$55,E935=$AB$56,$AF$56,E935=$AB$57,$AF$57,E935=$AB$58,$AF$58,E935=$AB$59,$AF$59,E935=$AB$60,$AF$60,E935=$AB$61,$AF$61,E935=$AB$62,$AF$62,E935=$AB$63,$AF$63,E935=$AB$64,$AF$64,E935=$AB$65,$AF$65,E935=$AB$66,$AF$66,TRUE,"0")</f>
        <v>AT HT IF 0-0 BACK +0.5 GOALS</v>
      </c>
      <c r="D935" s="270" t="str" cm="1">
        <f t="array" ref="D935">_xlfn.IFS(E935=$AB$42,$AD$42,E935=$AB$43,$AD$43,E935=$AB$44,$AD$44,E935=$AB$45,$AD$45,E935=$AB$46,$AD$46,E935=$AB$47,$AD$47,E935=$AB$48,$AD$48,E935=$AB$49,$AD$49,E935=$AB$50,$AD$50,E935=$AB$51,$AD$51,E935=$AB$52,$AD$52,E935=$AB$53,$AD$53,E935=$AB$54,$AD$54,E935=$AB$55,$AD$55,E935=$AB$56,$AD$56,E935=$AB$57,$AD$57,E935=$AB$58,$AD$58,E935=$AB$59,$AD$59,E935=$AB$60,$AD$60,E935=$AB$61,$AD$61,E935=$AB$62,$AD$62,E935=$AB$63,$AD$63,E935=$AB$64,$AD$64,E935=$AB$65,$AD$65,E935=$AB$66,$AD$66,TRUE,"0")</f>
        <v>IP</v>
      </c>
      <c r="E935" s="163" t="s">
        <v>514</v>
      </c>
      <c r="F935" s="2" t="s">
        <v>6</v>
      </c>
      <c r="G935" s="2" t="s">
        <v>62</v>
      </c>
      <c r="H935" s="3">
        <v>45395.625</v>
      </c>
      <c r="I935" s="2" t="s">
        <v>63</v>
      </c>
      <c r="J935" s="2" t="s">
        <v>85</v>
      </c>
      <c r="K935" s="2">
        <v>5.0999999999999996</v>
      </c>
      <c r="L935" s="2">
        <v>85</v>
      </c>
      <c r="M935" s="2">
        <v>590</v>
      </c>
      <c r="N935" s="2">
        <v>20</v>
      </c>
      <c r="O935" s="2">
        <v>15</v>
      </c>
      <c r="P935" s="2">
        <v>29</v>
      </c>
      <c r="Q935" s="2" t="s">
        <v>95</v>
      </c>
      <c r="R935" s="10" t="s">
        <v>221</v>
      </c>
      <c r="S935" s="14" t="s">
        <v>220</v>
      </c>
      <c r="T935" s="188">
        <v>1000</v>
      </c>
      <c r="U935" s="8">
        <f t="shared" si="113"/>
        <v>180</v>
      </c>
      <c r="V935" s="234">
        <f t="shared" si="115"/>
        <v>75724.155246160299</v>
      </c>
      <c r="W935" s="15">
        <v>25</v>
      </c>
      <c r="X935" s="8">
        <f t="shared" si="116"/>
        <v>4.5</v>
      </c>
      <c r="Y935" s="233">
        <f t="shared" si="117"/>
        <v>3759</v>
      </c>
    </row>
    <row r="936" spans="1:25">
      <c r="A936" s="156" t="e" cm="1">
        <f t="array" aca="1" ref="A936" ca="1">_xlfn.IFS(E936=$AB$42,$AC$42,E936=$AB$43,$AC$43,E936=$AB$44,$AC$44,E936=$AB$45,$AC$45,E936=$AB$46,$AC$46,E936=$AB$47,$AC$47,E936=$AB$48,$AC$48,E936=$AB$49,$AC$49,E936=$AB$50,$AC$50,E936=$AB$51,$AC$51,E936=$AB$52,$AC$52,E936=$AB$53,$AC$53,E936=$AB$54,$AC$54,E936=$AB$55,$AC$55,E936=$AB$56,$AC$56,E936=$AB$57,$AC$57,E936=$AB$58,$AC$58,E936=$AB$59,$AC$59,E936=$AB$60,$AC$60,E936=$AB$61,$AC$61,E936=$AB$62,$AC$62,E936=$AB$63,$AC$63,E936=$AB$64,$AC$64,E936=$AB$65,$AC$65,E936=$AB$66,$AC$66,TRUE,"0")</f>
        <v>#NAME?</v>
      </c>
      <c r="C936" s="161" t="str" cm="1">
        <f t="array" ref="C936">_xlfn.IFS(E936=$AB$42,$AF$42,E936=$AB$43,$AF$43,E936=$AB$44,$AF$44,E936=$AB$45,$AF$45,E936=$AB$46,$AF$46,E936=$AB$47,$AF$47,E936=$AB$48,$AF$48,E936=$AB$49,$AF$49,E936=$AB$50,$AF$50,E936=$AB$51,$AF$51,E936=$AB$52,$AF$52,E936=$AB$53,$AF$53,E936=$AB$54,$AF$54,E936=$AB$55,$AF$55,E936=$AB$56,$AF$56,E936=$AB$57,$AF$57,E936=$AB$58,$AF$58,E936=$AB$59,$AF$59,E936=$AB$60,$AF$60,E936=$AB$61,$AF$61,E936=$AB$62,$AF$62,E936=$AB$63,$AF$63,E936=$AB$64,$AF$64,E936=$AB$65,$AF$65,E936=$AB$66,$AF$66,TRUE,"0")</f>
        <v>if 0-0, BACK+ 0.5 GOALS  @ 1.15+odds.  or @ 40 mins</v>
      </c>
      <c r="D936" s="270" t="str" cm="1">
        <f t="array" ref="D936">_xlfn.IFS(E936=$AB$42,$AD$42,E936=$AB$43,$AD$43,E936=$AB$44,$AD$44,E936=$AB$45,$AD$45,E936=$AB$46,$AD$46,E936=$AB$47,$AD$47,E936=$AB$48,$AD$48,E936=$AB$49,$AD$49,E936=$AB$50,$AD$50,E936=$AB$51,$AD$51,E936=$AB$52,$AD$52,E936=$AB$53,$AD$53,E936=$AB$54,$AD$54,E936=$AB$55,$AD$55,E936=$AB$56,$AD$56,E936=$AB$57,$AD$57,E936=$AB$58,$AD$58,E936=$AB$59,$AD$59,E936=$AB$60,$AD$60,E936=$AB$61,$AD$61,E936=$AB$62,$AD$62,E936=$AB$63,$AD$63,E936=$AB$64,$AD$64,E936=$AB$65,$AD$65,E936=$AB$66,$AD$66,TRUE,"0")</f>
        <v>IP</v>
      </c>
      <c r="E936" s="163" t="s">
        <v>270</v>
      </c>
      <c r="F936" s="2" t="s">
        <v>6</v>
      </c>
      <c r="G936" s="2" t="s">
        <v>11</v>
      </c>
      <c r="H936" s="3">
        <v>45395.625</v>
      </c>
      <c r="I936" s="2" t="s">
        <v>585</v>
      </c>
      <c r="J936" s="2" t="s">
        <v>198</v>
      </c>
      <c r="K936" s="2">
        <v>62</v>
      </c>
      <c r="L936" s="2">
        <v>0</v>
      </c>
      <c r="M936" s="2">
        <v>20</v>
      </c>
      <c r="N936" s="2">
        <v>34</v>
      </c>
      <c r="O936" s="2">
        <v>2.0499999999999998</v>
      </c>
      <c r="P936" s="2"/>
      <c r="Q936" s="2" t="s">
        <v>95</v>
      </c>
      <c r="R936" s="10" t="s">
        <v>193</v>
      </c>
      <c r="S936" s="14" t="s">
        <v>193</v>
      </c>
      <c r="T936" s="188">
        <v>1000</v>
      </c>
      <c r="U936" s="8">
        <f t="shared" si="113"/>
        <v>180</v>
      </c>
      <c r="V936" s="234">
        <f t="shared" si="115"/>
        <v>75904.155246160299</v>
      </c>
      <c r="W936" s="15">
        <v>25</v>
      </c>
      <c r="X936" s="8">
        <f t="shared" si="116"/>
        <v>4.5</v>
      </c>
      <c r="Y936" s="233">
        <f t="shared" si="117"/>
        <v>3763.5</v>
      </c>
    </row>
    <row r="937" spans="1:25">
      <c r="A937" s="156" t="e" cm="1">
        <f t="array" aca="1" ref="A937" ca="1">_xlfn.IFS(E937=$AB$42,$AC$42,E937=$AB$43,$AC$43,E937=$AB$44,$AC$44,E937=$AB$45,$AC$45,E937=$AB$46,$AC$46,E937=$AB$47,$AC$47,E937=$AB$48,$AC$48,E937=$AB$49,$AC$49,E937=$AB$50,$AC$50,E937=$AB$51,$AC$51,E937=$AB$52,$AC$52,E937=$AB$53,$AC$53,E937=$AB$54,$AC$54,E937=$AB$55,$AC$55,E937=$AB$56,$AC$56,E937=$AB$57,$AC$57,E937=$AB$58,$AC$58,E937=$AB$59,$AC$59,E937=$AB$60,$AC$60,E937=$AB$61,$AC$61,E937=$AB$62,$AC$62,E937=$AB$63,$AC$63,E937=$AB$64,$AC$64,E937=$AB$65,$AC$65,E937=$AB$66,$AC$66,TRUE,"0")</f>
        <v>#NAME?</v>
      </c>
      <c r="C937" s="161" t="str" cm="1">
        <f t="array" ref="C937">_xlfn.IFS(E937=$AB$42,$AF$42,E937=$AB$43,$AF$43,E937=$AB$44,$AF$44,E937=$AB$45,$AF$45,E937=$AB$46,$AF$46,E937=$AB$47,$AF$47,E937=$AB$48,$AF$48,E937=$AB$49,$AF$49,E937=$AB$50,$AF$50,E937=$AB$51,$AF$51,E937=$AB$52,$AF$52,E937=$AB$53,$AF$53,E937=$AB$54,$AF$54,E937=$AB$55,$AF$55,E937=$AB$56,$AF$56,E937=$AB$57,$AF$57,E937=$AB$58,$AF$58,E937=$AB$59,$AF$59,E937=$AB$60,$AF$60,E937=$AB$61,$AF$61,E937=$AB$62,$AF$62,E937=$AB$63,$AF$63,E937=$AB$64,$AF$64,E937=$AB$65,$AF$65,E937=$AB$66,$AF$66,TRUE,"0")</f>
        <v>B4 match BACK FT +1.5 goals. X AFTER  GOAL</v>
      </c>
      <c r="D937" s="270" t="str" cm="1">
        <f t="array" ref="D937">_xlfn.IFS(E937=$AB$42,$AD$42,E937=$AB$43,$AD$43,E937=$AB$44,$AD$44,E937=$AB$45,$AD$45,E937=$AB$46,$AD$46,E937=$AB$47,$AD$47,E937=$AB$48,$AD$48,E937=$AB$49,$AD$49,E937=$AB$50,$AD$50,E937=$AB$51,$AD$51,E937=$AB$52,$AD$52,E937=$AB$53,$AD$53,E937=$AB$54,$AD$54,E937=$AB$55,$AD$55,E937=$AB$56,$AD$56,E937=$AB$57,$AD$57,E937=$AB$58,$AD$58,E937=$AB$59,$AD$59,E937=$AB$60,$AD$60,E937=$AB$61,$AD$61,E937=$AB$62,$AD$62,E937=$AB$63,$AD$63,E937=$AB$64,$AD$64,E937=$AB$65,$AD$65,E937=$AB$66,$AD$66,TRUE,"0")</f>
        <v xml:space="preserve">BFM </v>
      </c>
      <c r="E937" s="163" t="s">
        <v>623</v>
      </c>
      <c r="F937" s="2" t="s">
        <v>13</v>
      </c>
      <c r="G937" s="2" t="s">
        <v>37</v>
      </c>
      <c r="H937" s="3">
        <v>45395.625</v>
      </c>
      <c r="I937" s="2" t="s">
        <v>99</v>
      </c>
      <c r="J937" s="2" t="s">
        <v>351</v>
      </c>
      <c r="K937" s="2">
        <v>2.82</v>
      </c>
      <c r="L937" s="2">
        <v>20</v>
      </c>
      <c r="M937" s="2">
        <v>2.95</v>
      </c>
      <c r="N937" s="2">
        <v>32</v>
      </c>
      <c r="O937" s="2">
        <v>3</v>
      </c>
      <c r="P937" s="2">
        <v>10</v>
      </c>
      <c r="Q937" s="1" t="s">
        <v>95</v>
      </c>
      <c r="R937" s="10" t="s">
        <v>221</v>
      </c>
      <c r="S937" s="10" t="s">
        <v>207</v>
      </c>
      <c r="T937" s="188">
        <v>1000</v>
      </c>
      <c r="U937" s="8">
        <f t="shared" si="113"/>
        <v>180</v>
      </c>
      <c r="V937" s="234">
        <f t="shared" si="115"/>
        <v>76084.155246160299</v>
      </c>
      <c r="W937" s="15">
        <v>25</v>
      </c>
      <c r="X937" s="8">
        <f t="shared" si="116"/>
        <v>4.5</v>
      </c>
      <c r="Y937" s="233">
        <f t="shared" si="117"/>
        <v>3768</v>
      </c>
    </row>
    <row r="938" spans="1:25">
      <c r="A938" s="156" t="e" cm="1">
        <f t="array" aca="1" ref="A938" ca="1">_xlfn.IFS(E938=$AB$42,$AC$42,E938=$AB$43,$AC$43,E938=$AB$44,$AC$44,E938=$AB$45,$AC$45,E938=$AB$46,$AC$46,E938=$AB$47,$AC$47,E938=$AB$48,$AC$48,E938=$AB$49,$AC$49,E938=$AB$50,$AC$50,E938=$AB$51,$AC$51,E938=$AB$52,$AC$52,E938=$AB$53,$AC$53,E938=$AB$54,$AC$54,E938=$AB$55,$AC$55,E938=$AB$56,$AC$56,E938=$AB$57,$AC$57,E938=$AB$58,$AC$58,E938=$AB$59,$AC$59,E938=$AB$60,$AC$60,E938=$AB$61,$AC$61,E938=$AB$62,$AC$62,E938=$AB$63,$AC$63,E938=$AB$64,$AC$64,E938=$AB$65,$AC$65,E938=$AB$66,$AC$66,TRUE,"0")</f>
        <v>#NAME?</v>
      </c>
      <c r="C938" s="161" t="str" cm="1">
        <f t="array" ref="C938">_xlfn.IFS(E938=$AB$42,$AF$42,E938=$AB$43,$AF$43,E938=$AB$44,$AF$44,E938=$AB$45,$AF$45,E938=$AB$46,$AF$46,E938=$AB$47,$AF$47,E938=$AB$48,$AF$48,E938=$AB$49,$AF$49,E938=$AB$50,$AF$50,E938=$AB$51,$AF$51,E938=$AB$52,$AF$52,E938=$AB$53,$AF$53,E938=$AB$54,$AF$54,E938=$AB$55,$AF$55,E938=$AB$56,$AF$56,E938=$AB$57,$AF$57,E938=$AB$58,$AF$58,E938=$AB$59,$AF$59,E938=$AB$60,$AF$60,E938=$AB$61,$AF$61,E938=$AB$62,$AF$62,E938=$AB$63,$AF$63,E938=$AB$64,$AF$64,E938=$AB$65,$AF$65,E938=$AB$66,$AF$66,TRUE,"0")</f>
        <v>AT HT IF 0-0 BACK +0.5 GOALS</v>
      </c>
      <c r="D938" s="270" t="str" cm="1">
        <f t="array" ref="D938">_xlfn.IFS(E938=$AB$42,$AD$42,E938=$AB$43,$AD$43,E938=$AB$44,$AD$44,E938=$AB$45,$AD$45,E938=$AB$46,$AD$46,E938=$AB$47,$AD$47,E938=$AB$48,$AD$48,E938=$AB$49,$AD$49,E938=$AB$50,$AD$50,E938=$AB$51,$AD$51,E938=$AB$52,$AD$52,E938=$AB$53,$AD$53,E938=$AB$54,$AD$54,E938=$AB$55,$AD$55,E938=$AB$56,$AD$56,E938=$AB$57,$AD$57,E938=$AB$58,$AD$58,E938=$AB$59,$AD$59,E938=$AB$60,$AD$60,E938=$AB$61,$AD$61,E938=$AB$62,$AD$62,E938=$AB$63,$AD$63,E938=$AB$64,$AD$64,E938=$AB$65,$AD$65,E938=$AB$66,$AD$66,TRUE,"0")</f>
        <v>IP</v>
      </c>
      <c r="E938" s="163" t="s">
        <v>514</v>
      </c>
      <c r="F938" s="2" t="s">
        <v>13</v>
      </c>
      <c r="G938" s="2" t="s">
        <v>37</v>
      </c>
      <c r="H938" s="3">
        <v>45395.625</v>
      </c>
      <c r="I938" s="2" t="s">
        <v>99</v>
      </c>
      <c r="J938" s="2" t="s">
        <v>351</v>
      </c>
      <c r="K938" s="2">
        <v>2.82</v>
      </c>
      <c r="L938" s="2">
        <v>0</v>
      </c>
      <c r="M938" s="2">
        <v>0</v>
      </c>
      <c r="N938" s="2">
        <v>20</v>
      </c>
      <c r="O938" s="2">
        <v>20</v>
      </c>
      <c r="P938" s="2">
        <v>32</v>
      </c>
      <c r="Q938" s="1" t="s">
        <v>95</v>
      </c>
      <c r="R938" s="10" t="s">
        <v>221</v>
      </c>
      <c r="S938" s="10" t="s">
        <v>207</v>
      </c>
      <c r="T938" s="188">
        <v>1000</v>
      </c>
      <c r="U938" s="8">
        <f t="shared" si="113"/>
        <v>180</v>
      </c>
      <c r="V938" s="234">
        <f t="shared" si="115"/>
        <v>76264.155246160299</v>
      </c>
      <c r="W938" s="15">
        <v>25</v>
      </c>
      <c r="X938" s="8">
        <f t="shared" si="116"/>
        <v>4.5</v>
      </c>
      <c r="Y938" s="233">
        <f t="shared" si="117"/>
        <v>3772.5</v>
      </c>
    </row>
    <row r="939" spans="1:25">
      <c r="A939" s="156" t="e" cm="1">
        <f t="array" aca="1" ref="A939" ca="1">_xlfn.IFS(E939=$AB$42,$AC$42,E939=$AB$43,$AC$43,E939=$AB$44,$AC$44,E939=$AB$45,$AC$45,E939=$AB$46,$AC$46,E939=$AB$47,$AC$47,E939=$AB$48,$AC$48,E939=$AB$49,$AC$49,E939=$AB$50,$AC$50,E939=$AB$51,$AC$51,E939=$AB$52,$AC$52,E939=$AB$53,$AC$53,E939=$AB$54,$AC$54,E939=$AB$55,$AC$55,E939=$AB$56,$AC$56,E939=$AB$57,$AC$57,E939=$AB$58,$AC$58,E939=$AB$59,$AC$59,E939=$AB$60,$AC$60,E939=$AB$61,$AC$61,E939=$AB$62,$AC$62,E939=$AB$63,$AC$63,E939=$AB$64,$AC$64,E939=$AB$65,$AC$65,E939=$AB$66,$AC$66,TRUE,"0")</f>
        <v>#NAME?</v>
      </c>
      <c r="C939" s="161" t="str" cm="1">
        <f t="array" ref="C939">_xlfn.IFS(E939=$AB$42,$AF$42,E939=$AB$43,$AF$43,E939=$AB$44,$AF$44,E939=$AB$45,$AF$45,E939=$AB$46,$AF$46,E939=$AB$47,$AF$47,E939=$AB$48,$AF$48,E939=$AB$49,$AF$49,E939=$AB$50,$AF$50,E939=$AB$51,$AF$51,E939=$AB$52,$AF$52,E939=$AB$53,$AF$53,E939=$AB$54,$AF$54,E939=$AB$55,$AF$55,E939=$AB$56,$AF$56,E939=$AB$57,$AF$57,E939=$AB$58,$AF$58,E939=$AB$59,$AF$59,E939=$AB$60,$AF$60,E939=$AB$61,$AF$61,E939=$AB$62,$AF$62,E939=$AB$63,$AF$63,E939=$AB$64,$AF$64,E939=$AB$65,$AF$65,E939=$AB$66,$AF$66,TRUE,"0")</f>
        <v>if 0-0, BACK+ 0.5 GOALS  @ 1.15+odds.  or @ 40 mins</v>
      </c>
      <c r="D939" s="270" t="str" cm="1">
        <f t="array" ref="D939">_xlfn.IFS(E939=$AB$42,$AD$42,E939=$AB$43,$AD$43,E939=$AB$44,$AD$44,E939=$AB$45,$AD$45,E939=$AB$46,$AD$46,E939=$AB$47,$AD$47,E939=$AB$48,$AD$48,E939=$AB$49,$AD$49,E939=$AB$50,$AD$50,E939=$AB$51,$AD$51,E939=$AB$52,$AD$52,E939=$AB$53,$AD$53,E939=$AB$54,$AD$54,E939=$AB$55,$AD$55,E939=$AB$56,$AD$56,E939=$AB$57,$AD$57,E939=$AB$58,$AD$58,E939=$AB$59,$AD$59,E939=$AB$60,$AD$60,E939=$AB$61,$AD$61,E939=$AB$62,$AD$62,E939=$AB$63,$AD$63,E939=$AB$64,$AD$64,E939=$AB$65,$AD$65,E939=$AB$66,$AD$66,TRUE,"0")</f>
        <v>IP</v>
      </c>
      <c r="E939" s="163" t="s">
        <v>270</v>
      </c>
      <c r="F939" s="2" t="s">
        <v>6</v>
      </c>
      <c r="G939" s="2" t="s">
        <v>11</v>
      </c>
      <c r="H939" s="3">
        <v>45395.625</v>
      </c>
      <c r="I939" s="2" t="s">
        <v>231</v>
      </c>
      <c r="J939" s="2" t="s">
        <v>715</v>
      </c>
      <c r="K939" s="2">
        <v>63</v>
      </c>
      <c r="L939" s="2">
        <v>0</v>
      </c>
      <c r="M939" s="2">
        <v>20</v>
      </c>
      <c r="N939" s="2">
        <v>41</v>
      </c>
      <c r="O939" s="2">
        <v>1.83</v>
      </c>
      <c r="P939" s="2"/>
      <c r="Q939" s="1" t="s">
        <v>95</v>
      </c>
      <c r="R939" s="10" t="s">
        <v>220</v>
      </c>
      <c r="S939" s="10" t="s">
        <v>207</v>
      </c>
      <c r="T939" s="188">
        <v>1000</v>
      </c>
      <c r="U939" s="8">
        <f t="shared" si="113"/>
        <v>180</v>
      </c>
      <c r="V939" s="234">
        <f t="shared" si="115"/>
        <v>76444.155246160299</v>
      </c>
      <c r="W939" s="15">
        <v>25</v>
      </c>
      <c r="X939" s="8">
        <f t="shared" si="116"/>
        <v>4.5</v>
      </c>
      <c r="Y939" s="233">
        <f t="shared" si="117"/>
        <v>3777</v>
      </c>
    </row>
    <row r="940" spans="1:25">
      <c r="A940" s="156" t="e" cm="1">
        <f t="array" aca="1" ref="A940" ca="1">_xlfn.IFS(E940=$AB$42,$AC$42,E940=$AB$43,$AC$43,E940=$AB$44,$AC$44,E940=$AB$45,$AC$45,E940=$AB$46,$AC$46,E940=$AB$47,$AC$47,E940=$AB$48,$AC$48,E940=$AB$49,$AC$49,E940=$AB$50,$AC$50,E940=$AB$51,$AC$51,E940=$AB$52,$AC$52,E940=$AB$53,$AC$53,E940=$AB$54,$AC$54,E940=$AB$55,$AC$55,E940=$AB$56,$AC$56,E940=$AB$57,$AC$57,E940=$AB$58,$AC$58,E940=$AB$59,$AC$59,E940=$AB$60,$AC$60,E940=$AB$61,$AC$61,E940=$AB$62,$AC$62,E940=$AB$63,$AC$63,E940=$AB$64,$AC$64,E940=$AB$65,$AC$65,E940=$AB$66,$AC$66,TRUE,"0")</f>
        <v>#NAME?</v>
      </c>
      <c r="C940" s="161" t="str" cm="1">
        <f t="array" ref="C940">_xlfn.IFS(E940=$AB$42,$AF$42,E940=$AB$43,$AF$43,E940=$AB$44,$AF$44,E940=$AB$45,$AF$45,E940=$AB$46,$AF$46,E940=$AB$47,$AF$47,E940=$AB$48,$AF$48,E940=$AB$49,$AF$49,E940=$AB$50,$AF$50,E940=$AB$51,$AF$51,E940=$AB$52,$AF$52,E940=$AB$53,$AF$53,E940=$AB$54,$AF$54,E940=$AB$55,$AF$55,E940=$AB$56,$AF$56,E940=$AB$57,$AF$57,E940=$AB$58,$AF$58,E940=$AB$59,$AF$59,E940=$AB$60,$AF$60,E940=$AB$61,$AF$61,E940=$AB$62,$AF$62,E940=$AB$63,$AF$63,E940=$AB$64,$AF$64,E940=$AB$65,$AF$65,E940=$AB$66,$AF$66,TRUE,"0")</f>
        <v>if 0-0, BACK+ 0.5 GOALS  @ 1.15+odds.  or @ 40 mins</v>
      </c>
      <c r="D940" s="270" t="str" cm="1">
        <f t="array" ref="D940">_xlfn.IFS(E940=$AB$42,$AD$42,E940=$AB$43,$AD$43,E940=$AB$44,$AD$44,E940=$AB$45,$AD$45,E940=$AB$46,$AD$46,E940=$AB$47,$AD$47,E940=$AB$48,$AD$48,E940=$AB$49,$AD$49,E940=$AB$50,$AD$50,E940=$AB$51,$AD$51,E940=$AB$52,$AD$52,E940=$AB$53,$AD$53,E940=$AB$54,$AD$54,E940=$AB$55,$AD$55,E940=$AB$56,$AD$56,E940=$AB$57,$AD$57,E940=$AB$58,$AD$58,E940=$AB$59,$AD$59,E940=$AB$60,$AD$60,E940=$AB$61,$AD$61,E940=$AB$62,$AD$62,E940=$AB$63,$AD$63,E940=$AB$64,$AD$64,E940=$AB$65,$AD$65,E940=$AB$66,$AD$66,TRUE,"0")</f>
        <v>IP</v>
      </c>
      <c r="E940" s="163" t="s">
        <v>270</v>
      </c>
      <c r="F940" s="2" t="s">
        <v>6</v>
      </c>
      <c r="G940" s="2" t="s">
        <v>7</v>
      </c>
      <c r="H940" s="3">
        <v>45395.625</v>
      </c>
      <c r="I940" s="2" t="s">
        <v>378</v>
      </c>
      <c r="J940" s="2" t="s">
        <v>84</v>
      </c>
      <c r="K940" s="2">
        <v>64</v>
      </c>
      <c r="L940" s="2">
        <v>0</v>
      </c>
      <c r="M940" s="2">
        <v>20</v>
      </c>
      <c r="N940" s="2">
        <v>42</v>
      </c>
      <c r="O940" s="2">
        <v>2.5</v>
      </c>
      <c r="P940" s="2"/>
      <c r="Q940" s="1" t="s">
        <v>95</v>
      </c>
      <c r="R940" s="10" t="s">
        <v>193</v>
      </c>
      <c r="S940" s="10" t="s">
        <v>210</v>
      </c>
      <c r="T940" s="188">
        <v>1000</v>
      </c>
      <c r="U940" s="8">
        <f t="shared" si="113"/>
        <v>180</v>
      </c>
      <c r="V940" s="234">
        <f t="shared" si="115"/>
        <v>76624.155246160299</v>
      </c>
      <c r="W940" s="15">
        <v>25</v>
      </c>
      <c r="X940" s="8">
        <f t="shared" si="116"/>
        <v>4.5</v>
      </c>
      <c r="Y940" s="233">
        <f t="shared" si="117"/>
        <v>3781.5</v>
      </c>
    </row>
    <row r="941" spans="1:25">
      <c r="A941" s="156" t="e" cm="1">
        <f t="array" aca="1" ref="A941" ca="1">_xlfn.IFS(E941=$AB$42,$AC$42,E941=$AB$43,$AC$43,E941=$AB$44,$AC$44,E941=$AB$45,$AC$45,E941=$AB$46,$AC$46,E941=$AB$47,$AC$47,E941=$AB$48,$AC$48,E941=$AB$49,$AC$49,E941=$AB$50,$AC$50,E941=$AB$51,$AC$51,E941=$AB$52,$AC$52,E941=$AB$53,$AC$53,E941=$AB$54,$AC$54,E941=$AB$55,$AC$55,E941=$AB$56,$AC$56,E941=$AB$57,$AC$57,E941=$AB$58,$AC$58,E941=$AB$59,$AC$59,E941=$AB$60,$AC$60,E941=$AB$61,$AC$61,E941=$AB$62,$AC$62,E941=$AB$63,$AC$63,E941=$AB$64,$AC$64,E941=$AB$65,$AC$65,E941=$AB$66,$AC$66,TRUE,"0")</f>
        <v>#NAME?</v>
      </c>
      <c r="C941" s="161" t="str" cm="1">
        <f t="array" ref="C941">_xlfn.IFS(E941=$AB$42,$AF$42,E941=$AB$43,$AF$43,E941=$AB$44,$AF$44,E941=$AB$45,$AF$45,E941=$AB$46,$AF$46,E941=$AB$47,$AF$47,E941=$AB$48,$AF$48,E941=$AB$49,$AF$49,E941=$AB$50,$AF$50,E941=$AB$51,$AF$51,E941=$AB$52,$AF$52,E941=$AB$53,$AF$53,E941=$AB$54,$AF$54,E941=$AB$55,$AF$55,E941=$AB$56,$AF$56,E941=$AB$57,$AF$57,E941=$AB$58,$AF$58,E941=$AB$59,$AF$59,E941=$AB$60,$AF$60,E941=$AB$61,$AF$61,E941=$AB$62,$AF$62,E941=$AB$63,$AF$63,E941=$AB$64,$AF$64,E941=$AB$65,$AF$65,E941=$AB$66,$AF$66,TRUE,"0")</f>
        <v>40 mins Back ANother Goal</v>
      </c>
      <c r="D941" s="270" t="str" cm="1">
        <f t="array" ref="D941">_xlfn.IFS(E941=$AB$42,$AD$42,E941=$AB$43,$AD$43,E941=$AB$44,$AD$44,E941=$AB$45,$AD$45,E941=$AB$46,$AD$46,E941=$AB$47,$AD$47,E941=$AB$48,$AD$48,E941=$AB$49,$AD$49,E941=$AB$50,$AD$50,E941=$AB$51,$AD$51,E941=$AB$52,$AD$52,E941=$AB$53,$AD$53,E941=$AB$54,$AD$54,E941=$AB$55,$AD$55,E941=$AB$56,$AD$56,E941=$AB$57,$AD$57,E941=$AB$58,$AD$58,E941=$AB$59,$AD$59,E941=$AB$60,$AD$60,E941=$AB$61,$AD$61,E941=$AB$62,$AD$62,E941=$AB$63,$AD$63,E941=$AB$64,$AD$64,E941=$AB$65,$AD$65,E941=$AB$66,$AD$66,TRUE,"0")</f>
        <v xml:space="preserve">  BANG</v>
      </c>
      <c r="E941" s="163" t="s">
        <v>43</v>
      </c>
      <c r="F941" s="2" t="s">
        <v>6</v>
      </c>
      <c r="G941" s="2" t="s">
        <v>11</v>
      </c>
      <c r="H941" s="3">
        <v>45395.625</v>
      </c>
      <c r="I941" s="2" t="s">
        <v>736</v>
      </c>
      <c r="J941" s="2" t="s">
        <v>737</v>
      </c>
      <c r="K941" s="2">
        <v>68</v>
      </c>
      <c r="L941" s="2">
        <v>69</v>
      </c>
      <c r="M941" s="2">
        <v>60</v>
      </c>
      <c r="N941" s="2">
        <v>1.7</v>
      </c>
      <c r="O941" s="2">
        <v>1.26</v>
      </c>
      <c r="P941" s="2"/>
      <c r="Q941" s="1" t="s">
        <v>95</v>
      </c>
      <c r="R941" s="10" t="s">
        <v>216</v>
      </c>
      <c r="S941" s="10" t="s">
        <v>223</v>
      </c>
      <c r="T941" s="188">
        <v>1000</v>
      </c>
      <c r="U941" s="8">
        <f t="shared" si="113"/>
        <v>180</v>
      </c>
      <c r="V941" s="234">
        <f t="shared" si="115"/>
        <v>76804.155246160299</v>
      </c>
      <c r="W941" s="15">
        <v>25</v>
      </c>
      <c r="X941" s="8">
        <f t="shared" si="116"/>
        <v>4.5</v>
      </c>
      <c r="Y941" s="233">
        <f t="shared" si="117"/>
        <v>3786</v>
      </c>
    </row>
    <row r="942" spans="1:25">
      <c r="A942" s="156" t="e" cm="1">
        <f t="array" aca="1" ref="A942" ca="1">_xlfn.IFS(E942=$AB$42,$AC$42,E942=$AB$43,$AC$43,E942=$AB$44,$AC$44,E942=$AB$45,$AC$45,E942=$AB$46,$AC$46,E942=$AB$47,$AC$47,E942=$AB$48,$AC$48,E942=$AB$49,$AC$49,E942=$AB$50,$AC$50,E942=$AB$51,$AC$51,E942=$AB$52,$AC$52,E942=$AB$53,$AC$53,E942=$AB$54,$AC$54,E942=$AB$55,$AC$55,E942=$AB$56,$AC$56,E942=$AB$57,$AC$57,E942=$AB$58,$AC$58,E942=$AB$59,$AC$59,E942=$AB$60,$AC$60,E942=$AB$61,$AC$61,E942=$AB$62,$AC$62,E942=$AB$63,$AC$63,E942=$AB$64,$AC$64,E942=$AB$65,$AC$65,E942=$AB$66,$AC$66,TRUE,"0")</f>
        <v>#NAME?</v>
      </c>
      <c r="C942" s="161" t="str" cm="1">
        <f t="array" ref="C942">_xlfn.IFS(E942=$AB$42,$AF$42,E942=$AB$43,$AF$43,E942=$AB$44,$AF$44,E942=$AB$45,$AF$45,E942=$AB$46,$AF$46,E942=$AB$47,$AF$47,E942=$AB$48,$AF$48,E942=$AB$49,$AF$49,E942=$AB$50,$AF$50,E942=$AB$51,$AF$51,E942=$AB$52,$AF$52,E942=$AB$53,$AF$53,E942=$AB$54,$AF$54,E942=$AB$55,$AF$55,E942=$AB$56,$AF$56,E942=$AB$57,$AF$57,E942=$AB$58,$AF$58,E942=$AB$59,$AF$59,E942=$AB$60,$AF$60,E942=$AB$61,$AF$61,E942=$AB$62,$AF$62,E942=$AB$63,$AF$63,E942=$AB$64,$AF$64,E942=$AB$65,$AF$65,E942=$AB$66,$AF$66,TRUE,"0")</f>
        <v>40 mins Back ANother Goal</v>
      </c>
      <c r="D942" s="270" t="str" cm="1">
        <f t="array" ref="D942">_xlfn.IFS(E942=$AB$42,$AD$42,E942=$AB$43,$AD$43,E942=$AB$44,$AD$44,E942=$AB$45,$AD$45,E942=$AB$46,$AD$46,E942=$AB$47,$AD$47,E942=$AB$48,$AD$48,E942=$AB$49,$AD$49,E942=$AB$50,$AD$50,E942=$AB$51,$AD$51,E942=$AB$52,$AD$52,E942=$AB$53,$AD$53,E942=$AB$54,$AD$54,E942=$AB$55,$AD$55,E942=$AB$56,$AD$56,E942=$AB$57,$AD$57,E942=$AB$58,$AD$58,E942=$AB$59,$AD$59,E942=$AB$60,$AD$60,E942=$AB$61,$AD$61,E942=$AB$62,$AD$62,E942=$AB$63,$AD$63,E942=$AB$64,$AD$64,E942=$AB$65,$AD$65,E942=$AB$66,$AD$66,TRUE,"0")</f>
        <v xml:space="preserve">  BANG</v>
      </c>
      <c r="E942" s="163" t="s">
        <v>726</v>
      </c>
      <c r="F942" s="2" t="s">
        <v>6</v>
      </c>
      <c r="G942" s="2" t="s">
        <v>62</v>
      </c>
      <c r="H942" s="3">
        <v>45395.625</v>
      </c>
      <c r="I942" s="2" t="s">
        <v>72</v>
      </c>
      <c r="J942" s="2" t="s">
        <v>86</v>
      </c>
      <c r="K942" s="2">
        <v>90</v>
      </c>
      <c r="L942" s="2">
        <v>20</v>
      </c>
      <c r="M942" s="2">
        <v>2.15</v>
      </c>
      <c r="N942" s="2">
        <v>63</v>
      </c>
      <c r="O942" s="2"/>
      <c r="P942" s="2"/>
      <c r="Q942" s="1" t="s">
        <v>95</v>
      </c>
      <c r="R942" s="10" t="s">
        <v>214</v>
      </c>
      <c r="S942" s="10" t="s">
        <v>197</v>
      </c>
      <c r="T942" s="188">
        <v>1000</v>
      </c>
      <c r="U942" s="8">
        <f t="shared" si="113"/>
        <v>180</v>
      </c>
      <c r="V942" s="234">
        <f t="shared" si="115"/>
        <v>76984.155246160299</v>
      </c>
      <c r="W942" s="15">
        <v>25</v>
      </c>
      <c r="X942" s="8">
        <f t="shared" si="116"/>
        <v>4.5</v>
      </c>
      <c r="Y942" s="233">
        <f t="shared" si="117"/>
        <v>3790.5</v>
      </c>
    </row>
    <row r="943" spans="1:25">
      <c r="A943" s="156" t="e" cm="1">
        <f t="array" aca="1" ref="A943" ca="1">_xlfn.IFS(E943=$AB$42,$AC$42,E943=$AB$43,$AC$43,E943=$AB$44,$AC$44,E943=$AB$45,$AC$45,E943=$AB$46,$AC$46,E943=$AB$47,$AC$47,E943=$AB$48,$AC$48,E943=$AB$49,$AC$49,E943=$AB$50,$AC$50,E943=$AB$51,$AC$51,E943=$AB$52,$AC$52,E943=$AB$53,$AC$53,E943=$AB$54,$AC$54,E943=$AB$55,$AC$55,E943=$AB$56,$AC$56,E943=$AB$57,$AC$57,E943=$AB$58,$AC$58,E943=$AB$59,$AC$59,E943=$AB$60,$AC$60,E943=$AB$61,$AC$61,E943=$AB$62,$AC$62,E943=$AB$63,$AC$63,E943=$AB$64,$AC$64,E943=$AB$65,$AC$65,E943=$AB$66,$AC$66,TRUE,"0")</f>
        <v>#NAME?</v>
      </c>
      <c r="C943" s="161" t="str" cm="1">
        <f t="array" ref="C943">_xlfn.IFS(E943=$AB$42,$AF$42,E943=$AB$43,$AF$43,E943=$AB$44,$AF$44,E943=$AB$45,$AF$45,E943=$AB$46,$AF$46,E943=$AB$47,$AF$47,E943=$AB$48,$AF$48,E943=$AB$49,$AF$49,E943=$AB$50,$AF$50,E943=$AB$51,$AF$51,E943=$AB$52,$AF$52,E943=$AB$53,$AF$53,E943=$AB$54,$AF$54,E943=$AB$55,$AF$55,E943=$AB$56,$AF$56,E943=$AB$57,$AF$57,E943=$AB$58,$AF$58,E943=$AB$59,$AF$59,E943=$AB$60,$AF$60,E943=$AB$61,$AF$61,E943=$AB$62,$AF$62,E943=$AB$63,$AF$63,E943=$AB$64,$AF$64,E943=$AB$65,$AF$65,E943=$AB$66,$AF$66,TRUE,"0")</f>
        <v>B4 match BACK FT +1.5 goals. X AFTER  GOAL</v>
      </c>
      <c r="D943" s="270" t="str" cm="1">
        <f t="array" ref="D943">_xlfn.IFS(E943=$AB$42,$AD$42,E943=$AB$43,$AD$43,E943=$AB$44,$AD$44,E943=$AB$45,$AD$45,E943=$AB$46,$AD$46,E943=$AB$47,$AD$47,E943=$AB$48,$AD$48,E943=$AB$49,$AD$49,E943=$AB$50,$AD$50,E943=$AB$51,$AD$51,E943=$AB$52,$AD$52,E943=$AB$53,$AD$53,E943=$AB$54,$AD$54,E943=$AB$55,$AD$55,E943=$AB$56,$AD$56,E943=$AB$57,$AD$57,E943=$AB$58,$AD$58,E943=$AB$59,$AD$59,E943=$AB$60,$AD$60,E943=$AB$61,$AD$61,E943=$AB$62,$AD$62,E943=$AB$63,$AD$63,E943=$AB$64,$AD$64,E943=$AB$65,$AD$65,E943=$AB$66,$AD$66,TRUE,"0")</f>
        <v xml:space="preserve">BFM </v>
      </c>
      <c r="E943" s="163" t="s">
        <v>623</v>
      </c>
      <c r="F943" s="2" t="s">
        <v>6</v>
      </c>
      <c r="G943" s="2" t="s">
        <v>62</v>
      </c>
      <c r="H943" s="3">
        <v>45395.625</v>
      </c>
      <c r="I943" s="2" t="s">
        <v>72</v>
      </c>
      <c r="J943" s="2" t="s">
        <v>86</v>
      </c>
      <c r="K943" s="2">
        <v>2.48</v>
      </c>
      <c r="L943" s="2">
        <v>20</v>
      </c>
      <c r="M943" s="2">
        <v>3.5</v>
      </c>
      <c r="N943" s="2">
        <v>23</v>
      </c>
      <c r="O943" s="2">
        <v>1</v>
      </c>
      <c r="P943" s="2">
        <v>10</v>
      </c>
      <c r="Q943" s="1" t="s">
        <v>95</v>
      </c>
      <c r="R943" s="10" t="s">
        <v>214</v>
      </c>
      <c r="S943" s="10" t="s">
        <v>197</v>
      </c>
      <c r="T943" s="188">
        <v>1000</v>
      </c>
      <c r="U943" s="8">
        <f t="shared" si="113"/>
        <v>180</v>
      </c>
      <c r="V943" s="234">
        <f t="shared" si="115"/>
        <v>77164.155246160299</v>
      </c>
      <c r="W943" s="15">
        <v>25</v>
      </c>
      <c r="X943" s="8">
        <f t="shared" si="116"/>
        <v>4.5</v>
      </c>
      <c r="Y943" s="233">
        <f t="shared" si="117"/>
        <v>3795</v>
      </c>
    </row>
    <row r="944" spans="1:25">
      <c r="A944" s="156" t="e" cm="1">
        <f t="array" aca="1" ref="A944" ca="1">_xlfn.IFS(E944=$AB$42,$AC$42,E944=$AB$43,$AC$43,E944=$AB$44,$AC$44,E944=$AB$45,$AC$45,E944=$AB$46,$AC$46,E944=$AB$47,$AC$47,E944=$AB$48,$AC$48,E944=$AB$49,$AC$49,E944=$AB$50,$AC$50,E944=$AB$51,$AC$51,E944=$AB$52,$AC$52,E944=$AB$53,$AC$53,E944=$AB$54,$AC$54,E944=$AB$55,$AC$55,E944=$AB$56,$AC$56,E944=$AB$57,$AC$57,E944=$AB$58,$AC$58,E944=$AB$59,$AC$59,E944=$AB$60,$AC$60,E944=$AB$61,$AC$61,E944=$AB$62,$AC$62,E944=$AB$63,$AC$63,E944=$AB$64,$AC$64,E944=$AB$65,$AC$65,E944=$AB$66,$AC$66,TRUE,"0")</f>
        <v>#NAME?</v>
      </c>
      <c r="C944" s="161" t="str" cm="1">
        <f t="array" ref="C944">_xlfn.IFS(E944=$AB$42,$AF$42,E944=$AB$43,$AF$43,E944=$AB$44,$AF$44,E944=$AB$45,$AF$45,E944=$AB$46,$AF$46,E944=$AB$47,$AF$47,E944=$AB$48,$AF$48,E944=$AB$49,$AF$49,E944=$AB$50,$AF$50,E944=$AB$51,$AF$51,E944=$AB$52,$AF$52,E944=$AB$53,$AF$53,E944=$AB$54,$AF$54,E944=$AB$55,$AF$55,E944=$AB$56,$AF$56,E944=$AB$57,$AF$57,E944=$AB$58,$AF$58,E944=$AB$59,$AF$59,E944=$AB$60,$AF$60,E944=$AB$61,$AF$61,E944=$AB$62,$AF$62,E944=$AB$63,$AF$63,E944=$AB$64,$AF$64,E944=$AB$65,$AF$65,E944=$AB$66,$AF$66,TRUE,"0")</f>
        <v>if 0-0, BACK+ 0.5 GOALS  @ 1.15+odds.  or @ 40 mins</v>
      </c>
      <c r="D944" s="270" t="str" cm="1">
        <f t="array" ref="D944">_xlfn.IFS(E944=$AB$42,$AD$42,E944=$AB$43,$AD$43,E944=$AB$44,$AD$44,E944=$AB$45,$AD$45,E944=$AB$46,$AD$46,E944=$AB$47,$AD$47,E944=$AB$48,$AD$48,E944=$AB$49,$AD$49,E944=$AB$50,$AD$50,E944=$AB$51,$AD$51,E944=$AB$52,$AD$52,E944=$AB$53,$AD$53,E944=$AB$54,$AD$54,E944=$AB$55,$AD$55,E944=$AB$56,$AD$56,E944=$AB$57,$AD$57,E944=$AB$58,$AD$58,E944=$AB$59,$AD$59,E944=$AB$60,$AD$60,E944=$AB$61,$AD$61,E944=$AB$62,$AD$62,E944=$AB$63,$AD$63,E944=$AB$64,$AD$64,E944=$AB$65,$AD$65,E944=$AB$66,$AD$66,TRUE,"0")</f>
        <v>IP</v>
      </c>
      <c r="E944" s="163" t="s">
        <v>270</v>
      </c>
      <c r="F944" s="2" t="s">
        <v>6</v>
      </c>
      <c r="G944" s="2" t="s">
        <v>7</v>
      </c>
      <c r="H944" s="3">
        <v>45395.625</v>
      </c>
      <c r="I944" s="2" t="s">
        <v>397</v>
      </c>
      <c r="J944" s="2" t="s">
        <v>240</v>
      </c>
      <c r="K944" s="2">
        <v>61</v>
      </c>
      <c r="L944" s="2">
        <v>0</v>
      </c>
      <c r="M944" s="2">
        <v>20</v>
      </c>
      <c r="N944" s="2">
        <v>31</v>
      </c>
      <c r="O944" s="2">
        <v>2.4</v>
      </c>
      <c r="P944" s="2"/>
      <c r="Q944" s="1" t="s">
        <v>95</v>
      </c>
      <c r="R944" s="10" t="s">
        <v>223</v>
      </c>
      <c r="S944" s="10" t="s">
        <v>223</v>
      </c>
      <c r="T944" s="188">
        <v>1000</v>
      </c>
      <c r="U944" s="8">
        <f t="shared" si="113"/>
        <v>180</v>
      </c>
      <c r="V944" s="234">
        <f t="shared" si="115"/>
        <v>77344.155246160299</v>
      </c>
      <c r="W944" s="15">
        <v>25</v>
      </c>
      <c r="X944" s="8">
        <f t="shared" si="116"/>
        <v>4.5</v>
      </c>
      <c r="Y944" s="233">
        <f t="shared" si="117"/>
        <v>3799.5</v>
      </c>
    </row>
    <row r="945" spans="1:25">
      <c r="A945" s="156" t="e" cm="1">
        <f t="array" aca="1" ref="A945" ca="1">_xlfn.IFS(E945=$AB$42,$AC$42,E945=$AB$43,$AC$43,E945=$AB$44,$AC$44,E945=$AB$45,$AC$45,E945=$AB$46,$AC$46,E945=$AB$47,$AC$47,E945=$AB$48,$AC$48,E945=$AB$49,$AC$49,E945=$AB$50,$AC$50,E945=$AB$51,$AC$51,E945=$AB$52,$AC$52,E945=$AB$53,$AC$53,E945=$AB$54,$AC$54,E945=$AB$55,$AC$55,E945=$AB$56,$AC$56,E945=$AB$57,$AC$57,E945=$AB$58,$AC$58,E945=$AB$59,$AC$59,E945=$AB$60,$AC$60,E945=$AB$61,$AC$61,E945=$AB$62,$AC$62,E945=$AB$63,$AC$63,E945=$AB$64,$AC$64,E945=$AB$65,$AC$65,E945=$AB$66,$AC$66,TRUE,"0")</f>
        <v>#NAME?</v>
      </c>
      <c r="C945" s="161" t="str" cm="1">
        <f t="array" ref="C945">_xlfn.IFS(E945=$AB$42,$AF$42,E945=$AB$43,$AF$43,E945=$AB$44,$AF$44,E945=$AB$45,$AF$45,E945=$AB$46,$AF$46,E945=$AB$47,$AF$47,E945=$AB$48,$AF$48,E945=$AB$49,$AF$49,E945=$AB$50,$AF$50,E945=$AB$51,$AF$51,E945=$AB$52,$AF$52,E945=$AB$53,$AF$53,E945=$AB$54,$AF$54,E945=$AB$55,$AF$55,E945=$AB$56,$AF$56,E945=$AB$57,$AF$57,E945=$AB$58,$AF$58,E945=$AB$59,$AF$59,E945=$AB$60,$AF$60,E945=$AB$61,$AF$61,E945=$AB$62,$AF$62,E945=$AB$63,$AF$63,E945=$AB$64,$AF$64,E945=$AB$65,$AF$65,E945=$AB$66,$AF$66,TRUE,"0")</f>
        <v>20mins if  0-0, BACK over 1.5 goals X after goal OR LET RUN</v>
      </c>
      <c r="D945" s="270" t="str" cm="1">
        <f t="array" ref="D945">_xlfn.IFS(E945=$AB$42,$AD$42,E945=$AB$43,$AD$43,E945=$AB$44,$AD$44,E945=$AB$45,$AD$45,E945=$AB$46,$AD$46,E945=$AB$47,$AD$47,E945=$AB$48,$AD$48,E945=$AB$49,$AD$49,E945=$AB$50,$AD$50,E945=$AB$51,$AD$51,E945=$AB$52,$AD$52,E945=$AB$53,$AD$53,E945=$AB$54,$AD$54,E945=$AB$55,$AD$55,E945=$AB$56,$AD$56,E945=$AB$57,$AD$57,E945=$AB$58,$AD$58,E945=$AB$59,$AD$59,E945=$AB$60,$AD$60,E945=$AB$61,$AD$61,E945=$AB$62,$AD$62,E945=$AB$63,$AD$63,E945=$AB$64,$AD$64,E945=$AB$65,$AD$65,E945=$AB$66,$AD$66,TRUE,"0")</f>
        <v>IP</v>
      </c>
      <c r="E945" s="163" t="s">
        <v>474</v>
      </c>
      <c r="F945" s="2" t="s">
        <v>13</v>
      </c>
      <c r="G945" s="2" t="s">
        <v>11</v>
      </c>
      <c r="H945" s="3">
        <v>45395.625</v>
      </c>
      <c r="I945" s="2" t="s">
        <v>104</v>
      </c>
      <c r="J945" s="2" t="s">
        <v>400</v>
      </c>
      <c r="K945" s="2">
        <v>50</v>
      </c>
      <c r="L945" s="2">
        <v>3.8</v>
      </c>
      <c r="M945" s="2">
        <v>20</v>
      </c>
      <c r="N945" s="2">
        <v>80</v>
      </c>
      <c r="O945" s="2">
        <v>95</v>
      </c>
      <c r="P945" s="2"/>
      <c r="Q945" s="1" t="s">
        <v>95</v>
      </c>
      <c r="R945" s="10" t="s">
        <v>221</v>
      </c>
      <c r="S945" s="10" t="s">
        <v>220</v>
      </c>
      <c r="T945" s="188">
        <v>1000</v>
      </c>
      <c r="U945" s="8">
        <f t="shared" si="113"/>
        <v>180</v>
      </c>
      <c r="V945" s="234">
        <f t="shared" si="115"/>
        <v>77524.155246160299</v>
      </c>
      <c r="W945" s="15">
        <v>25</v>
      </c>
      <c r="X945" s="8">
        <f t="shared" si="116"/>
        <v>4.5</v>
      </c>
      <c r="Y945" s="233">
        <f t="shared" si="117"/>
        <v>3804</v>
      </c>
    </row>
    <row r="946" spans="1:25">
      <c r="A946" s="156" t="e" cm="1">
        <f t="array" aca="1" ref="A946" ca="1">_xlfn.IFS(E946=$AB$42,$AC$42,E946=$AB$43,$AC$43,E946=$AB$44,$AC$44,E946=$AB$45,$AC$45,E946=$AB$46,$AC$46,E946=$AB$47,$AC$47,E946=$AB$48,$AC$48,E946=$AB$49,$AC$49,E946=$AB$50,$AC$50,E946=$AB$51,$AC$51,E946=$AB$52,$AC$52,E946=$AB$53,$AC$53,E946=$AB$54,$AC$54,E946=$AB$55,$AC$55,E946=$AB$56,$AC$56,E946=$AB$57,$AC$57,E946=$AB$58,$AC$58,E946=$AB$59,$AC$59,E946=$AB$60,$AC$60,E946=$AB$61,$AC$61,E946=$AB$62,$AC$62,E946=$AB$63,$AC$63,E946=$AB$64,$AC$64,E946=$AB$65,$AC$65,E946=$AB$66,$AC$66,TRUE,"0")</f>
        <v>#NAME?</v>
      </c>
      <c r="C946" s="161" t="str" cm="1">
        <f t="array" ref="C946">_xlfn.IFS(E946=$AB$42,$AF$42,E946=$AB$43,$AF$43,E946=$AB$44,$AF$44,E946=$AB$45,$AF$45,E946=$AB$46,$AF$46,E946=$AB$47,$AF$47,E946=$AB$48,$AF$48,E946=$AB$49,$AF$49,E946=$AB$50,$AF$50,E946=$AB$51,$AF$51,E946=$AB$52,$AF$52,E946=$AB$53,$AF$53,E946=$AB$54,$AF$54,E946=$AB$55,$AF$55,E946=$AB$56,$AF$56,E946=$AB$57,$AF$57,E946=$AB$58,$AF$58,E946=$AB$59,$AF$59,E946=$AB$60,$AF$60,E946=$AB$61,$AF$61,E946=$AB$62,$AF$62,E946=$AB$63,$AF$63,E946=$AB$64,$AF$64,E946=$AB$65,$AF$65,E946=$AB$66,$AF$66,TRUE,"0")</f>
        <v>10mins if  0-0, BACK over 1.5 goals X after goal OR LET RUN</v>
      </c>
      <c r="D946" s="270" t="str" cm="1">
        <f t="array" ref="D946">_xlfn.IFS(E946=$AB$42,$AD$42,E946=$AB$43,$AD$43,E946=$AB$44,$AD$44,E946=$AB$45,$AD$45,E946=$AB$46,$AD$46,E946=$AB$47,$AD$47,E946=$AB$48,$AD$48,E946=$AB$49,$AD$49,E946=$AB$50,$AD$50,E946=$AB$51,$AD$51,E946=$AB$52,$AD$52,E946=$AB$53,$AD$53,E946=$AB$54,$AD$54,E946=$AB$55,$AD$55,E946=$AB$56,$AD$56,E946=$AB$57,$AD$57,E946=$AB$58,$AD$58,E946=$AB$59,$AD$59,E946=$AB$60,$AD$60,E946=$AB$61,$AD$61,E946=$AB$62,$AD$62,E946=$AB$63,$AD$63,E946=$AB$64,$AD$64,E946=$AB$65,$AD$65,E946=$AB$66,$AD$66,TRUE,"0")</f>
        <v>IP</v>
      </c>
      <c r="E946" s="163" t="s">
        <v>498</v>
      </c>
      <c r="F946" s="2" t="s">
        <v>6</v>
      </c>
      <c r="G946" s="2" t="s">
        <v>14</v>
      </c>
      <c r="H946" s="3">
        <v>45395.625</v>
      </c>
      <c r="I946" s="2" t="s">
        <v>202</v>
      </c>
      <c r="J946" s="2" t="s">
        <v>513</v>
      </c>
      <c r="K946" s="2">
        <v>63</v>
      </c>
      <c r="L946" s="2">
        <v>80</v>
      </c>
      <c r="M946" s="2">
        <v>1.25</v>
      </c>
      <c r="N946" s="2">
        <v>20</v>
      </c>
      <c r="O946" s="2"/>
      <c r="P946" s="2"/>
      <c r="Q946" s="1" t="s">
        <v>95</v>
      </c>
      <c r="R946" s="10" t="s">
        <v>221</v>
      </c>
      <c r="S946" s="10" t="s">
        <v>216</v>
      </c>
      <c r="T946" s="188">
        <v>1000</v>
      </c>
      <c r="U946" s="8">
        <f t="shared" si="113"/>
        <v>180</v>
      </c>
      <c r="V946" s="234">
        <f t="shared" si="115"/>
        <v>77704.155246160299</v>
      </c>
      <c r="W946" s="15">
        <v>25</v>
      </c>
      <c r="X946" s="8">
        <f t="shared" si="116"/>
        <v>4.5</v>
      </c>
      <c r="Y946" s="233">
        <f t="shared" si="117"/>
        <v>3808.5</v>
      </c>
    </row>
    <row r="947" spans="1:25">
      <c r="A947" s="156" t="e" cm="1">
        <f t="array" aca="1" ref="A947" ca="1">_xlfn.IFS(E947=$AB$42,$AC$42,E947=$AB$43,$AC$43,E947=$AB$44,$AC$44,E947=$AB$45,$AC$45,E947=$AB$46,$AC$46,E947=$AB$47,$AC$47,E947=$AB$48,$AC$48,E947=$AB$49,$AC$49,E947=$AB$50,$AC$50,E947=$AB$51,$AC$51,E947=$AB$52,$AC$52,E947=$AB$53,$AC$53,E947=$AB$54,$AC$54,E947=$AB$55,$AC$55,E947=$AB$56,$AC$56,E947=$AB$57,$AC$57,E947=$AB$58,$AC$58,E947=$AB$59,$AC$59,E947=$AB$60,$AC$60,E947=$AB$61,$AC$61,E947=$AB$62,$AC$62,E947=$AB$63,$AC$63,E947=$AB$64,$AC$64,E947=$AB$65,$AC$65,E947=$AB$66,$AC$66,TRUE,"0")</f>
        <v>#NAME?</v>
      </c>
      <c r="C947" s="161" t="str" cm="1">
        <f t="array" ref="C947">_xlfn.IFS(E947=$AB$42,$AF$42,E947=$AB$43,$AF$43,E947=$AB$44,$AF$44,E947=$AB$45,$AF$45,E947=$AB$46,$AF$46,E947=$AB$47,$AF$47,E947=$AB$48,$AF$48,E947=$AB$49,$AF$49,E947=$AB$50,$AF$50,E947=$AB$51,$AF$51,E947=$AB$52,$AF$52,E947=$AB$53,$AF$53,E947=$AB$54,$AF$54,E947=$AB$55,$AF$55,E947=$AB$56,$AF$56,E947=$AB$57,$AF$57,E947=$AB$58,$AF$58,E947=$AB$59,$AF$59,E947=$AB$60,$AF$60,E947=$AB$61,$AF$61,E947=$AB$62,$AF$62,E947=$AB$63,$AF$63,E947=$AB$64,$AF$64,E947=$AB$65,$AF$65,E947=$AB$66,$AF$66,TRUE,"0")</f>
        <v>B4 match BACK FT +1.5 goals. X AFTER  GOAL</v>
      </c>
      <c r="D947" s="270" t="str" cm="1">
        <f t="array" ref="D947">_xlfn.IFS(E947=$AB$42,$AD$42,E947=$AB$43,$AD$43,E947=$AB$44,$AD$44,E947=$AB$45,$AD$45,E947=$AB$46,$AD$46,E947=$AB$47,$AD$47,E947=$AB$48,$AD$48,E947=$AB$49,$AD$49,E947=$AB$50,$AD$50,E947=$AB$51,$AD$51,E947=$AB$52,$AD$52,E947=$AB$53,$AD$53,E947=$AB$54,$AD$54,E947=$AB$55,$AD$55,E947=$AB$56,$AD$56,E947=$AB$57,$AD$57,E947=$AB$58,$AD$58,E947=$AB$59,$AD$59,E947=$AB$60,$AD$60,E947=$AB$61,$AD$61,E947=$AB$62,$AD$62,E947=$AB$63,$AD$63,E947=$AB$64,$AD$64,E947=$AB$65,$AD$65,E947=$AB$66,$AD$66,TRUE,"0")</f>
        <v xml:space="preserve">BFM </v>
      </c>
      <c r="E947" s="163" t="s">
        <v>623</v>
      </c>
      <c r="F947" s="2" t="s">
        <v>6</v>
      </c>
      <c r="G947" s="2" t="s">
        <v>14</v>
      </c>
      <c r="H947" s="3">
        <v>45395.625</v>
      </c>
      <c r="I947" s="2" t="s">
        <v>56</v>
      </c>
      <c r="J947" s="2" t="s">
        <v>431</v>
      </c>
      <c r="K947" s="2">
        <v>5.0999999999999996</v>
      </c>
      <c r="L947" s="2">
        <v>20</v>
      </c>
      <c r="M947" s="2">
        <v>3.25</v>
      </c>
      <c r="N947" s="2">
        <v>28</v>
      </c>
      <c r="O947" s="2">
        <v>5</v>
      </c>
      <c r="P947" s="2">
        <v>10</v>
      </c>
      <c r="Q947" s="1" t="s">
        <v>95</v>
      </c>
      <c r="R947" s="10" t="s">
        <v>222</v>
      </c>
      <c r="S947" s="10" t="s">
        <v>209</v>
      </c>
      <c r="T947" s="188">
        <v>1000</v>
      </c>
      <c r="U947" s="8">
        <f t="shared" si="113"/>
        <v>180</v>
      </c>
      <c r="V947" s="234">
        <f t="shared" ref="V947:V952" si="118">SUM(V946,U947)</f>
        <v>77884.155246160299</v>
      </c>
      <c r="W947" s="15">
        <v>25</v>
      </c>
      <c r="X947" s="8">
        <f t="shared" si="116"/>
        <v>4.5</v>
      </c>
      <c r="Y947" s="233">
        <f t="shared" si="117"/>
        <v>3813</v>
      </c>
    </row>
    <row r="948" spans="1:25">
      <c r="A948" s="156" t="e" cm="1">
        <f t="array" aca="1" ref="A948" ca="1">_xlfn.IFS(E948=$AB$42,$AC$42,E948=$AB$43,$AC$43,E948=$AB$44,$AC$44,E948=$AB$45,$AC$45,E948=$AB$46,$AC$46,E948=$AB$47,$AC$47,E948=$AB$48,$AC$48,E948=$AB$49,$AC$49,E948=$AB$50,$AC$50,E948=$AB$51,$AC$51,E948=$AB$52,$AC$52,E948=$AB$53,$AC$53,E948=$AB$54,$AC$54,E948=$AB$55,$AC$55,E948=$AB$56,$AC$56,E948=$AB$57,$AC$57,E948=$AB$58,$AC$58,E948=$AB$59,$AC$59,E948=$AB$60,$AC$60,E948=$AB$61,$AC$61,E948=$AB$62,$AC$62,E948=$AB$63,$AC$63,E948=$AB$64,$AC$64,E948=$AB$65,$AC$65,E948=$AB$66,$AC$66,TRUE,"0")</f>
        <v>#NAME?</v>
      </c>
      <c r="C948" s="161" t="str" cm="1">
        <f t="array" ref="C948">_xlfn.IFS(E948=$AB$42,$AF$42,E948=$AB$43,$AF$43,E948=$AB$44,$AF$44,E948=$AB$45,$AF$45,E948=$AB$46,$AF$46,E948=$AB$47,$AF$47,E948=$AB$48,$AF$48,E948=$AB$49,$AF$49,E948=$AB$50,$AF$50,E948=$AB$51,$AF$51,E948=$AB$52,$AF$52,E948=$AB$53,$AF$53,E948=$AB$54,$AF$54,E948=$AB$55,$AF$55,E948=$AB$56,$AF$56,E948=$AB$57,$AF$57,E948=$AB$58,$AF$58,E948=$AB$59,$AF$59,E948=$AB$60,$AF$60,E948=$AB$61,$AF$61,E948=$AB$62,$AF$62,E948=$AB$63,$AF$63,E948=$AB$64,$AF$64,E948=$AB$65,$AF$65,E948=$AB$66,$AF$66,TRUE,"0")</f>
        <v>B4 match BACK FT +1.5 goals. X AFTER  GOAL</v>
      </c>
      <c r="D948" s="270" t="str" cm="1">
        <f t="array" ref="D948">_xlfn.IFS(E948=$AB$42,$AD$42,E948=$AB$43,$AD$43,E948=$AB$44,$AD$44,E948=$AB$45,$AD$45,E948=$AB$46,$AD$46,E948=$AB$47,$AD$47,E948=$AB$48,$AD$48,E948=$AB$49,$AD$49,E948=$AB$50,$AD$50,E948=$AB$51,$AD$51,E948=$AB$52,$AD$52,E948=$AB$53,$AD$53,E948=$AB$54,$AD$54,E948=$AB$55,$AD$55,E948=$AB$56,$AD$56,E948=$AB$57,$AD$57,E948=$AB$58,$AD$58,E948=$AB$59,$AD$59,E948=$AB$60,$AD$60,E948=$AB$61,$AD$61,E948=$AB$62,$AD$62,E948=$AB$63,$AD$63,E948=$AB$64,$AD$64,E948=$AB$65,$AD$65,E948=$AB$66,$AD$66,TRUE,"0")</f>
        <v xml:space="preserve">BFM </v>
      </c>
      <c r="E948" s="163" t="s">
        <v>406</v>
      </c>
      <c r="F948" s="2" t="s">
        <v>6</v>
      </c>
      <c r="G948" s="2" t="s">
        <v>14</v>
      </c>
      <c r="H948" s="3">
        <v>45395.625</v>
      </c>
      <c r="I948" s="2" t="s">
        <v>377</v>
      </c>
      <c r="J948" s="2" t="s">
        <v>262</v>
      </c>
      <c r="K948" s="2">
        <v>1.39</v>
      </c>
      <c r="L948" s="2">
        <v>9.8000000000000007</v>
      </c>
      <c r="M948" s="2">
        <v>3.1</v>
      </c>
      <c r="N948" s="2">
        <v>5.7</v>
      </c>
      <c r="O948" s="2">
        <v>2.67</v>
      </c>
      <c r="P948" s="2"/>
      <c r="Q948" s="1" t="s">
        <v>95</v>
      </c>
      <c r="R948" s="10" t="s">
        <v>221</v>
      </c>
      <c r="S948" s="10" t="s">
        <v>214</v>
      </c>
      <c r="T948" s="188">
        <v>1000</v>
      </c>
      <c r="U948" s="8">
        <f t="shared" si="113"/>
        <v>180</v>
      </c>
      <c r="V948" s="234">
        <f t="shared" si="118"/>
        <v>78064.155246160299</v>
      </c>
      <c r="W948" s="15">
        <v>25</v>
      </c>
      <c r="X948" s="8">
        <f t="shared" si="116"/>
        <v>4.5</v>
      </c>
      <c r="Y948" s="233">
        <f t="shared" si="117"/>
        <v>3817.5</v>
      </c>
    </row>
    <row r="949" spans="1:25">
      <c r="A949" s="156" t="e" cm="1">
        <f t="array" aca="1" ref="A949" ca="1">_xlfn.IFS(E949=$AB$42,$AC$42,E949=$AB$43,$AC$43,E949=$AB$44,$AC$44,E949=$AB$45,$AC$45,E949=$AB$46,$AC$46,E949=$AB$47,$AC$47,E949=$AB$48,$AC$48,E949=$AB$49,$AC$49,E949=$AB$50,$AC$50,E949=$AB$51,$AC$51,E949=$AB$52,$AC$52,E949=$AB$53,$AC$53,E949=$AB$54,$AC$54,E949=$AB$55,$AC$55,E949=$AB$56,$AC$56,E949=$AB$57,$AC$57,E949=$AB$58,$AC$58,E949=$AB$59,$AC$59,E949=$AB$60,$AC$60,E949=$AB$61,$AC$61,E949=$AB$62,$AC$62,E949=$AB$63,$AC$63,E949=$AB$64,$AC$64,E949=$AB$65,$AC$65,E949=$AB$66,$AC$66,TRUE,"0")</f>
        <v>#NAME?</v>
      </c>
      <c r="C949" s="161" t="str" cm="1">
        <f t="array" ref="C949">_xlfn.IFS(E949=$AB$42,$AF$42,E949=$AB$43,$AF$43,E949=$AB$44,$AF$44,E949=$AB$45,$AF$45,E949=$AB$46,$AF$46,E949=$AB$47,$AF$47,E949=$AB$48,$AF$48,E949=$AB$49,$AF$49,E949=$AB$50,$AF$50,E949=$AB$51,$AF$51,E949=$AB$52,$AF$52,E949=$AB$53,$AF$53,E949=$AB$54,$AF$54,E949=$AB$55,$AF$55,E949=$AB$56,$AF$56,E949=$AB$57,$AF$57,E949=$AB$58,$AF$58,E949=$AB$59,$AF$59,E949=$AB$60,$AF$60,E949=$AB$61,$AF$61,E949=$AB$62,$AF$62,E949=$AB$63,$AF$63,E949=$AB$64,$AF$64,E949=$AB$65,$AF$65,E949=$AB$66,$AF$66,TRUE,"0")</f>
        <v>B4 match BACK FT +1.5 goals. X AFTER  GOAL</v>
      </c>
      <c r="D949" s="270" t="str" cm="1">
        <f t="array" ref="D949">_xlfn.IFS(E949=$AB$42,$AD$42,E949=$AB$43,$AD$43,E949=$AB$44,$AD$44,E949=$AB$45,$AD$45,E949=$AB$46,$AD$46,E949=$AB$47,$AD$47,E949=$AB$48,$AD$48,E949=$AB$49,$AD$49,E949=$AB$50,$AD$50,E949=$AB$51,$AD$51,E949=$AB$52,$AD$52,E949=$AB$53,$AD$53,E949=$AB$54,$AD$54,E949=$AB$55,$AD$55,E949=$AB$56,$AD$56,E949=$AB$57,$AD$57,E949=$AB$58,$AD$58,E949=$AB$59,$AD$59,E949=$AB$60,$AD$60,E949=$AB$61,$AD$61,E949=$AB$62,$AD$62,E949=$AB$63,$AD$63,E949=$AB$64,$AD$64,E949=$AB$65,$AD$65,E949=$AB$66,$AD$66,TRUE,"0")</f>
        <v xml:space="preserve">BFM </v>
      </c>
      <c r="E949" s="163" t="s">
        <v>623</v>
      </c>
      <c r="F949" s="2" t="s">
        <v>6</v>
      </c>
      <c r="G949" s="2" t="s">
        <v>14</v>
      </c>
      <c r="H949" s="3">
        <v>45395.625</v>
      </c>
      <c r="I949" s="2" t="s">
        <v>377</v>
      </c>
      <c r="J949" s="2" t="s">
        <v>262</v>
      </c>
      <c r="K949" s="2">
        <v>5.7</v>
      </c>
      <c r="L949" s="2">
        <v>20</v>
      </c>
      <c r="M949" s="2">
        <v>3.1</v>
      </c>
      <c r="N949" s="2">
        <v>25</v>
      </c>
      <c r="O949" s="2">
        <v>1</v>
      </c>
      <c r="P949" s="2">
        <v>10</v>
      </c>
      <c r="Q949" s="1" t="s">
        <v>95</v>
      </c>
      <c r="R949" s="10" t="s">
        <v>221</v>
      </c>
      <c r="S949" s="10" t="s">
        <v>214</v>
      </c>
      <c r="T949" s="188">
        <v>1000</v>
      </c>
      <c r="U949" s="8">
        <f t="shared" si="113"/>
        <v>180</v>
      </c>
      <c r="V949" s="234">
        <f t="shared" si="118"/>
        <v>78244.155246160299</v>
      </c>
      <c r="W949" s="15">
        <v>25</v>
      </c>
      <c r="X949" s="8">
        <f t="shared" si="116"/>
        <v>4.5</v>
      </c>
      <c r="Y949" s="233">
        <f t="shared" si="117"/>
        <v>3822</v>
      </c>
    </row>
    <row r="950" spans="1:25">
      <c r="A950" s="156" t="e" cm="1">
        <f t="array" aca="1" ref="A950" ca="1">_xlfn.IFS(E950=$AB$42,$AC$42,E950=$AB$43,$AC$43,E950=$AB$44,$AC$44,E950=$AB$45,$AC$45,E950=$AB$46,$AC$46,E950=$AB$47,$AC$47,E950=$AB$48,$AC$48,E950=$AB$49,$AC$49,E950=$AB$50,$AC$50,E950=$AB$51,$AC$51,E950=$AB$52,$AC$52,E950=$AB$53,$AC$53,E950=$AB$54,$AC$54,E950=$AB$55,$AC$55,E950=$AB$56,$AC$56,E950=$AB$57,$AC$57,E950=$AB$58,$AC$58,E950=$AB$59,$AC$59,E950=$AB$60,$AC$60,E950=$AB$61,$AC$61,E950=$AB$62,$AC$62,E950=$AB$63,$AC$63,E950=$AB$64,$AC$64,E950=$AB$65,$AC$65,E950=$AB$66,$AC$66,TRUE,"0")</f>
        <v>#NAME?</v>
      </c>
      <c r="C950" s="161" t="str" cm="1">
        <f t="array" ref="C950">_xlfn.IFS(E950=$AB$42,$AF$42,E950=$AB$43,$AF$43,E950=$AB$44,$AF$44,E950=$AB$45,$AF$45,E950=$AB$46,$AF$46,E950=$AB$47,$AF$47,E950=$AB$48,$AF$48,E950=$AB$49,$AF$49,E950=$AB$50,$AF$50,E950=$AB$51,$AF$51,E950=$AB$52,$AF$52,E950=$AB$53,$AF$53,E950=$AB$54,$AF$54,E950=$AB$55,$AF$55,E950=$AB$56,$AF$56,E950=$AB$57,$AF$57,E950=$AB$58,$AF$58,E950=$AB$59,$AF$59,E950=$AB$60,$AF$60,E950=$AB$61,$AF$61,E950=$AB$62,$AF$62,E950=$AB$63,$AF$63,E950=$AB$64,$AF$64,E950=$AB$65,$AF$65,E950=$AB$66,$AF$66,TRUE,"0")</f>
        <v>B4 Match, lay HT 0-0 or BACK H1 +0.5 GOALS</v>
      </c>
      <c r="D950" s="270" t="str" cm="1">
        <f t="array" ref="D950">_xlfn.IFS(E950=$AB$42,$AD$42,E950=$AB$43,$AD$43,E950=$AB$44,$AD$44,E950=$AB$45,$AD$45,E950=$AB$46,$AD$46,E950=$AB$47,$AD$47,E950=$AB$48,$AD$48,E950=$AB$49,$AD$49,E950=$AB$50,$AD$50,E950=$AB$51,$AD$51,E950=$AB$52,$AD$52,E950=$AB$53,$AD$53,E950=$AB$54,$AD$54,E950=$AB$55,$AD$55,E950=$AB$56,$AD$56,E950=$AB$57,$AD$57,E950=$AB$58,$AD$58,E950=$AB$59,$AD$59,E950=$AB$60,$AD$60,E950=$AB$61,$AD$61,E950=$AB$62,$AD$62,E950=$AB$63,$AD$63,E950=$AB$64,$AD$64,E950=$AB$65,$AD$65,E950=$AB$66,$AD$66,TRUE,"0")</f>
        <v xml:space="preserve">BFM </v>
      </c>
      <c r="E950" s="163" t="s">
        <v>448</v>
      </c>
      <c r="F950" s="2" t="s">
        <v>6</v>
      </c>
      <c r="G950" s="2" t="s">
        <v>7</v>
      </c>
      <c r="H950" s="3">
        <v>45395.625</v>
      </c>
      <c r="I950" s="2" t="s">
        <v>114</v>
      </c>
      <c r="J950" s="2" t="s">
        <v>8</v>
      </c>
      <c r="K950" s="2">
        <v>20</v>
      </c>
      <c r="L950" s="2">
        <v>10</v>
      </c>
      <c r="M950" s="2">
        <v>32</v>
      </c>
      <c r="N950" s="2">
        <v>7</v>
      </c>
      <c r="O950" s="2">
        <v>11</v>
      </c>
      <c r="P950" s="2">
        <v>6</v>
      </c>
      <c r="Q950" s="1" t="s">
        <v>95</v>
      </c>
      <c r="R950" s="10" t="s">
        <v>217</v>
      </c>
      <c r="S950" s="10" t="s">
        <v>211</v>
      </c>
      <c r="T950" s="188">
        <v>1000</v>
      </c>
      <c r="U950" s="8">
        <f t="shared" si="113"/>
        <v>180</v>
      </c>
      <c r="V950" s="234">
        <f t="shared" si="118"/>
        <v>78424.155246160299</v>
      </c>
      <c r="W950" s="15">
        <v>25</v>
      </c>
      <c r="X950" s="8">
        <f t="shared" si="116"/>
        <v>4.5</v>
      </c>
      <c r="Y950" s="233">
        <f t="shared" si="117"/>
        <v>3826.5</v>
      </c>
    </row>
    <row r="951" spans="1:25">
      <c r="A951" s="156" t="e" cm="1">
        <f t="array" aca="1" ref="A951" ca="1">_xlfn.IFS(E951=$AB$42,$AC$42,E951=$AB$43,$AC$43,E951=$AB$44,$AC$44,E951=$AB$45,$AC$45,E951=$AB$46,$AC$46,E951=$AB$47,$AC$47,E951=$AB$48,$AC$48,E951=$AB$49,$AC$49,E951=$AB$50,$AC$50,E951=$AB$51,$AC$51,E951=$AB$52,$AC$52,E951=$AB$53,$AC$53,E951=$AB$54,$AC$54,E951=$AB$55,$AC$55,E951=$AB$56,$AC$56,E951=$AB$57,$AC$57,E951=$AB$58,$AC$58,E951=$AB$59,$AC$59,E951=$AB$60,$AC$60,E951=$AB$61,$AC$61,E951=$AB$62,$AC$62,E951=$AB$63,$AC$63,E951=$AB$64,$AC$64,E951=$AB$65,$AC$65,E951=$AB$66,$AC$66,TRUE,"0")</f>
        <v>#NAME?</v>
      </c>
      <c r="C951" s="161" t="str" cm="1">
        <f t="array" ref="C951">_xlfn.IFS(E951=$AB$42,$AF$42,E951=$AB$43,$AF$43,E951=$AB$44,$AF$44,E951=$AB$45,$AF$45,E951=$AB$46,$AF$46,E951=$AB$47,$AF$47,E951=$AB$48,$AF$48,E951=$AB$49,$AF$49,E951=$AB$50,$AF$50,E951=$AB$51,$AF$51,E951=$AB$52,$AF$52,E951=$AB$53,$AF$53,E951=$AB$54,$AF$54,E951=$AB$55,$AF$55,E951=$AB$56,$AF$56,E951=$AB$57,$AF$57,E951=$AB$58,$AF$58,E951=$AB$59,$AF$59,E951=$AB$60,$AF$60,E951=$AB$61,$AF$61,E951=$AB$62,$AF$62,E951=$AB$63,$AF$63,E951=$AB$64,$AF$64,E951=$AB$65,$AF$65,E951=$AB$66,$AF$66,TRUE,"0")</f>
        <v>if 0-0, BACK+ 0.5 GOALS  @ 1.15+odds.  or @ 40 mins</v>
      </c>
      <c r="D951" s="270" t="str" cm="1">
        <f t="array" ref="D951">_xlfn.IFS(E951=$AB$42,$AD$42,E951=$AB$43,$AD$43,E951=$AB$44,$AD$44,E951=$AB$45,$AD$45,E951=$AB$46,$AD$46,E951=$AB$47,$AD$47,E951=$AB$48,$AD$48,E951=$AB$49,$AD$49,E951=$AB$50,$AD$50,E951=$AB$51,$AD$51,E951=$AB$52,$AD$52,E951=$AB$53,$AD$53,E951=$AB$54,$AD$54,E951=$AB$55,$AD$55,E951=$AB$56,$AD$56,E951=$AB$57,$AD$57,E951=$AB$58,$AD$58,E951=$AB$59,$AD$59,E951=$AB$60,$AD$60,E951=$AB$61,$AD$61,E951=$AB$62,$AD$62,E951=$AB$63,$AD$63,E951=$AB$64,$AD$64,E951=$AB$65,$AD$65,E951=$AB$66,$AD$66,TRUE,"0")</f>
        <v>IP</v>
      </c>
      <c r="E951" s="163" t="s">
        <v>270</v>
      </c>
      <c r="F951" s="2" t="s">
        <v>58</v>
      </c>
      <c r="G951" s="2" t="s">
        <v>289</v>
      </c>
      <c r="H951" s="3">
        <v>45395.645833333336</v>
      </c>
      <c r="I951" s="2" t="s">
        <v>716</v>
      </c>
      <c r="J951" s="2" t="s">
        <v>452</v>
      </c>
      <c r="K951" s="2">
        <v>60</v>
      </c>
      <c r="L951" s="2">
        <v>0</v>
      </c>
      <c r="M951" s="2">
        <v>20</v>
      </c>
      <c r="N951" s="2">
        <v>34</v>
      </c>
      <c r="O951" s="2">
        <v>0</v>
      </c>
      <c r="P951" s="2"/>
      <c r="Q951" s="1" t="s">
        <v>95</v>
      </c>
      <c r="R951" s="10" t="s">
        <v>221</v>
      </c>
      <c r="S951" s="10" t="s">
        <v>193</v>
      </c>
      <c r="T951" s="188">
        <v>1000</v>
      </c>
      <c r="U951" s="8">
        <f t="shared" si="113"/>
        <v>180</v>
      </c>
      <c r="V951" s="234">
        <f t="shared" si="118"/>
        <v>78604.155246160299</v>
      </c>
      <c r="W951" s="15">
        <v>25</v>
      </c>
      <c r="X951" s="8">
        <f t="shared" si="116"/>
        <v>4.5</v>
      </c>
      <c r="Y951" s="233">
        <f t="shared" si="117"/>
        <v>3831</v>
      </c>
    </row>
    <row r="952" spans="1:25">
      <c r="A952" s="156" t="e" cm="1">
        <f t="array" aca="1" ref="A952" ca="1">_xlfn.IFS(E952=$AB$42,$AC$42,E952=$AB$43,$AC$43,E952=$AB$44,$AC$44,E952=$AB$45,$AC$45,E952=$AB$46,$AC$46,E952=$AB$47,$AC$47,E952=$AB$48,$AC$48,E952=$AB$49,$AC$49,E952=$AB$50,$AC$50,E952=$AB$51,$AC$51,E952=$AB$52,$AC$52,E952=$AB$53,$AC$53,E952=$AB$54,$AC$54,E952=$AB$55,$AC$55,E952=$AB$56,$AC$56,E952=$AB$57,$AC$57,E952=$AB$58,$AC$58,E952=$AB$59,$AC$59,E952=$AB$60,$AC$60,E952=$AB$61,$AC$61,E952=$AB$62,$AC$62,E952=$AB$63,$AC$63,E952=$AB$64,$AC$64,E952=$AB$65,$AC$65,E952=$AB$66,$AC$66,TRUE,"0")</f>
        <v>#NAME?</v>
      </c>
      <c r="C952" s="161" t="str" cm="1">
        <f t="array" ref="C952">_xlfn.IFS(E952=$AB$42,$AF$42,E952=$AB$43,$AF$43,E952=$AB$44,$AF$44,E952=$AB$45,$AF$45,E952=$AB$46,$AF$46,E952=$AB$47,$AF$47,E952=$AB$48,$AF$48,E952=$AB$49,$AF$49,E952=$AB$50,$AF$50,E952=$AB$51,$AF$51,E952=$AB$52,$AF$52,E952=$AB$53,$AF$53,E952=$AB$54,$AF$54,E952=$AB$55,$AF$55,E952=$AB$56,$AF$56,E952=$AB$57,$AF$57,E952=$AB$58,$AF$58,E952=$AB$59,$AF$59,E952=$AB$60,$AF$60,E952=$AB$61,$AF$61,E952=$AB$62,$AF$62,E952=$AB$63,$AF$63,E952=$AB$64,$AF$64,E952=$AB$65,$AF$65,E952=$AB$66,$AF$66,TRUE,"0")</f>
        <v>40 mins Back ANother Goal</v>
      </c>
      <c r="D952" s="270" t="str" cm="1">
        <f t="array" ref="D952">_xlfn.IFS(E952=$AB$42,$AD$42,E952=$AB$43,$AD$43,E952=$AB$44,$AD$44,E952=$AB$45,$AD$45,E952=$AB$46,$AD$46,E952=$AB$47,$AD$47,E952=$AB$48,$AD$48,E952=$AB$49,$AD$49,E952=$AB$50,$AD$50,E952=$AB$51,$AD$51,E952=$AB$52,$AD$52,E952=$AB$53,$AD$53,E952=$AB$54,$AD$54,E952=$AB$55,$AD$55,E952=$AB$56,$AD$56,E952=$AB$57,$AD$57,E952=$AB$58,$AD$58,E952=$AB$59,$AD$59,E952=$AB$60,$AD$60,E952=$AB$61,$AD$61,E952=$AB$62,$AD$62,E952=$AB$63,$AD$63,E952=$AB$64,$AD$64,E952=$AB$65,$AD$65,E952=$AB$66,$AD$66,TRUE,"0")</f>
        <v xml:space="preserve">  BANG</v>
      </c>
      <c r="E952" s="163" t="s">
        <v>726</v>
      </c>
      <c r="F952" s="2" t="s">
        <v>149</v>
      </c>
      <c r="G952" s="2" t="s">
        <v>153</v>
      </c>
      <c r="H952" s="3">
        <v>45395.645833333336</v>
      </c>
      <c r="I952" s="2" t="s">
        <v>188</v>
      </c>
      <c r="J952" s="2" t="s">
        <v>281</v>
      </c>
      <c r="K952" s="2">
        <v>95</v>
      </c>
      <c r="L952" s="2">
        <v>20</v>
      </c>
      <c r="M952" s="2">
        <v>2.2999999999999998</v>
      </c>
      <c r="N952" s="2">
        <v>60</v>
      </c>
      <c r="O952" s="2"/>
      <c r="P952" s="2"/>
      <c r="Q952" s="1" t="s">
        <v>95</v>
      </c>
      <c r="R952" s="10" t="s">
        <v>207</v>
      </c>
      <c r="S952" s="10" t="s">
        <v>471</v>
      </c>
      <c r="T952" s="188">
        <v>1000</v>
      </c>
      <c r="U952" s="8">
        <f t="shared" si="113"/>
        <v>180</v>
      </c>
      <c r="V952" s="234">
        <f t="shared" si="118"/>
        <v>78784.155246160299</v>
      </c>
      <c r="W952" s="15">
        <v>25</v>
      </c>
      <c r="X952" s="8">
        <f t="shared" si="116"/>
        <v>4.5</v>
      </c>
      <c r="Y952" s="233">
        <f t="shared" si="117"/>
        <v>3835.5</v>
      </c>
    </row>
    <row r="953" spans="1:25">
      <c r="A953" s="156" t="e" cm="1">
        <f t="array" aca="1" ref="A953" ca="1">_xlfn.IFS(E953=$AB$42,$AC$42,E953=$AB$43,$AC$43,E953=$AB$44,$AC$44,E953=$AB$45,$AC$45,E953=$AB$46,$AC$46,E953=$AB$47,$AC$47,E953=$AB$48,$AC$48,E953=$AB$49,$AC$49,E953=$AB$50,$AC$50,E953=$AB$51,$AC$51,E953=$AB$52,$AC$52,E953=$AB$53,$AC$53,E953=$AB$54,$AC$54,E953=$AB$55,$AC$55,E953=$AB$56,$AC$56,E953=$AB$57,$AC$57,E953=$AB$58,$AC$58,E953=$AB$59,$AC$59,E953=$AB$60,$AC$60,E953=$AB$61,$AC$61,E953=$AB$62,$AC$62,E953=$AB$63,$AC$63,E953=$AB$64,$AC$64,E953=$AB$65,$AC$65,E953=$AB$66,$AC$66,TRUE,"0")</f>
        <v>#NAME?</v>
      </c>
      <c r="C953" s="161" t="str" cm="1">
        <f t="array" ref="C953">_xlfn.IFS(E953=$AB$42,$AF$42,E953=$AB$43,$AF$43,E953=$AB$44,$AF$44,E953=$AB$45,$AF$45,E953=$AB$46,$AF$46,E953=$AB$47,$AF$47,E953=$AB$48,$AF$48,E953=$AB$49,$AF$49,E953=$AB$50,$AF$50,E953=$AB$51,$AF$51,E953=$AB$52,$AF$52,E953=$AB$53,$AF$53,E953=$AB$54,$AF$54,E953=$AB$55,$AF$55,E953=$AB$56,$AF$56,E953=$AB$57,$AF$57,E953=$AB$58,$AF$58,E953=$AB$59,$AF$59,E953=$AB$60,$AF$60,E953=$AB$61,$AF$61,E953=$AB$62,$AF$62,E953=$AB$63,$AF$63,E953=$AB$64,$AF$64,E953=$AB$65,$AF$65,E953=$AB$66,$AF$66,TRUE,"0")</f>
        <v>10mins if  0-0, BACK over 1.5 goals X after goal OR LET RUN</v>
      </c>
      <c r="D953" s="270" t="str" cm="1">
        <f t="array" ref="D953">_xlfn.IFS(E953=$AB$42,$AD$42,E953=$AB$43,$AD$43,E953=$AB$44,$AD$44,E953=$AB$45,$AD$45,E953=$AB$46,$AD$46,E953=$AB$47,$AD$47,E953=$AB$48,$AD$48,E953=$AB$49,$AD$49,E953=$AB$50,$AD$50,E953=$AB$51,$AD$51,E953=$AB$52,$AD$52,E953=$AB$53,$AD$53,E953=$AB$54,$AD$54,E953=$AB$55,$AD$55,E953=$AB$56,$AD$56,E953=$AB$57,$AD$57,E953=$AB$58,$AD$58,E953=$AB$59,$AD$59,E953=$AB$60,$AD$60,E953=$AB$61,$AD$61,E953=$AB$62,$AD$62,E953=$AB$63,$AD$63,E953=$AB$64,$AD$64,E953=$AB$65,$AD$65,E953=$AB$66,$AD$66,TRUE,"0")</f>
        <v>IP</v>
      </c>
      <c r="E953" s="163" t="s">
        <v>498</v>
      </c>
      <c r="F953" s="2" t="s">
        <v>133</v>
      </c>
      <c r="G953" s="2" t="s">
        <v>78</v>
      </c>
      <c r="H953" s="3">
        <v>45395.645833333336</v>
      </c>
      <c r="I953" s="2" t="s">
        <v>134</v>
      </c>
      <c r="J953" s="2" t="s">
        <v>135</v>
      </c>
      <c r="K953" s="2">
        <v>63</v>
      </c>
      <c r="L953" s="2">
        <v>80</v>
      </c>
      <c r="M953" s="2">
        <v>1.4</v>
      </c>
      <c r="N953" s="2">
        <v>20</v>
      </c>
      <c r="O953" s="2"/>
      <c r="P953" s="2"/>
      <c r="Q953" s="2" t="s">
        <v>95</v>
      </c>
      <c r="R953" s="10" t="s">
        <v>216</v>
      </c>
      <c r="S953" s="10" t="s">
        <v>210</v>
      </c>
      <c r="T953" s="188">
        <v>1000</v>
      </c>
      <c r="U953" s="8">
        <f t="shared" si="113"/>
        <v>180</v>
      </c>
      <c r="V953" s="234">
        <f t="shared" ref="V953:V982" si="119">SUM(V952,U953)</f>
        <v>78964.155246160299</v>
      </c>
      <c r="W953" s="15">
        <v>25</v>
      </c>
      <c r="X953" s="8">
        <f t="shared" si="116"/>
        <v>4.5</v>
      </c>
      <c r="Y953" s="233">
        <f t="shared" si="117"/>
        <v>3840</v>
      </c>
    </row>
    <row r="954" spans="1:25">
      <c r="A954" s="156" t="e" cm="1">
        <f t="array" aca="1" ref="A954" ca="1">_xlfn.IFS(E954=$AB$42,$AC$42,E954=$AB$43,$AC$43,E954=$AB$44,$AC$44,E954=$AB$45,$AC$45,E954=$AB$46,$AC$46,E954=$AB$47,$AC$47,E954=$AB$48,$AC$48,E954=$AB$49,$AC$49,E954=$AB$50,$AC$50,E954=$AB$51,$AC$51,E954=$AB$52,$AC$52,E954=$AB$53,$AC$53,E954=$AB$54,$AC$54,E954=$AB$55,$AC$55,E954=$AB$56,$AC$56,E954=$AB$57,$AC$57,E954=$AB$58,$AC$58,E954=$AB$59,$AC$59,E954=$AB$60,$AC$60,E954=$AB$61,$AC$61,E954=$AB$62,$AC$62,E954=$AB$63,$AC$63,E954=$AB$64,$AC$64,E954=$AB$65,$AC$65,E954=$AB$66,$AC$66,TRUE,"0")</f>
        <v>#NAME?</v>
      </c>
      <c r="C954" s="161" t="str" cm="1">
        <f t="array" ref="C954">_xlfn.IFS(E954=$AB$42,$AF$42,E954=$AB$43,$AF$43,E954=$AB$44,$AF$44,E954=$AB$45,$AF$45,E954=$AB$46,$AF$46,E954=$AB$47,$AF$47,E954=$AB$48,$AF$48,E954=$AB$49,$AF$49,E954=$AB$50,$AF$50,E954=$AB$51,$AF$51,E954=$AB$52,$AF$52,E954=$AB$53,$AF$53,E954=$AB$54,$AF$54,E954=$AB$55,$AF$55,E954=$AB$56,$AF$56,E954=$AB$57,$AF$57,E954=$AB$58,$AF$58,E954=$AB$59,$AF$59,E954=$AB$60,$AF$60,E954=$AB$61,$AF$61,E954=$AB$62,$AF$62,E954=$AB$63,$AF$63,E954=$AB$64,$AF$64,E954=$AB$65,$AF$65,E954=$AB$66,$AF$66,TRUE,"0")</f>
        <v>if 0-0, BACK+ 0.5 GOALS  @ 1.15+odds.  or @ 40 mins</v>
      </c>
      <c r="D954" s="270" t="str" cm="1">
        <f t="array" ref="D954">_xlfn.IFS(E954=$AB$42,$AD$42,E954=$AB$43,$AD$43,E954=$AB$44,$AD$44,E954=$AB$45,$AD$45,E954=$AB$46,$AD$46,E954=$AB$47,$AD$47,E954=$AB$48,$AD$48,E954=$AB$49,$AD$49,E954=$AB$50,$AD$50,E954=$AB$51,$AD$51,E954=$AB$52,$AD$52,E954=$AB$53,$AD$53,E954=$AB$54,$AD$54,E954=$AB$55,$AD$55,E954=$AB$56,$AD$56,E954=$AB$57,$AD$57,E954=$AB$58,$AD$58,E954=$AB$59,$AD$59,E954=$AB$60,$AD$60,E954=$AB$61,$AD$61,E954=$AB$62,$AD$62,E954=$AB$63,$AD$63,E954=$AB$64,$AD$64,E954=$AB$65,$AD$65,E954=$AB$66,$AD$66,TRUE,"0")</f>
        <v>IP</v>
      </c>
      <c r="E954" s="163" t="s">
        <v>270</v>
      </c>
      <c r="F954" s="2" t="s">
        <v>296</v>
      </c>
      <c r="G954" s="2" t="s">
        <v>78</v>
      </c>
      <c r="H954" s="3">
        <v>45395.708333333336</v>
      </c>
      <c r="I954" s="2" t="s">
        <v>391</v>
      </c>
      <c r="J954" s="2" t="s">
        <v>368</v>
      </c>
      <c r="K954" s="2">
        <v>67</v>
      </c>
      <c r="L954" s="2">
        <v>0</v>
      </c>
      <c r="M954" s="2">
        <v>20</v>
      </c>
      <c r="N954" s="2">
        <v>40</v>
      </c>
      <c r="O954" s="2">
        <v>2.2999999999999998</v>
      </c>
      <c r="P954" s="2"/>
      <c r="Q954" s="2" t="s">
        <v>95</v>
      </c>
      <c r="R954" s="10" t="s">
        <v>193</v>
      </c>
      <c r="S954" s="10" t="s">
        <v>193</v>
      </c>
      <c r="T954" s="188">
        <v>1000</v>
      </c>
      <c r="U954" s="8">
        <f t="shared" si="113"/>
        <v>180</v>
      </c>
      <c r="V954" s="234">
        <f t="shared" si="119"/>
        <v>79144.155246160299</v>
      </c>
      <c r="W954" s="15">
        <v>25</v>
      </c>
      <c r="X954" s="8">
        <f t="shared" si="116"/>
        <v>4.5</v>
      </c>
      <c r="Y954" s="233">
        <f t="shared" si="117"/>
        <v>3844.5</v>
      </c>
    </row>
    <row r="955" spans="1:25">
      <c r="A955" s="156" t="e" cm="1">
        <f t="array" aca="1" ref="A955" ca="1">_xlfn.IFS(E955=$AB$42,$AC$42,E955=$AB$43,$AC$43,E955=$AB$44,$AC$44,E955=$AB$45,$AC$45,E955=$AB$46,$AC$46,E955=$AB$47,$AC$47,E955=$AB$48,$AC$48,E955=$AB$49,$AC$49,E955=$AB$50,$AC$50,E955=$AB$51,$AC$51,E955=$AB$52,$AC$52,E955=$AB$53,$AC$53,E955=$AB$54,$AC$54,E955=$AB$55,$AC$55,E955=$AB$56,$AC$56,E955=$AB$57,$AC$57,E955=$AB$58,$AC$58,E955=$AB$59,$AC$59,E955=$AB$60,$AC$60,E955=$AB$61,$AC$61,E955=$AB$62,$AC$62,E955=$AB$63,$AC$63,E955=$AB$64,$AC$64,E955=$AB$65,$AC$65,E955=$AB$66,$AC$66,TRUE,"0")</f>
        <v>#NAME?</v>
      </c>
      <c r="C955" s="161" t="str" cm="1">
        <f t="array" ref="C955">_xlfn.IFS(E955=$AB$42,$AF$42,E955=$AB$43,$AF$43,E955=$AB$44,$AF$44,E955=$AB$45,$AF$45,E955=$AB$46,$AF$46,E955=$AB$47,$AF$47,E955=$AB$48,$AF$48,E955=$AB$49,$AF$49,E955=$AB$50,$AF$50,E955=$AB$51,$AF$51,E955=$AB$52,$AF$52,E955=$AB$53,$AF$53,E955=$AB$54,$AF$54,E955=$AB$55,$AF$55,E955=$AB$56,$AF$56,E955=$AB$57,$AF$57,E955=$AB$58,$AF$58,E955=$AB$59,$AF$59,E955=$AB$60,$AF$60,E955=$AB$61,$AF$61,E955=$AB$62,$AF$62,E955=$AB$63,$AF$63,E955=$AB$64,$AF$64,E955=$AB$65,$AF$65,E955=$AB$66,$AF$66,TRUE,"0")</f>
        <v>40 mins Back ANother Goal</v>
      </c>
      <c r="D955" s="270" t="str" cm="1">
        <f t="array" ref="D955">_xlfn.IFS(E955=$AB$42,$AD$42,E955=$AB$43,$AD$43,E955=$AB$44,$AD$44,E955=$AB$45,$AD$45,E955=$AB$46,$AD$46,E955=$AB$47,$AD$47,E955=$AB$48,$AD$48,E955=$AB$49,$AD$49,E955=$AB$50,$AD$50,E955=$AB$51,$AD$51,E955=$AB$52,$AD$52,E955=$AB$53,$AD$53,E955=$AB$54,$AD$54,E955=$AB$55,$AD$55,E955=$AB$56,$AD$56,E955=$AB$57,$AD$57,E955=$AB$58,$AD$58,E955=$AB$59,$AD$59,E955=$AB$60,$AD$60,E955=$AB$61,$AD$61,E955=$AB$62,$AD$62,E955=$AB$63,$AD$63,E955=$AB$64,$AD$64,E955=$AB$65,$AD$65,E955=$AB$66,$AD$66,TRUE,"0")</f>
        <v xml:space="preserve">  BANG</v>
      </c>
      <c r="E955" s="163" t="s">
        <v>726</v>
      </c>
      <c r="F955" s="2" t="s">
        <v>296</v>
      </c>
      <c r="G955" s="2" t="s">
        <v>525</v>
      </c>
      <c r="H955" s="3">
        <v>45395.708333333336</v>
      </c>
      <c r="I955" s="2" t="s">
        <v>731</v>
      </c>
      <c r="J955" s="2" t="s">
        <v>685</v>
      </c>
      <c r="K955" s="2">
        <v>80</v>
      </c>
      <c r="L955" s="2">
        <v>20</v>
      </c>
      <c r="M955" s="2">
        <v>1.9</v>
      </c>
      <c r="N955" s="2">
        <v>61</v>
      </c>
      <c r="O955" s="2"/>
      <c r="P955" s="2"/>
      <c r="Q955" s="2" t="s">
        <v>95</v>
      </c>
      <c r="R955" s="10" t="s">
        <v>221</v>
      </c>
      <c r="S955" s="10" t="s">
        <v>214</v>
      </c>
      <c r="T955" s="188">
        <v>1000</v>
      </c>
      <c r="U955" s="8">
        <f t="shared" si="113"/>
        <v>180</v>
      </c>
      <c r="V955" s="234">
        <f t="shared" si="119"/>
        <v>79324.155246160299</v>
      </c>
      <c r="W955" s="15">
        <v>25</v>
      </c>
      <c r="X955" s="8">
        <f t="shared" si="116"/>
        <v>4.5</v>
      </c>
      <c r="Y955" s="233">
        <f t="shared" si="117"/>
        <v>3849</v>
      </c>
    </row>
    <row r="956" spans="1:25">
      <c r="A956" s="156" t="e" cm="1">
        <f t="array" aca="1" ref="A956" ca="1">_xlfn.IFS(E956=$AB$42,$AC$42,E956=$AB$43,$AC$43,E956=$AB$44,$AC$44,E956=$AB$45,$AC$45,E956=$AB$46,$AC$46,E956=$AB$47,$AC$47,E956=$AB$48,$AC$48,E956=$AB$49,$AC$49,E956=$AB$50,$AC$50,E956=$AB$51,$AC$51,E956=$AB$52,$AC$52,E956=$AB$53,$AC$53,E956=$AB$54,$AC$54,E956=$AB$55,$AC$55,E956=$AB$56,$AC$56,E956=$AB$57,$AC$57,E956=$AB$58,$AC$58,E956=$AB$59,$AC$59,E956=$AB$60,$AC$60,E956=$AB$61,$AC$61,E956=$AB$62,$AC$62,E956=$AB$63,$AC$63,E956=$AB$64,$AC$64,E956=$AB$65,$AC$65,E956=$AB$66,$AC$66,TRUE,"0")</f>
        <v>#NAME?</v>
      </c>
      <c r="C956" s="161" t="str" cm="1">
        <f t="array" ref="C956">_xlfn.IFS(E956=$AB$42,$AF$42,E956=$AB$43,$AF$43,E956=$AB$44,$AF$44,E956=$AB$45,$AF$45,E956=$AB$46,$AF$46,E956=$AB$47,$AF$47,E956=$AB$48,$AF$48,E956=$AB$49,$AF$49,E956=$AB$50,$AF$50,E956=$AB$51,$AF$51,E956=$AB$52,$AF$52,E956=$AB$53,$AF$53,E956=$AB$54,$AF$54,E956=$AB$55,$AF$55,E956=$AB$56,$AF$56,E956=$AB$57,$AF$57,E956=$AB$58,$AF$58,E956=$AB$59,$AF$59,E956=$AB$60,$AF$60,E956=$AB$61,$AF$61,E956=$AB$62,$AF$62,E956=$AB$63,$AF$63,E956=$AB$64,$AF$64,E956=$AB$65,$AF$65,E956=$AB$66,$AF$66,TRUE,"0")</f>
        <v>40 mins Back ANother Goal</v>
      </c>
      <c r="D956" s="270" t="str" cm="1">
        <f t="array" ref="D956">_xlfn.IFS(E956=$AB$42,$AD$42,E956=$AB$43,$AD$43,E956=$AB$44,$AD$44,E956=$AB$45,$AD$45,E956=$AB$46,$AD$46,E956=$AB$47,$AD$47,E956=$AB$48,$AD$48,E956=$AB$49,$AD$49,E956=$AB$50,$AD$50,E956=$AB$51,$AD$51,E956=$AB$52,$AD$52,E956=$AB$53,$AD$53,E956=$AB$54,$AD$54,E956=$AB$55,$AD$55,E956=$AB$56,$AD$56,E956=$AB$57,$AD$57,E956=$AB$58,$AD$58,E956=$AB$59,$AD$59,E956=$AB$60,$AD$60,E956=$AB$61,$AD$61,E956=$AB$62,$AD$62,E956=$AB$63,$AD$63,E956=$AB$64,$AD$64,E956=$AB$65,$AD$65,E956=$AB$66,$AD$66,TRUE,"0")</f>
        <v xml:space="preserve">  BANG</v>
      </c>
      <c r="E956" s="163" t="s">
        <v>726</v>
      </c>
      <c r="F956" s="2" t="s">
        <v>6</v>
      </c>
      <c r="G956" s="2" t="s">
        <v>62</v>
      </c>
      <c r="H956" s="3">
        <v>45395.729166666664</v>
      </c>
      <c r="I956" s="2" t="s">
        <v>117</v>
      </c>
      <c r="J956" s="2" t="s">
        <v>383</v>
      </c>
      <c r="K956" s="2">
        <v>80</v>
      </c>
      <c r="L956" s="2">
        <v>20</v>
      </c>
      <c r="M956" s="2">
        <v>2.0499999999999998</v>
      </c>
      <c r="N956" s="2">
        <v>58</v>
      </c>
      <c r="O956" s="2"/>
      <c r="P956" s="2"/>
      <c r="Q956" s="2" t="s">
        <v>95</v>
      </c>
      <c r="R956" s="10" t="s">
        <v>222</v>
      </c>
      <c r="S956" s="10" t="s">
        <v>210</v>
      </c>
      <c r="T956" s="188">
        <v>1000</v>
      </c>
      <c r="U956" s="8">
        <f t="shared" si="113"/>
        <v>180</v>
      </c>
      <c r="V956" s="234">
        <f t="shared" si="119"/>
        <v>79504.155246160299</v>
      </c>
      <c r="W956" s="15">
        <v>25</v>
      </c>
      <c r="X956" s="8">
        <f t="shared" si="116"/>
        <v>4.5</v>
      </c>
      <c r="Y956" s="233">
        <f t="shared" si="117"/>
        <v>3853.5</v>
      </c>
    </row>
    <row r="957" spans="1:25">
      <c r="A957" s="156" t="e" cm="1">
        <f t="array" aca="1" ref="A957" ca="1">_xlfn.IFS(E957=$AB$42,$AC$42,E957=$AB$43,$AC$43,E957=$AB$44,$AC$44,E957=$AB$45,$AC$45,E957=$AB$46,$AC$46,E957=$AB$47,$AC$47,E957=$AB$48,$AC$48,E957=$AB$49,$AC$49,E957=$AB$50,$AC$50,E957=$AB$51,$AC$51,E957=$AB$52,$AC$52,E957=$AB$53,$AC$53,E957=$AB$54,$AC$54,E957=$AB$55,$AC$55,E957=$AB$56,$AC$56,E957=$AB$57,$AC$57,E957=$AB$58,$AC$58,E957=$AB$59,$AC$59,E957=$AB$60,$AC$60,E957=$AB$61,$AC$61,E957=$AB$62,$AC$62,E957=$AB$63,$AC$63,E957=$AB$64,$AC$64,E957=$AB$65,$AC$65,E957=$AB$66,$AC$66,TRUE,"0")</f>
        <v>#NAME?</v>
      </c>
      <c r="C957" s="161" t="str" cm="1">
        <f t="array" ref="C957">_xlfn.IFS(E957=$AB$42,$AF$42,E957=$AB$43,$AF$43,E957=$AB$44,$AF$44,E957=$AB$45,$AF$45,E957=$AB$46,$AF$46,E957=$AB$47,$AF$47,E957=$AB$48,$AF$48,E957=$AB$49,$AF$49,E957=$AB$50,$AF$50,E957=$AB$51,$AF$51,E957=$AB$52,$AF$52,E957=$AB$53,$AF$53,E957=$AB$54,$AF$54,E957=$AB$55,$AF$55,E957=$AB$56,$AF$56,E957=$AB$57,$AF$57,E957=$AB$58,$AF$58,E957=$AB$59,$AF$59,E957=$AB$60,$AF$60,E957=$AB$61,$AF$61,E957=$AB$62,$AF$62,E957=$AB$63,$AF$63,E957=$AB$64,$AF$64,E957=$AB$65,$AF$65,E957=$AB$66,$AF$66,TRUE,"0")</f>
        <v>B4 match BACK FT +1.5 goals. X AFTER  GOAL</v>
      </c>
      <c r="D957" s="270" t="str" cm="1">
        <f t="array" ref="D957">_xlfn.IFS(E957=$AB$42,$AD$42,E957=$AB$43,$AD$43,E957=$AB$44,$AD$44,E957=$AB$45,$AD$45,E957=$AB$46,$AD$46,E957=$AB$47,$AD$47,E957=$AB$48,$AD$48,E957=$AB$49,$AD$49,E957=$AB$50,$AD$50,E957=$AB$51,$AD$51,E957=$AB$52,$AD$52,E957=$AB$53,$AD$53,E957=$AB$54,$AD$54,E957=$AB$55,$AD$55,E957=$AB$56,$AD$56,E957=$AB$57,$AD$57,E957=$AB$58,$AD$58,E957=$AB$59,$AD$59,E957=$AB$60,$AD$60,E957=$AB$61,$AD$61,E957=$AB$62,$AD$62,E957=$AB$63,$AD$63,E957=$AB$64,$AD$64,E957=$AB$65,$AD$65,E957=$AB$66,$AD$66,TRUE,"0")</f>
        <v xml:space="preserve">BFM </v>
      </c>
      <c r="E957" s="163" t="s">
        <v>623</v>
      </c>
      <c r="F957" s="2" t="s">
        <v>77</v>
      </c>
      <c r="G957" s="2" t="s">
        <v>156</v>
      </c>
      <c r="H957" s="3">
        <v>45395.729166666664</v>
      </c>
      <c r="I957" s="2" t="s">
        <v>168</v>
      </c>
      <c r="J957" s="2" t="s">
        <v>182</v>
      </c>
      <c r="K957" s="2">
        <v>5.6</v>
      </c>
      <c r="L957" s="2">
        <v>20</v>
      </c>
      <c r="M957" s="2">
        <v>3.45</v>
      </c>
      <c r="N957" s="2">
        <v>29</v>
      </c>
      <c r="O957" s="2">
        <v>1</v>
      </c>
      <c r="P957" s="2">
        <v>10</v>
      </c>
      <c r="Q957" s="2" t="s">
        <v>95</v>
      </c>
      <c r="R957" s="10" t="s">
        <v>207</v>
      </c>
      <c r="S957" s="10" t="s">
        <v>207</v>
      </c>
      <c r="T957" s="188">
        <v>1000</v>
      </c>
      <c r="U957" s="8">
        <f t="shared" si="113"/>
        <v>180</v>
      </c>
      <c r="V957" s="234">
        <f t="shared" si="119"/>
        <v>79684.155246160299</v>
      </c>
      <c r="W957" s="15">
        <v>25</v>
      </c>
      <c r="X957" s="8">
        <f t="shared" si="116"/>
        <v>4.5</v>
      </c>
      <c r="Y957" s="233">
        <f t="shared" si="117"/>
        <v>3858</v>
      </c>
    </row>
    <row r="958" spans="1:25">
      <c r="A958" s="156" t="e" cm="1">
        <f t="array" aca="1" ref="A958" ca="1">_xlfn.IFS(E958=$AB$42,$AC$42,E958=$AB$43,$AC$43,E958=$AB$44,$AC$44,E958=$AB$45,$AC$45,E958=$AB$46,$AC$46,E958=$AB$47,$AC$47,E958=$AB$48,$AC$48,E958=$AB$49,$AC$49,E958=$AB$50,$AC$50,E958=$AB$51,$AC$51,E958=$AB$52,$AC$52,E958=$AB$53,$AC$53,E958=$AB$54,$AC$54,E958=$AB$55,$AC$55,E958=$AB$56,$AC$56,E958=$AB$57,$AC$57,E958=$AB$58,$AC$58,E958=$AB$59,$AC$59,E958=$AB$60,$AC$60,E958=$AB$61,$AC$61,E958=$AB$62,$AC$62,E958=$AB$63,$AC$63,E958=$AB$64,$AC$64,E958=$AB$65,$AC$65,E958=$AB$66,$AC$66,TRUE,"0")</f>
        <v>#NAME?</v>
      </c>
      <c r="C958" s="161" t="str" cm="1">
        <f t="array" ref="C958">_xlfn.IFS(E958=$AB$42,$AF$42,E958=$AB$43,$AF$43,E958=$AB$44,$AF$44,E958=$AB$45,$AF$45,E958=$AB$46,$AF$46,E958=$AB$47,$AF$47,E958=$AB$48,$AF$48,E958=$AB$49,$AF$49,E958=$AB$50,$AF$50,E958=$AB$51,$AF$51,E958=$AB$52,$AF$52,E958=$AB$53,$AF$53,E958=$AB$54,$AF$54,E958=$AB$55,$AF$55,E958=$AB$56,$AF$56,E958=$AB$57,$AF$57,E958=$AB$58,$AF$58,E958=$AB$59,$AF$59,E958=$AB$60,$AF$60,E958=$AB$61,$AF$61,E958=$AB$62,$AF$62,E958=$AB$63,$AF$63,E958=$AB$64,$AF$64,E958=$AB$65,$AF$65,E958=$AB$66,$AF$66,TRUE,"0")</f>
        <v>B4 match BACK FT +1.5 goals. X AFTER  GOAL</v>
      </c>
      <c r="D958" s="270" t="str" cm="1">
        <f t="array" ref="D958">_xlfn.IFS(E958=$AB$42,$AD$42,E958=$AB$43,$AD$43,E958=$AB$44,$AD$44,E958=$AB$45,$AD$45,E958=$AB$46,$AD$46,E958=$AB$47,$AD$47,E958=$AB$48,$AD$48,E958=$AB$49,$AD$49,E958=$AB$50,$AD$50,E958=$AB$51,$AD$51,E958=$AB$52,$AD$52,E958=$AB$53,$AD$53,E958=$AB$54,$AD$54,E958=$AB$55,$AD$55,E958=$AB$56,$AD$56,E958=$AB$57,$AD$57,E958=$AB$58,$AD$58,E958=$AB$59,$AD$59,E958=$AB$60,$AD$60,E958=$AB$61,$AD$61,E958=$AB$62,$AD$62,E958=$AB$63,$AD$63,E958=$AB$64,$AD$64,E958=$AB$65,$AD$65,E958=$AB$66,$AD$66,TRUE,"0")</f>
        <v xml:space="preserve">BFM </v>
      </c>
      <c r="E958" s="163" t="s">
        <v>623</v>
      </c>
      <c r="F958" s="2" t="s">
        <v>149</v>
      </c>
      <c r="G958" s="2" t="s">
        <v>153</v>
      </c>
      <c r="H958" s="3">
        <v>45395.739583333336</v>
      </c>
      <c r="I958" s="2" t="s">
        <v>245</v>
      </c>
      <c r="J958" s="2" t="s">
        <v>154</v>
      </c>
      <c r="K958" s="2">
        <v>4.5</v>
      </c>
      <c r="L958" s="2">
        <v>20</v>
      </c>
      <c r="M958" s="2">
        <v>2.8</v>
      </c>
      <c r="N958" s="2">
        <v>29</v>
      </c>
      <c r="O958" s="2">
        <v>3</v>
      </c>
      <c r="P958" s="2">
        <v>10</v>
      </c>
      <c r="Q958" s="2" t="s">
        <v>95</v>
      </c>
      <c r="R958" s="10" t="s">
        <v>217</v>
      </c>
      <c r="S958" s="10" t="s">
        <v>209</v>
      </c>
      <c r="T958" s="188">
        <v>1000</v>
      </c>
      <c r="U958" s="8">
        <f t="shared" si="113"/>
        <v>180</v>
      </c>
      <c r="V958" s="234">
        <f t="shared" si="119"/>
        <v>79864.155246160299</v>
      </c>
      <c r="W958" s="15">
        <v>25</v>
      </c>
      <c r="X958" s="8">
        <f t="shared" si="116"/>
        <v>4.5</v>
      </c>
      <c r="Y958" s="233">
        <f t="shared" si="117"/>
        <v>3862.5</v>
      </c>
    </row>
    <row r="959" spans="1:25">
      <c r="A959" s="156" t="e" cm="1">
        <f t="array" aca="1" ref="A959" ca="1">_xlfn.IFS(E959=$AB$42,$AC$42,E959=$AB$43,$AC$43,E959=$AB$44,$AC$44,E959=$AB$45,$AC$45,E959=$AB$46,$AC$46,E959=$AB$47,$AC$47,E959=$AB$48,$AC$48,E959=$AB$49,$AC$49,E959=$AB$50,$AC$50,E959=$AB$51,$AC$51,E959=$AB$52,$AC$52,E959=$AB$53,$AC$53,E959=$AB$54,$AC$54,E959=$AB$55,$AC$55,E959=$AB$56,$AC$56,E959=$AB$57,$AC$57,E959=$AB$58,$AC$58,E959=$AB$59,$AC$59,E959=$AB$60,$AC$60,E959=$AB$61,$AC$61,E959=$AB$62,$AC$62,E959=$AB$63,$AC$63,E959=$AB$64,$AC$64,E959=$AB$65,$AC$65,E959=$AB$66,$AC$66,TRUE,"0")</f>
        <v>#NAME?</v>
      </c>
      <c r="C959" s="161" t="str" cm="1">
        <f t="array" ref="C959">_xlfn.IFS(E959=$AB$42,$AF$42,E959=$AB$43,$AF$43,E959=$AB$44,$AF$44,E959=$AB$45,$AF$45,E959=$AB$46,$AF$46,E959=$AB$47,$AF$47,E959=$AB$48,$AF$48,E959=$AB$49,$AF$49,E959=$AB$50,$AF$50,E959=$AB$51,$AF$51,E959=$AB$52,$AF$52,E959=$AB$53,$AF$53,E959=$AB$54,$AF$54,E959=$AB$55,$AF$55,E959=$AB$56,$AF$56,E959=$AB$57,$AF$57,E959=$AB$58,$AF$58,E959=$AB$59,$AF$59,E959=$AB$60,$AF$60,E959=$AB$61,$AF$61,E959=$AB$62,$AF$62,E959=$AB$63,$AF$63,E959=$AB$64,$AF$64,E959=$AB$65,$AF$65,E959=$AB$66,$AF$66,TRUE,"0")</f>
        <v>40 mins Back ANother Goal</v>
      </c>
      <c r="D959" s="270" t="str" cm="1">
        <f t="array" ref="D959">_xlfn.IFS(E959=$AB$42,$AD$42,E959=$AB$43,$AD$43,E959=$AB$44,$AD$44,E959=$AB$45,$AD$45,E959=$AB$46,$AD$46,E959=$AB$47,$AD$47,E959=$AB$48,$AD$48,E959=$AB$49,$AD$49,E959=$AB$50,$AD$50,E959=$AB$51,$AD$51,E959=$AB$52,$AD$52,E959=$AB$53,$AD$53,E959=$AB$54,$AD$54,E959=$AB$55,$AD$55,E959=$AB$56,$AD$56,E959=$AB$57,$AD$57,E959=$AB$58,$AD$58,E959=$AB$59,$AD$59,E959=$AB$60,$AD$60,E959=$AB$61,$AD$61,E959=$AB$62,$AD$62,E959=$AB$63,$AD$63,E959=$AB$64,$AD$64,E959=$AB$65,$AD$65,E959=$AB$66,$AD$66,TRUE,"0")</f>
        <v xml:space="preserve">  BANG</v>
      </c>
      <c r="E959" s="163" t="s">
        <v>726</v>
      </c>
      <c r="F959" s="2" t="s">
        <v>77</v>
      </c>
      <c r="G959" s="2" t="s">
        <v>234</v>
      </c>
      <c r="H959" s="3">
        <v>45395.8125</v>
      </c>
      <c r="I959" s="2" t="s">
        <v>246</v>
      </c>
      <c r="J959" s="2" t="s">
        <v>328</v>
      </c>
      <c r="K959" s="2">
        <v>85</v>
      </c>
      <c r="L959" s="2">
        <v>20</v>
      </c>
      <c r="M959" s="2">
        <v>2</v>
      </c>
      <c r="N959" s="2">
        <v>63</v>
      </c>
      <c r="O959" s="2"/>
      <c r="P959" s="2"/>
      <c r="Q959" s="2" t="s">
        <v>95</v>
      </c>
      <c r="R959" s="10" t="s">
        <v>214</v>
      </c>
      <c r="S959" s="10" t="s">
        <v>220</v>
      </c>
      <c r="T959" s="188">
        <v>1000</v>
      </c>
      <c r="U959" s="8">
        <f t="shared" si="113"/>
        <v>180</v>
      </c>
      <c r="V959" s="234">
        <f t="shared" si="119"/>
        <v>80044.155246160299</v>
      </c>
      <c r="W959" s="15">
        <v>25</v>
      </c>
      <c r="X959" s="8">
        <f t="shared" si="116"/>
        <v>4.5</v>
      </c>
      <c r="Y959" s="233">
        <f t="shared" si="117"/>
        <v>3867</v>
      </c>
    </row>
    <row r="960" spans="1:25">
      <c r="A960" s="156" t="e" cm="1">
        <f t="array" aca="1" ref="A960" ca="1">_xlfn.IFS(E960=$AB$42,$AC$42,E960=$AB$43,$AC$43,E960=$AB$44,$AC$44,E960=$AB$45,$AC$45,E960=$AB$46,$AC$46,E960=$AB$47,$AC$47,E960=$AB$48,$AC$48,E960=$AB$49,$AC$49,E960=$AB$50,$AC$50,E960=$AB$51,$AC$51,E960=$AB$52,$AC$52,E960=$AB$53,$AC$53,E960=$AB$54,$AC$54,E960=$AB$55,$AC$55,E960=$AB$56,$AC$56,E960=$AB$57,$AC$57,E960=$AB$58,$AC$58,E960=$AB$59,$AC$59,E960=$AB$60,$AC$60,E960=$AB$61,$AC$61,E960=$AB$62,$AC$62,E960=$AB$63,$AC$63,E960=$AB$64,$AC$64,E960=$AB$65,$AC$65,E960=$AB$66,$AC$66,TRUE,"0")</f>
        <v>#NAME?</v>
      </c>
      <c r="C960" s="161" t="str" cm="1">
        <f t="array" ref="C960">_xlfn.IFS(E960=$AB$42,$AF$42,E960=$AB$43,$AF$43,E960=$AB$44,$AF$44,E960=$AB$45,$AF$45,E960=$AB$46,$AF$46,E960=$AB$47,$AF$47,E960=$AB$48,$AF$48,E960=$AB$49,$AF$49,E960=$AB$50,$AF$50,E960=$AB$51,$AF$51,E960=$AB$52,$AF$52,E960=$AB$53,$AF$53,E960=$AB$54,$AF$54,E960=$AB$55,$AF$55,E960=$AB$56,$AF$56,E960=$AB$57,$AF$57,E960=$AB$58,$AF$58,E960=$AB$59,$AF$59,E960=$AB$60,$AF$60,E960=$AB$61,$AF$61,E960=$AB$62,$AF$62,E960=$AB$63,$AF$63,E960=$AB$64,$AF$64,E960=$AB$65,$AF$65,E960=$AB$66,$AF$66,TRUE,"0")</f>
        <v>if 0-0, BACK+ 0.5 GOALS  @ 1.15+odds.  or @ 40 mins</v>
      </c>
      <c r="D960" s="270" t="str" cm="1">
        <f t="array" ref="D960">_xlfn.IFS(E960=$AB$42,$AD$42,E960=$AB$43,$AD$43,E960=$AB$44,$AD$44,E960=$AB$45,$AD$45,E960=$AB$46,$AD$46,E960=$AB$47,$AD$47,E960=$AB$48,$AD$48,E960=$AB$49,$AD$49,E960=$AB$50,$AD$50,E960=$AB$51,$AD$51,E960=$AB$52,$AD$52,E960=$AB$53,$AD$53,E960=$AB$54,$AD$54,E960=$AB$55,$AD$55,E960=$AB$56,$AD$56,E960=$AB$57,$AD$57,E960=$AB$58,$AD$58,E960=$AB$59,$AD$59,E960=$AB$60,$AD$60,E960=$AB$61,$AD$61,E960=$AB$62,$AD$62,E960=$AB$63,$AD$63,E960=$AB$64,$AD$64,E960=$AB$65,$AD$65,E960=$AB$66,$AD$66,TRUE,"0")</f>
        <v>IP</v>
      </c>
      <c r="E960" s="163" t="s">
        <v>270</v>
      </c>
      <c r="F960" s="2" t="s">
        <v>145</v>
      </c>
      <c r="G960" s="2" t="s">
        <v>190</v>
      </c>
      <c r="H960" s="3">
        <v>45395.833333333336</v>
      </c>
      <c r="I960" s="2" t="s">
        <v>339</v>
      </c>
      <c r="J960" s="2" t="s">
        <v>570</v>
      </c>
      <c r="K960" s="2">
        <v>62</v>
      </c>
      <c r="L960" s="2">
        <v>0</v>
      </c>
      <c r="M960" s="2">
        <v>20</v>
      </c>
      <c r="N960" s="2">
        <v>30</v>
      </c>
      <c r="O960" s="2">
        <v>2.6</v>
      </c>
      <c r="P960" s="2"/>
      <c r="Q960" s="2" t="s">
        <v>95</v>
      </c>
      <c r="R960" s="10" t="s">
        <v>223</v>
      </c>
      <c r="S960" s="10" t="s">
        <v>223</v>
      </c>
      <c r="T960" s="188">
        <v>1000</v>
      </c>
      <c r="U960" s="8">
        <f t="shared" si="113"/>
        <v>180</v>
      </c>
      <c r="V960" s="234">
        <f t="shared" si="119"/>
        <v>80224.155246160299</v>
      </c>
      <c r="W960" s="15">
        <v>25</v>
      </c>
      <c r="X960" s="8">
        <f t="shared" si="116"/>
        <v>4.5</v>
      </c>
      <c r="Y960" s="233">
        <f t="shared" si="117"/>
        <v>3871.5</v>
      </c>
    </row>
    <row r="961" spans="1:25">
      <c r="A961" s="156" t="e" cm="1">
        <f t="array" aca="1" ref="A961" ca="1">_xlfn.IFS(E961=$AB$42,$AC$42,E961=$AB$43,$AC$43,E961=$AB$44,$AC$44,E961=$AB$45,$AC$45,E961=$AB$46,$AC$46,E961=$AB$47,$AC$47,E961=$AB$48,$AC$48,E961=$AB$49,$AC$49,E961=$AB$50,$AC$50,E961=$AB$51,$AC$51,E961=$AB$52,$AC$52,E961=$AB$53,$AC$53,E961=$AB$54,$AC$54,E961=$AB$55,$AC$55,E961=$AB$56,$AC$56,E961=$AB$57,$AC$57,E961=$AB$58,$AC$58,E961=$AB$59,$AC$59,E961=$AB$60,$AC$60,E961=$AB$61,$AC$61,E961=$AB$62,$AC$62,E961=$AB$63,$AC$63,E961=$AB$64,$AC$64,E961=$AB$65,$AC$65,E961=$AB$66,$AC$66,TRUE,"0")</f>
        <v>#NAME?</v>
      </c>
      <c r="C961" s="161" t="str" cm="1">
        <f t="array" ref="C961">_xlfn.IFS(E961=$AB$42,$AF$42,E961=$AB$43,$AF$43,E961=$AB$44,$AF$44,E961=$AB$45,$AF$45,E961=$AB$46,$AF$46,E961=$AB$47,$AF$47,E961=$AB$48,$AF$48,E961=$AB$49,$AF$49,E961=$AB$50,$AF$50,E961=$AB$51,$AF$51,E961=$AB$52,$AF$52,E961=$AB$53,$AF$53,E961=$AB$54,$AF$54,E961=$AB$55,$AF$55,E961=$AB$56,$AF$56,E961=$AB$57,$AF$57,E961=$AB$58,$AF$58,E961=$AB$59,$AF$59,E961=$AB$60,$AF$60,E961=$AB$61,$AF$61,E961=$AB$62,$AF$62,E961=$AB$63,$AF$63,E961=$AB$64,$AF$64,E961=$AB$65,$AF$65,E961=$AB$66,$AF$66,TRUE,"0")</f>
        <v>40 mins Back ANother Goal</v>
      </c>
      <c r="D961" s="270" t="str" cm="1">
        <f t="array" ref="D961">_xlfn.IFS(E961=$AB$42,$AD$42,E961=$AB$43,$AD$43,E961=$AB$44,$AD$44,E961=$AB$45,$AD$45,E961=$AB$46,$AD$46,E961=$AB$47,$AD$47,E961=$AB$48,$AD$48,E961=$AB$49,$AD$49,E961=$AB$50,$AD$50,E961=$AB$51,$AD$51,E961=$AB$52,$AD$52,E961=$AB$53,$AD$53,E961=$AB$54,$AD$54,E961=$AB$55,$AD$55,E961=$AB$56,$AD$56,E961=$AB$57,$AD$57,E961=$AB$58,$AD$58,E961=$AB$59,$AD$59,E961=$AB$60,$AD$60,E961=$AB$61,$AD$61,E961=$AB$62,$AD$62,E961=$AB$63,$AD$63,E961=$AB$64,$AD$64,E961=$AB$65,$AD$65,E961=$AB$66,$AD$66,TRUE,"0")</f>
        <v xml:space="preserve">  BANG</v>
      </c>
      <c r="E961" s="163" t="s">
        <v>726</v>
      </c>
      <c r="F961" s="2" t="s">
        <v>58</v>
      </c>
      <c r="G961" s="2" t="s">
        <v>59</v>
      </c>
      <c r="H961" s="3">
        <v>45395.854166666664</v>
      </c>
      <c r="I961" s="2" t="s">
        <v>105</v>
      </c>
      <c r="J961" s="2" t="s">
        <v>112</v>
      </c>
      <c r="K961" s="2">
        <v>85</v>
      </c>
      <c r="L961" s="2">
        <v>20</v>
      </c>
      <c r="M961" s="2">
        <v>2.15</v>
      </c>
      <c r="N961" s="2">
        <v>59</v>
      </c>
      <c r="O961" s="2"/>
      <c r="P961" s="2"/>
      <c r="Q961" s="2" t="s">
        <v>95</v>
      </c>
      <c r="R961" s="10" t="s">
        <v>221</v>
      </c>
      <c r="S961" s="10" t="s">
        <v>193</v>
      </c>
      <c r="T961" s="188">
        <v>1000</v>
      </c>
      <c r="U961" s="8">
        <f t="shared" si="113"/>
        <v>180</v>
      </c>
      <c r="V961" s="234">
        <f t="shared" si="119"/>
        <v>80404.155246160299</v>
      </c>
      <c r="W961" s="15">
        <v>25</v>
      </c>
      <c r="X961" s="8">
        <f t="shared" si="116"/>
        <v>4.5</v>
      </c>
      <c r="Y961" s="233">
        <f t="shared" si="117"/>
        <v>3876</v>
      </c>
    </row>
    <row r="962" spans="1:25">
      <c r="A962" s="156" t="e" cm="1">
        <f t="array" aca="1" ref="A962" ca="1">_xlfn.IFS(E962=$AB$42,$AC$42,E962=$AB$43,$AC$43,E962=$AB$44,$AC$44,E962=$AB$45,$AC$45,E962=$AB$46,$AC$46,E962=$AB$47,$AC$47,E962=$AB$48,$AC$48,E962=$AB$49,$AC$49,E962=$AB$50,$AC$50,E962=$AB$51,$AC$51,E962=$AB$52,$AC$52,E962=$AB$53,$AC$53,E962=$AB$54,$AC$54,E962=$AB$55,$AC$55,E962=$AB$56,$AC$56,E962=$AB$57,$AC$57,E962=$AB$58,$AC$58,E962=$AB$59,$AC$59,E962=$AB$60,$AC$60,E962=$AB$61,$AC$61,E962=$AB$62,$AC$62,E962=$AB$63,$AC$63,E962=$AB$64,$AC$64,E962=$AB$65,$AC$65,E962=$AB$66,$AC$66,TRUE,"0")</f>
        <v>#NAME?</v>
      </c>
      <c r="C962" s="161" t="str" cm="1">
        <f t="array" ref="C962">_xlfn.IFS(E962=$AB$42,$AF$42,E962=$AB$43,$AF$43,E962=$AB$44,$AF$44,E962=$AB$45,$AF$45,E962=$AB$46,$AF$46,E962=$AB$47,$AF$47,E962=$AB$48,$AF$48,E962=$AB$49,$AF$49,E962=$AB$50,$AF$50,E962=$AB$51,$AF$51,E962=$AB$52,$AF$52,E962=$AB$53,$AF$53,E962=$AB$54,$AF$54,E962=$AB$55,$AF$55,E962=$AB$56,$AF$56,E962=$AB$57,$AF$57,E962=$AB$58,$AF$58,E962=$AB$59,$AF$59,E962=$AB$60,$AF$60,E962=$AB$61,$AF$61,E962=$AB$62,$AF$62,E962=$AB$63,$AF$63,E962=$AB$64,$AF$64,E962=$AB$65,$AF$65,E962=$AB$66,$AF$66,TRUE,"0")</f>
        <v>B4 Match, lay HT 0-0 or BACK H1 +0.5 GOALS</v>
      </c>
      <c r="D962" s="270" t="str" cm="1">
        <f t="array" ref="D962">_xlfn.IFS(E962=$AB$42,$AD$42,E962=$AB$43,$AD$43,E962=$AB$44,$AD$44,E962=$AB$45,$AD$45,E962=$AB$46,$AD$46,E962=$AB$47,$AD$47,E962=$AB$48,$AD$48,E962=$AB$49,$AD$49,E962=$AB$50,$AD$50,E962=$AB$51,$AD$51,E962=$AB$52,$AD$52,E962=$AB$53,$AD$53,E962=$AB$54,$AD$54,E962=$AB$55,$AD$55,E962=$AB$56,$AD$56,E962=$AB$57,$AD$57,E962=$AB$58,$AD$58,E962=$AB$59,$AD$59,E962=$AB$60,$AD$60,E962=$AB$61,$AD$61,E962=$AB$62,$AD$62,E962=$AB$63,$AD$63,E962=$AB$64,$AD$64,E962=$AB$65,$AD$65,E962=$AB$66,$AD$66,TRUE,"0")</f>
        <v xml:space="preserve">BFM </v>
      </c>
      <c r="E962" s="163" t="s">
        <v>432</v>
      </c>
      <c r="F962" s="2" t="s">
        <v>516</v>
      </c>
      <c r="G962" s="2" t="s">
        <v>78</v>
      </c>
      <c r="H962" s="3">
        <v>45396.354166666664</v>
      </c>
      <c r="I962" s="2" t="s">
        <v>518</v>
      </c>
      <c r="J962" s="2" t="s">
        <v>718</v>
      </c>
      <c r="K962" s="2">
        <v>5</v>
      </c>
      <c r="L962" s="2">
        <v>20</v>
      </c>
      <c r="M962" s="2">
        <v>14</v>
      </c>
      <c r="N962" s="2">
        <v>15</v>
      </c>
      <c r="O962" s="2">
        <v>22</v>
      </c>
      <c r="P962" s="2">
        <v>1.7</v>
      </c>
      <c r="Q962" s="2" t="s">
        <v>95</v>
      </c>
      <c r="R962" s="10" t="s">
        <v>214</v>
      </c>
      <c r="S962" s="10" t="s">
        <v>223</v>
      </c>
      <c r="T962" s="188">
        <v>1000</v>
      </c>
      <c r="U962" s="8">
        <f t="shared" si="113"/>
        <v>180</v>
      </c>
      <c r="V962" s="234">
        <f t="shared" si="119"/>
        <v>80584.155246160299</v>
      </c>
      <c r="W962" s="15">
        <v>25</v>
      </c>
      <c r="X962" s="8">
        <f t="shared" si="116"/>
        <v>4.5</v>
      </c>
      <c r="Y962" s="233">
        <f t="shared" si="117"/>
        <v>3880.5</v>
      </c>
    </row>
    <row r="963" spans="1:25">
      <c r="A963" s="156" t="e" cm="1">
        <f t="array" aca="1" ref="A963" ca="1">_xlfn.IFS(E963=$AB$42,$AC$42,E963=$AB$43,$AC$43,E963=$AB$44,$AC$44,E963=$AB$45,$AC$45,E963=$AB$46,$AC$46,E963=$AB$47,$AC$47,E963=$AB$48,$AC$48,E963=$AB$49,$AC$49,E963=$AB$50,$AC$50,E963=$AB$51,$AC$51,E963=$AB$52,$AC$52,E963=$AB$53,$AC$53,E963=$AB$54,$AC$54,E963=$AB$55,$AC$55,E963=$AB$56,$AC$56,E963=$AB$57,$AC$57,E963=$AB$58,$AC$58,E963=$AB$59,$AC$59,E963=$AB$60,$AC$60,E963=$AB$61,$AC$61,E963=$AB$62,$AC$62,E963=$AB$63,$AC$63,E963=$AB$64,$AC$64,E963=$AB$65,$AC$65,E963=$AB$66,$AC$66,TRUE,"0")</f>
        <v>#NAME?</v>
      </c>
      <c r="C963" s="161" t="str" cm="1">
        <f t="array" ref="C963">_xlfn.IFS(E963=$AB$42,$AF$42,E963=$AB$43,$AF$43,E963=$AB$44,$AF$44,E963=$AB$45,$AF$45,E963=$AB$46,$AF$46,E963=$AB$47,$AF$47,E963=$AB$48,$AF$48,E963=$AB$49,$AF$49,E963=$AB$50,$AF$50,E963=$AB$51,$AF$51,E963=$AB$52,$AF$52,E963=$AB$53,$AF$53,E963=$AB$54,$AF$54,E963=$AB$55,$AF$55,E963=$AB$56,$AF$56,E963=$AB$57,$AF$57,E963=$AB$58,$AF$58,E963=$AB$59,$AF$59,E963=$AB$60,$AF$60,E963=$AB$61,$AF$61,E963=$AB$62,$AF$62,E963=$AB$63,$AF$63,E963=$AB$64,$AF$64,E963=$AB$65,$AF$65,E963=$AB$66,$AF$66,TRUE,"0")</f>
        <v>40 mins Back ANother Goal</v>
      </c>
      <c r="D963" s="270" t="str" cm="1">
        <f t="array" ref="D963">_xlfn.IFS(E963=$AB$42,$AD$42,E963=$AB$43,$AD$43,E963=$AB$44,$AD$44,E963=$AB$45,$AD$45,E963=$AB$46,$AD$46,E963=$AB$47,$AD$47,E963=$AB$48,$AD$48,E963=$AB$49,$AD$49,E963=$AB$50,$AD$50,E963=$AB$51,$AD$51,E963=$AB$52,$AD$52,E963=$AB$53,$AD$53,E963=$AB$54,$AD$54,E963=$AB$55,$AD$55,E963=$AB$56,$AD$56,E963=$AB$57,$AD$57,E963=$AB$58,$AD$58,E963=$AB$59,$AD$59,E963=$AB$60,$AD$60,E963=$AB$61,$AD$61,E963=$AB$62,$AD$62,E963=$AB$63,$AD$63,E963=$AB$64,$AD$64,E963=$AB$65,$AD$65,E963=$AB$66,$AD$66,TRUE,"0")</f>
        <v xml:space="preserve">  BANG</v>
      </c>
      <c r="E963" s="163" t="s">
        <v>726</v>
      </c>
      <c r="F963" s="2" t="s">
        <v>149</v>
      </c>
      <c r="G963" s="2" t="s">
        <v>153</v>
      </c>
      <c r="H963" s="154">
        <v>45396.46875</v>
      </c>
      <c r="I963" s="155" t="s">
        <v>155</v>
      </c>
      <c r="J963" s="2" t="s">
        <v>206</v>
      </c>
      <c r="K963" s="2">
        <v>100</v>
      </c>
      <c r="L963" s="2">
        <v>20</v>
      </c>
      <c r="M963" s="155">
        <v>2.2000000000000002</v>
      </c>
      <c r="N963" s="155">
        <v>64</v>
      </c>
      <c r="O963" s="2"/>
      <c r="P963" s="2"/>
      <c r="Q963" s="2" t="s">
        <v>95</v>
      </c>
      <c r="R963" s="10" t="s">
        <v>193</v>
      </c>
      <c r="S963" s="10" t="s">
        <v>217</v>
      </c>
      <c r="T963" s="188">
        <v>1000</v>
      </c>
      <c r="U963" s="8">
        <f t="shared" si="113"/>
        <v>180</v>
      </c>
      <c r="V963" s="234">
        <f t="shared" si="119"/>
        <v>80764.155246160299</v>
      </c>
      <c r="W963" s="15">
        <v>25</v>
      </c>
      <c r="X963" s="8">
        <f t="shared" si="116"/>
        <v>4.5</v>
      </c>
      <c r="Y963" s="233">
        <f t="shared" si="117"/>
        <v>3885</v>
      </c>
    </row>
    <row r="964" spans="1:25">
      <c r="A964" s="156" t="e" cm="1">
        <f t="array" aca="1" ref="A964" ca="1">_xlfn.IFS(E964=$AB$42,$AC$42,E964=$AB$43,$AC$43,E964=$AB$44,$AC$44,E964=$AB$45,$AC$45,E964=$AB$46,$AC$46,E964=$AB$47,$AC$47,E964=$AB$48,$AC$48,E964=$AB$49,$AC$49,E964=$AB$50,$AC$50,E964=$AB$51,$AC$51,E964=$AB$52,$AC$52,E964=$AB$53,$AC$53,E964=$AB$54,$AC$54,E964=$AB$55,$AC$55,E964=$AB$56,$AC$56,E964=$AB$57,$AC$57,E964=$AB$58,$AC$58,E964=$AB$59,$AC$59,E964=$AB$60,$AC$60,E964=$AB$61,$AC$61,E964=$AB$62,$AC$62,E964=$AB$63,$AC$63,E964=$AB$64,$AC$64,E964=$AB$65,$AC$65,E964=$AB$66,$AC$66,TRUE,"0")</f>
        <v>#NAME?</v>
      </c>
      <c r="C964" s="161" t="str" cm="1">
        <f t="array" ref="C964">_xlfn.IFS(E964=$AB$42,$AF$42,E964=$AB$43,$AF$43,E964=$AB$44,$AF$44,E964=$AB$45,$AF$45,E964=$AB$46,$AF$46,E964=$AB$47,$AF$47,E964=$AB$48,$AF$48,E964=$AB$49,$AF$49,E964=$AB$50,$AF$50,E964=$AB$51,$AF$51,E964=$AB$52,$AF$52,E964=$AB$53,$AF$53,E964=$AB$54,$AF$54,E964=$AB$55,$AF$55,E964=$AB$56,$AF$56,E964=$AB$57,$AF$57,E964=$AB$58,$AF$58,E964=$AB$59,$AF$59,E964=$AB$60,$AF$60,E964=$AB$61,$AF$61,E964=$AB$62,$AF$62,E964=$AB$63,$AF$63,E964=$AB$64,$AF$64,E964=$AB$65,$AF$65,E964=$AB$66,$AF$66,TRUE,"0")</f>
        <v>B4 match BACK FT +1.5 goals. X AFTER  GOAL</v>
      </c>
      <c r="D964" s="270" t="str" cm="1">
        <f t="array" ref="D964">_xlfn.IFS(E964=$AB$42,$AD$42,E964=$AB$43,$AD$43,E964=$AB$44,$AD$44,E964=$AB$45,$AD$45,E964=$AB$46,$AD$46,E964=$AB$47,$AD$47,E964=$AB$48,$AD$48,E964=$AB$49,$AD$49,E964=$AB$50,$AD$50,E964=$AB$51,$AD$51,E964=$AB$52,$AD$52,E964=$AB$53,$AD$53,E964=$AB$54,$AD$54,E964=$AB$55,$AD$55,E964=$AB$56,$AD$56,E964=$AB$57,$AD$57,E964=$AB$58,$AD$58,E964=$AB$59,$AD$59,E964=$AB$60,$AD$60,E964=$AB$61,$AD$61,E964=$AB$62,$AD$62,E964=$AB$63,$AD$63,E964=$AB$64,$AD$64,E964=$AB$65,$AD$65,E964=$AB$66,$AD$66,TRUE,"0")</f>
        <v xml:space="preserve">BFM </v>
      </c>
      <c r="E964" s="163" t="s">
        <v>406</v>
      </c>
      <c r="F964" s="2" t="s">
        <v>20</v>
      </c>
      <c r="G964" s="2" t="s">
        <v>21</v>
      </c>
      <c r="H964" s="3">
        <v>45396.479166666664</v>
      </c>
      <c r="I964" s="2" t="s">
        <v>22</v>
      </c>
      <c r="J964" s="2" t="s">
        <v>402</v>
      </c>
      <c r="K964" s="2">
        <v>1.36</v>
      </c>
      <c r="L964" s="2">
        <v>10</v>
      </c>
      <c r="M964" s="2">
        <v>2.85</v>
      </c>
      <c r="N964" s="2">
        <v>4.5</v>
      </c>
      <c r="O964" s="2">
        <v>2.84</v>
      </c>
      <c r="P964" s="2"/>
      <c r="Q964" s="2" t="s">
        <v>95</v>
      </c>
      <c r="R964" s="10" t="s">
        <v>214</v>
      </c>
      <c r="S964" s="10" t="s">
        <v>210</v>
      </c>
      <c r="T964" s="188">
        <v>1000</v>
      </c>
      <c r="U964" s="8">
        <f t="shared" si="113"/>
        <v>180</v>
      </c>
      <c r="V964" s="234">
        <f t="shared" si="119"/>
        <v>80944.155246160299</v>
      </c>
      <c r="W964" s="15">
        <v>25</v>
      </c>
      <c r="X964" s="8">
        <f t="shared" si="116"/>
        <v>4.5</v>
      </c>
      <c r="Y964" s="233">
        <f t="shared" si="117"/>
        <v>3889.5</v>
      </c>
    </row>
    <row r="965" spans="1:25">
      <c r="A965" s="156" t="e" cm="1">
        <f t="array" aca="1" ref="A965" ca="1">_xlfn.IFS(E965=$AB$42,$AC$42,E965=$AB$43,$AC$43,E965=$AB$44,$AC$44,E965=$AB$45,$AC$45,E965=$AB$46,$AC$46,E965=$AB$47,$AC$47,E965=$AB$48,$AC$48,E965=$AB$49,$AC$49,E965=$AB$50,$AC$50,E965=$AB$51,$AC$51,E965=$AB$52,$AC$52,E965=$AB$53,$AC$53,E965=$AB$54,$AC$54,E965=$AB$55,$AC$55,E965=$AB$56,$AC$56,E965=$AB$57,$AC$57,E965=$AB$58,$AC$58,E965=$AB$59,$AC$59,E965=$AB$60,$AC$60,E965=$AB$61,$AC$61,E965=$AB$62,$AC$62,E965=$AB$63,$AC$63,E965=$AB$64,$AC$64,E965=$AB$65,$AC$65,E965=$AB$66,$AC$66,TRUE,"0")</f>
        <v>#NAME?</v>
      </c>
      <c r="C965" s="161" t="str" cm="1">
        <f t="array" ref="C965">_xlfn.IFS(E965=$AB$42,$AF$42,E965=$AB$43,$AF$43,E965=$AB$44,$AF$44,E965=$AB$45,$AF$45,E965=$AB$46,$AF$46,E965=$AB$47,$AF$47,E965=$AB$48,$AF$48,E965=$AB$49,$AF$49,E965=$AB$50,$AF$50,E965=$AB$51,$AF$51,E965=$AB$52,$AF$52,E965=$AB$53,$AF$53,E965=$AB$54,$AF$54,E965=$AB$55,$AF$55,E965=$AB$56,$AF$56,E965=$AB$57,$AF$57,E965=$AB$58,$AF$58,E965=$AB$59,$AF$59,E965=$AB$60,$AF$60,E965=$AB$61,$AF$61,E965=$AB$62,$AF$62,E965=$AB$63,$AF$63,E965=$AB$64,$AF$64,E965=$AB$65,$AF$65,E965=$AB$66,$AF$66,TRUE,"0")</f>
        <v>B4 match BACK FT +1.5 goals. X AFTER  GOAL</v>
      </c>
      <c r="D965" s="270" t="str" cm="1">
        <f t="array" ref="D965">_xlfn.IFS(E965=$AB$42,$AD$42,E965=$AB$43,$AD$43,E965=$AB$44,$AD$44,E965=$AB$45,$AD$45,E965=$AB$46,$AD$46,E965=$AB$47,$AD$47,E965=$AB$48,$AD$48,E965=$AB$49,$AD$49,E965=$AB$50,$AD$50,E965=$AB$51,$AD$51,E965=$AB$52,$AD$52,E965=$AB$53,$AD$53,E965=$AB$54,$AD$54,E965=$AB$55,$AD$55,E965=$AB$56,$AD$56,E965=$AB$57,$AD$57,E965=$AB$58,$AD$58,E965=$AB$59,$AD$59,E965=$AB$60,$AD$60,E965=$AB$61,$AD$61,E965=$AB$62,$AD$62,E965=$AB$63,$AD$63,E965=$AB$64,$AD$64,E965=$AB$65,$AD$65,E965=$AB$66,$AD$66,TRUE,"0")</f>
        <v xml:space="preserve">BFM </v>
      </c>
      <c r="E965" s="163" t="s">
        <v>623</v>
      </c>
      <c r="F965" s="2" t="s">
        <v>20</v>
      </c>
      <c r="G965" s="2" t="s">
        <v>21</v>
      </c>
      <c r="H965" s="3">
        <v>45396.479166666664</v>
      </c>
      <c r="I965" s="2" t="s">
        <v>22</v>
      </c>
      <c r="J965" s="2" t="s">
        <v>402</v>
      </c>
      <c r="K965" s="2">
        <v>4.5</v>
      </c>
      <c r="L965" s="2">
        <v>20</v>
      </c>
      <c r="M965" s="2">
        <v>2.85</v>
      </c>
      <c r="N965" s="2">
        <v>42</v>
      </c>
      <c r="O965" s="2">
        <v>0</v>
      </c>
      <c r="P965" s="2">
        <v>10</v>
      </c>
      <c r="Q965" s="2" t="s">
        <v>95</v>
      </c>
      <c r="R965" s="10" t="s">
        <v>214</v>
      </c>
      <c r="S965" s="10" t="s">
        <v>210</v>
      </c>
      <c r="T965" s="188">
        <v>1000</v>
      </c>
      <c r="U965" s="8">
        <f t="shared" si="113"/>
        <v>180</v>
      </c>
      <c r="V965" s="234">
        <f t="shared" si="119"/>
        <v>81124.155246160299</v>
      </c>
      <c r="W965" s="15">
        <v>25</v>
      </c>
      <c r="X965" s="8">
        <f t="shared" si="116"/>
        <v>4.5</v>
      </c>
      <c r="Y965" s="233">
        <f t="shared" si="117"/>
        <v>3894</v>
      </c>
    </row>
    <row r="966" spans="1:25">
      <c r="A966" s="156" t="e" cm="1">
        <f t="array" aca="1" ref="A966" ca="1">_xlfn.IFS(E966=$AB$42,$AC$42,E966=$AB$43,$AC$43,E966=$AB$44,$AC$44,E966=$AB$45,$AC$45,E966=$AB$46,$AC$46,E966=$AB$47,$AC$47,E966=$AB$48,$AC$48,E966=$AB$49,$AC$49,E966=$AB$50,$AC$50,E966=$AB$51,$AC$51,E966=$AB$52,$AC$52,E966=$AB$53,$AC$53,E966=$AB$54,$AC$54,E966=$AB$55,$AC$55,E966=$AB$56,$AC$56,E966=$AB$57,$AC$57,E966=$AB$58,$AC$58,E966=$AB$59,$AC$59,E966=$AB$60,$AC$60,E966=$AB$61,$AC$61,E966=$AB$62,$AC$62,E966=$AB$63,$AC$63,E966=$AB$64,$AC$64,E966=$AB$65,$AC$65,E966=$AB$66,$AC$66,TRUE,"0")</f>
        <v>#NAME?</v>
      </c>
      <c r="C966" s="161" t="str" cm="1">
        <f t="array" ref="C966">_xlfn.IFS(E966=$AB$42,$AF$42,E966=$AB$43,$AF$43,E966=$AB$44,$AF$44,E966=$AB$45,$AF$45,E966=$AB$46,$AF$46,E966=$AB$47,$AF$47,E966=$AB$48,$AF$48,E966=$AB$49,$AF$49,E966=$AB$50,$AF$50,E966=$AB$51,$AF$51,E966=$AB$52,$AF$52,E966=$AB$53,$AF$53,E966=$AB$54,$AF$54,E966=$AB$55,$AF$55,E966=$AB$56,$AF$56,E966=$AB$57,$AF$57,E966=$AB$58,$AF$58,E966=$AB$59,$AF$59,E966=$AB$60,$AF$60,E966=$AB$61,$AF$61,E966=$AB$62,$AF$62,E966=$AB$63,$AF$63,E966=$AB$64,$AF$64,E966=$AB$65,$AF$65,E966=$AB$66,$AF$66,TRUE,"0")</f>
        <v>40 mins Back ANother Goal</v>
      </c>
      <c r="D966" s="270" t="str" cm="1">
        <f t="array" ref="D966">_xlfn.IFS(E966=$AB$42,$AD$42,E966=$AB$43,$AD$43,E966=$AB$44,$AD$44,E966=$AB$45,$AD$45,E966=$AB$46,$AD$46,E966=$AB$47,$AD$47,E966=$AB$48,$AD$48,E966=$AB$49,$AD$49,E966=$AB$50,$AD$50,E966=$AB$51,$AD$51,E966=$AB$52,$AD$52,E966=$AB$53,$AD$53,E966=$AB$54,$AD$54,E966=$AB$55,$AD$55,E966=$AB$56,$AD$56,E966=$AB$57,$AD$57,E966=$AB$58,$AD$58,E966=$AB$59,$AD$59,E966=$AB$60,$AD$60,E966=$AB$61,$AD$61,E966=$AB$62,$AD$62,E966=$AB$63,$AD$63,E966=$AB$64,$AD$64,E966=$AB$65,$AD$65,E966=$AB$66,$AD$66,TRUE,"0")</f>
        <v xml:space="preserve">  BANG</v>
      </c>
      <c r="E966" s="163" t="s">
        <v>515</v>
      </c>
      <c r="F966" s="2" t="s">
        <v>145</v>
      </c>
      <c r="G966" s="2" t="s">
        <v>190</v>
      </c>
      <c r="H966" s="154">
        <v>45396.5</v>
      </c>
      <c r="I966" s="155" t="s">
        <v>612</v>
      </c>
      <c r="J966" s="2" t="s">
        <v>344</v>
      </c>
      <c r="K966" s="2">
        <v>20</v>
      </c>
      <c r="L966" s="2">
        <v>70</v>
      </c>
      <c r="M966" s="2">
        <v>1.5</v>
      </c>
      <c r="N966" s="2"/>
      <c r="O966" s="2"/>
      <c r="P966" s="2"/>
      <c r="Q966" s="2" t="s">
        <v>95</v>
      </c>
      <c r="R966" s="10" t="s">
        <v>221</v>
      </c>
      <c r="S966" s="10" t="s">
        <v>193</v>
      </c>
      <c r="T966" s="188">
        <v>1000</v>
      </c>
      <c r="U966" s="8">
        <f t="shared" si="113"/>
        <v>180</v>
      </c>
      <c r="V966" s="234">
        <f t="shared" si="119"/>
        <v>81304.155246160299</v>
      </c>
      <c r="W966" s="15">
        <v>25</v>
      </c>
      <c r="X966" s="8">
        <f t="shared" si="116"/>
        <v>4.5</v>
      </c>
      <c r="Y966" s="233">
        <f t="shared" si="117"/>
        <v>3898.5</v>
      </c>
    </row>
    <row r="967" spans="1:25">
      <c r="A967" s="156" t="e" cm="1">
        <f t="array" aca="1" ref="A967" ca="1">_xlfn.IFS(E967=$AB$42,$AC$42,E967=$AB$43,$AC$43,E967=$AB$44,$AC$44,E967=$AB$45,$AC$45,E967=$AB$46,$AC$46,E967=$AB$47,$AC$47,E967=$AB$48,$AC$48,E967=$AB$49,$AC$49,E967=$AB$50,$AC$50,E967=$AB$51,$AC$51,E967=$AB$52,$AC$52,E967=$AB$53,$AC$53,E967=$AB$54,$AC$54,E967=$AB$55,$AC$55,E967=$AB$56,$AC$56,E967=$AB$57,$AC$57,E967=$AB$58,$AC$58,E967=$AB$59,$AC$59,E967=$AB$60,$AC$60,E967=$AB$61,$AC$61,E967=$AB$62,$AC$62,E967=$AB$63,$AC$63,E967=$AB$64,$AC$64,E967=$AB$65,$AC$65,E967=$AB$66,$AC$66,TRUE,"0")</f>
        <v>#NAME?</v>
      </c>
      <c r="C967" s="161" t="str" cm="1">
        <f t="array" ref="C967">_xlfn.IFS(E967=$AB$42,$AF$42,E967=$AB$43,$AF$43,E967=$AB$44,$AF$44,E967=$AB$45,$AF$45,E967=$AB$46,$AF$46,E967=$AB$47,$AF$47,E967=$AB$48,$AF$48,E967=$AB$49,$AF$49,E967=$AB$50,$AF$50,E967=$AB$51,$AF$51,E967=$AB$52,$AF$52,E967=$AB$53,$AF$53,E967=$AB$54,$AF$54,E967=$AB$55,$AF$55,E967=$AB$56,$AF$56,E967=$AB$57,$AF$57,E967=$AB$58,$AF$58,E967=$AB$59,$AF$59,E967=$AB$60,$AF$60,E967=$AB$61,$AF$61,E967=$AB$62,$AF$62,E967=$AB$63,$AF$63,E967=$AB$64,$AF$64,E967=$AB$65,$AF$65,E967=$AB$66,$AF$66,TRUE,"0")</f>
        <v>B4 match BACK FT +1.5 goals. X AFTER  GOAL</v>
      </c>
      <c r="D967" s="270" t="str" cm="1">
        <f t="array" ref="D967">_xlfn.IFS(E967=$AB$42,$AD$42,E967=$AB$43,$AD$43,E967=$AB$44,$AD$44,E967=$AB$45,$AD$45,E967=$AB$46,$AD$46,E967=$AB$47,$AD$47,E967=$AB$48,$AD$48,E967=$AB$49,$AD$49,E967=$AB$50,$AD$50,E967=$AB$51,$AD$51,E967=$AB$52,$AD$52,E967=$AB$53,$AD$53,E967=$AB$54,$AD$54,E967=$AB$55,$AD$55,E967=$AB$56,$AD$56,E967=$AB$57,$AD$57,E967=$AB$58,$AD$58,E967=$AB$59,$AD$59,E967=$AB$60,$AD$60,E967=$AB$61,$AD$61,E967=$AB$62,$AD$62,E967=$AB$63,$AD$63,E967=$AB$64,$AD$64,E967=$AB$65,$AD$65,E967=$AB$66,$AD$66,TRUE,"0")</f>
        <v xml:space="preserve">BFM </v>
      </c>
      <c r="E967" s="163" t="s">
        <v>531</v>
      </c>
      <c r="F967" s="2" t="s">
        <v>13</v>
      </c>
      <c r="G967" s="2" t="s">
        <v>37</v>
      </c>
      <c r="H967" s="3">
        <v>45396.5</v>
      </c>
      <c r="I967" s="2" t="s">
        <v>323</v>
      </c>
      <c r="J967" s="2" t="s">
        <v>79</v>
      </c>
      <c r="K967" s="2">
        <v>3.55</v>
      </c>
      <c r="L967" s="2">
        <v>29</v>
      </c>
      <c r="M967" s="2">
        <v>2.2799999999999998</v>
      </c>
      <c r="N967" s="2">
        <v>33</v>
      </c>
      <c r="O967" s="2">
        <v>1</v>
      </c>
      <c r="P967" s="2">
        <v>14</v>
      </c>
      <c r="Q967" s="2" t="s">
        <v>95</v>
      </c>
      <c r="R967" s="10" t="s">
        <v>193</v>
      </c>
      <c r="S967" s="10" t="s">
        <v>209</v>
      </c>
      <c r="T967" s="188">
        <v>1000</v>
      </c>
      <c r="U967" s="8">
        <f t="shared" si="113"/>
        <v>180</v>
      </c>
      <c r="V967" s="234">
        <f t="shared" si="119"/>
        <v>81484.155246160299</v>
      </c>
      <c r="W967" s="15">
        <v>25</v>
      </c>
      <c r="X967" s="8">
        <f t="shared" si="116"/>
        <v>4.5</v>
      </c>
      <c r="Y967" s="233">
        <f t="shared" si="117"/>
        <v>3903</v>
      </c>
    </row>
    <row r="968" spans="1:25">
      <c r="A968" s="156" t="e" cm="1">
        <f t="array" aca="1" ref="A968" ca="1">_xlfn.IFS(E968=$AB$42,$AC$42,E968=$AB$43,$AC$43,E968=$AB$44,$AC$44,E968=$AB$45,$AC$45,E968=$AB$46,$AC$46,E968=$AB$47,$AC$47,E968=$AB$48,$AC$48,E968=$AB$49,$AC$49,E968=$AB$50,$AC$50,E968=$AB$51,$AC$51,E968=$AB$52,$AC$52,E968=$AB$53,$AC$53,E968=$AB$54,$AC$54,E968=$AB$55,$AC$55,E968=$AB$56,$AC$56,E968=$AB$57,$AC$57,E968=$AB$58,$AC$58,E968=$AB$59,$AC$59,E968=$AB$60,$AC$60,E968=$AB$61,$AC$61,E968=$AB$62,$AC$62,E968=$AB$63,$AC$63,E968=$AB$64,$AC$64,E968=$AB$65,$AC$65,E968=$AB$66,$AC$66,TRUE,"0")</f>
        <v>#NAME?</v>
      </c>
      <c r="C968" s="161" t="str" cm="1">
        <f t="array" ref="C968">_xlfn.IFS(E968=$AB$42,$AF$42,E968=$AB$43,$AF$43,E968=$AB$44,$AF$44,E968=$AB$45,$AF$45,E968=$AB$46,$AF$46,E968=$AB$47,$AF$47,E968=$AB$48,$AF$48,E968=$AB$49,$AF$49,E968=$AB$50,$AF$50,E968=$AB$51,$AF$51,E968=$AB$52,$AF$52,E968=$AB$53,$AF$53,E968=$AB$54,$AF$54,E968=$AB$55,$AF$55,E968=$AB$56,$AF$56,E968=$AB$57,$AF$57,E968=$AB$58,$AF$58,E968=$AB$59,$AF$59,E968=$AB$60,$AF$60,E968=$AB$61,$AF$61,E968=$AB$62,$AF$62,E968=$AB$63,$AF$63,E968=$AB$64,$AF$64,E968=$AB$65,$AF$65,E968=$AB$66,$AF$66,TRUE,"0")</f>
        <v>if 0-0, BACK+ 0.5 GOALS  @ 1.15+odds.  or @ 40 mins</v>
      </c>
      <c r="D968" s="270" t="str" cm="1">
        <f t="array" ref="D968">_xlfn.IFS(E968=$AB$42,$AD$42,E968=$AB$43,$AD$43,E968=$AB$44,$AD$44,E968=$AB$45,$AD$45,E968=$AB$46,$AD$46,E968=$AB$47,$AD$47,E968=$AB$48,$AD$48,E968=$AB$49,$AD$49,E968=$AB$50,$AD$50,E968=$AB$51,$AD$51,E968=$AB$52,$AD$52,E968=$AB$53,$AD$53,E968=$AB$54,$AD$54,E968=$AB$55,$AD$55,E968=$AB$56,$AD$56,E968=$AB$57,$AD$57,E968=$AB$58,$AD$58,E968=$AB$59,$AD$59,E968=$AB$60,$AD$60,E968=$AB$61,$AD$61,E968=$AB$62,$AD$62,E968=$AB$63,$AD$63,E968=$AB$64,$AD$64,E968=$AB$65,$AD$65,E968=$AB$66,$AD$66,TRUE,"0")</f>
        <v>IP</v>
      </c>
      <c r="E968" s="163" t="s">
        <v>270</v>
      </c>
      <c r="F968" s="2" t="s">
        <v>77</v>
      </c>
      <c r="G968" s="2" t="s">
        <v>234</v>
      </c>
      <c r="H968" s="3">
        <v>45396.520833333336</v>
      </c>
      <c r="I968" s="2" t="s">
        <v>413</v>
      </c>
      <c r="J968" s="2" t="s">
        <v>247</v>
      </c>
      <c r="K968" s="2">
        <v>63</v>
      </c>
      <c r="L968" s="2">
        <v>0</v>
      </c>
      <c r="M968" s="2">
        <v>20</v>
      </c>
      <c r="N968" s="2">
        <v>37</v>
      </c>
      <c r="O968" s="2">
        <v>3.05</v>
      </c>
      <c r="P968" s="2"/>
      <c r="Q968" s="2" t="s">
        <v>95</v>
      </c>
      <c r="R968" s="10" t="s">
        <v>220</v>
      </c>
      <c r="S968" s="10" t="s">
        <v>210</v>
      </c>
      <c r="T968" s="188">
        <v>1000</v>
      </c>
      <c r="U968" s="8">
        <f t="shared" si="113"/>
        <v>180</v>
      </c>
      <c r="V968" s="234">
        <f t="shared" si="119"/>
        <v>81664.155246160299</v>
      </c>
      <c r="W968" s="15">
        <v>25</v>
      </c>
      <c r="X968" s="8">
        <f t="shared" si="116"/>
        <v>4.5</v>
      </c>
      <c r="Y968" s="233">
        <f t="shared" si="117"/>
        <v>3907.5</v>
      </c>
    </row>
    <row r="969" spans="1:25">
      <c r="A969" s="156" t="e" cm="1">
        <f t="array" aca="1" ref="A969" ca="1">_xlfn.IFS(E969=$AB$42,$AC$42,E969=$AB$43,$AC$43,E969=$AB$44,$AC$44,E969=$AB$45,$AC$45,E969=$AB$46,$AC$46,E969=$AB$47,$AC$47,E969=$AB$48,$AC$48,E969=$AB$49,$AC$49,E969=$AB$50,$AC$50,E969=$AB$51,$AC$51,E969=$AB$52,$AC$52,E969=$AB$53,$AC$53,E969=$AB$54,$AC$54,E969=$AB$55,$AC$55,E969=$AB$56,$AC$56,E969=$AB$57,$AC$57,E969=$AB$58,$AC$58,E969=$AB$59,$AC$59,E969=$AB$60,$AC$60,E969=$AB$61,$AC$61,E969=$AB$62,$AC$62,E969=$AB$63,$AC$63,E969=$AB$64,$AC$64,E969=$AB$65,$AC$65,E969=$AB$66,$AC$66,TRUE,"0")</f>
        <v>#NAME?</v>
      </c>
      <c r="C969" s="161" t="str" cm="1">
        <f t="array" ref="C969">_xlfn.IFS(E969=$AB$42,$AF$42,E969=$AB$43,$AF$43,E969=$AB$44,$AF$44,E969=$AB$45,$AF$45,E969=$AB$46,$AF$46,E969=$AB$47,$AF$47,E969=$AB$48,$AF$48,E969=$AB$49,$AF$49,E969=$AB$50,$AF$50,E969=$AB$51,$AF$51,E969=$AB$52,$AF$52,E969=$AB$53,$AF$53,E969=$AB$54,$AF$54,E969=$AB$55,$AF$55,E969=$AB$56,$AF$56,E969=$AB$57,$AF$57,E969=$AB$58,$AF$58,E969=$AB$59,$AF$59,E969=$AB$60,$AF$60,E969=$AB$61,$AF$61,E969=$AB$62,$AF$62,E969=$AB$63,$AF$63,E969=$AB$64,$AF$64,E969=$AB$65,$AF$65,E969=$AB$66,$AF$66,TRUE,"0")</f>
        <v>B4 match BACK FT +1.5 goals. X AFTER  GOAL</v>
      </c>
      <c r="D969" s="270" t="str" cm="1">
        <f t="array" ref="D969">_xlfn.IFS(E969=$AB$42,$AD$42,E969=$AB$43,$AD$43,E969=$AB$44,$AD$44,E969=$AB$45,$AD$45,E969=$AB$46,$AD$46,E969=$AB$47,$AD$47,E969=$AB$48,$AD$48,E969=$AB$49,$AD$49,E969=$AB$50,$AD$50,E969=$AB$51,$AD$51,E969=$AB$52,$AD$52,E969=$AB$53,$AD$53,E969=$AB$54,$AD$54,E969=$AB$55,$AD$55,E969=$AB$56,$AD$56,E969=$AB$57,$AD$57,E969=$AB$58,$AD$58,E969=$AB$59,$AD$59,E969=$AB$60,$AD$60,E969=$AB$61,$AD$61,E969=$AB$62,$AD$62,E969=$AB$63,$AD$63,E969=$AB$64,$AD$64,E969=$AB$65,$AD$65,E969=$AB$66,$AD$66,TRUE,"0")</f>
        <v xml:space="preserve">BFM </v>
      </c>
      <c r="E969" s="163" t="s">
        <v>623</v>
      </c>
      <c r="F969" s="2" t="s">
        <v>77</v>
      </c>
      <c r="G969" s="2" t="s">
        <v>234</v>
      </c>
      <c r="H969" s="3">
        <v>45396.520833333336</v>
      </c>
      <c r="I969" s="2" t="s">
        <v>555</v>
      </c>
      <c r="J969" s="2" t="s">
        <v>499</v>
      </c>
      <c r="K969" s="2">
        <v>5</v>
      </c>
      <c r="L969" s="2">
        <v>20</v>
      </c>
      <c r="M969" s="2">
        <v>3.15</v>
      </c>
      <c r="N969" s="2">
        <v>25</v>
      </c>
      <c r="O969" s="2">
        <v>1</v>
      </c>
      <c r="P969" s="2">
        <v>10</v>
      </c>
      <c r="Q969" s="2" t="s">
        <v>95</v>
      </c>
      <c r="R969" s="10" t="s">
        <v>214</v>
      </c>
      <c r="S969" s="10" t="s">
        <v>613</v>
      </c>
      <c r="T969" s="188">
        <v>1000</v>
      </c>
      <c r="U969" s="8">
        <f t="shared" si="113"/>
        <v>180</v>
      </c>
      <c r="V969" s="234">
        <f t="shared" si="119"/>
        <v>81844.155246160299</v>
      </c>
      <c r="W969" s="15">
        <v>25</v>
      </c>
      <c r="X969" s="8">
        <f t="shared" si="116"/>
        <v>4.5</v>
      </c>
      <c r="Y969" s="233">
        <f t="shared" si="117"/>
        <v>3912</v>
      </c>
    </row>
    <row r="970" spans="1:25">
      <c r="A970" s="156" t="e" cm="1">
        <f t="array" aca="1" ref="A970" ca="1">_xlfn.IFS(E970=$AB$42,$AC$42,E970=$AB$43,$AC$43,E970=$AB$44,$AC$44,E970=$AB$45,$AC$45,E970=$AB$46,$AC$46,E970=$AB$47,$AC$47,E970=$AB$48,$AC$48,E970=$AB$49,$AC$49,E970=$AB$50,$AC$50,E970=$AB$51,$AC$51,E970=$AB$52,$AC$52,E970=$AB$53,$AC$53,E970=$AB$54,$AC$54,E970=$AB$55,$AC$55,E970=$AB$56,$AC$56,E970=$AB$57,$AC$57,E970=$AB$58,$AC$58,E970=$AB$59,$AC$59,E970=$AB$60,$AC$60,E970=$AB$61,$AC$61,E970=$AB$62,$AC$62,E970=$AB$63,$AC$63,E970=$AB$64,$AC$64,E970=$AB$65,$AC$65,E970=$AB$66,$AC$66,TRUE,"0")</f>
        <v>#NAME?</v>
      </c>
      <c r="C970" s="161" t="str" cm="1">
        <f t="array" ref="C970">_xlfn.IFS(E970=$AB$42,$AF$42,E970=$AB$43,$AF$43,E970=$AB$44,$AF$44,E970=$AB$45,$AF$45,E970=$AB$46,$AF$46,E970=$AB$47,$AF$47,E970=$AB$48,$AF$48,E970=$AB$49,$AF$49,E970=$AB$50,$AF$50,E970=$AB$51,$AF$51,E970=$AB$52,$AF$52,E970=$AB$53,$AF$53,E970=$AB$54,$AF$54,E970=$AB$55,$AF$55,E970=$AB$56,$AF$56,E970=$AB$57,$AF$57,E970=$AB$58,$AF$58,E970=$AB$59,$AF$59,E970=$AB$60,$AF$60,E970=$AB$61,$AF$61,E970=$AB$62,$AF$62,E970=$AB$63,$AF$63,E970=$AB$64,$AF$64,E970=$AB$65,$AF$65,E970=$AB$66,$AF$66,TRUE,"0")</f>
        <v>20mins if  0-0, BACK over 1.5 goals X after goal OR LET RUN</v>
      </c>
      <c r="D970" s="270" t="str" cm="1">
        <f t="array" ref="D970">_xlfn.IFS(E970=$AB$42,$AD$42,E970=$AB$43,$AD$43,E970=$AB$44,$AD$44,E970=$AB$45,$AD$45,E970=$AB$46,$AD$46,E970=$AB$47,$AD$47,E970=$AB$48,$AD$48,E970=$AB$49,$AD$49,E970=$AB$50,$AD$50,E970=$AB$51,$AD$51,E970=$AB$52,$AD$52,E970=$AB$53,$AD$53,E970=$AB$54,$AD$54,E970=$AB$55,$AD$55,E970=$AB$56,$AD$56,E970=$AB$57,$AD$57,E970=$AB$58,$AD$58,E970=$AB$59,$AD$59,E970=$AB$60,$AD$60,E970=$AB$61,$AD$61,E970=$AB$62,$AD$62,E970=$AB$63,$AD$63,E970=$AB$64,$AD$64,E970=$AB$65,$AD$65,E970=$AB$66,$AD$66,TRUE,"0")</f>
        <v>IP</v>
      </c>
      <c r="E970" s="163" t="s">
        <v>474</v>
      </c>
      <c r="F970" s="2" t="s">
        <v>77</v>
      </c>
      <c r="G970" s="2" t="s">
        <v>234</v>
      </c>
      <c r="H970" s="3">
        <v>45396.520833333336</v>
      </c>
      <c r="I970" s="2" t="s">
        <v>555</v>
      </c>
      <c r="J970" s="2" t="s">
        <v>499</v>
      </c>
      <c r="K970" s="2">
        <v>50</v>
      </c>
      <c r="L970" s="2">
        <v>3.15</v>
      </c>
      <c r="M970" s="2">
        <v>20</v>
      </c>
      <c r="N970" s="2">
        <v>60</v>
      </c>
      <c r="O970" s="2">
        <v>85</v>
      </c>
      <c r="P970" s="2"/>
      <c r="Q970" s="2" t="s">
        <v>95</v>
      </c>
      <c r="R970" s="10" t="s">
        <v>214</v>
      </c>
      <c r="S970" s="10" t="s">
        <v>613</v>
      </c>
      <c r="T970" s="188">
        <v>1000</v>
      </c>
      <c r="U970" s="8">
        <f t="shared" si="113"/>
        <v>180</v>
      </c>
      <c r="V970" s="234">
        <f t="shared" si="119"/>
        <v>82024.155246160299</v>
      </c>
      <c r="W970" s="15">
        <v>25</v>
      </c>
      <c r="X970" s="8">
        <f t="shared" si="116"/>
        <v>4.5</v>
      </c>
      <c r="Y970" s="233">
        <f t="shared" si="117"/>
        <v>3916.5</v>
      </c>
    </row>
    <row r="971" spans="1:25">
      <c r="A971" s="156" t="e" cm="1">
        <f t="array" aca="1" ref="A971" ca="1">_xlfn.IFS(E971=$AB$42,$AC$42,E971=$AB$43,$AC$43,E971=$AB$44,$AC$44,E971=$AB$45,$AC$45,E971=$AB$46,$AC$46,E971=$AB$47,$AC$47,E971=$AB$48,$AC$48,E971=$AB$49,$AC$49,E971=$AB$50,$AC$50,E971=$AB$51,$AC$51,E971=$AB$52,$AC$52,E971=$AB$53,$AC$53,E971=$AB$54,$AC$54,E971=$AB$55,$AC$55,E971=$AB$56,$AC$56,E971=$AB$57,$AC$57,E971=$AB$58,$AC$58,E971=$AB$59,$AC$59,E971=$AB$60,$AC$60,E971=$AB$61,$AC$61,E971=$AB$62,$AC$62,E971=$AB$63,$AC$63,E971=$AB$64,$AC$64,E971=$AB$65,$AC$65,E971=$AB$66,$AC$66,TRUE,"0")</f>
        <v>#NAME?</v>
      </c>
      <c r="C971" s="161" t="str" cm="1">
        <f t="array" ref="C971">_xlfn.IFS(E971=$AB$42,$AF$42,E971=$AB$43,$AF$43,E971=$AB$44,$AF$44,E971=$AB$45,$AF$45,E971=$AB$46,$AF$46,E971=$AB$47,$AF$47,E971=$AB$48,$AF$48,E971=$AB$49,$AF$49,E971=$AB$50,$AF$50,E971=$AB$51,$AF$51,E971=$AB$52,$AF$52,E971=$AB$53,$AF$53,E971=$AB$54,$AF$54,E971=$AB$55,$AF$55,E971=$AB$56,$AF$56,E971=$AB$57,$AF$57,E971=$AB$58,$AF$58,E971=$AB$59,$AF$59,E971=$AB$60,$AF$60,E971=$AB$61,$AF$61,E971=$AB$62,$AF$62,E971=$AB$63,$AF$63,E971=$AB$64,$AF$64,E971=$AB$65,$AF$65,E971=$AB$66,$AF$66,TRUE,"0")</f>
        <v>if 0-0, BACK+ 0.5 GOALS  @ 1.15+odds.  or @ 40 mins</v>
      </c>
      <c r="D971" s="270" t="str" cm="1">
        <f t="array" ref="D971">_xlfn.IFS(E971=$AB$42,$AD$42,E971=$AB$43,$AD$43,E971=$AB$44,$AD$44,E971=$AB$45,$AD$45,E971=$AB$46,$AD$46,E971=$AB$47,$AD$47,E971=$AB$48,$AD$48,E971=$AB$49,$AD$49,E971=$AB$50,$AD$50,E971=$AB$51,$AD$51,E971=$AB$52,$AD$52,E971=$AB$53,$AD$53,E971=$AB$54,$AD$54,E971=$AB$55,$AD$55,E971=$AB$56,$AD$56,E971=$AB$57,$AD$57,E971=$AB$58,$AD$58,E971=$AB$59,$AD$59,E971=$AB$60,$AD$60,E971=$AB$61,$AD$61,E971=$AB$62,$AD$62,E971=$AB$63,$AD$63,E971=$AB$64,$AD$64,E971=$AB$65,$AD$65,E971=$AB$66,$AD$66,TRUE,"0")</f>
        <v>IP</v>
      </c>
      <c r="E971" s="163" t="s">
        <v>270</v>
      </c>
      <c r="F971" s="2" t="s">
        <v>67</v>
      </c>
      <c r="G971" s="2" t="s">
        <v>169</v>
      </c>
      <c r="H971" s="3">
        <v>45396.520833333336</v>
      </c>
      <c r="I971" s="2" t="s">
        <v>255</v>
      </c>
      <c r="J971" s="2" t="s">
        <v>396</v>
      </c>
      <c r="K971" s="2">
        <v>63</v>
      </c>
      <c r="L971" s="2">
        <v>0</v>
      </c>
      <c r="M971" s="2">
        <v>20</v>
      </c>
      <c r="N971" s="2">
        <v>29</v>
      </c>
      <c r="O971" s="2">
        <v>2.27</v>
      </c>
      <c r="P971" s="2"/>
      <c r="Q971" s="2" t="s">
        <v>95</v>
      </c>
      <c r="R971" s="10" t="s">
        <v>214</v>
      </c>
      <c r="S971" s="10" t="s">
        <v>220</v>
      </c>
      <c r="T971" s="188">
        <v>1000</v>
      </c>
      <c r="U971" s="8">
        <f t="shared" si="113"/>
        <v>180</v>
      </c>
      <c r="V971" s="234">
        <f t="shared" si="119"/>
        <v>82204.155246160299</v>
      </c>
      <c r="W971" s="15">
        <v>25</v>
      </c>
      <c r="X971" s="8">
        <f t="shared" si="116"/>
        <v>4.5</v>
      </c>
      <c r="Y971" s="233">
        <f t="shared" si="117"/>
        <v>3921</v>
      </c>
    </row>
    <row r="972" spans="1:25">
      <c r="A972" s="156" t="e" cm="1">
        <f t="array" aca="1" ref="A972" ca="1">_xlfn.IFS(E972=$AB$42,$AC$42,E972=$AB$43,$AC$43,E972=$AB$44,$AC$44,E972=$AB$45,$AC$45,E972=$AB$46,$AC$46,E972=$AB$47,$AC$47,E972=$AB$48,$AC$48,E972=$AB$49,$AC$49,E972=$AB$50,$AC$50,E972=$AB$51,$AC$51,E972=$AB$52,$AC$52,E972=$AB$53,$AC$53,E972=$AB$54,$AC$54,E972=$AB$55,$AC$55,E972=$AB$56,$AC$56,E972=$AB$57,$AC$57,E972=$AB$58,$AC$58,E972=$AB$59,$AC$59,E972=$AB$60,$AC$60,E972=$AB$61,$AC$61,E972=$AB$62,$AC$62,E972=$AB$63,$AC$63,E972=$AB$64,$AC$64,E972=$AB$65,$AC$65,E972=$AB$66,$AC$66,TRUE,"0")</f>
        <v>#NAME?</v>
      </c>
      <c r="C972" s="161" t="str" cm="1">
        <f t="array" ref="C972">_xlfn.IFS(E972=$AB$42,$AF$42,E972=$AB$43,$AF$43,E972=$AB$44,$AF$44,E972=$AB$45,$AF$45,E972=$AB$46,$AF$46,E972=$AB$47,$AF$47,E972=$AB$48,$AF$48,E972=$AB$49,$AF$49,E972=$AB$50,$AF$50,E972=$AB$51,$AF$51,E972=$AB$52,$AF$52,E972=$AB$53,$AF$53,E972=$AB$54,$AF$54,E972=$AB$55,$AF$55,E972=$AB$56,$AF$56,E972=$AB$57,$AF$57,E972=$AB$58,$AF$58,E972=$AB$59,$AF$59,E972=$AB$60,$AF$60,E972=$AB$61,$AF$61,E972=$AB$62,$AF$62,E972=$AB$63,$AF$63,E972=$AB$64,$AF$64,E972=$AB$65,$AF$65,E972=$AB$66,$AF$66,TRUE,"0")</f>
        <v>B4 match BACK FT +1.5 goals. X AFTER  GOAL</v>
      </c>
      <c r="D972" s="270" t="str" cm="1">
        <f t="array" ref="D972">_xlfn.IFS(E972=$AB$42,$AD$42,E972=$AB$43,$AD$43,E972=$AB$44,$AD$44,E972=$AB$45,$AD$45,E972=$AB$46,$AD$46,E972=$AB$47,$AD$47,E972=$AB$48,$AD$48,E972=$AB$49,$AD$49,E972=$AB$50,$AD$50,E972=$AB$51,$AD$51,E972=$AB$52,$AD$52,E972=$AB$53,$AD$53,E972=$AB$54,$AD$54,E972=$AB$55,$AD$55,E972=$AB$56,$AD$56,E972=$AB$57,$AD$57,E972=$AB$58,$AD$58,E972=$AB$59,$AD$59,E972=$AB$60,$AD$60,E972=$AB$61,$AD$61,E972=$AB$62,$AD$62,E972=$AB$63,$AD$63,E972=$AB$64,$AD$64,E972=$AB$65,$AD$65,E972=$AB$66,$AD$66,TRUE,"0")</f>
        <v xml:space="preserve">BFM </v>
      </c>
      <c r="E972" s="163" t="s">
        <v>531</v>
      </c>
      <c r="F972" s="2" t="s">
        <v>149</v>
      </c>
      <c r="G972" s="2" t="s">
        <v>153</v>
      </c>
      <c r="H972" s="3">
        <v>45396.5625</v>
      </c>
      <c r="I972" s="2" t="s">
        <v>249</v>
      </c>
      <c r="J972" s="2" t="s">
        <v>282</v>
      </c>
      <c r="K972" s="2">
        <v>4.5999999999999996</v>
      </c>
      <c r="L972" s="2">
        <v>28</v>
      </c>
      <c r="M972" s="2">
        <v>3.25</v>
      </c>
      <c r="N972" s="2">
        <v>23</v>
      </c>
      <c r="O972" s="2">
        <v>4</v>
      </c>
      <c r="P972" s="2">
        <v>14</v>
      </c>
      <c r="Q972" s="2" t="s">
        <v>95</v>
      </c>
      <c r="R972" s="10" t="s">
        <v>193</v>
      </c>
      <c r="S972" s="10" t="s">
        <v>193</v>
      </c>
      <c r="T972" s="188">
        <v>1000</v>
      </c>
      <c r="U972" s="8">
        <f t="shared" ref="U972:U1035" si="120">IF(Q972="won",T972*0.18,-T972)</f>
        <v>180</v>
      </c>
      <c r="V972" s="234">
        <f t="shared" si="119"/>
        <v>82384.155246160299</v>
      </c>
      <c r="W972" s="15">
        <v>25</v>
      </c>
      <c r="X972" s="8">
        <f t="shared" si="116"/>
        <v>4.5</v>
      </c>
      <c r="Y972" s="233">
        <f t="shared" si="117"/>
        <v>3925.5</v>
      </c>
    </row>
    <row r="973" spans="1:25">
      <c r="A973" s="156" t="e" cm="1">
        <f t="array" aca="1" ref="A973" ca="1">_xlfn.IFS(E973=$AB$42,$AC$42,E973=$AB$43,$AC$43,E973=$AB$44,$AC$44,E973=$AB$45,$AC$45,E973=$AB$46,$AC$46,E973=$AB$47,$AC$47,E973=$AB$48,$AC$48,E973=$AB$49,$AC$49,E973=$AB$50,$AC$50,E973=$AB$51,$AC$51,E973=$AB$52,$AC$52,E973=$AB$53,$AC$53,E973=$AB$54,$AC$54,E973=$AB$55,$AC$55,E973=$AB$56,$AC$56,E973=$AB$57,$AC$57,E973=$AB$58,$AC$58,E973=$AB$59,$AC$59,E973=$AB$60,$AC$60,E973=$AB$61,$AC$61,E973=$AB$62,$AC$62,E973=$AB$63,$AC$63,E973=$AB$64,$AC$64,E973=$AB$65,$AC$65,E973=$AB$66,$AC$66,TRUE,"0")</f>
        <v>#NAME?</v>
      </c>
      <c r="C973" s="161" t="str" cm="1">
        <f t="array" ref="C973">_xlfn.IFS(E973=$AB$42,$AF$42,E973=$AB$43,$AF$43,E973=$AB$44,$AF$44,E973=$AB$45,$AF$45,E973=$AB$46,$AF$46,E973=$AB$47,$AF$47,E973=$AB$48,$AF$48,E973=$AB$49,$AF$49,E973=$AB$50,$AF$50,E973=$AB$51,$AF$51,E973=$AB$52,$AF$52,E973=$AB$53,$AF$53,E973=$AB$54,$AF$54,E973=$AB$55,$AF$55,E973=$AB$56,$AF$56,E973=$AB$57,$AF$57,E973=$AB$58,$AF$58,E973=$AB$59,$AF$59,E973=$AB$60,$AF$60,E973=$AB$61,$AF$61,E973=$AB$62,$AF$62,E973=$AB$63,$AF$63,E973=$AB$64,$AF$64,E973=$AB$65,$AF$65,E973=$AB$66,$AF$66,TRUE,"0")</f>
        <v>40 mins Back ANother Goal</v>
      </c>
      <c r="D973" s="270" t="str" cm="1">
        <f t="array" ref="D973">_xlfn.IFS(E973=$AB$42,$AD$42,E973=$AB$43,$AD$43,E973=$AB$44,$AD$44,E973=$AB$45,$AD$45,E973=$AB$46,$AD$46,E973=$AB$47,$AD$47,E973=$AB$48,$AD$48,E973=$AB$49,$AD$49,E973=$AB$50,$AD$50,E973=$AB$51,$AD$51,E973=$AB$52,$AD$52,E973=$AB$53,$AD$53,E973=$AB$54,$AD$54,E973=$AB$55,$AD$55,E973=$AB$56,$AD$56,E973=$AB$57,$AD$57,E973=$AB$58,$AD$58,E973=$AB$59,$AD$59,E973=$AB$60,$AD$60,E973=$AB$61,$AD$61,E973=$AB$62,$AD$62,E973=$AB$63,$AD$63,E973=$AB$64,$AD$64,E973=$AB$65,$AD$65,E973=$AB$66,$AD$66,TRUE,"0")</f>
        <v xml:space="preserve">  BANG</v>
      </c>
      <c r="E973" s="163" t="s">
        <v>726</v>
      </c>
      <c r="F973" s="2" t="s">
        <v>6</v>
      </c>
      <c r="G973" s="2" t="s">
        <v>62</v>
      </c>
      <c r="H973" s="154">
        <v>45396.583333333336</v>
      </c>
      <c r="I973" s="155" t="s">
        <v>285</v>
      </c>
      <c r="J973" s="2" t="s">
        <v>66</v>
      </c>
      <c r="K973" s="2">
        <v>90</v>
      </c>
      <c r="L973" s="2">
        <v>20</v>
      </c>
      <c r="M973" s="155">
        <v>2.2000000000000002</v>
      </c>
      <c r="N973" s="155">
        <v>63</v>
      </c>
      <c r="O973" s="2"/>
      <c r="P973" s="2"/>
      <c r="Q973" s="2" t="s">
        <v>96</v>
      </c>
      <c r="R973" s="10" t="s">
        <v>193</v>
      </c>
      <c r="S973" s="10" t="s">
        <v>193</v>
      </c>
      <c r="T973" s="188">
        <v>1000</v>
      </c>
      <c r="U973" s="8">
        <f t="shared" si="120"/>
        <v>-1000</v>
      </c>
      <c r="V973" s="234">
        <f t="shared" si="119"/>
        <v>81384.155246160299</v>
      </c>
      <c r="W973" s="15">
        <v>25</v>
      </c>
      <c r="X973" s="8">
        <f t="shared" si="116"/>
        <v>-25</v>
      </c>
      <c r="Y973" s="233">
        <f t="shared" si="117"/>
        <v>3900.5</v>
      </c>
    </row>
    <row r="974" spans="1:25">
      <c r="A974" s="156" t="e" cm="1">
        <f t="array" aca="1" ref="A974" ca="1">_xlfn.IFS(E974=$AB$42,$AC$42,E974=$AB$43,$AC$43,E974=$AB$44,$AC$44,E974=$AB$45,$AC$45,E974=$AB$46,$AC$46,E974=$AB$47,$AC$47,E974=$AB$48,$AC$48,E974=$AB$49,$AC$49,E974=$AB$50,$AC$50,E974=$AB$51,$AC$51,E974=$AB$52,$AC$52,E974=$AB$53,$AC$53,E974=$AB$54,$AC$54,E974=$AB$55,$AC$55,E974=$AB$56,$AC$56,E974=$AB$57,$AC$57,E974=$AB$58,$AC$58,E974=$AB$59,$AC$59,E974=$AB$60,$AC$60,E974=$AB$61,$AC$61,E974=$AB$62,$AC$62,E974=$AB$63,$AC$63,E974=$AB$64,$AC$64,E974=$AB$65,$AC$65,E974=$AB$66,$AC$66,TRUE,"0")</f>
        <v>#NAME?</v>
      </c>
      <c r="C974" s="161" t="str" cm="1">
        <f t="array" ref="C974">_xlfn.IFS(E974=$AB$42,$AF$42,E974=$AB$43,$AF$43,E974=$AB$44,$AF$44,E974=$AB$45,$AF$45,E974=$AB$46,$AF$46,E974=$AB$47,$AF$47,E974=$AB$48,$AF$48,E974=$AB$49,$AF$49,E974=$AB$50,$AF$50,E974=$AB$51,$AF$51,E974=$AB$52,$AF$52,E974=$AB$53,$AF$53,E974=$AB$54,$AF$54,E974=$AB$55,$AF$55,E974=$AB$56,$AF$56,E974=$AB$57,$AF$57,E974=$AB$58,$AF$58,E974=$AB$59,$AF$59,E974=$AB$60,$AF$60,E974=$AB$61,$AF$61,E974=$AB$62,$AF$62,E974=$AB$63,$AF$63,E974=$AB$64,$AF$64,E974=$AB$65,$AF$65,E974=$AB$66,$AF$66,TRUE,"0")</f>
        <v>B4 match BACK FT +1.5 goals. X AFTER  GOAL</v>
      </c>
      <c r="D974" s="270" t="str" cm="1">
        <f t="array" ref="D974">_xlfn.IFS(E974=$AB$42,$AD$42,E974=$AB$43,$AD$43,E974=$AB$44,$AD$44,E974=$AB$45,$AD$45,E974=$AB$46,$AD$46,E974=$AB$47,$AD$47,E974=$AB$48,$AD$48,E974=$AB$49,$AD$49,E974=$AB$50,$AD$50,E974=$AB$51,$AD$51,E974=$AB$52,$AD$52,E974=$AB$53,$AD$53,E974=$AB$54,$AD$54,E974=$AB$55,$AD$55,E974=$AB$56,$AD$56,E974=$AB$57,$AD$57,E974=$AB$58,$AD$58,E974=$AB$59,$AD$59,E974=$AB$60,$AD$60,E974=$AB$61,$AD$61,E974=$AB$62,$AD$62,E974=$AB$63,$AD$63,E974=$AB$64,$AD$64,E974=$AB$65,$AD$65,E974=$AB$66,$AD$66,TRUE,"0")</f>
        <v xml:space="preserve">BFM </v>
      </c>
      <c r="E974" s="163" t="s">
        <v>623</v>
      </c>
      <c r="F974" s="2" t="s">
        <v>6</v>
      </c>
      <c r="G974" s="2" t="s">
        <v>62</v>
      </c>
      <c r="H974" s="3">
        <v>45396.583333333336</v>
      </c>
      <c r="I974" s="2" t="s">
        <v>285</v>
      </c>
      <c r="J974" s="2" t="s">
        <v>66</v>
      </c>
      <c r="K974" s="2">
        <v>3.05</v>
      </c>
      <c r="L974" s="2">
        <v>20</v>
      </c>
      <c r="M974" s="2">
        <v>3.45</v>
      </c>
      <c r="N974" s="2">
        <v>28</v>
      </c>
      <c r="O974" s="2">
        <v>4</v>
      </c>
      <c r="P974" s="2">
        <v>10</v>
      </c>
      <c r="Q974" s="2" t="s">
        <v>95</v>
      </c>
      <c r="R974" s="10" t="s">
        <v>193</v>
      </c>
      <c r="S974" s="10" t="s">
        <v>193</v>
      </c>
      <c r="T974" s="188">
        <v>1000</v>
      </c>
      <c r="U974" s="8">
        <f t="shared" si="120"/>
        <v>180</v>
      </c>
      <c r="V974" s="234">
        <f t="shared" si="119"/>
        <v>81564.155246160299</v>
      </c>
      <c r="W974" s="15">
        <v>25</v>
      </c>
      <c r="X974" s="8">
        <f t="shared" si="116"/>
        <v>4.5</v>
      </c>
      <c r="Y974" s="233">
        <f t="shared" si="117"/>
        <v>3905</v>
      </c>
    </row>
    <row r="975" spans="1:25">
      <c r="A975" s="156" t="e" cm="1">
        <f t="array" aca="1" ref="A975" ca="1">_xlfn.IFS(E975=$AB$42,$AC$42,E975=$AB$43,$AC$43,E975=$AB$44,$AC$44,E975=$AB$45,$AC$45,E975=$AB$46,$AC$46,E975=$AB$47,$AC$47,E975=$AB$48,$AC$48,E975=$AB$49,$AC$49,E975=$AB$50,$AC$50,E975=$AB$51,$AC$51,E975=$AB$52,$AC$52,E975=$AB$53,$AC$53,E975=$AB$54,$AC$54,E975=$AB$55,$AC$55,E975=$AB$56,$AC$56,E975=$AB$57,$AC$57,E975=$AB$58,$AC$58,E975=$AB$59,$AC$59,E975=$AB$60,$AC$60,E975=$AB$61,$AC$61,E975=$AB$62,$AC$62,E975=$AB$63,$AC$63,E975=$AB$64,$AC$64,E975=$AB$65,$AC$65,E975=$AB$66,$AC$66,TRUE,"0")</f>
        <v>#NAME?</v>
      </c>
      <c r="C975" s="161" t="str" cm="1">
        <f t="array" ref="C975">_xlfn.IFS(E975=$AB$42,$AF$42,E975=$AB$43,$AF$43,E975=$AB$44,$AF$44,E975=$AB$45,$AF$45,E975=$AB$46,$AF$46,E975=$AB$47,$AF$47,E975=$AB$48,$AF$48,E975=$AB$49,$AF$49,E975=$AB$50,$AF$50,E975=$AB$51,$AF$51,E975=$AB$52,$AF$52,E975=$AB$53,$AF$53,E975=$AB$54,$AF$54,E975=$AB$55,$AF$55,E975=$AB$56,$AF$56,E975=$AB$57,$AF$57,E975=$AB$58,$AF$58,E975=$AB$59,$AF$59,E975=$AB$60,$AF$60,E975=$AB$61,$AF$61,E975=$AB$62,$AF$62,E975=$AB$63,$AF$63,E975=$AB$64,$AF$64,E975=$AB$65,$AF$65,E975=$AB$66,$AF$66,TRUE,"0")</f>
        <v>40 mins Back ANother Goal</v>
      </c>
      <c r="D975" s="270" t="str" cm="1">
        <f t="array" ref="D975">_xlfn.IFS(E975=$AB$42,$AD$42,E975=$AB$43,$AD$43,E975=$AB$44,$AD$44,E975=$AB$45,$AD$45,E975=$AB$46,$AD$46,E975=$AB$47,$AD$47,E975=$AB$48,$AD$48,E975=$AB$49,$AD$49,E975=$AB$50,$AD$50,E975=$AB$51,$AD$51,E975=$AB$52,$AD$52,E975=$AB$53,$AD$53,E975=$AB$54,$AD$54,E975=$AB$55,$AD$55,E975=$AB$56,$AD$56,E975=$AB$57,$AD$57,E975=$AB$58,$AD$58,E975=$AB$59,$AD$59,E975=$AB$60,$AD$60,E975=$AB$61,$AD$61,E975=$AB$62,$AD$62,E975=$AB$63,$AD$63,E975=$AB$64,$AD$64,E975=$AB$65,$AD$65,E975=$AB$66,$AD$66,TRUE,"0")</f>
        <v xml:space="preserve">  BANG</v>
      </c>
      <c r="E975" s="163" t="s">
        <v>726</v>
      </c>
      <c r="F975" s="2" t="s">
        <v>20</v>
      </c>
      <c r="G975" s="2" t="s">
        <v>21</v>
      </c>
      <c r="H975" s="154">
        <v>45396.583333333336</v>
      </c>
      <c r="I975" s="155" t="s">
        <v>370</v>
      </c>
      <c r="J975" s="2" t="s">
        <v>109</v>
      </c>
      <c r="K975" s="2">
        <v>80</v>
      </c>
      <c r="L975" s="2">
        <v>20</v>
      </c>
      <c r="M975" s="155">
        <v>1.9</v>
      </c>
      <c r="N975" s="155">
        <v>62</v>
      </c>
      <c r="O975" s="2"/>
      <c r="P975" s="2"/>
      <c r="Q975" s="2" t="s">
        <v>95</v>
      </c>
      <c r="R975" s="10" t="s">
        <v>222</v>
      </c>
      <c r="S975" s="10" t="s">
        <v>279</v>
      </c>
      <c r="T975" s="188">
        <v>1000</v>
      </c>
      <c r="U975" s="8">
        <f t="shared" si="120"/>
        <v>180</v>
      </c>
      <c r="V975" s="234">
        <f t="shared" ref="V975" si="121">SUM(V974,U975)</f>
        <v>81744.155246160299</v>
      </c>
      <c r="W975" s="15">
        <v>25</v>
      </c>
      <c r="X975" s="8">
        <f t="shared" si="116"/>
        <v>4.5</v>
      </c>
      <c r="Y975" s="233">
        <f t="shared" si="117"/>
        <v>3909.5</v>
      </c>
    </row>
    <row r="976" spans="1:25">
      <c r="A976" s="156" t="e" cm="1">
        <f t="array" aca="1" ref="A976" ca="1">_xlfn.IFS(E976=$AB$42,$AC$42,E976=$AB$43,$AC$43,E976=$AB$44,$AC$44,E976=$AB$45,$AC$45,E976=$AB$46,$AC$46,E976=$AB$47,$AC$47,E976=$AB$48,$AC$48,E976=$AB$49,$AC$49,E976=$AB$50,$AC$50,E976=$AB$51,$AC$51,E976=$AB$52,$AC$52,E976=$AB$53,$AC$53,E976=$AB$54,$AC$54,E976=$AB$55,$AC$55,E976=$AB$56,$AC$56,E976=$AB$57,$AC$57,E976=$AB$58,$AC$58,E976=$AB$59,$AC$59,E976=$AB$60,$AC$60,E976=$AB$61,$AC$61,E976=$AB$62,$AC$62,E976=$AB$63,$AC$63,E976=$AB$64,$AC$64,E976=$AB$65,$AC$65,E976=$AB$66,$AC$66,TRUE,"0")</f>
        <v>#NAME?</v>
      </c>
      <c r="C976" s="161" t="str" cm="1">
        <f t="array" ref="C976">_xlfn.IFS(E976=$AB$42,$AF$42,E976=$AB$43,$AF$43,E976=$AB$44,$AF$44,E976=$AB$45,$AF$45,E976=$AB$46,$AF$46,E976=$AB$47,$AF$47,E976=$AB$48,$AF$48,E976=$AB$49,$AF$49,E976=$AB$50,$AF$50,E976=$AB$51,$AF$51,E976=$AB$52,$AF$52,E976=$AB$53,$AF$53,E976=$AB$54,$AF$54,E976=$AB$55,$AF$55,E976=$AB$56,$AF$56,E976=$AB$57,$AF$57,E976=$AB$58,$AF$58,E976=$AB$59,$AF$59,E976=$AB$60,$AF$60,E976=$AB$61,$AF$61,E976=$AB$62,$AF$62,E976=$AB$63,$AF$63,E976=$AB$64,$AF$64,E976=$AB$65,$AF$65,E976=$AB$66,$AF$66,TRUE,"0")</f>
        <v>20mins if  0-0, BACK over 1.5 goals X after goal OR LET RUN</v>
      </c>
      <c r="D976" s="270" t="str" cm="1">
        <f t="array" ref="D976">_xlfn.IFS(E976=$AB$42,$AD$42,E976=$AB$43,$AD$43,E976=$AB$44,$AD$44,E976=$AB$45,$AD$45,E976=$AB$46,$AD$46,E976=$AB$47,$AD$47,E976=$AB$48,$AD$48,E976=$AB$49,$AD$49,E976=$AB$50,$AD$50,E976=$AB$51,$AD$51,E976=$AB$52,$AD$52,E976=$AB$53,$AD$53,E976=$AB$54,$AD$54,E976=$AB$55,$AD$55,E976=$AB$56,$AD$56,E976=$AB$57,$AD$57,E976=$AB$58,$AD$58,E976=$AB$59,$AD$59,E976=$AB$60,$AD$60,E976=$AB$61,$AD$61,E976=$AB$62,$AD$62,E976=$AB$63,$AD$63,E976=$AB$64,$AD$64,E976=$AB$65,$AD$65,E976=$AB$66,$AD$66,TRUE,"0")</f>
        <v>IP</v>
      </c>
      <c r="E976" s="163" t="s">
        <v>474</v>
      </c>
      <c r="F976" s="2" t="s">
        <v>20</v>
      </c>
      <c r="G976" s="2" t="s">
        <v>21</v>
      </c>
      <c r="H976" s="3">
        <v>45396.583333333336</v>
      </c>
      <c r="I976" s="2" t="s">
        <v>370</v>
      </c>
      <c r="J976" s="2" t="s">
        <v>109</v>
      </c>
      <c r="K976" s="2">
        <v>51</v>
      </c>
      <c r="L976" s="2">
        <v>3.5</v>
      </c>
      <c r="M976" s="2">
        <v>20</v>
      </c>
      <c r="N976" s="2">
        <v>70</v>
      </c>
      <c r="O976" s="2">
        <v>85</v>
      </c>
      <c r="P976" s="2"/>
      <c r="Q976" s="2" t="s">
        <v>95</v>
      </c>
      <c r="R976" s="10" t="s">
        <v>222</v>
      </c>
      <c r="S976" s="10" t="s">
        <v>279</v>
      </c>
      <c r="T976" s="188">
        <v>1000</v>
      </c>
      <c r="U976" s="8">
        <f t="shared" si="120"/>
        <v>180</v>
      </c>
      <c r="V976" s="234">
        <f t="shared" si="119"/>
        <v>81924.155246160299</v>
      </c>
      <c r="W976" s="15">
        <v>25</v>
      </c>
      <c r="X976" s="8">
        <f t="shared" si="116"/>
        <v>4.5</v>
      </c>
      <c r="Y976" s="233">
        <f t="shared" si="117"/>
        <v>3914</v>
      </c>
    </row>
    <row r="977" spans="1:25">
      <c r="A977" s="156" t="e" cm="1">
        <f t="array" aca="1" ref="A977" ca="1">_xlfn.IFS(E977=$AB$42,$AC$42,E977=$AB$43,$AC$43,E977=$AB$44,$AC$44,E977=$AB$45,$AC$45,E977=$AB$46,$AC$46,E977=$AB$47,$AC$47,E977=$AB$48,$AC$48,E977=$AB$49,$AC$49,E977=$AB$50,$AC$50,E977=$AB$51,$AC$51,E977=$AB$52,$AC$52,E977=$AB$53,$AC$53,E977=$AB$54,$AC$54,E977=$AB$55,$AC$55,E977=$AB$56,$AC$56,E977=$AB$57,$AC$57,E977=$AB$58,$AC$58,E977=$AB$59,$AC$59,E977=$AB$60,$AC$60,E977=$AB$61,$AC$61,E977=$AB$62,$AC$62,E977=$AB$63,$AC$63,E977=$AB$64,$AC$64,E977=$AB$65,$AC$65,E977=$AB$66,$AC$66,TRUE,"0")</f>
        <v>#NAME?</v>
      </c>
      <c r="C977" s="161" t="str" cm="1">
        <f t="array" ref="C977">_xlfn.IFS(E977=$AB$42,$AF$42,E977=$AB$43,$AF$43,E977=$AB$44,$AF$44,E977=$AB$45,$AF$45,E977=$AB$46,$AF$46,E977=$AB$47,$AF$47,E977=$AB$48,$AF$48,E977=$AB$49,$AF$49,E977=$AB$50,$AF$50,E977=$AB$51,$AF$51,E977=$AB$52,$AF$52,E977=$AB$53,$AF$53,E977=$AB$54,$AF$54,E977=$AB$55,$AF$55,E977=$AB$56,$AF$56,E977=$AB$57,$AF$57,E977=$AB$58,$AF$58,E977=$AB$59,$AF$59,E977=$AB$60,$AF$60,E977=$AB$61,$AF$61,E977=$AB$62,$AF$62,E977=$AB$63,$AF$63,E977=$AB$64,$AF$64,E977=$AB$65,$AF$65,E977=$AB$66,$AF$66,TRUE,"0")</f>
        <v>40 mins Back ANother Goal</v>
      </c>
      <c r="D977" s="270" t="str" cm="1">
        <f t="array" ref="D977">_xlfn.IFS(E977=$AB$42,$AD$42,E977=$AB$43,$AD$43,E977=$AB$44,$AD$44,E977=$AB$45,$AD$45,E977=$AB$46,$AD$46,E977=$AB$47,$AD$47,E977=$AB$48,$AD$48,E977=$AB$49,$AD$49,E977=$AB$50,$AD$50,E977=$AB$51,$AD$51,E977=$AB$52,$AD$52,E977=$AB$53,$AD$53,E977=$AB$54,$AD$54,E977=$AB$55,$AD$55,E977=$AB$56,$AD$56,E977=$AB$57,$AD$57,E977=$AB$58,$AD$58,E977=$AB$59,$AD$59,E977=$AB$60,$AD$60,E977=$AB$61,$AD$61,E977=$AB$62,$AD$62,E977=$AB$63,$AD$63,E977=$AB$64,$AD$64,E977=$AB$65,$AD$65,E977=$AB$66,$AD$66,TRUE,"0")</f>
        <v xml:space="preserve">  BANG</v>
      </c>
      <c r="E977" s="163" t="s">
        <v>726</v>
      </c>
      <c r="F977" s="2" t="s">
        <v>6</v>
      </c>
      <c r="G977" s="2" t="s">
        <v>62</v>
      </c>
      <c r="H977" s="154">
        <v>45396.583333333336</v>
      </c>
      <c r="I977" s="155" t="s">
        <v>74</v>
      </c>
      <c r="J977" s="2" t="s">
        <v>115</v>
      </c>
      <c r="K977" s="2">
        <v>85</v>
      </c>
      <c r="L977" s="2">
        <v>20</v>
      </c>
      <c r="M977" s="155">
        <v>1.9</v>
      </c>
      <c r="N977" s="155">
        <v>63</v>
      </c>
      <c r="O977" s="2"/>
      <c r="P977" s="2"/>
      <c r="Q977" s="2" t="s">
        <v>95</v>
      </c>
      <c r="R977" s="10" t="s">
        <v>193</v>
      </c>
      <c r="S977" s="10" t="s">
        <v>217</v>
      </c>
      <c r="T977" s="188">
        <v>1000</v>
      </c>
      <c r="U977" s="8">
        <f t="shared" si="120"/>
        <v>180</v>
      </c>
      <c r="V977" s="234">
        <f t="shared" si="119"/>
        <v>82104.155246160299</v>
      </c>
      <c r="W977" s="15">
        <v>25</v>
      </c>
      <c r="X977" s="8">
        <f t="shared" si="116"/>
        <v>4.5</v>
      </c>
      <c r="Y977" s="233">
        <f t="shared" si="117"/>
        <v>3918.5</v>
      </c>
    </row>
    <row r="978" spans="1:25">
      <c r="A978" s="156" t="e" cm="1">
        <f t="array" aca="1" ref="A978" ca="1">_xlfn.IFS(E978=$AB$42,$AC$42,E978=$AB$43,$AC$43,E978=$AB$44,$AC$44,E978=$AB$45,$AC$45,E978=$AB$46,$AC$46,E978=$AB$47,$AC$47,E978=$AB$48,$AC$48,E978=$AB$49,$AC$49,E978=$AB$50,$AC$50,E978=$AB$51,$AC$51,E978=$AB$52,$AC$52,E978=$AB$53,$AC$53,E978=$AB$54,$AC$54,E978=$AB$55,$AC$55,E978=$AB$56,$AC$56,E978=$AB$57,$AC$57,E978=$AB$58,$AC$58,E978=$AB$59,$AC$59,E978=$AB$60,$AC$60,E978=$AB$61,$AC$61,E978=$AB$62,$AC$62,E978=$AB$63,$AC$63,E978=$AB$64,$AC$64,E978=$AB$65,$AC$65,E978=$AB$66,$AC$66,TRUE,"0")</f>
        <v>#NAME?</v>
      </c>
      <c r="C978" s="161" t="str" cm="1">
        <f t="array" ref="C978">_xlfn.IFS(E978=$AB$42,$AF$42,E978=$AB$43,$AF$43,E978=$AB$44,$AF$44,E978=$AB$45,$AF$45,E978=$AB$46,$AF$46,E978=$AB$47,$AF$47,E978=$AB$48,$AF$48,E978=$AB$49,$AF$49,E978=$AB$50,$AF$50,E978=$AB$51,$AF$51,E978=$AB$52,$AF$52,E978=$AB$53,$AF$53,E978=$AB$54,$AF$54,E978=$AB$55,$AF$55,E978=$AB$56,$AF$56,E978=$AB$57,$AF$57,E978=$AB$58,$AF$58,E978=$AB$59,$AF$59,E978=$AB$60,$AF$60,E978=$AB$61,$AF$61,E978=$AB$62,$AF$62,E978=$AB$63,$AF$63,E978=$AB$64,$AF$64,E978=$AB$65,$AF$65,E978=$AB$66,$AF$66,TRUE,"0")</f>
        <v>20mins if  0-0, BACK over 1.5 goals X after goal OR LET RUN</v>
      </c>
      <c r="D978" s="270" t="str" cm="1">
        <f t="array" ref="D978">_xlfn.IFS(E978=$AB$42,$AD$42,E978=$AB$43,$AD$43,E978=$AB$44,$AD$44,E978=$AB$45,$AD$45,E978=$AB$46,$AD$46,E978=$AB$47,$AD$47,E978=$AB$48,$AD$48,E978=$AB$49,$AD$49,E978=$AB$50,$AD$50,E978=$AB$51,$AD$51,E978=$AB$52,$AD$52,E978=$AB$53,$AD$53,E978=$AB$54,$AD$54,E978=$AB$55,$AD$55,E978=$AB$56,$AD$56,E978=$AB$57,$AD$57,E978=$AB$58,$AD$58,E978=$AB$59,$AD$59,E978=$AB$60,$AD$60,E978=$AB$61,$AD$61,E978=$AB$62,$AD$62,E978=$AB$63,$AD$63,E978=$AB$64,$AD$64,E978=$AB$65,$AD$65,E978=$AB$66,$AD$66,TRUE,"0")</f>
        <v>IP</v>
      </c>
      <c r="E978" s="163" t="s">
        <v>474</v>
      </c>
      <c r="F978" s="2" t="s">
        <v>133</v>
      </c>
      <c r="G978" s="2" t="s">
        <v>78</v>
      </c>
      <c r="H978" s="3">
        <v>45396.625</v>
      </c>
      <c r="I978" s="2" t="s">
        <v>466</v>
      </c>
      <c r="J978" s="2" t="s">
        <v>394</v>
      </c>
      <c r="K978" s="2">
        <v>55</v>
      </c>
      <c r="L978" s="2">
        <v>3.25</v>
      </c>
      <c r="M978" s="2">
        <v>20</v>
      </c>
      <c r="N978" s="2">
        <v>70</v>
      </c>
      <c r="O978" s="2">
        <v>100</v>
      </c>
      <c r="P978" s="2"/>
      <c r="Q978" s="2" t="s">
        <v>95</v>
      </c>
      <c r="R978" s="10" t="s">
        <v>216</v>
      </c>
      <c r="S978" s="10" t="s">
        <v>215</v>
      </c>
      <c r="T978" s="188">
        <v>1000</v>
      </c>
      <c r="U978" s="8">
        <f t="shared" si="120"/>
        <v>180</v>
      </c>
      <c r="V978" s="234">
        <f t="shared" si="119"/>
        <v>82284.155246160299</v>
      </c>
      <c r="W978" s="15">
        <v>25</v>
      </c>
      <c r="X978" s="8">
        <f t="shared" si="116"/>
        <v>4.5</v>
      </c>
      <c r="Y978" s="233">
        <f t="shared" si="117"/>
        <v>3923</v>
      </c>
    </row>
    <row r="979" spans="1:25">
      <c r="A979" s="156" t="e" cm="1">
        <f t="array" aca="1" ref="A979" ca="1">_xlfn.IFS(E979=$AB$42,$AC$42,E979=$AB$43,$AC$43,E979=$AB$44,$AC$44,E979=$AB$45,$AC$45,E979=$AB$46,$AC$46,E979=$AB$47,$AC$47,E979=$AB$48,$AC$48,E979=$AB$49,$AC$49,E979=$AB$50,$AC$50,E979=$AB$51,$AC$51,E979=$AB$52,$AC$52,E979=$AB$53,$AC$53,E979=$AB$54,$AC$54,E979=$AB$55,$AC$55,E979=$AB$56,$AC$56,E979=$AB$57,$AC$57,E979=$AB$58,$AC$58,E979=$AB$59,$AC$59,E979=$AB$60,$AC$60,E979=$AB$61,$AC$61,E979=$AB$62,$AC$62,E979=$AB$63,$AC$63,E979=$AB$64,$AC$64,E979=$AB$65,$AC$65,E979=$AB$66,$AC$66,TRUE,"0")</f>
        <v>#NAME?</v>
      </c>
      <c r="C979" s="161" t="str" cm="1">
        <f t="array" ref="C979">_xlfn.IFS(E979=$AB$42,$AF$42,E979=$AB$43,$AF$43,E979=$AB$44,$AF$44,E979=$AB$45,$AF$45,E979=$AB$46,$AF$46,E979=$AB$47,$AF$47,E979=$AB$48,$AF$48,E979=$AB$49,$AF$49,E979=$AB$50,$AF$50,E979=$AB$51,$AF$51,E979=$AB$52,$AF$52,E979=$AB$53,$AF$53,E979=$AB$54,$AF$54,E979=$AB$55,$AF$55,E979=$AB$56,$AF$56,E979=$AB$57,$AF$57,E979=$AB$58,$AF$58,E979=$AB$59,$AF$59,E979=$AB$60,$AF$60,E979=$AB$61,$AF$61,E979=$AB$62,$AF$62,E979=$AB$63,$AF$63,E979=$AB$64,$AF$64,E979=$AB$65,$AF$65,E979=$AB$66,$AF$66,TRUE,"0")</f>
        <v>40 mins Back ANother Goal</v>
      </c>
      <c r="D979" s="270" t="str" cm="1">
        <f t="array" ref="D979">_xlfn.IFS(E979=$AB$42,$AD$42,E979=$AB$43,$AD$43,E979=$AB$44,$AD$44,E979=$AB$45,$AD$45,E979=$AB$46,$AD$46,E979=$AB$47,$AD$47,E979=$AB$48,$AD$48,E979=$AB$49,$AD$49,E979=$AB$50,$AD$50,E979=$AB$51,$AD$51,E979=$AB$52,$AD$52,E979=$AB$53,$AD$53,E979=$AB$54,$AD$54,E979=$AB$55,$AD$55,E979=$AB$56,$AD$56,E979=$AB$57,$AD$57,E979=$AB$58,$AD$58,E979=$AB$59,$AD$59,E979=$AB$60,$AD$60,E979=$AB$61,$AD$61,E979=$AB$62,$AD$62,E979=$AB$63,$AD$63,E979=$AB$64,$AD$64,E979=$AB$65,$AD$65,E979=$AB$66,$AD$66,TRUE,"0")</f>
        <v xml:space="preserve">  BANG</v>
      </c>
      <c r="E979" s="163" t="s">
        <v>43</v>
      </c>
      <c r="F979" s="2" t="s">
        <v>119</v>
      </c>
      <c r="G979" s="2" t="s">
        <v>166</v>
      </c>
      <c r="H979" s="154">
        <v>45396.635416666664</v>
      </c>
      <c r="I979" s="155" t="s">
        <v>238</v>
      </c>
      <c r="J979" s="2" t="s">
        <v>327</v>
      </c>
      <c r="K979" s="2">
        <v>82</v>
      </c>
      <c r="L979" s="2">
        <v>70</v>
      </c>
      <c r="M979" s="2">
        <v>63</v>
      </c>
      <c r="N979" s="2">
        <v>1.8</v>
      </c>
      <c r="O979" s="2">
        <v>1.04</v>
      </c>
      <c r="P979" s="2"/>
      <c r="Q979" s="2" t="s">
        <v>95</v>
      </c>
      <c r="R979" s="10" t="s">
        <v>221</v>
      </c>
      <c r="S979" s="10" t="s">
        <v>214</v>
      </c>
      <c r="T979" s="188">
        <v>1000</v>
      </c>
      <c r="U979" s="8">
        <f t="shared" si="120"/>
        <v>180</v>
      </c>
      <c r="V979" s="234">
        <f t="shared" si="119"/>
        <v>82464.155246160299</v>
      </c>
      <c r="W979" s="15">
        <v>25</v>
      </c>
      <c r="X979" s="8">
        <f t="shared" si="116"/>
        <v>4.5</v>
      </c>
      <c r="Y979" s="233">
        <f t="shared" si="117"/>
        <v>3927.5</v>
      </c>
    </row>
    <row r="980" spans="1:25">
      <c r="A980" s="156" t="e" cm="1">
        <f t="array" aca="1" ref="A980" ca="1">_xlfn.IFS(E980=$AB$42,$AC$42,E980=$AB$43,$AC$43,E980=$AB$44,$AC$44,E980=$AB$45,$AC$45,E980=$AB$46,$AC$46,E980=$AB$47,$AC$47,E980=$AB$48,$AC$48,E980=$AB$49,$AC$49,E980=$AB$50,$AC$50,E980=$AB$51,$AC$51,E980=$AB$52,$AC$52,E980=$AB$53,$AC$53,E980=$AB$54,$AC$54,E980=$AB$55,$AC$55,E980=$AB$56,$AC$56,E980=$AB$57,$AC$57,E980=$AB$58,$AC$58,E980=$AB$59,$AC$59,E980=$AB$60,$AC$60,E980=$AB$61,$AC$61,E980=$AB$62,$AC$62,E980=$AB$63,$AC$63,E980=$AB$64,$AC$64,E980=$AB$65,$AC$65,E980=$AB$66,$AC$66,TRUE,"0")</f>
        <v>#NAME?</v>
      </c>
      <c r="C980" s="161" t="str" cm="1">
        <f t="array" ref="C980">_xlfn.IFS(E980=$AB$42,$AF$42,E980=$AB$43,$AF$43,E980=$AB$44,$AF$44,E980=$AB$45,$AF$45,E980=$AB$46,$AF$46,E980=$AB$47,$AF$47,E980=$AB$48,$AF$48,E980=$AB$49,$AF$49,E980=$AB$50,$AF$50,E980=$AB$51,$AF$51,E980=$AB$52,$AF$52,E980=$AB$53,$AF$53,E980=$AB$54,$AF$54,E980=$AB$55,$AF$55,E980=$AB$56,$AF$56,E980=$AB$57,$AF$57,E980=$AB$58,$AF$58,E980=$AB$59,$AF$59,E980=$AB$60,$AF$60,E980=$AB$61,$AF$61,E980=$AB$62,$AF$62,E980=$AB$63,$AF$63,E980=$AB$64,$AF$64,E980=$AB$65,$AF$65,E980=$AB$66,$AF$66,TRUE,"0")</f>
        <v>40 mins Back ANother Goal</v>
      </c>
      <c r="D980" s="270" t="str" cm="1">
        <f t="array" ref="D980">_xlfn.IFS(E980=$AB$42,$AD$42,E980=$AB$43,$AD$43,E980=$AB$44,$AD$44,E980=$AB$45,$AD$45,E980=$AB$46,$AD$46,E980=$AB$47,$AD$47,E980=$AB$48,$AD$48,E980=$AB$49,$AD$49,E980=$AB$50,$AD$50,E980=$AB$51,$AD$51,E980=$AB$52,$AD$52,E980=$AB$53,$AD$53,E980=$AB$54,$AD$54,E980=$AB$55,$AD$55,E980=$AB$56,$AD$56,E980=$AB$57,$AD$57,E980=$AB$58,$AD$58,E980=$AB$59,$AD$59,E980=$AB$60,$AD$60,E980=$AB$61,$AD$61,E980=$AB$62,$AD$62,E980=$AB$63,$AD$63,E980=$AB$64,$AD$64,E980=$AB$65,$AD$65,E980=$AB$66,$AD$66,TRUE,"0")</f>
        <v xml:space="preserve">  BANG</v>
      </c>
      <c r="E980" s="163" t="s">
        <v>519</v>
      </c>
      <c r="F980" s="2" t="s">
        <v>119</v>
      </c>
      <c r="G980" s="2" t="s">
        <v>166</v>
      </c>
      <c r="H980" s="154">
        <v>45396.635416666664</v>
      </c>
      <c r="I980" s="155" t="s">
        <v>238</v>
      </c>
      <c r="J980" s="2" t="s">
        <v>327</v>
      </c>
      <c r="K980" s="2">
        <v>20</v>
      </c>
      <c r="L980" s="2">
        <v>95</v>
      </c>
      <c r="M980" s="2">
        <v>95</v>
      </c>
      <c r="N980" s="2"/>
      <c r="O980" s="2"/>
      <c r="P980" s="2"/>
      <c r="Q980" s="2" t="s">
        <v>95</v>
      </c>
      <c r="R980" s="10" t="s">
        <v>221</v>
      </c>
      <c r="S980" s="10" t="s">
        <v>214</v>
      </c>
      <c r="T980" s="188">
        <v>1000</v>
      </c>
      <c r="U980" s="8">
        <f t="shared" si="120"/>
        <v>180</v>
      </c>
      <c r="V980" s="234">
        <f t="shared" si="119"/>
        <v>82644.155246160299</v>
      </c>
      <c r="W980" s="15">
        <v>25</v>
      </c>
      <c r="X980" s="8">
        <f t="shared" si="116"/>
        <v>4.5</v>
      </c>
      <c r="Y980" s="233">
        <f t="shared" si="117"/>
        <v>3932</v>
      </c>
    </row>
    <row r="981" spans="1:25">
      <c r="A981" s="156" t="e" cm="1">
        <f t="array" aca="1" ref="A981" ca="1">_xlfn.IFS(E981=$AB$42,$AC$42,E981=$AB$43,$AC$43,E981=$AB$44,$AC$44,E981=$AB$45,$AC$45,E981=$AB$46,$AC$46,E981=$AB$47,$AC$47,E981=$AB$48,$AC$48,E981=$AB$49,$AC$49,E981=$AB$50,$AC$50,E981=$AB$51,$AC$51,E981=$AB$52,$AC$52,E981=$AB$53,$AC$53,E981=$AB$54,$AC$54,E981=$AB$55,$AC$55,E981=$AB$56,$AC$56,E981=$AB$57,$AC$57,E981=$AB$58,$AC$58,E981=$AB$59,$AC$59,E981=$AB$60,$AC$60,E981=$AB$61,$AC$61,E981=$AB$62,$AC$62,E981=$AB$63,$AC$63,E981=$AB$64,$AC$64,E981=$AB$65,$AC$65,E981=$AB$66,$AC$66,TRUE,"0")</f>
        <v>#NAME?</v>
      </c>
      <c r="C981" s="161" t="str" cm="1">
        <f t="array" ref="C981">_xlfn.IFS(E981=$AB$42,$AF$42,E981=$AB$43,$AF$43,E981=$AB$44,$AF$44,E981=$AB$45,$AF$45,E981=$AB$46,$AF$46,E981=$AB$47,$AF$47,E981=$AB$48,$AF$48,E981=$AB$49,$AF$49,E981=$AB$50,$AF$50,E981=$AB$51,$AF$51,E981=$AB$52,$AF$52,E981=$AB$53,$AF$53,E981=$AB$54,$AF$54,E981=$AB$55,$AF$55,E981=$AB$56,$AF$56,E981=$AB$57,$AF$57,E981=$AB$58,$AF$58,E981=$AB$59,$AF$59,E981=$AB$60,$AF$60,E981=$AB$61,$AF$61,E981=$AB$62,$AF$62,E981=$AB$63,$AF$63,E981=$AB$64,$AF$64,E981=$AB$65,$AF$65,E981=$AB$66,$AF$66,TRUE,"0")</f>
        <v>40 mins Back ANother Goal</v>
      </c>
      <c r="D981" s="270" t="str" cm="1">
        <f t="array" ref="D981">_xlfn.IFS(E981=$AB$42,$AD$42,E981=$AB$43,$AD$43,E981=$AB$44,$AD$44,E981=$AB$45,$AD$45,E981=$AB$46,$AD$46,E981=$AB$47,$AD$47,E981=$AB$48,$AD$48,E981=$AB$49,$AD$49,E981=$AB$50,$AD$50,E981=$AB$51,$AD$51,E981=$AB$52,$AD$52,E981=$AB$53,$AD$53,E981=$AB$54,$AD$54,E981=$AB$55,$AD$55,E981=$AB$56,$AD$56,E981=$AB$57,$AD$57,E981=$AB$58,$AD$58,E981=$AB$59,$AD$59,E981=$AB$60,$AD$60,E981=$AB$61,$AD$61,E981=$AB$62,$AD$62,E981=$AB$63,$AD$63,E981=$AB$64,$AD$64,E981=$AB$65,$AD$65,E981=$AB$66,$AD$66,TRUE,"0")</f>
        <v xml:space="preserve">  BANG</v>
      </c>
      <c r="E981" s="163" t="s">
        <v>522</v>
      </c>
      <c r="F981" s="2" t="s">
        <v>119</v>
      </c>
      <c r="G981" s="2" t="s">
        <v>166</v>
      </c>
      <c r="H981" s="154">
        <v>45396.635416666664</v>
      </c>
      <c r="I981" s="155" t="s">
        <v>238</v>
      </c>
      <c r="J981" s="2" t="s">
        <v>327</v>
      </c>
      <c r="K981" s="2">
        <v>80</v>
      </c>
      <c r="L981" s="2">
        <v>20</v>
      </c>
      <c r="M981" s="2">
        <v>95</v>
      </c>
      <c r="N981" s="2">
        <v>60</v>
      </c>
      <c r="O981" s="2">
        <v>1.8</v>
      </c>
      <c r="P981" s="2"/>
      <c r="Q981" s="2" t="s">
        <v>95</v>
      </c>
      <c r="R981" s="10" t="s">
        <v>221</v>
      </c>
      <c r="S981" s="10" t="s">
        <v>214</v>
      </c>
      <c r="T981" s="188">
        <v>1000</v>
      </c>
      <c r="U981" s="8">
        <f t="shared" si="120"/>
        <v>180</v>
      </c>
      <c r="V981" s="234">
        <f t="shared" si="119"/>
        <v>82824.155246160299</v>
      </c>
      <c r="W981" s="15">
        <v>25</v>
      </c>
      <c r="X981" s="8">
        <f t="shared" si="116"/>
        <v>4.5</v>
      </c>
      <c r="Y981" s="233">
        <f t="shared" si="117"/>
        <v>3936.5</v>
      </c>
    </row>
    <row r="982" spans="1:25">
      <c r="A982" s="156" t="e" cm="1">
        <f t="array" aca="1" ref="A982" ca="1">_xlfn.IFS(E982=$AB$42,$AC$42,E982=$AB$43,$AC$43,E982=$AB$44,$AC$44,E982=$AB$45,$AC$45,E982=$AB$46,$AC$46,E982=$AB$47,$AC$47,E982=$AB$48,$AC$48,E982=$AB$49,$AC$49,E982=$AB$50,$AC$50,E982=$AB$51,$AC$51,E982=$AB$52,$AC$52,E982=$AB$53,$AC$53,E982=$AB$54,$AC$54,E982=$AB$55,$AC$55,E982=$AB$56,$AC$56,E982=$AB$57,$AC$57,E982=$AB$58,$AC$58,E982=$AB$59,$AC$59,E982=$AB$60,$AC$60,E982=$AB$61,$AC$61,E982=$AB$62,$AC$62,E982=$AB$63,$AC$63,E982=$AB$64,$AC$64,E982=$AB$65,$AC$65,E982=$AB$66,$AC$66,TRUE,"0")</f>
        <v>#NAME?</v>
      </c>
      <c r="C982" s="161" t="str" cm="1">
        <f t="array" ref="C982">_xlfn.IFS(E982=$AB$42,$AF$42,E982=$AB$43,$AF$43,E982=$AB$44,$AF$44,E982=$AB$45,$AF$45,E982=$AB$46,$AF$46,E982=$AB$47,$AF$47,E982=$AB$48,$AF$48,E982=$AB$49,$AF$49,E982=$AB$50,$AF$50,E982=$AB$51,$AF$51,E982=$AB$52,$AF$52,E982=$AB$53,$AF$53,E982=$AB$54,$AF$54,E982=$AB$55,$AF$55,E982=$AB$56,$AF$56,E982=$AB$57,$AF$57,E982=$AB$58,$AF$58,E982=$AB$59,$AF$59,E982=$AB$60,$AF$60,E982=$AB$61,$AF$61,E982=$AB$62,$AF$62,E982=$AB$63,$AF$63,E982=$AB$64,$AF$64,E982=$AB$65,$AF$65,E982=$AB$66,$AF$66,TRUE,"0")</f>
        <v>40 mins Back ANother Goal</v>
      </c>
      <c r="D982" s="270" t="str" cm="1">
        <f t="array" ref="D982">_xlfn.IFS(E982=$AB$42,$AD$42,E982=$AB$43,$AD$43,E982=$AB$44,$AD$44,E982=$AB$45,$AD$45,E982=$AB$46,$AD$46,E982=$AB$47,$AD$47,E982=$AB$48,$AD$48,E982=$AB$49,$AD$49,E982=$AB$50,$AD$50,E982=$AB$51,$AD$51,E982=$AB$52,$AD$52,E982=$AB$53,$AD$53,E982=$AB$54,$AD$54,E982=$AB$55,$AD$55,E982=$AB$56,$AD$56,E982=$AB$57,$AD$57,E982=$AB$58,$AD$58,E982=$AB$59,$AD$59,E982=$AB$60,$AD$60,E982=$AB$61,$AD$61,E982=$AB$62,$AD$62,E982=$AB$63,$AD$63,E982=$AB$64,$AD$64,E982=$AB$65,$AD$65,E982=$AB$66,$AD$66,TRUE,"0")</f>
        <v xml:space="preserve">  BANG</v>
      </c>
      <c r="E982" s="163" t="s">
        <v>515</v>
      </c>
      <c r="F982" s="2" t="s">
        <v>119</v>
      </c>
      <c r="G982" s="2" t="s">
        <v>166</v>
      </c>
      <c r="H982" s="154">
        <v>45396.635416666664</v>
      </c>
      <c r="I982" s="155" t="s">
        <v>238</v>
      </c>
      <c r="J982" s="2" t="s">
        <v>327</v>
      </c>
      <c r="K982" s="2">
        <v>20</v>
      </c>
      <c r="L982" s="2">
        <v>80</v>
      </c>
      <c r="M982" s="2">
        <v>1.8</v>
      </c>
      <c r="N982" s="2"/>
      <c r="O982" s="2"/>
      <c r="P982" s="2"/>
      <c r="Q982" s="2" t="s">
        <v>95</v>
      </c>
      <c r="R982" s="10" t="s">
        <v>221</v>
      </c>
      <c r="S982" s="10" t="s">
        <v>214</v>
      </c>
      <c r="T982" s="188">
        <v>1000</v>
      </c>
      <c r="U982" s="8">
        <f t="shared" si="120"/>
        <v>180</v>
      </c>
      <c r="V982" s="234">
        <f t="shared" si="119"/>
        <v>83004.155246160299</v>
      </c>
      <c r="W982" s="15">
        <v>25</v>
      </c>
      <c r="X982" s="8">
        <f t="shared" si="116"/>
        <v>4.5</v>
      </c>
      <c r="Y982" s="233">
        <f t="shared" si="117"/>
        <v>3941</v>
      </c>
    </row>
    <row r="983" spans="1:25">
      <c r="A983" s="156" t="e" cm="1">
        <f t="array" aca="1" ref="A983" ca="1">_xlfn.IFS(E983=$AB$42,$AC$42,E983=$AB$43,$AC$43,E983=$AB$44,$AC$44,E983=$AB$45,$AC$45,E983=$AB$46,$AC$46,E983=$AB$47,$AC$47,E983=$AB$48,$AC$48,E983=$AB$49,$AC$49,E983=$AB$50,$AC$50,E983=$AB$51,$AC$51,E983=$AB$52,$AC$52,E983=$AB$53,$AC$53,E983=$AB$54,$AC$54,E983=$AB$55,$AC$55,E983=$AB$56,$AC$56,E983=$AB$57,$AC$57,E983=$AB$58,$AC$58,E983=$AB$59,$AC$59,E983=$AB$60,$AC$60,E983=$AB$61,$AC$61,E983=$AB$62,$AC$62,E983=$AB$63,$AC$63,E983=$AB$64,$AC$64,E983=$AB$65,$AC$65,E983=$AB$66,$AC$66,TRUE,"0")</f>
        <v>#NAME?</v>
      </c>
      <c r="C983" s="161" t="str" cm="1">
        <f t="array" ref="C983">_xlfn.IFS(E983=$AB$42,$AF$42,E983=$AB$43,$AF$43,E983=$AB$44,$AF$44,E983=$AB$45,$AF$45,E983=$AB$46,$AF$46,E983=$AB$47,$AF$47,E983=$AB$48,$AF$48,E983=$AB$49,$AF$49,E983=$AB$50,$AF$50,E983=$AB$51,$AF$51,E983=$AB$52,$AF$52,E983=$AB$53,$AF$53,E983=$AB$54,$AF$54,E983=$AB$55,$AF$55,E983=$AB$56,$AF$56,E983=$AB$57,$AF$57,E983=$AB$58,$AF$58,E983=$AB$59,$AF$59,E983=$AB$60,$AF$60,E983=$AB$61,$AF$61,E983=$AB$62,$AF$62,E983=$AB$63,$AF$63,E983=$AB$64,$AF$64,E983=$AB$65,$AF$65,E983=$AB$66,$AF$66,TRUE,"0")</f>
        <v>40 mins Back ANother Goal</v>
      </c>
      <c r="D983" s="270" t="str" cm="1">
        <f t="array" ref="D983">_xlfn.IFS(E983=$AB$42,$AD$42,E983=$AB$43,$AD$43,E983=$AB$44,$AD$44,E983=$AB$45,$AD$45,E983=$AB$46,$AD$46,E983=$AB$47,$AD$47,E983=$AB$48,$AD$48,E983=$AB$49,$AD$49,E983=$AB$50,$AD$50,E983=$AB$51,$AD$51,E983=$AB$52,$AD$52,E983=$AB$53,$AD$53,E983=$AB$54,$AD$54,E983=$AB$55,$AD$55,E983=$AB$56,$AD$56,E983=$AB$57,$AD$57,E983=$AB$58,$AD$58,E983=$AB$59,$AD$59,E983=$AB$60,$AD$60,E983=$AB$61,$AD$61,E983=$AB$62,$AD$62,E983=$AB$63,$AD$63,E983=$AB$64,$AD$64,E983=$AB$65,$AD$65,E983=$AB$66,$AD$66,TRUE,"0")</f>
        <v xml:space="preserve">  BANG</v>
      </c>
      <c r="E983" s="163" t="s">
        <v>515</v>
      </c>
      <c r="F983" s="2" t="s">
        <v>119</v>
      </c>
      <c r="G983" s="2" t="s">
        <v>166</v>
      </c>
      <c r="H983" s="154">
        <v>45396.635416666664</v>
      </c>
      <c r="I983" s="155" t="s">
        <v>603</v>
      </c>
      <c r="J983" s="2" t="s">
        <v>719</v>
      </c>
      <c r="K983" s="2">
        <v>20</v>
      </c>
      <c r="L983" s="2">
        <v>70</v>
      </c>
      <c r="M983" s="2">
        <v>1.65</v>
      </c>
      <c r="N983" s="2"/>
      <c r="O983" s="2"/>
      <c r="P983" s="2"/>
      <c r="Q983" s="2" t="s">
        <v>95</v>
      </c>
      <c r="R983" s="10" t="s">
        <v>221</v>
      </c>
      <c r="S983" s="10" t="s">
        <v>217</v>
      </c>
      <c r="T983" s="188">
        <v>1000</v>
      </c>
      <c r="U983" s="8">
        <f t="shared" si="120"/>
        <v>180</v>
      </c>
      <c r="V983" s="234">
        <f t="shared" ref="V983:V1046" si="122">SUM(V982,U983)</f>
        <v>83184.155246160299</v>
      </c>
      <c r="W983" s="15">
        <v>25</v>
      </c>
      <c r="X983" s="8">
        <f t="shared" si="116"/>
        <v>4.5</v>
      </c>
      <c r="Y983" s="233">
        <f t="shared" si="117"/>
        <v>3945.5</v>
      </c>
    </row>
    <row r="984" spans="1:25">
      <c r="A984" s="156" t="e" cm="1">
        <f t="array" aca="1" ref="A984" ca="1">_xlfn.IFS(E984=$AB$42,$AC$42,E984=$AB$43,$AC$43,E984=$AB$44,$AC$44,E984=$AB$45,$AC$45,E984=$AB$46,$AC$46,E984=$AB$47,$AC$47,E984=$AB$48,$AC$48,E984=$AB$49,$AC$49,E984=$AB$50,$AC$50,E984=$AB$51,$AC$51,E984=$AB$52,$AC$52,E984=$AB$53,$AC$53,E984=$AB$54,$AC$54,E984=$AB$55,$AC$55,E984=$AB$56,$AC$56,E984=$AB$57,$AC$57,E984=$AB$58,$AC$58,E984=$AB$59,$AC$59,E984=$AB$60,$AC$60,E984=$AB$61,$AC$61,E984=$AB$62,$AC$62,E984=$AB$63,$AC$63,E984=$AB$64,$AC$64,E984=$AB$65,$AC$65,E984=$AB$66,$AC$66,TRUE,"0")</f>
        <v>#NAME?</v>
      </c>
      <c r="C984" s="161" t="str" cm="1">
        <f t="array" ref="C984">_xlfn.IFS(E984=$AB$42,$AF$42,E984=$AB$43,$AF$43,E984=$AB$44,$AF$44,E984=$AB$45,$AF$45,E984=$AB$46,$AF$46,E984=$AB$47,$AF$47,E984=$AB$48,$AF$48,E984=$AB$49,$AF$49,E984=$AB$50,$AF$50,E984=$AB$51,$AF$51,E984=$AB$52,$AF$52,E984=$AB$53,$AF$53,E984=$AB$54,$AF$54,E984=$AB$55,$AF$55,E984=$AB$56,$AF$56,E984=$AB$57,$AF$57,E984=$AB$58,$AF$58,E984=$AB$59,$AF$59,E984=$AB$60,$AF$60,E984=$AB$61,$AF$61,E984=$AB$62,$AF$62,E984=$AB$63,$AF$63,E984=$AB$64,$AF$64,E984=$AB$65,$AF$65,E984=$AB$66,$AF$66,TRUE,"0")</f>
        <v>40 mins Back ANother Goal</v>
      </c>
      <c r="D984" s="270" t="str" cm="1">
        <f t="array" ref="D984">_xlfn.IFS(E984=$AB$42,$AD$42,E984=$AB$43,$AD$43,E984=$AB$44,$AD$44,E984=$AB$45,$AD$45,E984=$AB$46,$AD$46,E984=$AB$47,$AD$47,E984=$AB$48,$AD$48,E984=$AB$49,$AD$49,E984=$AB$50,$AD$50,E984=$AB$51,$AD$51,E984=$AB$52,$AD$52,E984=$AB$53,$AD$53,E984=$AB$54,$AD$54,E984=$AB$55,$AD$55,E984=$AB$56,$AD$56,E984=$AB$57,$AD$57,E984=$AB$58,$AD$58,E984=$AB$59,$AD$59,E984=$AB$60,$AD$60,E984=$AB$61,$AD$61,E984=$AB$62,$AD$62,E984=$AB$63,$AD$63,E984=$AB$64,$AD$64,E984=$AB$65,$AD$65,E984=$AB$66,$AD$66,TRUE,"0")</f>
        <v xml:space="preserve">  BANG</v>
      </c>
      <c r="E984" s="163" t="s">
        <v>726</v>
      </c>
      <c r="F984" s="2" t="s">
        <v>149</v>
      </c>
      <c r="G984" s="2" t="s">
        <v>150</v>
      </c>
      <c r="H984" s="154">
        <v>45396.65625</v>
      </c>
      <c r="I984" s="155" t="s">
        <v>331</v>
      </c>
      <c r="J984" s="2" t="s">
        <v>732</v>
      </c>
      <c r="K984" s="2">
        <v>80</v>
      </c>
      <c r="L984" s="2">
        <v>20</v>
      </c>
      <c r="M984" s="155">
        <v>1.9</v>
      </c>
      <c r="N984" s="155">
        <v>58</v>
      </c>
      <c r="O984" s="2"/>
      <c r="P984" s="2"/>
      <c r="Q984" s="2" t="s">
        <v>95</v>
      </c>
      <c r="R984" s="10" t="s">
        <v>221</v>
      </c>
      <c r="S984" s="10" t="s">
        <v>193</v>
      </c>
      <c r="T984" s="188">
        <v>1000</v>
      </c>
      <c r="U984" s="8">
        <f t="shared" si="120"/>
        <v>180</v>
      </c>
      <c r="V984" s="234">
        <f t="shared" si="122"/>
        <v>83364.155246160299</v>
      </c>
      <c r="W984" s="15">
        <v>25</v>
      </c>
      <c r="X984" s="8">
        <f t="shared" si="116"/>
        <v>4.5</v>
      </c>
      <c r="Y984" s="233">
        <f t="shared" si="117"/>
        <v>3950</v>
      </c>
    </row>
    <row r="985" spans="1:25">
      <c r="A985" s="156" t="e" cm="1">
        <f t="array" aca="1" ref="A985" ca="1">_xlfn.IFS(E985=$AB$42,$AC$42,E985=$AB$43,$AC$43,E985=$AB$44,$AC$44,E985=$AB$45,$AC$45,E985=$AB$46,$AC$46,E985=$AB$47,$AC$47,E985=$AB$48,$AC$48,E985=$AB$49,$AC$49,E985=$AB$50,$AC$50,E985=$AB$51,$AC$51,E985=$AB$52,$AC$52,E985=$AB$53,$AC$53,E985=$AB$54,$AC$54,E985=$AB$55,$AC$55,E985=$AB$56,$AC$56,E985=$AB$57,$AC$57,E985=$AB$58,$AC$58,E985=$AB$59,$AC$59,E985=$AB$60,$AC$60,E985=$AB$61,$AC$61,E985=$AB$62,$AC$62,E985=$AB$63,$AC$63,E985=$AB$64,$AC$64,E985=$AB$65,$AC$65,E985=$AB$66,$AC$66,TRUE,"0")</f>
        <v>#NAME?</v>
      </c>
      <c r="C985" s="161" t="str" cm="1">
        <f t="array" ref="C985">_xlfn.IFS(E985=$AB$42,$AF$42,E985=$AB$43,$AF$43,E985=$AB$44,$AF$44,E985=$AB$45,$AF$45,E985=$AB$46,$AF$46,E985=$AB$47,$AF$47,E985=$AB$48,$AF$48,E985=$AB$49,$AF$49,E985=$AB$50,$AF$50,E985=$AB$51,$AF$51,E985=$AB$52,$AF$52,E985=$AB$53,$AF$53,E985=$AB$54,$AF$54,E985=$AB$55,$AF$55,E985=$AB$56,$AF$56,E985=$AB$57,$AF$57,E985=$AB$58,$AF$58,E985=$AB$59,$AF$59,E985=$AB$60,$AF$60,E985=$AB$61,$AF$61,E985=$AB$62,$AF$62,E985=$AB$63,$AF$63,E985=$AB$64,$AF$64,E985=$AB$65,$AF$65,E985=$AB$66,$AF$66,TRUE,"0")</f>
        <v>20mins if  0-0, BACK over 1.5 goals X after goal OR LET RUN</v>
      </c>
      <c r="D985" s="270" t="str" cm="1">
        <f t="array" ref="D985">_xlfn.IFS(E985=$AB$42,$AD$42,E985=$AB$43,$AD$43,E985=$AB$44,$AD$44,E985=$AB$45,$AD$45,E985=$AB$46,$AD$46,E985=$AB$47,$AD$47,E985=$AB$48,$AD$48,E985=$AB$49,$AD$49,E985=$AB$50,$AD$50,E985=$AB$51,$AD$51,E985=$AB$52,$AD$52,E985=$AB$53,$AD$53,E985=$AB$54,$AD$54,E985=$AB$55,$AD$55,E985=$AB$56,$AD$56,E985=$AB$57,$AD$57,E985=$AB$58,$AD$58,E985=$AB$59,$AD$59,E985=$AB$60,$AD$60,E985=$AB$61,$AD$61,E985=$AB$62,$AD$62,E985=$AB$63,$AD$63,E985=$AB$64,$AD$64,E985=$AB$65,$AD$65,E985=$AB$66,$AD$66,TRUE,"0")</f>
        <v>IP</v>
      </c>
      <c r="E985" s="163" t="s">
        <v>474</v>
      </c>
      <c r="F985" s="2" t="s">
        <v>149</v>
      </c>
      <c r="G985" s="2" t="s">
        <v>150</v>
      </c>
      <c r="H985" s="3">
        <v>45396.65625</v>
      </c>
      <c r="I985" s="2" t="s">
        <v>331</v>
      </c>
      <c r="J985" s="2" t="s">
        <v>732</v>
      </c>
      <c r="K985" s="2">
        <v>50</v>
      </c>
      <c r="L985" s="2">
        <v>3.05</v>
      </c>
      <c r="M985" s="2">
        <v>20</v>
      </c>
      <c r="N985" s="2">
        <v>65</v>
      </c>
      <c r="O985" s="2">
        <v>85</v>
      </c>
      <c r="P985" s="2"/>
      <c r="Q985" s="2" t="s">
        <v>95</v>
      </c>
      <c r="R985" s="10" t="s">
        <v>221</v>
      </c>
      <c r="S985" s="10" t="s">
        <v>193</v>
      </c>
      <c r="T985" s="188">
        <v>1000</v>
      </c>
      <c r="U985" s="8">
        <f t="shared" si="120"/>
        <v>180</v>
      </c>
      <c r="V985" s="234">
        <f t="shared" si="122"/>
        <v>83544.155246160299</v>
      </c>
      <c r="W985" s="15">
        <v>25</v>
      </c>
      <c r="X985" s="8">
        <f t="shared" si="116"/>
        <v>4.5</v>
      </c>
      <c r="Y985" s="233">
        <f t="shared" si="117"/>
        <v>3954.5</v>
      </c>
    </row>
    <row r="986" spans="1:25">
      <c r="A986" s="156" t="e" cm="1">
        <f t="array" aca="1" ref="A986" ca="1">_xlfn.IFS(E986=$AB$42,$AC$42,E986=$AB$43,$AC$43,E986=$AB$44,$AC$44,E986=$AB$45,$AC$45,E986=$AB$46,$AC$46,E986=$AB$47,$AC$47,E986=$AB$48,$AC$48,E986=$AB$49,$AC$49,E986=$AB$50,$AC$50,E986=$AB$51,$AC$51,E986=$AB$52,$AC$52,E986=$AB$53,$AC$53,E986=$AB$54,$AC$54,E986=$AB$55,$AC$55,E986=$AB$56,$AC$56,E986=$AB$57,$AC$57,E986=$AB$58,$AC$58,E986=$AB$59,$AC$59,E986=$AB$60,$AC$60,E986=$AB$61,$AC$61,E986=$AB$62,$AC$62,E986=$AB$63,$AC$63,E986=$AB$64,$AC$64,E986=$AB$65,$AC$65,E986=$AB$66,$AC$66,TRUE,"0")</f>
        <v>#NAME?</v>
      </c>
      <c r="C986" s="161" t="str" cm="1">
        <f t="array" ref="C986">_xlfn.IFS(E986=$AB$42,$AF$42,E986=$AB$43,$AF$43,E986=$AB$44,$AF$44,E986=$AB$45,$AF$45,E986=$AB$46,$AF$46,E986=$AB$47,$AF$47,E986=$AB$48,$AF$48,E986=$AB$49,$AF$49,E986=$AB$50,$AF$50,E986=$AB$51,$AF$51,E986=$AB$52,$AF$52,E986=$AB$53,$AF$53,E986=$AB$54,$AF$54,E986=$AB$55,$AF$55,E986=$AB$56,$AF$56,E986=$AB$57,$AF$57,E986=$AB$58,$AF$58,E986=$AB$59,$AF$59,E986=$AB$60,$AF$60,E986=$AB$61,$AF$61,E986=$AB$62,$AF$62,E986=$AB$63,$AF$63,E986=$AB$64,$AF$64,E986=$AB$65,$AF$65,E986=$AB$66,$AF$66,TRUE,"0")</f>
        <v>B4 match BACK FT +1.5 goals. X AFTER  GOAL</v>
      </c>
      <c r="D986" s="270" t="str" cm="1">
        <f t="array" ref="D986">_xlfn.IFS(E986=$AB$42,$AD$42,E986=$AB$43,$AD$43,E986=$AB$44,$AD$44,E986=$AB$45,$AD$45,E986=$AB$46,$AD$46,E986=$AB$47,$AD$47,E986=$AB$48,$AD$48,E986=$AB$49,$AD$49,E986=$AB$50,$AD$50,E986=$AB$51,$AD$51,E986=$AB$52,$AD$52,E986=$AB$53,$AD$53,E986=$AB$54,$AD$54,E986=$AB$55,$AD$55,E986=$AB$56,$AD$56,E986=$AB$57,$AD$57,E986=$AB$58,$AD$58,E986=$AB$59,$AD$59,E986=$AB$60,$AD$60,E986=$AB$61,$AD$61,E986=$AB$62,$AD$62,E986=$AB$63,$AD$63,E986=$AB$64,$AD$64,E986=$AB$65,$AD$65,E986=$AB$66,$AD$66,TRUE,"0")</f>
        <v xml:space="preserve">BFM </v>
      </c>
      <c r="E986" s="163" t="s">
        <v>623</v>
      </c>
      <c r="F986" s="2" t="s">
        <v>626</v>
      </c>
      <c r="G986" s="2" t="s">
        <v>627</v>
      </c>
      <c r="H986" s="3">
        <v>45396.666666666664</v>
      </c>
      <c r="I986" s="2" t="s">
        <v>720</v>
      </c>
      <c r="J986" s="2" t="s">
        <v>629</v>
      </c>
      <c r="K986" s="2">
        <v>2.2400000000000002</v>
      </c>
      <c r="L986" s="2">
        <v>20</v>
      </c>
      <c r="M986" s="2">
        <v>3.1</v>
      </c>
      <c r="N986" s="2">
        <v>29</v>
      </c>
      <c r="O986" s="2">
        <v>1</v>
      </c>
      <c r="P986" s="2">
        <v>10</v>
      </c>
      <c r="Q986" s="2" t="s">
        <v>95</v>
      </c>
      <c r="R986" s="10" t="s">
        <v>214</v>
      </c>
      <c r="S986" s="10" t="s">
        <v>207</v>
      </c>
      <c r="T986" s="188">
        <v>1000</v>
      </c>
      <c r="U986" s="8">
        <f t="shared" si="120"/>
        <v>180</v>
      </c>
      <c r="V986" s="234">
        <f t="shared" si="122"/>
        <v>83724.155246160299</v>
      </c>
      <c r="W986" s="15">
        <v>25</v>
      </c>
      <c r="X986" s="8">
        <f t="shared" si="116"/>
        <v>4.5</v>
      </c>
      <c r="Y986" s="233">
        <f t="shared" si="117"/>
        <v>3959</v>
      </c>
    </row>
    <row r="987" spans="1:25">
      <c r="A987" s="156" t="e" cm="1">
        <f t="array" aca="1" ref="A987" ca="1">_xlfn.IFS(E987=$AB$42,$AC$42,E987=$AB$43,$AC$43,E987=$AB$44,$AC$44,E987=$AB$45,$AC$45,E987=$AB$46,$AC$46,E987=$AB$47,$AC$47,E987=$AB$48,$AC$48,E987=$AB$49,$AC$49,E987=$AB$50,$AC$50,E987=$AB$51,$AC$51,E987=$AB$52,$AC$52,E987=$AB$53,$AC$53,E987=$AB$54,$AC$54,E987=$AB$55,$AC$55,E987=$AB$56,$AC$56,E987=$AB$57,$AC$57,E987=$AB$58,$AC$58,E987=$AB$59,$AC$59,E987=$AB$60,$AC$60,E987=$AB$61,$AC$61,E987=$AB$62,$AC$62,E987=$AB$63,$AC$63,E987=$AB$64,$AC$64,E987=$AB$65,$AC$65,E987=$AB$66,$AC$66,TRUE,"0")</f>
        <v>#NAME?</v>
      </c>
      <c r="C987" s="161" t="str" cm="1">
        <f t="array" ref="C987">_xlfn.IFS(E987=$AB$42,$AF$42,E987=$AB$43,$AF$43,E987=$AB$44,$AF$44,E987=$AB$45,$AF$45,E987=$AB$46,$AF$46,E987=$AB$47,$AF$47,E987=$AB$48,$AF$48,E987=$AB$49,$AF$49,E987=$AB$50,$AF$50,E987=$AB$51,$AF$51,E987=$AB$52,$AF$52,E987=$AB$53,$AF$53,E987=$AB$54,$AF$54,E987=$AB$55,$AF$55,E987=$AB$56,$AF$56,E987=$AB$57,$AF$57,E987=$AB$58,$AF$58,E987=$AB$59,$AF$59,E987=$AB$60,$AF$60,E987=$AB$61,$AF$61,E987=$AB$62,$AF$62,E987=$AB$63,$AF$63,E987=$AB$64,$AF$64,E987=$AB$65,$AF$65,E987=$AB$66,$AF$66,TRUE,"0")</f>
        <v>if 0-0, BACK+ 0.5 GOALS  @ 1.15+odds.  or @ 40 mins</v>
      </c>
      <c r="D987" s="270" t="str" cm="1">
        <f t="array" ref="D987">_xlfn.IFS(E987=$AB$42,$AD$42,E987=$AB$43,$AD$43,E987=$AB$44,$AD$44,E987=$AB$45,$AD$45,E987=$AB$46,$AD$46,E987=$AB$47,$AD$47,E987=$AB$48,$AD$48,E987=$AB$49,$AD$49,E987=$AB$50,$AD$50,E987=$AB$51,$AD$51,E987=$AB$52,$AD$52,E987=$AB$53,$AD$53,E987=$AB$54,$AD$54,E987=$AB$55,$AD$55,E987=$AB$56,$AD$56,E987=$AB$57,$AD$57,E987=$AB$58,$AD$58,E987=$AB$59,$AD$59,E987=$AB$60,$AD$60,E987=$AB$61,$AD$61,E987=$AB$62,$AD$62,E987=$AB$63,$AD$63,E987=$AB$64,$AD$64,E987=$AB$65,$AD$65,E987=$AB$66,$AD$66,TRUE,"0")</f>
        <v>IP</v>
      </c>
      <c r="E987" s="163" t="s">
        <v>270</v>
      </c>
      <c r="F987" s="2" t="s">
        <v>626</v>
      </c>
      <c r="G987" s="2" t="s">
        <v>627</v>
      </c>
      <c r="H987" s="3">
        <v>45396.666666666664</v>
      </c>
      <c r="I987" s="2" t="s">
        <v>720</v>
      </c>
      <c r="J987" s="2" t="s">
        <v>629</v>
      </c>
      <c r="K987" s="2">
        <v>61</v>
      </c>
      <c r="L987" s="2">
        <v>0</v>
      </c>
      <c r="M987" s="2">
        <v>20</v>
      </c>
      <c r="N987" s="2">
        <v>29</v>
      </c>
      <c r="O987" s="2">
        <v>0</v>
      </c>
      <c r="P987" s="2"/>
      <c r="Q987" s="2" t="s">
        <v>95</v>
      </c>
      <c r="R987" s="10" t="s">
        <v>214</v>
      </c>
      <c r="S987" s="10" t="s">
        <v>207</v>
      </c>
      <c r="T987" s="188">
        <v>1000</v>
      </c>
      <c r="U987" s="8">
        <f t="shared" si="120"/>
        <v>180</v>
      </c>
      <c r="V987" s="234">
        <f t="shared" si="122"/>
        <v>83904.155246160299</v>
      </c>
      <c r="W987" s="15">
        <v>25</v>
      </c>
      <c r="X987" s="8">
        <f t="shared" si="116"/>
        <v>4.5</v>
      </c>
      <c r="Y987" s="233">
        <f t="shared" si="117"/>
        <v>3963.5</v>
      </c>
    </row>
    <row r="988" spans="1:25">
      <c r="A988" s="156" t="e" cm="1">
        <f t="array" aca="1" ref="A988" ca="1">_xlfn.IFS(E988=$AB$42,$AC$42,E988=$AB$43,$AC$43,E988=$AB$44,$AC$44,E988=$AB$45,$AC$45,E988=$AB$46,$AC$46,E988=$AB$47,$AC$47,E988=$AB$48,$AC$48,E988=$AB$49,$AC$49,E988=$AB$50,$AC$50,E988=$AB$51,$AC$51,E988=$AB$52,$AC$52,E988=$AB$53,$AC$53,E988=$AB$54,$AC$54,E988=$AB$55,$AC$55,E988=$AB$56,$AC$56,E988=$AB$57,$AC$57,E988=$AB$58,$AC$58,E988=$AB$59,$AC$59,E988=$AB$60,$AC$60,E988=$AB$61,$AC$61,E988=$AB$62,$AC$62,E988=$AB$63,$AC$63,E988=$AB$64,$AC$64,E988=$AB$65,$AC$65,E988=$AB$66,$AC$66,TRUE,"0")</f>
        <v>#NAME?</v>
      </c>
      <c r="C988" s="161" t="str" cm="1">
        <f t="array" ref="C988">_xlfn.IFS(E988=$AB$42,$AF$42,E988=$AB$43,$AF$43,E988=$AB$44,$AF$44,E988=$AB$45,$AF$45,E988=$AB$46,$AF$46,E988=$AB$47,$AF$47,E988=$AB$48,$AF$48,E988=$AB$49,$AF$49,E988=$AB$50,$AF$50,E988=$AB$51,$AF$51,E988=$AB$52,$AF$52,E988=$AB$53,$AF$53,E988=$AB$54,$AF$54,E988=$AB$55,$AF$55,E988=$AB$56,$AF$56,E988=$AB$57,$AF$57,E988=$AB$58,$AF$58,E988=$AB$59,$AF$59,E988=$AB$60,$AF$60,E988=$AB$61,$AF$61,E988=$AB$62,$AF$62,E988=$AB$63,$AF$63,E988=$AB$64,$AF$64,E988=$AB$65,$AF$65,E988=$AB$66,$AF$66,TRUE,"0")</f>
        <v>B4 match BACK FT +1.5 goals. X AFTER  GOAL</v>
      </c>
      <c r="D988" s="270" t="str" cm="1">
        <f t="array" ref="D988">_xlfn.IFS(E988=$AB$42,$AD$42,E988=$AB$43,$AD$43,E988=$AB$44,$AD$44,E988=$AB$45,$AD$45,E988=$AB$46,$AD$46,E988=$AB$47,$AD$47,E988=$AB$48,$AD$48,E988=$AB$49,$AD$49,E988=$AB$50,$AD$50,E988=$AB$51,$AD$51,E988=$AB$52,$AD$52,E988=$AB$53,$AD$53,E988=$AB$54,$AD$54,E988=$AB$55,$AD$55,E988=$AB$56,$AD$56,E988=$AB$57,$AD$57,E988=$AB$58,$AD$58,E988=$AB$59,$AD$59,E988=$AB$60,$AD$60,E988=$AB$61,$AD$61,E988=$AB$62,$AD$62,E988=$AB$63,$AD$63,E988=$AB$64,$AD$64,E988=$AB$65,$AD$65,E988=$AB$66,$AD$66,TRUE,"0")</f>
        <v xml:space="preserve">BFM </v>
      </c>
      <c r="E988" s="163" t="s">
        <v>406</v>
      </c>
      <c r="F988" s="2" t="s">
        <v>6</v>
      </c>
      <c r="G988" s="2" t="s">
        <v>62</v>
      </c>
      <c r="H988" s="3">
        <v>45396.6875</v>
      </c>
      <c r="I988" s="2" t="s">
        <v>73</v>
      </c>
      <c r="J988" s="2" t="s">
        <v>102</v>
      </c>
      <c r="K988" s="2">
        <v>1.31</v>
      </c>
      <c r="L988" s="2">
        <v>11</v>
      </c>
      <c r="M988" s="2">
        <v>3.5</v>
      </c>
      <c r="N988" s="2">
        <v>4</v>
      </c>
      <c r="O988" s="2">
        <v>3</v>
      </c>
      <c r="P988" s="2"/>
      <c r="Q988" s="2" t="s">
        <v>95</v>
      </c>
      <c r="R988" s="10" t="s">
        <v>221</v>
      </c>
      <c r="S988" s="10" t="s">
        <v>217</v>
      </c>
      <c r="T988" s="188">
        <v>1000</v>
      </c>
      <c r="U988" s="8">
        <f t="shared" si="120"/>
        <v>180</v>
      </c>
      <c r="V988" s="234">
        <f t="shared" si="122"/>
        <v>84084.155246160299</v>
      </c>
      <c r="W988" s="15">
        <v>25</v>
      </c>
      <c r="X988" s="8">
        <f t="shared" si="116"/>
        <v>4.5</v>
      </c>
      <c r="Y988" s="233">
        <f t="shared" si="117"/>
        <v>3968</v>
      </c>
    </row>
    <row r="989" spans="1:25">
      <c r="A989" s="156" t="e" cm="1">
        <f t="array" aca="1" ref="A989" ca="1">_xlfn.IFS(E989=$AB$42,$AC$42,E989=$AB$43,$AC$43,E989=$AB$44,$AC$44,E989=$AB$45,$AC$45,E989=$AB$46,$AC$46,E989=$AB$47,$AC$47,E989=$AB$48,$AC$48,E989=$AB$49,$AC$49,E989=$AB$50,$AC$50,E989=$AB$51,$AC$51,E989=$AB$52,$AC$52,E989=$AB$53,$AC$53,E989=$AB$54,$AC$54,E989=$AB$55,$AC$55,E989=$AB$56,$AC$56,E989=$AB$57,$AC$57,E989=$AB$58,$AC$58,E989=$AB$59,$AC$59,E989=$AB$60,$AC$60,E989=$AB$61,$AC$61,E989=$AB$62,$AC$62,E989=$AB$63,$AC$63,E989=$AB$64,$AC$64,E989=$AB$65,$AC$65,E989=$AB$66,$AC$66,TRUE,"0")</f>
        <v>#NAME?</v>
      </c>
      <c r="C989" s="161" t="str" cm="1">
        <f t="array" ref="C989">_xlfn.IFS(E989=$AB$42,$AF$42,E989=$AB$43,$AF$43,E989=$AB$44,$AF$44,E989=$AB$45,$AF$45,E989=$AB$46,$AF$46,E989=$AB$47,$AF$47,E989=$AB$48,$AF$48,E989=$AB$49,$AF$49,E989=$AB$50,$AF$50,E989=$AB$51,$AF$51,E989=$AB$52,$AF$52,E989=$AB$53,$AF$53,E989=$AB$54,$AF$54,E989=$AB$55,$AF$55,E989=$AB$56,$AF$56,E989=$AB$57,$AF$57,E989=$AB$58,$AF$58,E989=$AB$59,$AF$59,E989=$AB$60,$AF$60,E989=$AB$61,$AF$61,E989=$AB$62,$AF$62,E989=$AB$63,$AF$63,E989=$AB$64,$AF$64,E989=$AB$65,$AF$65,E989=$AB$66,$AF$66,TRUE,"0")</f>
        <v>40 mins Back ANother Goal</v>
      </c>
      <c r="D989" s="270" t="str" cm="1">
        <f t="array" ref="D989">_xlfn.IFS(E989=$AB$42,$AD$42,E989=$AB$43,$AD$43,E989=$AB$44,$AD$44,E989=$AB$45,$AD$45,E989=$AB$46,$AD$46,E989=$AB$47,$AD$47,E989=$AB$48,$AD$48,E989=$AB$49,$AD$49,E989=$AB$50,$AD$50,E989=$AB$51,$AD$51,E989=$AB$52,$AD$52,E989=$AB$53,$AD$53,E989=$AB$54,$AD$54,E989=$AB$55,$AD$55,E989=$AB$56,$AD$56,E989=$AB$57,$AD$57,E989=$AB$58,$AD$58,E989=$AB$59,$AD$59,E989=$AB$60,$AD$60,E989=$AB$61,$AD$61,E989=$AB$62,$AD$62,E989=$AB$63,$AD$63,E989=$AB$64,$AD$64,E989=$AB$65,$AD$65,E989=$AB$66,$AD$66,TRUE,"0")</f>
        <v xml:space="preserve">  BANG</v>
      </c>
      <c r="E989" s="163" t="s">
        <v>726</v>
      </c>
      <c r="F989" s="2" t="s">
        <v>6</v>
      </c>
      <c r="G989" s="2" t="s">
        <v>62</v>
      </c>
      <c r="H989" s="154">
        <v>45396.6875</v>
      </c>
      <c r="I989" s="155" t="s">
        <v>73</v>
      </c>
      <c r="J989" s="2" t="s">
        <v>102</v>
      </c>
      <c r="K989" s="2">
        <v>90</v>
      </c>
      <c r="L989" s="2">
        <v>20</v>
      </c>
      <c r="M989" s="155">
        <v>1.85</v>
      </c>
      <c r="N989" s="155">
        <v>63</v>
      </c>
      <c r="O989" s="2"/>
      <c r="P989" s="2"/>
      <c r="Q989" s="2" t="s">
        <v>95</v>
      </c>
      <c r="R989" s="10" t="s">
        <v>221</v>
      </c>
      <c r="S989" s="10" t="s">
        <v>217</v>
      </c>
      <c r="T989" s="188">
        <v>1000</v>
      </c>
      <c r="U989" s="8">
        <f t="shared" si="120"/>
        <v>180</v>
      </c>
      <c r="V989" s="234">
        <f t="shared" si="122"/>
        <v>84264.155246160299</v>
      </c>
      <c r="W989" s="15">
        <v>25</v>
      </c>
      <c r="X989" s="8">
        <f t="shared" si="116"/>
        <v>4.5</v>
      </c>
      <c r="Y989" s="233">
        <f t="shared" si="117"/>
        <v>3972.5</v>
      </c>
    </row>
    <row r="990" spans="1:25">
      <c r="A990" s="156" t="e" cm="1">
        <f t="array" aca="1" ref="A990" ca="1">_xlfn.IFS(E990=$AB$42,$AC$42,E990=$AB$43,$AC$43,E990=$AB$44,$AC$44,E990=$AB$45,$AC$45,E990=$AB$46,$AC$46,E990=$AB$47,$AC$47,E990=$AB$48,$AC$48,E990=$AB$49,$AC$49,E990=$AB$50,$AC$50,E990=$AB$51,$AC$51,E990=$AB$52,$AC$52,E990=$AB$53,$AC$53,E990=$AB$54,$AC$54,E990=$AB$55,$AC$55,E990=$AB$56,$AC$56,E990=$AB$57,$AC$57,E990=$AB$58,$AC$58,E990=$AB$59,$AC$59,E990=$AB$60,$AC$60,E990=$AB$61,$AC$61,E990=$AB$62,$AC$62,E990=$AB$63,$AC$63,E990=$AB$64,$AC$64,E990=$AB$65,$AC$65,E990=$AB$66,$AC$66,TRUE,"0")</f>
        <v>#NAME?</v>
      </c>
      <c r="C990" s="161" t="str" cm="1">
        <f t="array" ref="C990">_xlfn.IFS(E990=$AB$42,$AF$42,E990=$AB$43,$AF$43,E990=$AB$44,$AF$44,E990=$AB$45,$AF$45,E990=$AB$46,$AF$46,E990=$AB$47,$AF$47,E990=$AB$48,$AF$48,E990=$AB$49,$AF$49,E990=$AB$50,$AF$50,E990=$AB$51,$AF$51,E990=$AB$52,$AF$52,E990=$AB$53,$AF$53,E990=$AB$54,$AF$54,E990=$AB$55,$AF$55,E990=$AB$56,$AF$56,E990=$AB$57,$AF$57,E990=$AB$58,$AF$58,E990=$AB$59,$AF$59,E990=$AB$60,$AF$60,E990=$AB$61,$AF$61,E990=$AB$62,$AF$62,E990=$AB$63,$AF$63,E990=$AB$64,$AF$64,E990=$AB$65,$AF$65,E990=$AB$66,$AF$66,TRUE,"0")</f>
        <v>B4 match BACK FT +1.5 goals. X AFTER  GOAL</v>
      </c>
      <c r="D990" s="270" t="str" cm="1">
        <f t="array" ref="D990">_xlfn.IFS(E990=$AB$42,$AD$42,E990=$AB$43,$AD$43,E990=$AB$44,$AD$44,E990=$AB$45,$AD$45,E990=$AB$46,$AD$46,E990=$AB$47,$AD$47,E990=$AB$48,$AD$48,E990=$AB$49,$AD$49,E990=$AB$50,$AD$50,E990=$AB$51,$AD$51,E990=$AB$52,$AD$52,E990=$AB$53,$AD$53,E990=$AB$54,$AD$54,E990=$AB$55,$AD$55,E990=$AB$56,$AD$56,E990=$AB$57,$AD$57,E990=$AB$58,$AD$58,E990=$AB$59,$AD$59,E990=$AB$60,$AD$60,E990=$AB$61,$AD$61,E990=$AB$62,$AD$62,E990=$AB$63,$AD$63,E990=$AB$64,$AD$64,E990=$AB$65,$AD$65,E990=$AB$66,$AD$66,TRUE,"0")</f>
        <v xml:space="preserve">BFM </v>
      </c>
      <c r="E990" s="163" t="s">
        <v>623</v>
      </c>
      <c r="F990" s="2" t="s">
        <v>6</v>
      </c>
      <c r="G990" s="2" t="s">
        <v>62</v>
      </c>
      <c r="H990" s="3">
        <v>45396.6875</v>
      </c>
      <c r="I990" s="2" t="s">
        <v>73</v>
      </c>
      <c r="J990" s="2" t="s">
        <v>102</v>
      </c>
      <c r="K990" s="2">
        <v>4</v>
      </c>
      <c r="L990" s="2">
        <v>20</v>
      </c>
      <c r="M990" s="2">
        <v>3.5</v>
      </c>
      <c r="N990" s="2">
        <v>23</v>
      </c>
      <c r="O990" s="2">
        <v>3</v>
      </c>
      <c r="P990" s="2">
        <v>10</v>
      </c>
      <c r="Q990" s="2" t="s">
        <v>95</v>
      </c>
      <c r="R990" s="10" t="s">
        <v>221</v>
      </c>
      <c r="S990" s="10" t="s">
        <v>217</v>
      </c>
      <c r="T990" s="188">
        <v>1000</v>
      </c>
      <c r="U990" s="8">
        <f t="shared" si="120"/>
        <v>180</v>
      </c>
      <c r="V990" s="234">
        <f t="shared" si="122"/>
        <v>84444.155246160299</v>
      </c>
      <c r="W990" s="15">
        <v>25</v>
      </c>
      <c r="X990" s="8">
        <f t="shared" si="116"/>
        <v>4.5</v>
      </c>
      <c r="Y990" s="233">
        <f t="shared" si="117"/>
        <v>3977</v>
      </c>
    </row>
    <row r="991" spans="1:25">
      <c r="A991" s="156" t="e" cm="1">
        <f t="array" aca="1" ref="A991" ca="1">_xlfn.IFS(E991=$AB$42,$AC$42,E991=$AB$43,$AC$43,E991=$AB$44,$AC$44,E991=$AB$45,$AC$45,E991=$AB$46,$AC$46,E991=$AB$47,$AC$47,E991=$AB$48,$AC$48,E991=$AB$49,$AC$49,E991=$AB$50,$AC$50,E991=$AB$51,$AC$51,E991=$AB$52,$AC$52,E991=$AB$53,$AC$53,E991=$AB$54,$AC$54,E991=$AB$55,$AC$55,E991=$AB$56,$AC$56,E991=$AB$57,$AC$57,E991=$AB$58,$AC$58,E991=$AB$59,$AC$59,E991=$AB$60,$AC$60,E991=$AB$61,$AC$61,E991=$AB$62,$AC$62,E991=$AB$63,$AC$63,E991=$AB$64,$AC$64,E991=$AB$65,$AC$65,E991=$AB$66,$AC$66,TRUE,"0")</f>
        <v>#NAME?</v>
      </c>
      <c r="C991" s="161" t="str" cm="1">
        <f t="array" ref="C991">_xlfn.IFS(E991=$AB$42,$AF$42,E991=$AB$43,$AF$43,E991=$AB$44,$AF$44,E991=$AB$45,$AF$45,E991=$AB$46,$AF$46,E991=$AB$47,$AF$47,E991=$AB$48,$AF$48,E991=$AB$49,$AF$49,E991=$AB$50,$AF$50,E991=$AB$51,$AF$51,E991=$AB$52,$AF$52,E991=$AB$53,$AF$53,E991=$AB$54,$AF$54,E991=$AB$55,$AF$55,E991=$AB$56,$AF$56,E991=$AB$57,$AF$57,E991=$AB$58,$AF$58,E991=$AB$59,$AF$59,E991=$AB$60,$AF$60,E991=$AB$61,$AF$61,E991=$AB$62,$AF$62,E991=$AB$63,$AF$63,E991=$AB$64,$AF$64,E991=$AB$65,$AF$65,E991=$AB$66,$AF$66,TRUE,"0")</f>
        <v>AT HT IF 0-0 BACK +0.5 GOALS</v>
      </c>
      <c r="D991" s="270" t="str" cm="1">
        <f t="array" ref="D991">_xlfn.IFS(E991=$AB$42,$AD$42,E991=$AB$43,$AD$43,E991=$AB$44,$AD$44,E991=$AB$45,$AD$45,E991=$AB$46,$AD$46,E991=$AB$47,$AD$47,E991=$AB$48,$AD$48,E991=$AB$49,$AD$49,E991=$AB$50,$AD$50,E991=$AB$51,$AD$51,E991=$AB$52,$AD$52,E991=$AB$53,$AD$53,E991=$AB$54,$AD$54,E991=$AB$55,$AD$55,E991=$AB$56,$AD$56,E991=$AB$57,$AD$57,E991=$AB$58,$AD$58,E991=$AB$59,$AD$59,E991=$AB$60,$AD$60,E991=$AB$61,$AD$61,E991=$AB$62,$AD$62,E991=$AB$63,$AD$63,E991=$AB$64,$AD$64,E991=$AB$65,$AD$65,E991=$AB$66,$AD$66,TRUE,"0")</f>
        <v>IP</v>
      </c>
      <c r="E991" s="163" t="s">
        <v>514</v>
      </c>
      <c r="F991" s="2" t="s">
        <v>6</v>
      </c>
      <c r="G991" s="2" t="s">
        <v>62</v>
      </c>
      <c r="H991" s="3">
        <v>45396.6875</v>
      </c>
      <c r="I991" s="2" t="s">
        <v>73</v>
      </c>
      <c r="J991" s="2" t="s">
        <v>102</v>
      </c>
      <c r="K991" s="2">
        <v>4</v>
      </c>
      <c r="L991" s="2">
        <v>110</v>
      </c>
      <c r="M991" s="2">
        <v>350</v>
      </c>
      <c r="N991" s="2">
        <v>20</v>
      </c>
      <c r="O991" s="2">
        <v>25</v>
      </c>
      <c r="P991" s="2">
        <v>23</v>
      </c>
      <c r="Q991" s="2" t="s">
        <v>95</v>
      </c>
      <c r="R991" s="10" t="s">
        <v>221</v>
      </c>
      <c r="S991" s="10" t="s">
        <v>217</v>
      </c>
      <c r="T991" s="188">
        <v>1000</v>
      </c>
      <c r="U991" s="8">
        <f t="shared" si="120"/>
        <v>180</v>
      </c>
      <c r="V991" s="234">
        <f t="shared" si="122"/>
        <v>84624.155246160299</v>
      </c>
      <c r="W991" s="15">
        <v>25</v>
      </c>
      <c r="X991" s="8">
        <f t="shared" si="116"/>
        <v>4.5</v>
      </c>
      <c r="Y991" s="233">
        <f t="shared" si="117"/>
        <v>3981.5</v>
      </c>
    </row>
    <row r="992" spans="1:25">
      <c r="A992" s="156" t="e" cm="1">
        <f t="array" aca="1" ref="A992" ca="1">_xlfn.IFS(E992=$AB$42,$AC$42,E992=$AB$43,$AC$43,E992=$AB$44,$AC$44,E992=$AB$45,$AC$45,E992=$AB$46,$AC$46,E992=$AB$47,$AC$47,E992=$AB$48,$AC$48,E992=$AB$49,$AC$49,E992=$AB$50,$AC$50,E992=$AB$51,$AC$51,E992=$AB$52,$AC$52,E992=$AB$53,$AC$53,E992=$AB$54,$AC$54,E992=$AB$55,$AC$55,E992=$AB$56,$AC$56,E992=$AB$57,$AC$57,E992=$AB$58,$AC$58,E992=$AB$59,$AC$59,E992=$AB$60,$AC$60,E992=$AB$61,$AC$61,E992=$AB$62,$AC$62,E992=$AB$63,$AC$63,E992=$AB$64,$AC$64,E992=$AB$65,$AC$65,E992=$AB$66,$AC$66,TRUE,"0")</f>
        <v>#NAME?</v>
      </c>
      <c r="C992" s="161" t="str" cm="1">
        <f t="array" ref="C992">_xlfn.IFS(E992=$AB$42,$AF$42,E992=$AB$43,$AF$43,E992=$AB$44,$AF$44,E992=$AB$45,$AF$45,E992=$AB$46,$AF$46,E992=$AB$47,$AF$47,E992=$AB$48,$AF$48,E992=$AB$49,$AF$49,E992=$AB$50,$AF$50,E992=$AB$51,$AF$51,E992=$AB$52,$AF$52,E992=$AB$53,$AF$53,E992=$AB$54,$AF$54,E992=$AB$55,$AF$55,E992=$AB$56,$AF$56,E992=$AB$57,$AF$57,E992=$AB$58,$AF$58,E992=$AB$59,$AF$59,E992=$AB$60,$AF$60,E992=$AB$61,$AF$61,E992=$AB$62,$AF$62,E992=$AB$63,$AF$63,E992=$AB$64,$AF$64,E992=$AB$65,$AF$65,E992=$AB$66,$AF$66,TRUE,"0")</f>
        <v>B4 match BACK FT +1.5 goals. X AFTER  GOAL</v>
      </c>
      <c r="D992" s="270" t="str" cm="1">
        <f t="array" ref="D992">_xlfn.IFS(E992=$AB$42,$AD$42,E992=$AB$43,$AD$43,E992=$AB$44,$AD$44,E992=$AB$45,$AD$45,E992=$AB$46,$AD$46,E992=$AB$47,$AD$47,E992=$AB$48,$AD$48,E992=$AB$49,$AD$49,E992=$AB$50,$AD$50,E992=$AB$51,$AD$51,E992=$AB$52,$AD$52,E992=$AB$53,$AD$53,E992=$AB$54,$AD$54,E992=$AB$55,$AD$55,E992=$AB$56,$AD$56,E992=$AB$57,$AD$57,E992=$AB$58,$AD$58,E992=$AB$59,$AD$59,E992=$AB$60,$AD$60,E992=$AB$61,$AD$61,E992=$AB$62,$AD$62,E992=$AB$63,$AD$63,E992=$AB$64,$AD$64,E992=$AB$65,$AD$65,E992=$AB$66,$AD$66,TRUE,"0")</f>
        <v xml:space="preserve">BFM </v>
      </c>
      <c r="E992" s="163" t="s">
        <v>623</v>
      </c>
      <c r="F992" s="2" t="s">
        <v>77</v>
      </c>
      <c r="G992" s="2" t="s">
        <v>156</v>
      </c>
      <c r="H992" s="3">
        <v>45396.6875</v>
      </c>
      <c r="I992" s="2" t="s">
        <v>325</v>
      </c>
      <c r="J992" s="2" t="s">
        <v>254</v>
      </c>
      <c r="K992" s="2">
        <v>3.15</v>
      </c>
      <c r="L992" s="2">
        <v>20</v>
      </c>
      <c r="M992" s="2">
        <v>2.5</v>
      </c>
      <c r="N992" s="2">
        <v>29</v>
      </c>
      <c r="O992" s="2">
        <v>2</v>
      </c>
      <c r="P992" s="2">
        <v>10</v>
      </c>
      <c r="Q992" s="2" t="s">
        <v>95</v>
      </c>
      <c r="R992" s="10" t="s">
        <v>214</v>
      </c>
      <c r="S992" s="10" t="s">
        <v>195</v>
      </c>
      <c r="T992" s="188">
        <v>1000</v>
      </c>
      <c r="U992" s="8">
        <f t="shared" si="120"/>
        <v>180</v>
      </c>
      <c r="V992" s="234">
        <f t="shared" si="122"/>
        <v>84804.155246160299</v>
      </c>
      <c r="W992" s="15">
        <v>25</v>
      </c>
      <c r="X992" s="8">
        <f t="shared" si="116"/>
        <v>4.5</v>
      </c>
      <c r="Y992" s="233">
        <f t="shared" si="117"/>
        <v>3986</v>
      </c>
    </row>
    <row r="993" spans="1:25">
      <c r="A993" s="156" t="e" cm="1">
        <f t="array" aca="1" ref="A993" ca="1">_xlfn.IFS(E993=$AB$42,$AC$42,E993=$AB$43,$AC$43,E993=$AB$44,$AC$44,E993=$AB$45,$AC$45,E993=$AB$46,$AC$46,E993=$AB$47,$AC$47,E993=$AB$48,$AC$48,E993=$AB$49,$AC$49,E993=$AB$50,$AC$50,E993=$AB$51,$AC$51,E993=$AB$52,$AC$52,E993=$AB$53,$AC$53,E993=$AB$54,$AC$54,E993=$AB$55,$AC$55,E993=$AB$56,$AC$56,E993=$AB$57,$AC$57,E993=$AB$58,$AC$58,E993=$AB$59,$AC$59,E993=$AB$60,$AC$60,E993=$AB$61,$AC$61,E993=$AB$62,$AC$62,E993=$AB$63,$AC$63,E993=$AB$64,$AC$64,E993=$AB$65,$AC$65,E993=$AB$66,$AC$66,TRUE,"0")</f>
        <v>#NAME?</v>
      </c>
      <c r="C993" s="161" t="str" cm="1">
        <f t="array" ref="C993">_xlfn.IFS(E993=$AB$42,$AF$42,E993=$AB$43,$AF$43,E993=$AB$44,$AF$44,E993=$AB$45,$AF$45,E993=$AB$46,$AF$46,E993=$AB$47,$AF$47,E993=$AB$48,$AF$48,E993=$AB$49,$AF$49,E993=$AB$50,$AF$50,E993=$AB$51,$AF$51,E993=$AB$52,$AF$52,E993=$AB$53,$AF$53,E993=$AB$54,$AF$54,E993=$AB$55,$AF$55,E993=$AB$56,$AF$56,E993=$AB$57,$AF$57,E993=$AB$58,$AF$58,E993=$AB$59,$AF$59,E993=$AB$60,$AF$60,E993=$AB$61,$AF$61,E993=$AB$62,$AF$62,E993=$AB$63,$AF$63,E993=$AB$64,$AF$64,E993=$AB$65,$AF$65,E993=$AB$66,$AF$66,TRUE,"0")</f>
        <v>B4 match BACK FT +1.5 goals. X AFTER  GOAL</v>
      </c>
      <c r="D993" s="270" t="str" cm="1">
        <f t="array" ref="D993">_xlfn.IFS(E993=$AB$42,$AD$42,E993=$AB$43,$AD$43,E993=$AB$44,$AD$44,E993=$AB$45,$AD$45,E993=$AB$46,$AD$46,E993=$AB$47,$AD$47,E993=$AB$48,$AD$48,E993=$AB$49,$AD$49,E993=$AB$50,$AD$50,E993=$AB$51,$AD$51,E993=$AB$52,$AD$52,E993=$AB$53,$AD$53,E993=$AB$54,$AD$54,E993=$AB$55,$AD$55,E993=$AB$56,$AD$56,E993=$AB$57,$AD$57,E993=$AB$58,$AD$58,E993=$AB$59,$AD$59,E993=$AB$60,$AD$60,E993=$AB$61,$AD$61,E993=$AB$62,$AD$62,E993=$AB$63,$AD$63,E993=$AB$64,$AD$64,E993=$AB$65,$AD$65,E993=$AB$66,$AD$66,TRUE,"0")</f>
        <v xml:space="preserve">BFM </v>
      </c>
      <c r="E993" s="163" t="s">
        <v>531</v>
      </c>
      <c r="F993" s="2" t="s">
        <v>80</v>
      </c>
      <c r="G993" s="2" t="s">
        <v>81</v>
      </c>
      <c r="H993" s="3">
        <v>45396.708333333336</v>
      </c>
      <c r="I993" s="2" t="s">
        <v>551</v>
      </c>
      <c r="J993" s="2" t="s">
        <v>314</v>
      </c>
      <c r="K993" s="2">
        <v>5.7</v>
      </c>
      <c r="L993" s="2">
        <v>30</v>
      </c>
      <c r="M993" s="2">
        <v>2.63</v>
      </c>
      <c r="N993" s="2">
        <v>37</v>
      </c>
      <c r="O993" s="2">
        <v>3</v>
      </c>
      <c r="P993" s="2">
        <v>15</v>
      </c>
      <c r="Q993" s="2" t="s">
        <v>95</v>
      </c>
      <c r="R993" s="10" t="s">
        <v>214</v>
      </c>
      <c r="S993" s="10" t="s">
        <v>223</v>
      </c>
      <c r="T993" s="188">
        <v>1000</v>
      </c>
      <c r="U993" s="8">
        <f t="shared" si="120"/>
        <v>180</v>
      </c>
      <c r="V993" s="234">
        <f t="shared" si="122"/>
        <v>84984.155246160299</v>
      </c>
      <c r="W993" s="15">
        <v>25</v>
      </c>
      <c r="X993" s="8">
        <f t="shared" ref="X993:X1056" si="123">IF(Q993="won",W993*0.18,-W993)</f>
        <v>4.5</v>
      </c>
      <c r="Y993" s="233">
        <f t="shared" si="117"/>
        <v>3990.5</v>
      </c>
    </row>
    <row r="994" spans="1:25">
      <c r="A994" s="156" t="e" cm="1">
        <f t="array" aca="1" ref="A994" ca="1">_xlfn.IFS(E994=$AB$42,$AC$42,E994=$AB$43,$AC$43,E994=$AB$44,$AC$44,E994=$AB$45,$AC$45,E994=$AB$46,$AC$46,E994=$AB$47,$AC$47,E994=$AB$48,$AC$48,E994=$AB$49,$AC$49,E994=$AB$50,$AC$50,E994=$AB$51,$AC$51,E994=$AB$52,$AC$52,E994=$AB$53,$AC$53,E994=$AB$54,$AC$54,E994=$AB$55,$AC$55,E994=$AB$56,$AC$56,E994=$AB$57,$AC$57,E994=$AB$58,$AC$58,E994=$AB$59,$AC$59,E994=$AB$60,$AC$60,E994=$AB$61,$AC$61,E994=$AB$62,$AC$62,E994=$AB$63,$AC$63,E994=$AB$64,$AC$64,E994=$AB$65,$AC$65,E994=$AB$66,$AC$66,TRUE,"0")</f>
        <v>#NAME?</v>
      </c>
      <c r="C994" s="161" t="str" cm="1">
        <f t="array" ref="C994">_xlfn.IFS(E994=$AB$42,$AF$42,E994=$AB$43,$AF$43,E994=$AB$44,$AF$44,E994=$AB$45,$AF$45,E994=$AB$46,$AF$46,E994=$AB$47,$AF$47,E994=$AB$48,$AF$48,E994=$AB$49,$AF$49,E994=$AB$50,$AF$50,E994=$AB$51,$AF$51,E994=$AB$52,$AF$52,E994=$AB$53,$AF$53,E994=$AB$54,$AF$54,E994=$AB$55,$AF$55,E994=$AB$56,$AF$56,E994=$AB$57,$AF$57,E994=$AB$58,$AF$58,E994=$AB$59,$AF$59,E994=$AB$60,$AF$60,E994=$AB$61,$AF$61,E994=$AB$62,$AF$62,E994=$AB$63,$AF$63,E994=$AB$64,$AF$64,E994=$AB$65,$AF$65,E994=$AB$66,$AF$66,TRUE,"0")</f>
        <v>40 mins Back ANother Goal</v>
      </c>
      <c r="D994" s="270" t="str" cm="1">
        <f t="array" ref="D994">_xlfn.IFS(E994=$AB$42,$AD$42,E994=$AB$43,$AD$43,E994=$AB$44,$AD$44,E994=$AB$45,$AD$45,E994=$AB$46,$AD$46,E994=$AB$47,$AD$47,E994=$AB$48,$AD$48,E994=$AB$49,$AD$49,E994=$AB$50,$AD$50,E994=$AB$51,$AD$51,E994=$AB$52,$AD$52,E994=$AB$53,$AD$53,E994=$AB$54,$AD$54,E994=$AB$55,$AD$55,E994=$AB$56,$AD$56,E994=$AB$57,$AD$57,E994=$AB$58,$AD$58,E994=$AB$59,$AD$59,E994=$AB$60,$AD$60,E994=$AB$61,$AD$61,E994=$AB$62,$AD$62,E994=$AB$63,$AD$63,E994=$AB$64,$AD$64,E994=$AB$65,$AD$65,E994=$AB$66,$AD$66,TRUE,"0")</f>
        <v xml:space="preserve">  BANG</v>
      </c>
      <c r="E994" s="163" t="s">
        <v>35</v>
      </c>
      <c r="F994" s="2" t="s">
        <v>434</v>
      </c>
      <c r="G994" s="2" t="s">
        <v>435</v>
      </c>
      <c r="H994" s="154">
        <v>45396.708333333336</v>
      </c>
      <c r="I994" s="155" t="s">
        <v>437</v>
      </c>
      <c r="J994" s="2" t="s">
        <v>476</v>
      </c>
      <c r="K994" s="2">
        <v>68</v>
      </c>
      <c r="L994" s="2">
        <v>100</v>
      </c>
      <c r="M994" s="2">
        <v>60</v>
      </c>
      <c r="N994" s="2">
        <v>40</v>
      </c>
      <c r="O994" s="2">
        <v>20</v>
      </c>
      <c r="P994" s="2">
        <v>1.41</v>
      </c>
      <c r="Q994" s="2" t="s">
        <v>95</v>
      </c>
      <c r="R994" s="10" t="s">
        <v>222</v>
      </c>
      <c r="S994" s="10" t="s">
        <v>210</v>
      </c>
      <c r="T994" s="188">
        <v>1000</v>
      </c>
      <c r="U994" s="8">
        <f t="shared" si="120"/>
        <v>180</v>
      </c>
      <c r="V994" s="234">
        <f t="shared" si="122"/>
        <v>85164.155246160299</v>
      </c>
      <c r="W994" s="15">
        <v>25</v>
      </c>
      <c r="X994" s="8">
        <f t="shared" si="123"/>
        <v>4.5</v>
      </c>
      <c r="Y994" s="233">
        <f t="shared" si="117"/>
        <v>3995</v>
      </c>
    </row>
    <row r="995" spans="1:25">
      <c r="A995" s="156" t="e" cm="1">
        <f t="array" aca="1" ref="A995" ca="1">_xlfn.IFS(E995=$AB$42,$AC$42,E995=$AB$43,$AC$43,E995=$AB$44,$AC$44,E995=$AB$45,$AC$45,E995=$AB$46,$AC$46,E995=$AB$47,$AC$47,E995=$AB$48,$AC$48,E995=$AB$49,$AC$49,E995=$AB$50,$AC$50,E995=$AB$51,$AC$51,E995=$AB$52,$AC$52,E995=$AB$53,$AC$53,E995=$AB$54,$AC$54,E995=$AB$55,$AC$55,E995=$AB$56,$AC$56,E995=$AB$57,$AC$57,E995=$AB$58,$AC$58,E995=$AB$59,$AC$59,E995=$AB$60,$AC$60,E995=$AB$61,$AC$61,E995=$AB$62,$AC$62,E995=$AB$63,$AC$63,E995=$AB$64,$AC$64,E995=$AB$65,$AC$65,E995=$AB$66,$AC$66,TRUE,"0")</f>
        <v>#NAME?</v>
      </c>
      <c r="C995" s="161" t="str" cm="1">
        <f t="array" ref="C995">_xlfn.IFS(E995=$AB$42,$AF$42,E995=$AB$43,$AF$43,E995=$AB$44,$AF$44,E995=$AB$45,$AF$45,E995=$AB$46,$AF$46,E995=$AB$47,$AF$47,E995=$AB$48,$AF$48,E995=$AB$49,$AF$49,E995=$AB$50,$AF$50,E995=$AB$51,$AF$51,E995=$AB$52,$AF$52,E995=$AB$53,$AF$53,E995=$AB$54,$AF$54,E995=$AB$55,$AF$55,E995=$AB$56,$AF$56,E995=$AB$57,$AF$57,E995=$AB$58,$AF$58,E995=$AB$59,$AF$59,E995=$AB$60,$AF$60,E995=$AB$61,$AF$61,E995=$AB$62,$AF$62,E995=$AB$63,$AF$63,E995=$AB$64,$AF$64,E995=$AB$65,$AF$65,E995=$AB$66,$AF$66,TRUE,"0")</f>
        <v>40 mins Back ANother Goal</v>
      </c>
      <c r="D995" s="270" t="str" cm="1">
        <f t="array" ref="D995">_xlfn.IFS(E995=$AB$42,$AD$42,E995=$AB$43,$AD$43,E995=$AB$44,$AD$44,E995=$AB$45,$AD$45,E995=$AB$46,$AD$46,E995=$AB$47,$AD$47,E995=$AB$48,$AD$48,E995=$AB$49,$AD$49,E995=$AB$50,$AD$50,E995=$AB$51,$AD$51,E995=$AB$52,$AD$52,E995=$AB$53,$AD$53,E995=$AB$54,$AD$54,E995=$AB$55,$AD$55,E995=$AB$56,$AD$56,E995=$AB$57,$AD$57,E995=$AB$58,$AD$58,E995=$AB$59,$AD$59,E995=$AB$60,$AD$60,E995=$AB$61,$AD$61,E995=$AB$62,$AD$62,E995=$AB$63,$AD$63,E995=$AB$64,$AD$64,E995=$AB$65,$AD$65,E995=$AB$66,$AD$66,TRUE,"0")</f>
        <v xml:space="preserve">  BANG</v>
      </c>
      <c r="E995" s="163" t="s">
        <v>43</v>
      </c>
      <c r="F995" s="2" t="s">
        <v>434</v>
      </c>
      <c r="G995" s="2" t="s">
        <v>435</v>
      </c>
      <c r="H995" s="154">
        <v>45396.708333333336</v>
      </c>
      <c r="I995" s="155" t="s">
        <v>437</v>
      </c>
      <c r="J995" s="2" t="s">
        <v>476</v>
      </c>
      <c r="K995" s="2">
        <v>76</v>
      </c>
      <c r="L995" s="2">
        <v>74</v>
      </c>
      <c r="M995" s="2">
        <v>64</v>
      </c>
      <c r="N995" s="2">
        <v>2.15</v>
      </c>
      <c r="O995" s="2">
        <v>1.41</v>
      </c>
      <c r="P995" s="2"/>
      <c r="Q995" s="2" t="s">
        <v>95</v>
      </c>
      <c r="R995" s="10" t="s">
        <v>222</v>
      </c>
      <c r="S995" s="10" t="s">
        <v>210</v>
      </c>
      <c r="T995" s="188">
        <v>1000</v>
      </c>
      <c r="U995" s="8">
        <f t="shared" si="120"/>
        <v>180</v>
      </c>
      <c r="V995" s="234">
        <f t="shared" si="122"/>
        <v>85344.155246160299</v>
      </c>
      <c r="W995" s="15">
        <v>25</v>
      </c>
      <c r="X995" s="8">
        <f t="shared" si="123"/>
        <v>4.5</v>
      </c>
      <c r="Y995" s="233">
        <f t="shared" si="117"/>
        <v>3999.5</v>
      </c>
    </row>
    <row r="996" spans="1:25">
      <c r="A996" s="156" t="e" cm="1">
        <f t="array" aca="1" ref="A996" ca="1">_xlfn.IFS(E996=$AB$42,$AC$42,E996=$AB$43,$AC$43,E996=$AB$44,$AC$44,E996=$AB$45,$AC$45,E996=$AB$46,$AC$46,E996=$AB$47,$AC$47,E996=$AB$48,$AC$48,E996=$AB$49,$AC$49,E996=$AB$50,$AC$50,E996=$AB$51,$AC$51,E996=$AB$52,$AC$52,E996=$AB$53,$AC$53,E996=$AB$54,$AC$54,E996=$AB$55,$AC$55,E996=$AB$56,$AC$56,E996=$AB$57,$AC$57,E996=$AB$58,$AC$58,E996=$AB$59,$AC$59,E996=$AB$60,$AC$60,E996=$AB$61,$AC$61,E996=$AB$62,$AC$62,E996=$AB$63,$AC$63,E996=$AB$64,$AC$64,E996=$AB$65,$AC$65,E996=$AB$66,$AC$66,TRUE,"0")</f>
        <v>#NAME?</v>
      </c>
      <c r="C996" s="161" t="str" cm="1">
        <f t="array" ref="C996">_xlfn.IFS(E996=$AB$42,$AF$42,E996=$AB$43,$AF$43,E996=$AB$44,$AF$44,E996=$AB$45,$AF$45,E996=$AB$46,$AF$46,E996=$AB$47,$AF$47,E996=$AB$48,$AF$48,E996=$AB$49,$AF$49,E996=$AB$50,$AF$50,E996=$AB$51,$AF$51,E996=$AB$52,$AF$52,E996=$AB$53,$AF$53,E996=$AB$54,$AF$54,E996=$AB$55,$AF$55,E996=$AB$56,$AF$56,E996=$AB$57,$AF$57,E996=$AB$58,$AF$58,E996=$AB$59,$AF$59,E996=$AB$60,$AF$60,E996=$AB$61,$AF$61,E996=$AB$62,$AF$62,E996=$AB$63,$AF$63,E996=$AB$64,$AF$64,E996=$AB$65,$AF$65,E996=$AB$66,$AF$66,TRUE,"0")</f>
        <v>if 0-0, BACK+ 0.5 GOALS  @ 1.15+odds.  or @ 40 mins</v>
      </c>
      <c r="D996" s="270" t="str" cm="1">
        <f t="array" ref="D996">_xlfn.IFS(E996=$AB$42,$AD$42,E996=$AB$43,$AD$43,E996=$AB$44,$AD$44,E996=$AB$45,$AD$45,E996=$AB$46,$AD$46,E996=$AB$47,$AD$47,E996=$AB$48,$AD$48,E996=$AB$49,$AD$49,E996=$AB$50,$AD$50,E996=$AB$51,$AD$51,E996=$AB$52,$AD$52,E996=$AB$53,$AD$53,E996=$AB$54,$AD$54,E996=$AB$55,$AD$55,E996=$AB$56,$AD$56,E996=$AB$57,$AD$57,E996=$AB$58,$AD$58,E996=$AB$59,$AD$59,E996=$AB$60,$AD$60,E996=$AB$61,$AD$61,E996=$AB$62,$AD$62,E996=$AB$63,$AD$63,E996=$AB$64,$AD$64,E996=$AB$65,$AD$65,E996=$AB$66,$AD$66,TRUE,"0")</f>
        <v>IP</v>
      </c>
      <c r="E996" s="163" t="s">
        <v>270</v>
      </c>
      <c r="F996" s="2" t="s">
        <v>434</v>
      </c>
      <c r="G996" s="2" t="s">
        <v>435</v>
      </c>
      <c r="H996" s="3">
        <v>45396.708333333336</v>
      </c>
      <c r="I996" s="2" t="s">
        <v>437</v>
      </c>
      <c r="J996" s="2" t="s">
        <v>476</v>
      </c>
      <c r="K996" s="2">
        <v>68</v>
      </c>
      <c r="L996" s="2">
        <v>0</v>
      </c>
      <c r="M996" s="2">
        <v>20</v>
      </c>
      <c r="N996" s="2">
        <v>34</v>
      </c>
      <c r="O996" s="2">
        <v>2.35</v>
      </c>
      <c r="P996" s="2"/>
      <c r="Q996" s="2" t="s">
        <v>95</v>
      </c>
      <c r="R996" s="10" t="s">
        <v>222</v>
      </c>
      <c r="S996" s="10" t="s">
        <v>210</v>
      </c>
      <c r="T996" s="188">
        <v>1000</v>
      </c>
      <c r="U996" s="8">
        <f t="shared" si="120"/>
        <v>180</v>
      </c>
      <c r="V996" s="234">
        <f t="shared" si="122"/>
        <v>85524.155246160299</v>
      </c>
      <c r="W996" s="15">
        <v>25</v>
      </c>
      <c r="X996" s="8">
        <f t="shared" si="123"/>
        <v>4.5</v>
      </c>
      <c r="Y996" s="233">
        <f t="shared" si="117"/>
        <v>4004</v>
      </c>
    </row>
    <row r="997" spans="1:25">
      <c r="A997" s="156" t="e" cm="1">
        <f t="array" aca="1" ref="A997" ca="1">_xlfn.IFS(E997=$AB$42,$AC$42,E997=$AB$43,$AC$43,E997=$AB$44,$AC$44,E997=$AB$45,$AC$45,E997=$AB$46,$AC$46,E997=$AB$47,$AC$47,E997=$AB$48,$AC$48,E997=$AB$49,$AC$49,E997=$AB$50,$AC$50,E997=$AB$51,$AC$51,E997=$AB$52,$AC$52,E997=$AB$53,$AC$53,E997=$AB$54,$AC$54,E997=$AB$55,$AC$55,E997=$AB$56,$AC$56,E997=$AB$57,$AC$57,E997=$AB$58,$AC$58,E997=$AB$59,$AC$59,E997=$AB$60,$AC$60,E997=$AB$61,$AC$61,E997=$AB$62,$AC$62,E997=$AB$63,$AC$63,E997=$AB$64,$AC$64,E997=$AB$65,$AC$65,E997=$AB$66,$AC$66,TRUE,"0")</f>
        <v>#NAME?</v>
      </c>
      <c r="C997" s="161" t="str" cm="1">
        <f t="array" ref="C997">_xlfn.IFS(E997=$AB$42,$AF$42,E997=$AB$43,$AF$43,E997=$AB$44,$AF$44,E997=$AB$45,$AF$45,E997=$AB$46,$AF$46,E997=$AB$47,$AF$47,E997=$AB$48,$AF$48,E997=$AB$49,$AF$49,E997=$AB$50,$AF$50,E997=$AB$51,$AF$51,E997=$AB$52,$AF$52,E997=$AB$53,$AF$53,E997=$AB$54,$AF$54,E997=$AB$55,$AF$55,E997=$AB$56,$AF$56,E997=$AB$57,$AF$57,E997=$AB$58,$AF$58,E997=$AB$59,$AF$59,E997=$AB$60,$AF$60,E997=$AB$61,$AF$61,E997=$AB$62,$AF$62,E997=$AB$63,$AF$63,E997=$AB$64,$AF$64,E997=$AB$65,$AF$65,E997=$AB$66,$AF$66,TRUE,"0")</f>
        <v>40 mins Back ANother Goal</v>
      </c>
      <c r="D997" s="270" t="str" cm="1">
        <f t="array" ref="D997">_xlfn.IFS(E997=$AB$42,$AD$42,E997=$AB$43,$AD$43,E997=$AB$44,$AD$44,E997=$AB$45,$AD$45,E997=$AB$46,$AD$46,E997=$AB$47,$AD$47,E997=$AB$48,$AD$48,E997=$AB$49,$AD$49,E997=$AB$50,$AD$50,E997=$AB$51,$AD$51,E997=$AB$52,$AD$52,E997=$AB$53,$AD$53,E997=$AB$54,$AD$54,E997=$AB$55,$AD$55,E997=$AB$56,$AD$56,E997=$AB$57,$AD$57,E997=$AB$58,$AD$58,E997=$AB$59,$AD$59,E997=$AB$60,$AD$60,E997=$AB$61,$AD$61,E997=$AB$62,$AD$62,E997=$AB$63,$AD$63,E997=$AB$64,$AD$64,E997=$AB$65,$AD$65,E997=$AB$66,$AD$66,TRUE,"0")</f>
        <v xml:space="preserve">  BANG</v>
      </c>
      <c r="E997" s="163" t="s">
        <v>726</v>
      </c>
      <c r="F997" s="2" t="s">
        <v>119</v>
      </c>
      <c r="G997" s="2" t="s">
        <v>120</v>
      </c>
      <c r="H997" s="154">
        <v>45396.729166666664</v>
      </c>
      <c r="I997" s="155" t="s">
        <v>384</v>
      </c>
      <c r="J997" s="2" t="s">
        <v>362</v>
      </c>
      <c r="K997" s="2">
        <v>80</v>
      </c>
      <c r="L997" s="2">
        <v>20</v>
      </c>
      <c r="M997" s="155">
        <v>2.1</v>
      </c>
      <c r="N997" s="155">
        <v>61</v>
      </c>
      <c r="O997" s="2"/>
      <c r="P997" s="2"/>
      <c r="Q997" s="2" t="s">
        <v>95</v>
      </c>
      <c r="R997" s="10" t="s">
        <v>221</v>
      </c>
      <c r="S997" s="10" t="s">
        <v>216</v>
      </c>
      <c r="T997" s="188">
        <v>1000</v>
      </c>
      <c r="U997" s="8">
        <f t="shared" si="120"/>
        <v>180</v>
      </c>
      <c r="V997" s="234">
        <f t="shared" si="122"/>
        <v>85704.155246160299</v>
      </c>
      <c r="W997" s="15">
        <v>25</v>
      </c>
      <c r="X997" s="8">
        <f t="shared" si="123"/>
        <v>4.5</v>
      </c>
      <c r="Y997" s="233">
        <f t="shared" ref="Y997:Y1060" si="124">SUM(Y996,X997)</f>
        <v>4008.5</v>
      </c>
    </row>
    <row r="998" spans="1:25">
      <c r="A998" s="156" t="e" cm="1">
        <f t="array" aca="1" ref="A998" ca="1">_xlfn.IFS(E998=$AB$42,$AC$42,E998=$AB$43,$AC$43,E998=$AB$44,$AC$44,E998=$AB$45,$AC$45,E998=$AB$46,$AC$46,E998=$AB$47,$AC$47,E998=$AB$48,$AC$48,E998=$AB$49,$AC$49,E998=$AB$50,$AC$50,E998=$AB$51,$AC$51,E998=$AB$52,$AC$52,E998=$AB$53,$AC$53,E998=$AB$54,$AC$54,E998=$AB$55,$AC$55,E998=$AB$56,$AC$56,E998=$AB$57,$AC$57,E998=$AB$58,$AC$58,E998=$AB$59,$AC$59,E998=$AB$60,$AC$60,E998=$AB$61,$AC$61,E998=$AB$62,$AC$62,E998=$AB$63,$AC$63,E998=$AB$64,$AC$64,E998=$AB$65,$AC$65,E998=$AB$66,$AC$66,TRUE,"0")</f>
        <v>#NAME?</v>
      </c>
      <c r="C998" s="161" t="str" cm="1">
        <f t="array" ref="C998">_xlfn.IFS(E998=$AB$42,$AF$42,E998=$AB$43,$AF$43,E998=$AB$44,$AF$44,E998=$AB$45,$AF$45,E998=$AB$46,$AF$46,E998=$AB$47,$AF$47,E998=$AB$48,$AF$48,E998=$AB$49,$AF$49,E998=$AB$50,$AF$50,E998=$AB$51,$AF$51,E998=$AB$52,$AF$52,E998=$AB$53,$AF$53,E998=$AB$54,$AF$54,E998=$AB$55,$AF$55,E998=$AB$56,$AF$56,E998=$AB$57,$AF$57,E998=$AB$58,$AF$58,E998=$AB$59,$AF$59,E998=$AB$60,$AF$60,E998=$AB$61,$AF$61,E998=$AB$62,$AF$62,E998=$AB$63,$AF$63,E998=$AB$64,$AF$64,E998=$AB$65,$AF$65,E998=$AB$66,$AF$66,TRUE,"0")</f>
        <v>15mins if  0-0, BACK over 1.5 goals X after goal OR LET RUN</v>
      </c>
      <c r="D998" s="270" t="str" cm="1">
        <f t="array" ref="D998">_xlfn.IFS(E998=$AB$42,$AD$42,E998=$AB$43,$AD$43,E998=$AB$44,$AD$44,E998=$AB$45,$AD$45,E998=$AB$46,$AD$46,E998=$AB$47,$AD$47,E998=$AB$48,$AD$48,E998=$AB$49,$AD$49,E998=$AB$50,$AD$50,E998=$AB$51,$AD$51,E998=$AB$52,$AD$52,E998=$AB$53,$AD$53,E998=$AB$54,$AD$54,E998=$AB$55,$AD$55,E998=$AB$56,$AD$56,E998=$AB$57,$AD$57,E998=$AB$58,$AD$58,E998=$AB$59,$AD$59,E998=$AB$60,$AD$60,E998=$AB$61,$AD$61,E998=$AB$62,$AD$62,E998=$AB$63,$AD$63,E998=$AB$64,$AD$64,E998=$AB$65,$AD$65,E998=$AB$66,$AD$66,TRUE,"0")</f>
        <v>IP</v>
      </c>
      <c r="E998" s="163" t="s">
        <v>473</v>
      </c>
      <c r="F998" s="2" t="s">
        <v>119</v>
      </c>
      <c r="G998" s="2" t="s">
        <v>120</v>
      </c>
      <c r="H998" s="3">
        <v>45396.729166666664</v>
      </c>
      <c r="I998" s="2" t="s">
        <v>384</v>
      </c>
      <c r="J998" s="2" t="s">
        <v>362</v>
      </c>
      <c r="K998" s="2">
        <v>66</v>
      </c>
      <c r="L998" s="2">
        <v>90</v>
      </c>
      <c r="M998" s="2">
        <v>20</v>
      </c>
      <c r="N998" s="2">
        <v>3.7</v>
      </c>
      <c r="O998" s="2"/>
      <c r="P998" s="2"/>
      <c r="Q998" s="2" t="s">
        <v>95</v>
      </c>
      <c r="R998" s="10" t="s">
        <v>221</v>
      </c>
      <c r="S998" s="10" t="s">
        <v>216</v>
      </c>
      <c r="T998" s="188">
        <v>1000</v>
      </c>
      <c r="U998" s="8">
        <f t="shared" si="120"/>
        <v>180</v>
      </c>
      <c r="V998" s="234">
        <f t="shared" si="122"/>
        <v>85884.155246160299</v>
      </c>
      <c r="W998" s="15">
        <v>25</v>
      </c>
      <c r="X998" s="8">
        <f t="shared" si="123"/>
        <v>4.5</v>
      </c>
      <c r="Y998" s="233">
        <f t="shared" si="124"/>
        <v>4013</v>
      </c>
    </row>
    <row r="999" spans="1:25">
      <c r="A999" s="156" t="e" cm="1">
        <f t="array" aca="1" ref="A999" ca="1">_xlfn.IFS(E999=$AB$42,$AC$42,E999=$AB$43,$AC$43,E999=$AB$44,$AC$44,E999=$AB$45,$AC$45,E999=$AB$46,$AC$46,E999=$AB$47,$AC$47,E999=$AB$48,$AC$48,E999=$AB$49,$AC$49,E999=$AB$50,$AC$50,E999=$AB$51,$AC$51,E999=$AB$52,$AC$52,E999=$AB$53,$AC$53,E999=$AB$54,$AC$54,E999=$AB$55,$AC$55,E999=$AB$56,$AC$56,E999=$AB$57,$AC$57,E999=$AB$58,$AC$58,E999=$AB$59,$AC$59,E999=$AB$60,$AC$60,E999=$AB$61,$AC$61,E999=$AB$62,$AC$62,E999=$AB$63,$AC$63,E999=$AB$64,$AC$64,E999=$AB$65,$AC$65,E999=$AB$66,$AC$66,TRUE,"0")</f>
        <v>#NAME?</v>
      </c>
      <c r="C999" s="161" t="str" cm="1">
        <f t="array" ref="C999">_xlfn.IFS(E999=$AB$42,$AF$42,E999=$AB$43,$AF$43,E999=$AB$44,$AF$44,E999=$AB$45,$AF$45,E999=$AB$46,$AF$46,E999=$AB$47,$AF$47,E999=$AB$48,$AF$48,E999=$AB$49,$AF$49,E999=$AB$50,$AF$50,E999=$AB$51,$AF$51,E999=$AB$52,$AF$52,E999=$AB$53,$AF$53,E999=$AB$54,$AF$54,E999=$AB$55,$AF$55,E999=$AB$56,$AF$56,E999=$AB$57,$AF$57,E999=$AB$58,$AF$58,E999=$AB$59,$AF$59,E999=$AB$60,$AF$60,E999=$AB$61,$AF$61,E999=$AB$62,$AF$62,E999=$AB$63,$AF$63,E999=$AB$64,$AF$64,E999=$AB$65,$AF$65,E999=$AB$66,$AF$66,TRUE,"0")</f>
        <v>if 0-0, BACK+ 0.5 GOALS  @ 1.15+odds.  or @ 40 mins</v>
      </c>
      <c r="D999" s="270" t="str" cm="1">
        <f t="array" ref="D999">_xlfn.IFS(E999=$AB$42,$AD$42,E999=$AB$43,$AD$43,E999=$AB$44,$AD$44,E999=$AB$45,$AD$45,E999=$AB$46,$AD$46,E999=$AB$47,$AD$47,E999=$AB$48,$AD$48,E999=$AB$49,$AD$49,E999=$AB$50,$AD$50,E999=$AB$51,$AD$51,E999=$AB$52,$AD$52,E999=$AB$53,$AD$53,E999=$AB$54,$AD$54,E999=$AB$55,$AD$55,E999=$AB$56,$AD$56,E999=$AB$57,$AD$57,E999=$AB$58,$AD$58,E999=$AB$59,$AD$59,E999=$AB$60,$AD$60,E999=$AB$61,$AD$61,E999=$AB$62,$AD$62,E999=$AB$63,$AD$63,E999=$AB$64,$AD$64,E999=$AB$65,$AD$65,E999=$AB$66,$AD$66,TRUE,"0")</f>
        <v>IP</v>
      </c>
      <c r="E999" s="163" t="s">
        <v>270</v>
      </c>
      <c r="F999" s="2" t="s">
        <v>626</v>
      </c>
      <c r="G999" s="2" t="s">
        <v>627</v>
      </c>
      <c r="H999" s="3">
        <v>45396.760416666664</v>
      </c>
      <c r="I999" s="2" t="s">
        <v>722</v>
      </c>
      <c r="J999" s="2" t="s">
        <v>653</v>
      </c>
      <c r="K999" s="2">
        <v>61</v>
      </c>
      <c r="L999" s="2">
        <v>0</v>
      </c>
      <c r="M999" s="2">
        <v>20</v>
      </c>
      <c r="N999" s="2">
        <v>37</v>
      </c>
      <c r="O999" s="2">
        <v>0</v>
      </c>
      <c r="P999" s="2"/>
      <c r="Q999" s="2" t="s">
        <v>95</v>
      </c>
      <c r="R999" s="10" t="s">
        <v>214</v>
      </c>
      <c r="S999" s="10" t="s">
        <v>209</v>
      </c>
      <c r="T999" s="188">
        <v>1000</v>
      </c>
      <c r="U999" s="8">
        <f t="shared" si="120"/>
        <v>180</v>
      </c>
      <c r="V999" s="234">
        <f t="shared" si="122"/>
        <v>86064.155246160299</v>
      </c>
      <c r="W999" s="15">
        <v>25</v>
      </c>
      <c r="X999" s="8">
        <f t="shared" si="123"/>
        <v>4.5</v>
      </c>
      <c r="Y999" s="233">
        <f t="shared" si="124"/>
        <v>4017.5</v>
      </c>
    </row>
    <row r="1000" spans="1:25">
      <c r="A1000" s="156" t="e" cm="1">
        <f t="array" aca="1" ref="A1000" ca="1">_xlfn.IFS(E1000=$AB$42,$AC$42,E1000=$AB$43,$AC$43,E1000=$AB$44,$AC$44,E1000=$AB$45,$AC$45,E1000=$AB$46,$AC$46,E1000=$AB$47,$AC$47,E1000=$AB$48,$AC$48,E1000=$AB$49,$AC$49,E1000=$AB$50,$AC$50,E1000=$AB$51,$AC$51,E1000=$AB$52,$AC$52,E1000=$AB$53,$AC$53,E1000=$AB$54,$AC$54,E1000=$AB$55,$AC$55,E1000=$AB$56,$AC$56,E1000=$AB$57,$AC$57,E1000=$AB$58,$AC$58,E1000=$AB$59,$AC$59,E1000=$AB$60,$AC$60,E1000=$AB$61,$AC$61,E1000=$AB$62,$AC$62,E1000=$AB$63,$AC$63,E1000=$AB$64,$AC$64,E1000=$AB$65,$AC$65,E1000=$AB$66,$AC$66,TRUE,"0")</f>
        <v>#NAME?</v>
      </c>
      <c r="C1000" s="161" t="str" cm="1">
        <f t="array" ref="C1000">_xlfn.IFS(E1000=$AB$42,$AF$42,E1000=$AB$43,$AF$43,E1000=$AB$44,$AF$44,E1000=$AB$45,$AF$45,E1000=$AB$46,$AF$46,E1000=$AB$47,$AF$47,E1000=$AB$48,$AF$48,E1000=$AB$49,$AF$49,E1000=$AB$50,$AF$50,E1000=$AB$51,$AF$51,E1000=$AB$52,$AF$52,E1000=$AB$53,$AF$53,E1000=$AB$54,$AF$54,E1000=$AB$55,$AF$55,E1000=$AB$56,$AF$56,E1000=$AB$57,$AF$57,E1000=$AB$58,$AF$58,E1000=$AB$59,$AF$59,E1000=$AB$60,$AF$60,E1000=$AB$61,$AF$61,E1000=$AB$62,$AF$62,E1000=$AB$63,$AF$63,E1000=$AB$64,$AF$64,E1000=$AB$65,$AF$65,E1000=$AB$66,$AF$66,TRUE,"0")</f>
        <v>40 mins Back ANother Goal</v>
      </c>
      <c r="D1000" s="270" t="str" cm="1">
        <f t="array" ref="D1000">_xlfn.IFS(E1000=$AB$42,$AD$42,E1000=$AB$43,$AD$43,E1000=$AB$44,$AD$44,E1000=$AB$45,$AD$45,E1000=$AB$46,$AD$46,E1000=$AB$47,$AD$47,E1000=$AB$48,$AD$48,E1000=$AB$49,$AD$49,E1000=$AB$50,$AD$50,E1000=$AB$51,$AD$51,E1000=$AB$52,$AD$52,E1000=$AB$53,$AD$53,E1000=$AB$54,$AD$54,E1000=$AB$55,$AD$55,E1000=$AB$56,$AD$56,E1000=$AB$57,$AD$57,E1000=$AB$58,$AD$58,E1000=$AB$59,$AD$59,E1000=$AB$60,$AD$60,E1000=$AB$61,$AD$61,E1000=$AB$62,$AD$62,E1000=$AB$63,$AD$63,E1000=$AB$64,$AD$64,E1000=$AB$65,$AD$65,E1000=$AB$66,$AD$66,TRUE,"0")</f>
        <v xml:space="preserve">  BANG</v>
      </c>
      <c r="E1000" s="163" t="s">
        <v>35</v>
      </c>
      <c r="F1000" s="2" t="s">
        <v>149</v>
      </c>
      <c r="G1000" s="2" t="s">
        <v>153</v>
      </c>
      <c r="H1000" s="154">
        <v>45396.791666666664</v>
      </c>
      <c r="I1000" s="155" t="s">
        <v>241</v>
      </c>
      <c r="J1000" s="2" t="s">
        <v>205</v>
      </c>
      <c r="K1000" s="2">
        <v>74</v>
      </c>
      <c r="L1000" s="2">
        <v>95</v>
      </c>
      <c r="M1000" s="2">
        <v>70</v>
      </c>
      <c r="N1000" s="2">
        <v>45</v>
      </c>
      <c r="O1000" s="2">
        <v>20</v>
      </c>
      <c r="P1000" s="2">
        <v>1.73</v>
      </c>
      <c r="Q1000" s="2" t="s">
        <v>95</v>
      </c>
      <c r="R1000" s="10" t="s">
        <v>193</v>
      </c>
      <c r="S1000" s="10" t="s">
        <v>210</v>
      </c>
      <c r="T1000" s="188">
        <v>1000</v>
      </c>
      <c r="U1000" s="8">
        <f t="shared" si="120"/>
        <v>180</v>
      </c>
      <c r="V1000" s="234">
        <f t="shared" si="122"/>
        <v>86244.155246160299</v>
      </c>
      <c r="W1000" s="15">
        <v>25</v>
      </c>
      <c r="X1000" s="8">
        <f t="shared" si="123"/>
        <v>4.5</v>
      </c>
      <c r="Y1000" s="233">
        <f t="shared" si="124"/>
        <v>4022</v>
      </c>
    </row>
    <row r="1001" spans="1:25">
      <c r="A1001" s="156" t="e" cm="1">
        <f t="array" aca="1" ref="A1001" ca="1">_xlfn.IFS(E1001=$AB$42,$AC$42,E1001=$AB$43,$AC$43,E1001=$AB$44,$AC$44,E1001=$AB$45,$AC$45,E1001=$AB$46,$AC$46,E1001=$AB$47,$AC$47,E1001=$AB$48,$AC$48,E1001=$AB$49,$AC$49,E1001=$AB$50,$AC$50,E1001=$AB$51,$AC$51,E1001=$AB$52,$AC$52,E1001=$AB$53,$AC$53,E1001=$AB$54,$AC$54,E1001=$AB$55,$AC$55,E1001=$AB$56,$AC$56,E1001=$AB$57,$AC$57,E1001=$AB$58,$AC$58,E1001=$AB$59,$AC$59,E1001=$AB$60,$AC$60,E1001=$AB$61,$AC$61,E1001=$AB$62,$AC$62,E1001=$AB$63,$AC$63,E1001=$AB$64,$AC$64,E1001=$AB$65,$AC$65,E1001=$AB$66,$AC$66,TRUE,"0")</f>
        <v>#NAME?</v>
      </c>
      <c r="C1001" s="161" t="str" cm="1">
        <f t="array" ref="C1001">_xlfn.IFS(E1001=$AB$42,$AF$42,E1001=$AB$43,$AF$43,E1001=$AB$44,$AF$44,E1001=$AB$45,$AF$45,E1001=$AB$46,$AF$46,E1001=$AB$47,$AF$47,E1001=$AB$48,$AF$48,E1001=$AB$49,$AF$49,E1001=$AB$50,$AF$50,E1001=$AB$51,$AF$51,E1001=$AB$52,$AF$52,E1001=$AB$53,$AF$53,E1001=$AB$54,$AF$54,E1001=$AB$55,$AF$55,E1001=$AB$56,$AF$56,E1001=$AB$57,$AF$57,E1001=$AB$58,$AF$58,E1001=$AB$59,$AF$59,E1001=$AB$60,$AF$60,E1001=$AB$61,$AF$61,E1001=$AB$62,$AF$62,E1001=$AB$63,$AF$63,E1001=$AB$64,$AF$64,E1001=$AB$65,$AF$65,E1001=$AB$66,$AF$66,TRUE,"0")</f>
        <v>40 mins Back ANother Goal</v>
      </c>
      <c r="D1001" s="270" t="str" cm="1">
        <f t="array" ref="D1001">_xlfn.IFS(E1001=$AB$42,$AD$42,E1001=$AB$43,$AD$43,E1001=$AB$44,$AD$44,E1001=$AB$45,$AD$45,E1001=$AB$46,$AD$46,E1001=$AB$47,$AD$47,E1001=$AB$48,$AD$48,E1001=$AB$49,$AD$49,E1001=$AB$50,$AD$50,E1001=$AB$51,$AD$51,E1001=$AB$52,$AD$52,E1001=$AB$53,$AD$53,E1001=$AB$54,$AD$54,E1001=$AB$55,$AD$55,E1001=$AB$56,$AD$56,E1001=$AB$57,$AD$57,E1001=$AB$58,$AD$58,E1001=$AB$59,$AD$59,E1001=$AB$60,$AD$60,E1001=$AB$61,$AD$61,E1001=$AB$62,$AD$62,E1001=$AB$63,$AD$63,E1001=$AB$64,$AD$64,E1001=$AB$65,$AD$65,E1001=$AB$66,$AD$66,TRUE,"0")</f>
        <v xml:space="preserve">  BANG</v>
      </c>
      <c r="E1001" s="163" t="s">
        <v>726</v>
      </c>
      <c r="F1001" s="2" t="s">
        <v>149</v>
      </c>
      <c r="G1001" s="2" t="s">
        <v>153</v>
      </c>
      <c r="H1001" s="154">
        <v>45396.791666666664</v>
      </c>
      <c r="I1001" s="155" t="s">
        <v>241</v>
      </c>
      <c r="J1001" s="2" t="s">
        <v>205</v>
      </c>
      <c r="K1001" s="2">
        <v>95</v>
      </c>
      <c r="L1001" s="2">
        <v>20</v>
      </c>
      <c r="M1001" s="155">
        <v>2.4500000000000002</v>
      </c>
      <c r="N1001" s="155">
        <v>59</v>
      </c>
      <c r="O1001" s="2"/>
      <c r="P1001" s="2"/>
      <c r="Q1001" s="2" t="s">
        <v>95</v>
      </c>
      <c r="R1001" s="10" t="s">
        <v>193</v>
      </c>
      <c r="S1001" s="10" t="s">
        <v>210</v>
      </c>
      <c r="T1001" s="188">
        <v>1000</v>
      </c>
      <c r="U1001" s="8">
        <f t="shared" si="120"/>
        <v>180</v>
      </c>
      <c r="V1001" s="234">
        <f t="shared" si="122"/>
        <v>86424.155246160299</v>
      </c>
      <c r="W1001" s="15">
        <v>25</v>
      </c>
      <c r="X1001" s="8">
        <f t="shared" si="123"/>
        <v>4.5</v>
      </c>
      <c r="Y1001" s="233">
        <f t="shared" si="124"/>
        <v>4026.5</v>
      </c>
    </row>
    <row r="1002" spans="1:25">
      <c r="A1002" s="156" t="e" cm="1">
        <f t="array" aca="1" ref="A1002" ca="1">_xlfn.IFS(E1002=$AB$42,$AC$42,E1002=$AB$43,$AC$43,E1002=$AB$44,$AC$44,E1002=$AB$45,$AC$45,E1002=$AB$46,$AC$46,E1002=$AB$47,$AC$47,E1002=$AB$48,$AC$48,E1002=$AB$49,$AC$49,E1002=$AB$50,$AC$50,E1002=$AB$51,$AC$51,E1002=$AB$52,$AC$52,E1002=$AB$53,$AC$53,E1002=$AB$54,$AC$54,E1002=$AB$55,$AC$55,E1002=$AB$56,$AC$56,E1002=$AB$57,$AC$57,E1002=$AB$58,$AC$58,E1002=$AB$59,$AC$59,E1002=$AB$60,$AC$60,E1002=$AB$61,$AC$61,E1002=$AB$62,$AC$62,E1002=$AB$63,$AC$63,E1002=$AB$64,$AC$64,E1002=$AB$65,$AC$65,E1002=$AB$66,$AC$66,TRUE,"0")</f>
        <v>#NAME?</v>
      </c>
      <c r="C1002" s="161" t="str" cm="1">
        <f t="array" ref="C1002">_xlfn.IFS(E1002=$AB$42,$AF$42,E1002=$AB$43,$AF$43,E1002=$AB$44,$AF$44,E1002=$AB$45,$AF$45,E1002=$AB$46,$AF$46,E1002=$AB$47,$AF$47,E1002=$AB$48,$AF$48,E1002=$AB$49,$AF$49,E1002=$AB$50,$AF$50,E1002=$AB$51,$AF$51,E1002=$AB$52,$AF$52,E1002=$AB$53,$AF$53,E1002=$AB$54,$AF$54,E1002=$AB$55,$AF$55,E1002=$AB$56,$AF$56,E1002=$AB$57,$AF$57,E1002=$AB$58,$AF$58,E1002=$AB$59,$AF$59,E1002=$AB$60,$AF$60,E1002=$AB$61,$AF$61,E1002=$AB$62,$AF$62,E1002=$AB$63,$AF$63,E1002=$AB$64,$AF$64,E1002=$AB$65,$AF$65,E1002=$AB$66,$AF$66,TRUE,"0")</f>
        <v>B4 match BACK FT +1.5 goals. X AFTER  GOAL</v>
      </c>
      <c r="D1002" s="270" t="str" cm="1">
        <f t="array" ref="D1002">_xlfn.IFS(E1002=$AB$42,$AD$42,E1002=$AB$43,$AD$43,E1002=$AB$44,$AD$44,E1002=$AB$45,$AD$45,E1002=$AB$46,$AD$46,E1002=$AB$47,$AD$47,E1002=$AB$48,$AD$48,E1002=$AB$49,$AD$49,E1002=$AB$50,$AD$50,E1002=$AB$51,$AD$51,E1002=$AB$52,$AD$52,E1002=$AB$53,$AD$53,E1002=$AB$54,$AD$54,E1002=$AB$55,$AD$55,E1002=$AB$56,$AD$56,E1002=$AB$57,$AD$57,E1002=$AB$58,$AD$58,E1002=$AB$59,$AD$59,E1002=$AB$60,$AD$60,E1002=$AB$61,$AD$61,E1002=$AB$62,$AD$62,E1002=$AB$63,$AD$63,E1002=$AB$64,$AD$64,E1002=$AB$65,$AD$65,E1002=$AB$66,$AD$66,TRUE,"0")</f>
        <v xml:space="preserve">BFM </v>
      </c>
      <c r="E1002" s="163" t="s">
        <v>623</v>
      </c>
      <c r="F1002" s="2" t="s">
        <v>149</v>
      </c>
      <c r="G1002" s="2" t="s">
        <v>153</v>
      </c>
      <c r="H1002" s="3">
        <v>45396.791666666664</v>
      </c>
      <c r="I1002" s="2" t="s">
        <v>241</v>
      </c>
      <c r="J1002" s="2" t="s">
        <v>205</v>
      </c>
      <c r="K1002" s="2">
        <v>6.2</v>
      </c>
      <c r="L1002" s="2">
        <v>20</v>
      </c>
      <c r="M1002" s="2">
        <v>3.3</v>
      </c>
      <c r="N1002" s="2">
        <v>36</v>
      </c>
      <c r="O1002" s="2">
        <v>1</v>
      </c>
      <c r="P1002" s="2">
        <v>10</v>
      </c>
      <c r="Q1002" s="2" t="s">
        <v>95</v>
      </c>
      <c r="R1002" s="10" t="s">
        <v>193</v>
      </c>
      <c r="S1002" s="10" t="s">
        <v>210</v>
      </c>
      <c r="T1002" s="188">
        <v>1000</v>
      </c>
      <c r="U1002" s="8">
        <f t="shared" si="120"/>
        <v>180</v>
      </c>
      <c r="V1002" s="234">
        <f t="shared" si="122"/>
        <v>86604.155246160299</v>
      </c>
      <c r="W1002" s="15">
        <v>25</v>
      </c>
      <c r="X1002" s="8">
        <f t="shared" si="123"/>
        <v>4.5</v>
      </c>
      <c r="Y1002" s="233">
        <f t="shared" si="124"/>
        <v>4031</v>
      </c>
    </row>
    <row r="1003" spans="1:25">
      <c r="A1003" s="156" t="e" cm="1">
        <f t="array" aca="1" ref="A1003" ca="1">_xlfn.IFS(E1003=$AB$42,$AC$42,E1003=$AB$43,$AC$43,E1003=$AB$44,$AC$44,E1003=$AB$45,$AC$45,E1003=$AB$46,$AC$46,E1003=$AB$47,$AC$47,E1003=$AB$48,$AC$48,E1003=$AB$49,$AC$49,E1003=$AB$50,$AC$50,E1003=$AB$51,$AC$51,E1003=$AB$52,$AC$52,E1003=$AB$53,$AC$53,E1003=$AB$54,$AC$54,E1003=$AB$55,$AC$55,E1003=$AB$56,$AC$56,E1003=$AB$57,$AC$57,E1003=$AB$58,$AC$58,E1003=$AB$59,$AC$59,E1003=$AB$60,$AC$60,E1003=$AB$61,$AC$61,E1003=$AB$62,$AC$62,E1003=$AB$63,$AC$63,E1003=$AB$64,$AC$64,E1003=$AB$65,$AC$65,E1003=$AB$66,$AC$66,TRUE,"0")</f>
        <v>#NAME?</v>
      </c>
      <c r="C1003" s="161" t="str" cm="1">
        <f t="array" ref="C1003">_xlfn.IFS(E1003=$AB$42,$AF$42,E1003=$AB$43,$AF$43,E1003=$AB$44,$AF$44,E1003=$AB$45,$AF$45,E1003=$AB$46,$AF$46,E1003=$AB$47,$AF$47,E1003=$AB$48,$AF$48,E1003=$AB$49,$AF$49,E1003=$AB$50,$AF$50,E1003=$AB$51,$AF$51,E1003=$AB$52,$AF$52,E1003=$AB$53,$AF$53,E1003=$AB$54,$AF$54,E1003=$AB$55,$AF$55,E1003=$AB$56,$AF$56,E1003=$AB$57,$AF$57,E1003=$AB$58,$AF$58,E1003=$AB$59,$AF$59,E1003=$AB$60,$AF$60,E1003=$AB$61,$AF$61,E1003=$AB$62,$AF$62,E1003=$AB$63,$AF$63,E1003=$AB$64,$AF$64,E1003=$AB$65,$AF$65,E1003=$AB$66,$AF$66,TRUE,"0")</f>
        <v>40 mins Back ANother Goal</v>
      </c>
      <c r="D1003" s="270" t="str" cm="1">
        <f t="array" ref="D1003">_xlfn.IFS(E1003=$AB$42,$AD$42,E1003=$AB$43,$AD$43,E1003=$AB$44,$AD$44,E1003=$AB$45,$AD$45,E1003=$AB$46,$AD$46,E1003=$AB$47,$AD$47,E1003=$AB$48,$AD$48,E1003=$AB$49,$AD$49,E1003=$AB$50,$AD$50,E1003=$AB$51,$AD$51,E1003=$AB$52,$AD$52,E1003=$AB$53,$AD$53,E1003=$AB$54,$AD$54,E1003=$AB$55,$AD$55,E1003=$AB$56,$AD$56,E1003=$AB$57,$AD$57,E1003=$AB$58,$AD$58,E1003=$AB$59,$AD$59,E1003=$AB$60,$AD$60,E1003=$AB$61,$AD$61,E1003=$AB$62,$AD$62,E1003=$AB$63,$AD$63,E1003=$AB$64,$AD$64,E1003=$AB$65,$AD$65,E1003=$AB$66,$AD$66,TRUE,"0")</f>
        <v xml:space="preserve">  BANG</v>
      </c>
      <c r="E1003" s="163" t="s">
        <v>522</v>
      </c>
      <c r="F1003" s="2" t="s">
        <v>149</v>
      </c>
      <c r="G1003" s="2" t="s">
        <v>153</v>
      </c>
      <c r="H1003" s="154">
        <v>45396.791666666664</v>
      </c>
      <c r="I1003" s="155" t="s">
        <v>241</v>
      </c>
      <c r="J1003" s="2" t="s">
        <v>205</v>
      </c>
      <c r="K1003" s="2">
        <v>74</v>
      </c>
      <c r="L1003" s="2">
        <v>20</v>
      </c>
      <c r="M1003" s="2">
        <v>95</v>
      </c>
      <c r="N1003" s="2">
        <v>70</v>
      </c>
      <c r="O1003" s="2">
        <v>2.4500000000000002</v>
      </c>
      <c r="P1003" s="2"/>
      <c r="Q1003" s="2" t="s">
        <v>95</v>
      </c>
      <c r="R1003" s="10" t="s">
        <v>193</v>
      </c>
      <c r="S1003" s="10" t="s">
        <v>210</v>
      </c>
      <c r="T1003" s="188">
        <v>1000</v>
      </c>
      <c r="U1003" s="8">
        <f t="shared" si="120"/>
        <v>180</v>
      </c>
      <c r="V1003" s="234">
        <f t="shared" si="122"/>
        <v>86784.155246160299</v>
      </c>
      <c r="W1003" s="15">
        <v>25</v>
      </c>
      <c r="X1003" s="8">
        <f t="shared" si="123"/>
        <v>4.5</v>
      </c>
      <c r="Y1003" s="233">
        <f t="shared" si="124"/>
        <v>4035.5</v>
      </c>
    </row>
    <row r="1004" spans="1:25">
      <c r="A1004" s="156" t="e" cm="1">
        <f t="array" aca="1" ref="A1004" ca="1">_xlfn.IFS(E1004=$AB$42,$AC$42,E1004=$AB$43,$AC$43,E1004=$AB$44,$AC$44,E1004=$AB$45,$AC$45,E1004=$AB$46,$AC$46,E1004=$AB$47,$AC$47,E1004=$AB$48,$AC$48,E1004=$AB$49,$AC$49,E1004=$AB$50,$AC$50,E1004=$AB$51,$AC$51,E1004=$AB$52,$AC$52,E1004=$AB$53,$AC$53,E1004=$AB$54,$AC$54,E1004=$AB$55,$AC$55,E1004=$AB$56,$AC$56,E1004=$AB$57,$AC$57,E1004=$AB$58,$AC$58,E1004=$AB$59,$AC$59,E1004=$AB$60,$AC$60,E1004=$AB$61,$AC$61,E1004=$AB$62,$AC$62,E1004=$AB$63,$AC$63,E1004=$AB$64,$AC$64,E1004=$AB$65,$AC$65,E1004=$AB$66,$AC$66,TRUE,"0")</f>
        <v>#NAME?</v>
      </c>
      <c r="C1004" s="161" t="str" cm="1">
        <f t="array" ref="C1004">_xlfn.IFS(E1004=$AB$42,$AF$42,E1004=$AB$43,$AF$43,E1004=$AB$44,$AF$44,E1004=$AB$45,$AF$45,E1004=$AB$46,$AF$46,E1004=$AB$47,$AF$47,E1004=$AB$48,$AF$48,E1004=$AB$49,$AF$49,E1004=$AB$50,$AF$50,E1004=$AB$51,$AF$51,E1004=$AB$52,$AF$52,E1004=$AB$53,$AF$53,E1004=$AB$54,$AF$54,E1004=$AB$55,$AF$55,E1004=$AB$56,$AF$56,E1004=$AB$57,$AF$57,E1004=$AB$58,$AF$58,E1004=$AB$59,$AF$59,E1004=$AB$60,$AF$60,E1004=$AB$61,$AF$61,E1004=$AB$62,$AF$62,E1004=$AB$63,$AF$63,E1004=$AB$64,$AF$64,E1004=$AB$65,$AF$65,E1004=$AB$66,$AF$66,TRUE,"0")</f>
        <v>40 mins Back ANother Goal</v>
      </c>
      <c r="D1004" s="270" t="str" cm="1">
        <f t="array" ref="D1004">_xlfn.IFS(E1004=$AB$42,$AD$42,E1004=$AB$43,$AD$43,E1004=$AB$44,$AD$44,E1004=$AB$45,$AD$45,E1004=$AB$46,$AD$46,E1004=$AB$47,$AD$47,E1004=$AB$48,$AD$48,E1004=$AB$49,$AD$49,E1004=$AB$50,$AD$50,E1004=$AB$51,$AD$51,E1004=$AB$52,$AD$52,E1004=$AB$53,$AD$53,E1004=$AB$54,$AD$54,E1004=$AB$55,$AD$55,E1004=$AB$56,$AD$56,E1004=$AB$57,$AD$57,E1004=$AB$58,$AD$58,E1004=$AB$59,$AD$59,E1004=$AB$60,$AD$60,E1004=$AB$61,$AD$61,E1004=$AB$62,$AD$62,E1004=$AB$63,$AD$63,E1004=$AB$64,$AD$64,E1004=$AB$65,$AD$65,E1004=$AB$66,$AD$66,TRUE,"0")</f>
        <v xml:space="preserve">  BANG</v>
      </c>
      <c r="E1004" s="163" t="s">
        <v>515</v>
      </c>
      <c r="F1004" s="2" t="s">
        <v>149</v>
      </c>
      <c r="G1004" s="2" t="s">
        <v>153</v>
      </c>
      <c r="H1004" s="154">
        <v>45396.791666666664</v>
      </c>
      <c r="I1004" s="155" t="s">
        <v>241</v>
      </c>
      <c r="J1004" s="2" t="s">
        <v>205</v>
      </c>
      <c r="K1004" s="2">
        <v>20</v>
      </c>
      <c r="L1004" s="2">
        <v>74</v>
      </c>
      <c r="M1004" s="2">
        <v>2.4500000000000002</v>
      </c>
      <c r="N1004" s="2"/>
      <c r="O1004" s="2"/>
      <c r="P1004" s="2"/>
      <c r="Q1004" s="2" t="s">
        <v>95</v>
      </c>
      <c r="R1004" s="10" t="s">
        <v>193</v>
      </c>
      <c r="S1004" s="10" t="s">
        <v>210</v>
      </c>
      <c r="T1004" s="188">
        <v>1000</v>
      </c>
      <c r="U1004" s="8">
        <f t="shared" si="120"/>
        <v>180</v>
      </c>
      <c r="V1004" s="234">
        <f t="shared" si="122"/>
        <v>86964.155246160299</v>
      </c>
      <c r="W1004" s="15">
        <v>25</v>
      </c>
      <c r="X1004" s="8">
        <f t="shared" si="123"/>
        <v>4.5</v>
      </c>
      <c r="Y1004" s="233">
        <f t="shared" si="124"/>
        <v>4040</v>
      </c>
    </row>
    <row r="1005" spans="1:25">
      <c r="A1005" s="156" t="e" cm="1">
        <f t="array" aca="1" ref="A1005" ca="1">_xlfn.IFS(E1005=$AB$42,$AC$42,E1005=$AB$43,$AC$43,E1005=$AB$44,$AC$44,E1005=$AB$45,$AC$45,E1005=$AB$46,$AC$46,E1005=$AB$47,$AC$47,E1005=$AB$48,$AC$48,E1005=$AB$49,$AC$49,E1005=$AB$50,$AC$50,E1005=$AB$51,$AC$51,E1005=$AB$52,$AC$52,E1005=$AB$53,$AC$53,E1005=$AB$54,$AC$54,E1005=$AB$55,$AC$55,E1005=$AB$56,$AC$56,E1005=$AB$57,$AC$57,E1005=$AB$58,$AC$58,E1005=$AB$59,$AC$59,E1005=$AB$60,$AC$60,E1005=$AB$61,$AC$61,E1005=$AB$62,$AC$62,E1005=$AB$63,$AC$63,E1005=$AB$64,$AC$64,E1005=$AB$65,$AC$65,E1005=$AB$66,$AC$66,TRUE,"0")</f>
        <v>#NAME?</v>
      </c>
      <c r="C1005" s="161" t="str" cm="1">
        <f t="array" ref="C1005">_xlfn.IFS(E1005=$AB$42,$AF$42,E1005=$AB$43,$AF$43,E1005=$AB$44,$AF$44,E1005=$AB$45,$AF$45,E1005=$AB$46,$AF$46,E1005=$AB$47,$AF$47,E1005=$AB$48,$AF$48,E1005=$AB$49,$AF$49,E1005=$AB$50,$AF$50,E1005=$AB$51,$AF$51,E1005=$AB$52,$AF$52,E1005=$AB$53,$AF$53,E1005=$AB$54,$AF$54,E1005=$AB$55,$AF$55,E1005=$AB$56,$AF$56,E1005=$AB$57,$AF$57,E1005=$AB$58,$AF$58,E1005=$AB$59,$AF$59,E1005=$AB$60,$AF$60,E1005=$AB$61,$AF$61,E1005=$AB$62,$AF$62,E1005=$AB$63,$AF$63,E1005=$AB$64,$AF$64,E1005=$AB$65,$AF$65,E1005=$AB$66,$AF$66,TRUE,"0")</f>
        <v>B4 match BACK FT +1.5 goals. X AFTER  GOAL</v>
      </c>
      <c r="D1005" s="270" t="str" cm="1">
        <f t="array" ref="D1005">_xlfn.IFS(E1005=$AB$42,$AD$42,E1005=$AB$43,$AD$43,E1005=$AB$44,$AD$44,E1005=$AB$45,$AD$45,E1005=$AB$46,$AD$46,E1005=$AB$47,$AD$47,E1005=$AB$48,$AD$48,E1005=$AB$49,$AD$49,E1005=$AB$50,$AD$50,E1005=$AB$51,$AD$51,E1005=$AB$52,$AD$52,E1005=$AB$53,$AD$53,E1005=$AB$54,$AD$54,E1005=$AB$55,$AD$55,E1005=$AB$56,$AD$56,E1005=$AB$57,$AD$57,E1005=$AB$58,$AD$58,E1005=$AB$59,$AD$59,E1005=$AB$60,$AD$60,E1005=$AB$61,$AD$61,E1005=$AB$62,$AD$62,E1005=$AB$63,$AD$63,E1005=$AB$64,$AD$64,E1005=$AB$65,$AD$65,E1005=$AB$66,$AD$66,TRUE,"0")</f>
        <v xml:space="preserve">BFM </v>
      </c>
      <c r="E1005" s="163" t="s">
        <v>623</v>
      </c>
      <c r="F1005" s="2" t="s">
        <v>20</v>
      </c>
      <c r="G1005" s="2" t="s">
        <v>21</v>
      </c>
      <c r="H1005" s="3">
        <v>45396.822916666664</v>
      </c>
      <c r="I1005" s="2" t="s">
        <v>25</v>
      </c>
      <c r="J1005" s="2" t="s">
        <v>335</v>
      </c>
      <c r="K1005" s="2">
        <v>3.5</v>
      </c>
      <c r="L1005" s="2">
        <v>20</v>
      </c>
      <c r="M1005" s="2">
        <v>2.5</v>
      </c>
      <c r="N1005" s="2">
        <v>33</v>
      </c>
      <c r="O1005" s="2">
        <v>3</v>
      </c>
      <c r="P1005" s="2">
        <v>10</v>
      </c>
      <c r="Q1005" s="2" t="s">
        <v>95</v>
      </c>
      <c r="R1005" s="10" t="s">
        <v>214</v>
      </c>
      <c r="S1005" s="10" t="s">
        <v>210</v>
      </c>
      <c r="T1005" s="188">
        <v>1000</v>
      </c>
      <c r="U1005" s="8">
        <f t="shared" si="120"/>
        <v>180</v>
      </c>
      <c r="V1005" s="234">
        <f t="shared" si="122"/>
        <v>87144.155246160299</v>
      </c>
      <c r="W1005" s="15">
        <v>25</v>
      </c>
      <c r="X1005" s="8">
        <f t="shared" si="123"/>
        <v>4.5</v>
      </c>
      <c r="Y1005" s="233">
        <f t="shared" si="124"/>
        <v>4044.5</v>
      </c>
    </row>
    <row r="1006" spans="1:25">
      <c r="A1006" s="156" t="e" cm="1">
        <f t="array" aca="1" ref="A1006" ca="1">_xlfn.IFS(E1006=$AB$42,$AC$42,E1006=$AB$43,$AC$43,E1006=$AB$44,$AC$44,E1006=$AB$45,$AC$45,E1006=$AB$46,$AC$46,E1006=$AB$47,$AC$47,E1006=$AB$48,$AC$48,E1006=$AB$49,$AC$49,E1006=$AB$50,$AC$50,E1006=$AB$51,$AC$51,E1006=$AB$52,$AC$52,E1006=$AB$53,$AC$53,E1006=$AB$54,$AC$54,E1006=$AB$55,$AC$55,E1006=$AB$56,$AC$56,E1006=$AB$57,$AC$57,E1006=$AB$58,$AC$58,E1006=$AB$59,$AC$59,E1006=$AB$60,$AC$60,E1006=$AB$61,$AC$61,E1006=$AB$62,$AC$62,E1006=$AB$63,$AC$63,E1006=$AB$64,$AC$64,E1006=$AB$65,$AC$65,E1006=$AB$66,$AC$66,TRUE,"0")</f>
        <v>#NAME?</v>
      </c>
      <c r="C1006" s="161" t="str" cm="1">
        <f t="array" ref="C1006">_xlfn.IFS(E1006=$AB$42,$AF$42,E1006=$AB$43,$AF$43,E1006=$AB$44,$AF$44,E1006=$AB$45,$AF$45,E1006=$AB$46,$AF$46,E1006=$AB$47,$AF$47,E1006=$AB$48,$AF$48,E1006=$AB$49,$AF$49,E1006=$AB$50,$AF$50,E1006=$AB$51,$AF$51,E1006=$AB$52,$AF$52,E1006=$AB$53,$AF$53,E1006=$AB$54,$AF$54,E1006=$AB$55,$AF$55,E1006=$AB$56,$AF$56,E1006=$AB$57,$AF$57,E1006=$AB$58,$AF$58,E1006=$AB$59,$AF$59,E1006=$AB$60,$AF$60,E1006=$AB$61,$AF$61,E1006=$AB$62,$AF$62,E1006=$AB$63,$AF$63,E1006=$AB$64,$AF$64,E1006=$AB$65,$AF$65,E1006=$AB$66,$AF$66,TRUE,"0")</f>
        <v>40 mins Back ANother Goal</v>
      </c>
      <c r="D1006" s="270" t="str" cm="1">
        <f t="array" ref="D1006">_xlfn.IFS(E1006=$AB$42,$AD$42,E1006=$AB$43,$AD$43,E1006=$AB$44,$AD$44,E1006=$AB$45,$AD$45,E1006=$AB$46,$AD$46,E1006=$AB$47,$AD$47,E1006=$AB$48,$AD$48,E1006=$AB$49,$AD$49,E1006=$AB$50,$AD$50,E1006=$AB$51,$AD$51,E1006=$AB$52,$AD$52,E1006=$AB$53,$AD$53,E1006=$AB$54,$AD$54,E1006=$AB$55,$AD$55,E1006=$AB$56,$AD$56,E1006=$AB$57,$AD$57,E1006=$AB$58,$AD$58,E1006=$AB$59,$AD$59,E1006=$AB$60,$AD$60,E1006=$AB$61,$AD$61,E1006=$AB$62,$AD$62,E1006=$AB$63,$AD$63,E1006=$AB$64,$AD$64,E1006=$AB$65,$AD$65,E1006=$AB$66,$AD$66,TRUE,"0")</f>
        <v xml:space="preserve">  BANG</v>
      </c>
      <c r="E1006" s="163" t="s">
        <v>43</v>
      </c>
      <c r="F1006" s="2" t="s">
        <v>119</v>
      </c>
      <c r="G1006" s="2" t="s">
        <v>166</v>
      </c>
      <c r="H1006" s="154">
        <v>45396.833333333336</v>
      </c>
      <c r="I1006" s="155" t="s">
        <v>723</v>
      </c>
      <c r="J1006" s="2" t="s">
        <v>606</v>
      </c>
      <c r="K1006" s="2">
        <v>75</v>
      </c>
      <c r="L1006" s="2">
        <v>75</v>
      </c>
      <c r="M1006" s="2">
        <v>62</v>
      </c>
      <c r="N1006" s="2">
        <v>1.55</v>
      </c>
      <c r="O1006" s="2">
        <v>1.1599999999999999</v>
      </c>
      <c r="P1006" s="2"/>
      <c r="Q1006" s="2" t="s">
        <v>95</v>
      </c>
      <c r="R1006" s="10" t="s">
        <v>193</v>
      </c>
      <c r="S1006" s="10" t="s">
        <v>222</v>
      </c>
      <c r="T1006" s="188">
        <v>1000</v>
      </c>
      <c r="U1006" s="8">
        <f t="shared" si="120"/>
        <v>180</v>
      </c>
      <c r="V1006" s="234">
        <f t="shared" si="122"/>
        <v>87324.155246160299</v>
      </c>
      <c r="W1006" s="15">
        <v>25</v>
      </c>
      <c r="X1006" s="8">
        <f t="shared" si="123"/>
        <v>4.5</v>
      </c>
      <c r="Y1006" s="233">
        <f t="shared" si="124"/>
        <v>4049</v>
      </c>
    </row>
    <row r="1007" spans="1:25">
      <c r="A1007" s="156" t="e" cm="1">
        <f t="array" aca="1" ref="A1007" ca="1">_xlfn.IFS(E1007=$AB$42,$AC$42,E1007=$AB$43,$AC$43,E1007=$AB$44,$AC$44,E1007=$AB$45,$AC$45,E1007=$AB$46,$AC$46,E1007=$AB$47,$AC$47,E1007=$AB$48,$AC$48,E1007=$AB$49,$AC$49,E1007=$AB$50,$AC$50,E1007=$AB$51,$AC$51,E1007=$AB$52,$AC$52,E1007=$AB$53,$AC$53,E1007=$AB$54,$AC$54,E1007=$AB$55,$AC$55,E1007=$AB$56,$AC$56,E1007=$AB$57,$AC$57,E1007=$AB$58,$AC$58,E1007=$AB$59,$AC$59,E1007=$AB$60,$AC$60,E1007=$AB$61,$AC$61,E1007=$AB$62,$AC$62,E1007=$AB$63,$AC$63,E1007=$AB$64,$AC$64,E1007=$AB$65,$AC$65,E1007=$AB$66,$AC$66,TRUE,"0")</f>
        <v>#NAME?</v>
      </c>
      <c r="C1007" s="161" t="str" cm="1">
        <f t="array" ref="C1007">_xlfn.IFS(E1007=$AB$42,$AF$42,E1007=$AB$43,$AF$43,E1007=$AB$44,$AF$44,E1007=$AB$45,$AF$45,E1007=$AB$46,$AF$46,E1007=$AB$47,$AF$47,E1007=$AB$48,$AF$48,E1007=$AB$49,$AF$49,E1007=$AB$50,$AF$50,E1007=$AB$51,$AF$51,E1007=$AB$52,$AF$52,E1007=$AB$53,$AF$53,E1007=$AB$54,$AF$54,E1007=$AB$55,$AF$55,E1007=$AB$56,$AF$56,E1007=$AB$57,$AF$57,E1007=$AB$58,$AF$58,E1007=$AB$59,$AF$59,E1007=$AB$60,$AF$60,E1007=$AB$61,$AF$61,E1007=$AB$62,$AF$62,E1007=$AB$63,$AF$63,E1007=$AB$64,$AF$64,E1007=$AB$65,$AF$65,E1007=$AB$66,$AF$66,TRUE,"0")</f>
        <v>40 mins Back ANother Goal</v>
      </c>
      <c r="D1007" s="270" t="str" cm="1">
        <f t="array" ref="D1007">_xlfn.IFS(E1007=$AB$42,$AD$42,E1007=$AB$43,$AD$43,E1007=$AB$44,$AD$44,E1007=$AB$45,$AD$45,E1007=$AB$46,$AD$46,E1007=$AB$47,$AD$47,E1007=$AB$48,$AD$48,E1007=$AB$49,$AD$49,E1007=$AB$50,$AD$50,E1007=$AB$51,$AD$51,E1007=$AB$52,$AD$52,E1007=$AB$53,$AD$53,E1007=$AB$54,$AD$54,E1007=$AB$55,$AD$55,E1007=$AB$56,$AD$56,E1007=$AB$57,$AD$57,E1007=$AB$58,$AD$58,E1007=$AB$59,$AD$59,E1007=$AB$60,$AD$60,E1007=$AB$61,$AD$61,E1007=$AB$62,$AD$62,E1007=$AB$63,$AD$63,E1007=$AB$64,$AD$64,E1007=$AB$65,$AD$65,E1007=$AB$66,$AD$66,TRUE,"0")</f>
        <v xml:space="preserve">  BANG</v>
      </c>
      <c r="E1007" s="163" t="s">
        <v>515</v>
      </c>
      <c r="F1007" s="2" t="s">
        <v>119</v>
      </c>
      <c r="G1007" s="2" t="s">
        <v>166</v>
      </c>
      <c r="H1007" s="154">
        <v>45396.833333333336</v>
      </c>
      <c r="I1007" s="155" t="s">
        <v>723</v>
      </c>
      <c r="J1007" s="2" t="s">
        <v>606</v>
      </c>
      <c r="K1007" s="2">
        <v>20</v>
      </c>
      <c r="L1007" s="2">
        <v>76</v>
      </c>
      <c r="M1007" s="2">
        <v>1.55</v>
      </c>
      <c r="N1007" s="2"/>
      <c r="O1007" s="2"/>
      <c r="P1007" s="2"/>
      <c r="Q1007" s="2" t="s">
        <v>95</v>
      </c>
      <c r="R1007" s="10" t="s">
        <v>193</v>
      </c>
      <c r="S1007" s="10" t="s">
        <v>222</v>
      </c>
      <c r="T1007" s="188">
        <v>1000</v>
      </c>
      <c r="U1007" s="8">
        <f t="shared" si="120"/>
        <v>180</v>
      </c>
      <c r="V1007" s="234">
        <f t="shared" si="122"/>
        <v>87504.155246160299</v>
      </c>
      <c r="W1007" s="15">
        <v>25</v>
      </c>
      <c r="X1007" s="8">
        <f t="shared" si="123"/>
        <v>4.5</v>
      </c>
      <c r="Y1007" s="233">
        <f t="shared" si="124"/>
        <v>4053.5</v>
      </c>
    </row>
    <row r="1008" spans="1:25">
      <c r="A1008" s="156" t="e" cm="1">
        <f t="array" aca="1" ref="A1008" ca="1">_xlfn.IFS(E1008=$AB$42,$AC$42,E1008=$AB$43,$AC$43,E1008=$AB$44,$AC$44,E1008=$AB$45,$AC$45,E1008=$AB$46,$AC$46,E1008=$AB$47,$AC$47,E1008=$AB$48,$AC$48,E1008=$AB$49,$AC$49,E1008=$AB$50,$AC$50,E1008=$AB$51,$AC$51,E1008=$AB$52,$AC$52,E1008=$AB$53,$AC$53,E1008=$AB$54,$AC$54,E1008=$AB$55,$AC$55,E1008=$AB$56,$AC$56,E1008=$AB$57,$AC$57,E1008=$AB$58,$AC$58,E1008=$AB$59,$AC$59,E1008=$AB$60,$AC$60,E1008=$AB$61,$AC$61,E1008=$AB$62,$AC$62,E1008=$AB$63,$AC$63,E1008=$AB$64,$AC$64,E1008=$AB$65,$AC$65,E1008=$AB$66,$AC$66,TRUE,"0")</f>
        <v>#NAME?</v>
      </c>
      <c r="C1008" s="161" t="str" cm="1">
        <f t="array" ref="C1008">_xlfn.IFS(E1008=$AB$42,$AF$42,E1008=$AB$43,$AF$43,E1008=$AB$44,$AF$44,E1008=$AB$45,$AF$45,E1008=$AB$46,$AF$46,E1008=$AB$47,$AF$47,E1008=$AB$48,$AF$48,E1008=$AB$49,$AF$49,E1008=$AB$50,$AF$50,E1008=$AB$51,$AF$51,E1008=$AB$52,$AF$52,E1008=$AB$53,$AF$53,E1008=$AB$54,$AF$54,E1008=$AB$55,$AF$55,E1008=$AB$56,$AF$56,E1008=$AB$57,$AF$57,E1008=$AB$58,$AF$58,E1008=$AB$59,$AF$59,E1008=$AB$60,$AF$60,E1008=$AB$61,$AF$61,E1008=$AB$62,$AF$62,E1008=$AB$63,$AF$63,E1008=$AB$64,$AF$64,E1008=$AB$65,$AF$65,E1008=$AB$66,$AF$66,TRUE,"0")</f>
        <v>B4 match BACK FT +1.5 goals. X AFTER  GOAL</v>
      </c>
      <c r="D1008" s="270" t="str" cm="1">
        <f t="array" ref="D1008">_xlfn.IFS(E1008=$AB$42,$AD$42,E1008=$AB$43,$AD$43,E1008=$AB$44,$AD$44,E1008=$AB$45,$AD$45,E1008=$AB$46,$AD$46,E1008=$AB$47,$AD$47,E1008=$AB$48,$AD$48,E1008=$AB$49,$AD$49,E1008=$AB$50,$AD$50,E1008=$AB$51,$AD$51,E1008=$AB$52,$AD$52,E1008=$AB$53,$AD$53,E1008=$AB$54,$AD$54,E1008=$AB$55,$AD$55,E1008=$AB$56,$AD$56,E1008=$AB$57,$AD$57,E1008=$AB$58,$AD$58,E1008=$AB$59,$AD$59,E1008=$AB$60,$AD$60,E1008=$AB$61,$AD$61,E1008=$AB$62,$AD$62,E1008=$AB$63,$AD$63,E1008=$AB$64,$AD$64,E1008=$AB$65,$AD$65,E1008=$AB$66,$AD$66,TRUE,"0")</f>
        <v xml:space="preserve">BFM </v>
      </c>
      <c r="E1008" s="163" t="s">
        <v>623</v>
      </c>
      <c r="F1008" s="2" t="s">
        <v>119</v>
      </c>
      <c r="G1008" s="2" t="s">
        <v>120</v>
      </c>
      <c r="H1008" s="3">
        <v>45396.833333333336</v>
      </c>
      <c r="I1008" s="2" t="s">
        <v>568</v>
      </c>
      <c r="J1008" s="2" t="s">
        <v>480</v>
      </c>
      <c r="K1008" s="2">
        <v>5.4</v>
      </c>
      <c r="L1008" s="2">
        <v>20</v>
      </c>
      <c r="M1008" s="2">
        <v>2.1</v>
      </c>
      <c r="N1008" s="2">
        <v>35</v>
      </c>
      <c r="O1008" s="2">
        <v>0</v>
      </c>
      <c r="P1008" s="2">
        <v>10</v>
      </c>
      <c r="Q1008" s="2" t="s">
        <v>95</v>
      </c>
      <c r="R1008" s="10" t="s">
        <v>216</v>
      </c>
      <c r="S1008" s="10" t="s">
        <v>210</v>
      </c>
      <c r="T1008" s="188">
        <v>1000</v>
      </c>
      <c r="U1008" s="8">
        <f t="shared" si="120"/>
        <v>180</v>
      </c>
      <c r="V1008" s="234">
        <f t="shared" si="122"/>
        <v>87684.155246160299</v>
      </c>
      <c r="W1008" s="15">
        <v>25</v>
      </c>
      <c r="X1008" s="8">
        <f t="shared" si="123"/>
        <v>4.5</v>
      </c>
      <c r="Y1008" s="233">
        <f t="shared" si="124"/>
        <v>4058</v>
      </c>
    </row>
    <row r="1009" spans="1:25">
      <c r="A1009" s="156" t="e" cm="1">
        <f t="array" aca="1" ref="A1009" ca="1">_xlfn.IFS(E1009=$AB$42,$AC$42,E1009=$AB$43,$AC$43,E1009=$AB$44,$AC$44,E1009=$AB$45,$AC$45,E1009=$AB$46,$AC$46,E1009=$AB$47,$AC$47,E1009=$AB$48,$AC$48,E1009=$AB$49,$AC$49,E1009=$AB$50,$AC$50,E1009=$AB$51,$AC$51,E1009=$AB$52,$AC$52,E1009=$AB$53,$AC$53,E1009=$AB$54,$AC$54,E1009=$AB$55,$AC$55,E1009=$AB$56,$AC$56,E1009=$AB$57,$AC$57,E1009=$AB$58,$AC$58,E1009=$AB$59,$AC$59,E1009=$AB$60,$AC$60,E1009=$AB$61,$AC$61,E1009=$AB$62,$AC$62,E1009=$AB$63,$AC$63,E1009=$AB$64,$AC$64,E1009=$AB$65,$AC$65,E1009=$AB$66,$AC$66,TRUE,"0")</f>
        <v>#NAME?</v>
      </c>
      <c r="C1009" s="161" t="str" cm="1">
        <f t="array" ref="C1009">_xlfn.IFS(E1009=$AB$42,$AF$42,E1009=$AB$43,$AF$43,E1009=$AB$44,$AF$44,E1009=$AB$45,$AF$45,E1009=$AB$46,$AF$46,E1009=$AB$47,$AF$47,E1009=$AB$48,$AF$48,E1009=$AB$49,$AF$49,E1009=$AB$50,$AF$50,E1009=$AB$51,$AF$51,E1009=$AB$52,$AF$52,E1009=$AB$53,$AF$53,E1009=$AB$54,$AF$54,E1009=$AB$55,$AF$55,E1009=$AB$56,$AF$56,E1009=$AB$57,$AF$57,E1009=$AB$58,$AF$58,E1009=$AB$59,$AF$59,E1009=$AB$60,$AF$60,E1009=$AB$61,$AF$61,E1009=$AB$62,$AF$62,E1009=$AB$63,$AF$63,E1009=$AB$64,$AF$64,E1009=$AB$65,$AF$65,E1009=$AB$66,$AF$66,TRUE,"0")</f>
        <v>if 0-0, BACK+ 0.5 GOALS  @ 1.15+odds.  or @ 40 mins</v>
      </c>
      <c r="D1009" s="270" t="str" cm="1">
        <f t="array" ref="D1009">_xlfn.IFS(E1009=$AB$42,$AD$42,E1009=$AB$43,$AD$43,E1009=$AB$44,$AD$44,E1009=$AB$45,$AD$45,E1009=$AB$46,$AD$46,E1009=$AB$47,$AD$47,E1009=$AB$48,$AD$48,E1009=$AB$49,$AD$49,E1009=$AB$50,$AD$50,E1009=$AB$51,$AD$51,E1009=$AB$52,$AD$52,E1009=$AB$53,$AD$53,E1009=$AB$54,$AD$54,E1009=$AB$55,$AD$55,E1009=$AB$56,$AD$56,E1009=$AB$57,$AD$57,E1009=$AB$58,$AD$58,E1009=$AB$59,$AD$59,E1009=$AB$60,$AD$60,E1009=$AB$61,$AD$61,E1009=$AB$62,$AD$62,E1009=$AB$63,$AD$63,E1009=$AB$64,$AD$64,E1009=$AB$65,$AD$65,E1009=$AB$66,$AD$66,TRUE,"0")</f>
        <v>IP</v>
      </c>
      <c r="E1009" s="163" t="s">
        <v>270</v>
      </c>
      <c r="F1009" s="2" t="s">
        <v>626</v>
      </c>
      <c r="G1009" s="2" t="s">
        <v>627</v>
      </c>
      <c r="H1009" s="3">
        <v>45397.708333333336</v>
      </c>
      <c r="I1009" s="2" t="s">
        <v>724</v>
      </c>
      <c r="J1009" s="2" t="s">
        <v>725</v>
      </c>
      <c r="K1009" s="2">
        <v>73</v>
      </c>
      <c r="L1009" s="2">
        <v>0</v>
      </c>
      <c r="M1009" s="2">
        <v>20</v>
      </c>
      <c r="N1009" s="2">
        <v>43</v>
      </c>
      <c r="O1009" s="2">
        <v>0</v>
      </c>
      <c r="P1009" s="2"/>
      <c r="Q1009" s="2" t="s">
        <v>95</v>
      </c>
      <c r="R1009" s="10" t="s">
        <v>221</v>
      </c>
      <c r="S1009" s="10" t="s">
        <v>214</v>
      </c>
      <c r="T1009" s="188">
        <v>1000</v>
      </c>
      <c r="U1009" s="8">
        <f t="shared" si="120"/>
        <v>180</v>
      </c>
      <c r="V1009" s="234">
        <f t="shared" si="122"/>
        <v>87864.155246160299</v>
      </c>
      <c r="W1009" s="15">
        <v>25</v>
      </c>
      <c r="X1009" s="8">
        <f t="shared" si="123"/>
        <v>4.5</v>
      </c>
      <c r="Y1009" s="233">
        <f t="shared" si="124"/>
        <v>4062.5</v>
      </c>
    </row>
    <row r="1010" spans="1:25">
      <c r="A1010" s="156" t="e" cm="1">
        <f t="array" aca="1" ref="A1010" ca="1">_xlfn.IFS(E1010=$AB$42,$AC$42,E1010=$AB$43,$AC$43,E1010=$AB$44,$AC$44,E1010=$AB$45,$AC$45,E1010=$AB$46,$AC$46,E1010=$AB$47,$AC$47,E1010=$AB$48,$AC$48,E1010=$AB$49,$AC$49,E1010=$AB$50,$AC$50,E1010=$AB$51,$AC$51,E1010=$AB$52,$AC$52,E1010=$AB$53,$AC$53,E1010=$AB$54,$AC$54,E1010=$AB$55,$AC$55,E1010=$AB$56,$AC$56,E1010=$AB$57,$AC$57,E1010=$AB$58,$AC$58,E1010=$AB$59,$AC$59,E1010=$AB$60,$AC$60,E1010=$AB$61,$AC$61,E1010=$AB$62,$AC$62,E1010=$AB$63,$AC$63,E1010=$AB$64,$AC$64,E1010=$AB$65,$AC$65,E1010=$AB$66,$AC$66,TRUE,"0")</f>
        <v>#NAME?</v>
      </c>
      <c r="C1010" s="161" t="str" cm="1">
        <f t="array" ref="C1010">_xlfn.IFS(E1010=$AB$42,$AF$42,E1010=$AB$43,$AF$43,E1010=$AB$44,$AF$44,E1010=$AB$45,$AF$45,E1010=$AB$46,$AF$46,E1010=$AB$47,$AF$47,E1010=$AB$48,$AF$48,E1010=$AB$49,$AF$49,E1010=$AB$50,$AF$50,E1010=$AB$51,$AF$51,E1010=$AB$52,$AF$52,E1010=$AB$53,$AF$53,E1010=$AB$54,$AF$54,E1010=$AB$55,$AF$55,E1010=$AB$56,$AF$56,E1010=$AB$57,$AF$57,E1010=$AB$58,$AF$58,E1010=$AB$59,$AF$59,E1010=$AB$60,$AF$60,E1010=$AB$61,$AF$61,E1010=$AB$62,$AF$62,E1010=$AB$63,$AF$63,E1010=$AB$64,$AF$64,E1010=$AB$65,$AF$65,E1010=$AB$66,$AF$66,TRUE,"0")</f>
        <v>40 mins Back ANother Goal</v>
      </c>
      <c r="D1010" s="270" t="str" cm="1">
        <f t="array" ref="D1010">_xlfn.IFS(E1010=$AB$42,$AD$42,E1010=$AB$43,$AD$43,E1010=$AB$44,$AD$44,E1010=$AB$45,$AD$45,E1010=$AB$46,$AD$46,E1010=$AB$47,$AD$47,E1010=$AB$48,$AD$48,E1010=$AB$49,$AD$49,E1010=$AB$50,$AD$50,E1010=$AB$51,$AD$51,E1010=$AB$52,$AD$52,E1010=$AB$53,$AD$53,E1010=$AB$54,$AD$54,E1010=$AB$55,$AD$55,E1010=$AB$56,$AD$56,E1010=$AB$57,$AD$57,E1010=$AB$58,$AD$58,E1010=$AB$59,$AD$59,E1010=$AB$60,$AD$60,E1010=$AB$61,$AD$61,E1010=$AB$62,$AD$62,E1010=$AB$63,$AD$63,E1010=$AB$64,$AD$64,E1010=$AB$65,$AD$65,E1010=$AB$66,$AD$66,TRUE,"0")</f>
        <v xml:space="preserve">  BANG</v>
      </c>
      <c r="E1010" s="163" t="s">
        <v>515</v>
      </c>
      <c r="F1010" s="2" t="s">
        <v>626</v>
      </c>
      <c r="G1010" s="2" t="s">
        <v>627</v>
      </c>
      <c r="H1010" s="3">
        <v>45397.708333333336</v>
      </c>
      <c r="I1010" s="2" t="s">
        <v>724</v>
      </c>
      <c r="J1010" s="2" t="s">
        <v>725</v>
      </c>
      <c r="K1010" s="2">
        <v>20</v>
      </c>
      <c r="L1010" s="2">
        <v>73</v>
      </c>
      <c r="M1010" s="2">
        <v>1.85</v>
      </c>
      <c r="N1010" s="2"/>
      <c r="O1010" s="2"/>
      <c r="P1010" s="2"/>
      <c r="Q1010" s="2" t="s">
        <v>95</v>
      </c>
      <c r="R1010" s="10" t="s">
        <v>221</v>
      </c>
      <c r="S1010" s="10" t="s">
        <v>214</v>
      </c>
      <c r="T1010" s="188">
        <v>1000</v>
      </c>
      <c r="U1010" s="8">
        <f t="shared" si="120"/>
        <v>180</v>
      </c>
      <c r="V1010" s="234">
        <f t="shared" si="122"/>
        <v>88044.155246160299</v>
      </c>
      <c r="W1010" s="15">
        <v>25</v>
      </c>
      <c r="X1010" s="8">
        <f t="shared" si="123"/>
        <v>4.5</v>
      </c>
      <c r="Y1010" s="233">
        <f t="shared" si="124"/>
        <v>4067</v>
      </c>
    </row>
    <row r="1011" spans="1:25">
      <c r="A1011" s="156" t="e" cm="1">
        <f t="array" aca="1" ref="A1011" ca="1">_xlfn.IFS(E1011=$AB$42,$AC$42,E1011=$AB$43,$AC$43,E1011=$AB$44,$AC$44,E1011=$AB$45,$AC$45,E1011=$AB$46,$AC$46,E1011=$AB$47,$AC$47,E1011=$AB$48,$AC$48,E1011=$AB$49,$AC$49,E1011=$AB$50,$AC$50,E1011=$AB$51,$AC$51,E1011=$AB$52,$AC$52,E1011=$AB$53,$AC$53,E1011=$AB$54,$AC$54,E1011=$AB$55,$AC$55,E1011=$AB$56,$AC$56,E1011=$AB$57,$AC$57,E1011=$AB$58,$AC$58,E1011=$AB$59,$AC$59,E1011=$AB$60,$AC$60,E1011=$AB$61,$AC$61,E1011=$AB$62,$AC$62,E1011=$AB$63,$AC$63,E1011=$AB$64,$AC$64,E1011=$AB$65,$AC$65,E1011=$AB$66,$AC$66,TRUE,"0")</f>
        <v>#NAME?</v>
      </c>
      <c r="C1011" s="161" t="str" cm="1">
        <f t="array" ref="C1011">_xlfn.IFS(E1011=$AB$42,$AF$42,E1011=$AB$43,$AF$43,E1011=$AB$44,$AF$44,E1011=$AB$45,$AF$45,E1011=$AB$46,$AF$46,E1011=$AB$47,$AF$47,E1011=$AB$48,$AF$48,E1011=$AB$49,$AF$49,E1011=$AB$50,$AF$50,E1011=$AB$51,$AF$51,E1011=$AB$52,$AF$52,E1011=$AB$53,$AF$53,E1011=$AB$54,$AF$54,E1011=$AB$55,$AF$55,E1011=$AB$56,$AF$56,E1011=$AB$57,$AF$57,E1011=$AB$58,$AF$58,E1011=$AB$59,$AF$59,E1011=$AB$60,$AF$60,E1011=$AB$61,$AF$61,E1011=$AB$62,$AF$62,E1011=$AB$63,$AF$63,E1011=$AB$64,$AF$64,E1011=$AB$65,$AF$65,E1011=$AB$66,$AF$66,TRUE,"0")</f>
        <v>B4 match BACK FT +1.5 goals. X AFTER  GOAL</v>
      </c>
      <c r="D1011" s="270" t="str" cm="1">
        <f t="array" ref="D1011">_xlfn.IFS(E1011=$AB$42,$AD$42,E1011=$AB$43,$AD$43,E1011=$AB$44,$AD$44,E1011=$AB$45,$AD$45,E1011=$AB$46,$AD$46,E1011=$AB$47,$AD$47,E1011=$AB$48,$AD$48,E1011=$AB$49,$AD$49,E1011=$AB$50,$AD$50,E1011=$AB$51,$AD$51,E1011=$AB$52,$AD$52,E1011=$AB$53,$AD$53,E1011=$AB$54,$AD$54,E1011=$AB$55,$AD$55,E1011=$AB$56,$AD$56,E1011=$AB$57,$AD$57,E1011=$AB$58,$AD$58,E1011=$AB$59,$AD$59,E1011=$AB$60,$AD$60,E1011=$AB$61,$AD$61,E1011=$AB$62,$AD$62,E1011=$AB$63,$AD$63,E1011=$AB$64,$AD$64,E1011=$AB$65,$AD$65,E1011=$AB$66,$AD$66,TRUE,"0")</f>
        <v xml:space="preserve">BFM </v>
      </c>
      <c r="E1011" s="163" t="s">
        <v>531</v>
      </c>
      <c r="F1011" s="2" t="s">
        <v>80</v>
      </c>
      <c r="G1011" s="2" t="s">
        <v>81</v>
      </c>
      <c r="H1011" s="3">
        <v>45397.75</v>
      </c>
      <c r="I1011" s="2" t="s">
        <v>293</v>
      </c>
      <c r="J1011" s="2" t="s">
        <v>144</v>
      </c>
      <c r="K1011" s="2">
        <v>4.9000000000000004</v>
      </c>
      <c r="L1011" s="2">
        <v>30</v>
      </c>
      <c r="M1011" s="2">
        <v>2.67</v>
      </c>
      <c r="N1011" s="2">
        <v>36</v>
      </c>
      <c r="O1011" s="2">
        <v>2</v>
      </c>
      <c r="P1011" s="2">
        <v>15</v>
      </c>
      <c r="Q1011" s="2" t="s">
        <v>95</v>
      </c>
      <c r="R1011" s="10" t="s">
        <v>221</v>
      </c>
      <c r="S1011" s="10" t="s">
        <v>288</v>
      </c>
      <c r="T1011" s="188">
        <v>1000</v>
      </c>
      <c r="U1011" s="8">
        <f t="shared" si="120"/>
        <v>180</v>
      </c>
      <c r="V1011" s="234">
        <f t="shared" si="122"/>
        <v>88224.155246160299</v>
      </c>
      <c r="W1011" s="15">
        <v>25</v>
      </c>
      <c r="X1011" s="8">
        <f t="shared" si="123"/>
        <v>4.5</v>
      </c>
      <c r="Y1011" s="233">
        <f t="shared" si="124"/>
        <v>4071.5</v>
      </c>
    </row>
    <row r="1012" spans="1:25">
      <c r="A1012" s="156" t="e" cm="1">
        <f t="array" aca="1" ref="A1012" ca="1">_xlfn.IFS(E1012=$AB$42,$AC$42,E1012=$AB$43,$AC$43,E1012=$AB$44,$AC$44,E1012=$AB$45,$AC$45,E1012=$AB$46,$AC$46,E1012=$AB$47,$AC$47,E1012=$AB$48,$AC$48,E1012=$AB$49,$AC$49,E1012=$AB$50,$AC$50,E1012=$AB$51,$AC$51,E1012=$AB$52,$AC$52,E1012=$AB$53,$AC$53,E1012=$AB$54,$AC$54,E1012=$AB$55,$AC$55,E1012=$AB$56,$AC$56,E1012=$AB$57,$AC$57,E1012=$AB$58,$AC$58,E1012=$AB$59,$AC$59,E1012=$AB$60,$AC$60,E1012=$AB$61,$AC$61,E1012=$AB$62,$AC$62,E1012=$AB$63,$AC$63,E1012=$AB$64,$AC$64,E1012=$AB$65,$AC$65,E1012=$AB$66,$AC$66,TRUE,"0")</f>
        <v>#NAME?</v>
      </c>
      <c r="C1012" s="161" t="str" cm="1">
        <f t="array" ref="C1012">_xlfn.IFS(E1012=$AB$42,$AF$42,E1012=$AB$43,$AF$43,E1012=$AB$44,$AF$44,E1012=$AB$45,$AF$45,E1012=$AB$46,$AF$46,E1012=$AB$47,$AF$47,E1012=$AB$48,$AF$48,E1012=$AB$49,$AF$49,E1012=$AB$50,$AF$50,E1012=$AB$51,$AF$51,E1012=$AB$52,$AF$52,E1012=$AB$53,$AF$53,E1012=$AB$54,$AF$54,E1012=$AB$55,$AF$55,E1012=$AB$56,$AF$56,E1012=$AB$57,$AF$57,E1012=$AB$58,$AF$58,E1012=$AB$59,$AF$59,E1012=$AB$60,$AF$60,E1012=$AB$61,$AF$61,E1012=$AB$62,$AF$62,E1012=$AB$63,$AF$63,E1012=$AB$64,$AF$64,E1012=$AB$65,$AF$65,E1012=$AB$66,$AF$66,TRUE,"0")</f>
        <v>B4 match BACK FT +1.5 goals. X AFTER  GOAL</v>
      </c>
      <c r="D1012" s="270" t="str" cm="1">
        <f t="array" ref="D1012">_xlfn.IFS(E1012=$AB$42,$AD$42,E1012=$AB$43,$AD$43,E1012=$AB$44,$AD$44,E1012=$AB$45,$AD$45,E1012=$AB$46,$AD$46,E1012=$AB$47,$AD$47,E1012=$AB$48,$AD$48,E1012=$AB$49,$AD$49,E1012=$AB$50,$AD$50,E1012=$AB$51,$AD$51,E1012=$AB$52,$AD$52,E1012=$AB$53,$AD$53,E1012=$AB$54,$AD$54,E1012=$AB$55,$AD$55,E1012=$AB$56,$AD$56,E1012=$AB$57,$AD$57,E1012=$AB$58,$AD$58,E1012=$AB$59,$AD$59,E1012=$AB$60,$AD$60,E1012=$AB$61,$AD$61,E1012=$AB$62,$AD$62,E1012=$AB$63,$AD$63,E1012=$AB$64,$AD$64,E1012=$AB$65,$AD$65,E1012=$AB$66,$AD$66,TRUE,"0")</f>
        <v xml:space="preserve">BFM </v>
      </c>
      <c r="E1012" s="163" t="s">
        <v>623</v>
      </c>
      <c r="F1012" s="2" t="s">
        <v>20</v>
      </c>
      <c r="G1012" s="2" t="s">
        <v>21</v>
      </c>
      <c r="H1012" s="3">
        <v>45397.822916666664</v>
      </c>
      <c r="I1012" s="2" t="s">
        <v>97</v>
      </c>
      <c r="J1012" s="2" t="s">
        <v>598</v>
      </c>
      <c r="K1012" s="2">
        <v>6.4</v>
      </c>
      <c r="L1012" s="2">
        <v>20</v>
      </c>
      <c r="M1012" s="2">
        <v>2.8</v>
      </c>
      <c r="N1012" s="2">
        <v>32</v>
      </c>
      <c r="O1012" s="2">
        <v>2</v>
      </c>
      <c r="P1012" s="2">
        <v>10</v>
      </c>
      <c r="Q1012" s="2" t="s">
        <v>95</v>
      </c>
      <c r="R1012" s="10" t="s">
        <v>220</v>
      </c>
      <c r="S1012" s="10" t="s">
        <v>210</v>
      </c>
      <c r="T1012" s="188">
        <v>1000</v>
      </c>
      <c r="U1012" s="8">
        <f t="shared" si="120"/>
        <v>180</v>
      </c>
      <c r="V1012" s="234">
        <f t="shared" si="122"/>
        <v>88404.155246160299</v>
      </c>
      <c r="W1012" s="15">
        <v>25</v>
      </c>
      <c r="X1012" s="8">
        <f t="shared" si="123"/>
        <v>4.5</v>
      </c>
      <c r="Y1012" s="233">
        <f t="shared" si="124"/>
        <v>4076</v>
      </c>
    </row>
    <row r="1013" spans="1:25">
      <c r="A1013" s="156" t="e" cm="1">
        <f t="array" aca="1" ref="A1013" ca="1">_xlfn.IFS(E1013=$AB$42,$AC$42,E1013=$AB$43,$AC$43,E1013=$AB$44,$AC$44,E1013=$AB$45,$AC$45,E1013=$AB$46,$AC$46,E1013=$AB$47,$AC$47,E1013=$AB$48,$AC$48,E1013=$AB$49,$AC$49,E1013=$AB$50,$AC$50,E1013=$AB$51,$AC$51,E1013=$AB$52,$AC$52,E1013=$AB$53,$AC$53,E1013=$AB$54,$AC$54,E1013=$AB$55,$AC$55,E1013=$AB$56,$AC$56,E1013=$AB$57,$AC$57,E1013=$AB$58,$AC$58,E1013=$AB$59,$AC$59,E1013=$AB$60,$AC$60,E1013=$AB$61,$AC$61,E1013=$AB$62,$AC$62,E1013=$AB$63,$AC$63,E1013=$AB$64,$AC$64,E1013=$AB$65,$AC$65,E1013=$AB$66,$AC$66,TRUE,"0")</f>
        <v>#NAME?</v>
      </c>
      <c r="C1013" s="161" t="str" cm="1">
        <f t="array" ref="C1013">_xlfn.IFS(E1013=$AB$42,$AF$42,E1013=$AB$43,$AF$43,E1013=$AB$44,$AF$44,E1013=$AB$45,$AF$45,E1013=$AB$46,$AF$46,E1013=$AB$47,$AF$47,E1013=$AB$48,$AF$48,E1013=$AB$49,$AF$49,E1013=$AB$50,$AF$50,E1013=$AB$51,$AF$51,E1013=$AB$52,$AF$52,E1013=$AB$53,$AF$53,E1013=$AB$54,$AF$54,E1013=$AB$55,$AF$55,E1013=$AB$56,$AF$56,E1013=$AB$57,$AF$57,E1013=$AB$58,$AF$58,E1013=$AB$59,$AF$59,E1013=$AB$60,$AF$60,E1013=$AB$61,$AF$61,E1013=$AB$62,$AF$62,E1013=$AB$63,$AF$63,E1013=$AB$64,$AF$64,E1013=$AB$65,$AF$65,E1013=$AB$66,$AF$66,TRUE,"0")</f>
        <v>if 0-0, BACK+ 0.5 GOALS  @ 1.15+odds.  or @ 40 mins</v>
      </c>
      <c r="D1013" s="270" t="str" cm="1">
        <f t="array" ref="D1013">_xlfn.IFS(E1013=$AB$42,$AD$42,E1013=$AB$43,$AD$43,E1013=$AB$44,$AD$44,E1013=$AB$45,$AD$45,E1013=$AB$46,$AD$46,E1013=$AB$47,$AD$47,E1013=$AB$48,$AD$48,E1013=$AB$49,$AD$49,E1013=$AB$50,$AD$50,E1013=$AB$51,$AD$51,E1013=$AB$52,$AD$52,E1013=$AB$53,$AD$53,E1013=$AB$54,$AD$54,E1013=$AB$55,$AD$55,E1013=$AB$56,$AD$56,E1013=$AB$57,$AD$57,E1013=$AB$58,$AD$58,E1013=$AB$59,$AD$59,E1013=$AB$60,$AD$60,E1013=$AB$61,$AD$61,E1013=$AB$62,$AD$62,E1013=$AB$63,$AD$63,E1013=$AB$64,$AD$64,E1013=$AB$65,$AD$65,E1013=$AB$66,$AD$66,TRUE,"0")</f>
        <v>IP</v>
      </c>
      <c r="E1013" s="163" t="s">
        <v>270</v>
      </c>
      <c r="F1013" s="2" t="s">
        <v>119</v>
      </c>
      <c r="G1013" s="2" t="s">
        <v>120</v>
      </c>
      <c r="H1013" s="3">
        <v>45397.833333333336</v>
      </c>
      <c r="I1013" s="2" t="s">
        <v>348</v>
      </c>
      <c r="J1013" s="2" t="s">
        <v>350</v>
      </c>
      <c r="K1013" s="2">
        <v>67</v>
      </c>
      <c r="L1013" s="2">
        <v>0</v>
      </c>
      <c r="M1013" s="2">
        <v>20</v>
      </c>
      <c r="N1013" s="2">
        <v>45</v>
      </c>
      <c r="O1013" s="2">
        <v>2.1800000000000002</v>
      </c>
      <c r="P1013" s="2"/>
      <c r="Q1013" s="2" t="s">
        <v>95</v>
      </c>
      <c r="R1013" s="10" t="s">
        <v>193</v>
      </c>
      <c r="S1013" s="10" t="s">
        <v>193</v>
      </c>
      <c r="T1013" s="188">
        <v>1000</v>
      </c>
      <c r="U1013" s="8">
        <f t="shared" si="120"/>
        <v>180</v>
      </c>
      <c r="V1013" s="234">
        <f t="shared" si="122"/>
        <v>88584.155246160299</v>
      </c>
      <c r="W1013" s="15">
        <v>25</v>
      </c>
      <c r="X1013" s="8">
        <f t="shared" si="123"/>
        <v>4.5</v>
      </c>
      <c r="Y1013" s="233">
        <f t="shared" si="124"/>
        <v>4080.5</v>
      </c>
    </row>
    <row r="1014" spans="1:25">
      <c r="A1014" s="156" t="e" cm="1">
        <f t="array" aca="1" ref="A1014" ca="1">_xlfn.IFS(E1014=$AB$42,$AC$42,E1014=$AB$43,$AC$43,E1014=$AB$44,$AC$44,E1014=$AB$45,$AC$45,E1014=$AB$46,$AC$46,E1014=$AB$47,$AC$47,E1014=$AB$48,$AC$48,E1014=$AB$49,$AC$49,E1014=$AB$50,$AC$50,E1014=$AB$51,$AC$51,E1014=$AB$52,$AC$52,E1014=$AB$53,$AC$53,E1014=$AB$54,$AC$54,E1014=$AB$55,$AC$55,E1014=$AB$56,$AC$56,E1014=$AB$57,$AC$57,E1014=$AB$58,$AC$58,E1014=$AB$59,$AC$59,E1014=$AB$60,$AC$60,E1014=$AB$61,$AC$61,E1014=$AB$62,$AC$62,E1014=$AB$63,$AC$63,E1014=$AB$64,$AC$64,E1014=$AB$65,$AC$65,E1014=$AB$66,$AC$66,TRUE,"0")</f>
        <v>#NAME?</v>
      </c>
      <c r="C1014" s="161" t="str" cm="1">
        <f t="array" ref="C1014">_xlfn.IFS(E1014=$AB$42,$AF$42,E1014=$AB$43,$AF$43,E1014=$AB$44,$AF$44,E1014=$AB$45,$AF$45,E1014=$AB$46,$AF$46,E1014=$AB$47,$AF$47,E1014=$AB$48,$AF$48,E1014=$AB$49,$AF$49,E1014=$AB$50,$AF$50,E1014=$AB$51,$AF$51,E1014=$AB$52,$AF$52,E1014=$AB$53,$AF$53,E1014=$AB$54,$AF$54,E1014=$AB$55,$AF$55,E1014=$AB$56,$AF$56,E1014=$AB$57,$AF$57,E1014=$AB$58,$AF$58,E1014=$AB$59,$AF$59,E1014=$AB$60,$AF$60,E1014=$AB$61,$AF$61,E1014=$AB$62,$AF$62,E1014=$AB$63,$AF$63,E1014=$AB$64,$AF$64,E1014=$AB$65,$AF$65,E1014=$AB$66,$AF$66,TRUE,"0")</f>
        <v>if 0-0, BACK+ 0.5 GOALS  @ 1.15+odds.  or @ 40 mins</v>
      </c>
      <c r="D1014" s="270" t="str" cm="1">
        <f t="array" ref="D1014">_xlfn.IFS(E1014=$AB$42,$AD$42,E1014=$AB$43,$AD$43,E1014=$AB$44,$AD$44,E1014=$AB$45,$AD$45,E1014=$AB$46,$AD$46,E1014=$AB$47,$AD$47,E1014=$AB$48,$AD$48,E1014=$AB$49,$AD$49,E1014=$AB$50,$AD$50,E1014=$AB$51,$AD$51,E1014=$AB$52,$AD$52,E1014=$AB$53,$AD$53,E1014=$AB$54,$AD$54,E1014=$AB$55,$AD$55,E1014=$AB$56,$AD$56,E1014=$AB$57,$AD$57,E1014=$AB$58,$AD$58,E1014=$AB$59,$AD$59,E1014=$AB$60,$AD$60,E1014=$AB$61,$AD$61,E1014=$AB$62,$AD$62,E1014=$AB$63,$AD$63,E1014=$AB$64,$AD$64,E1014=$AB$65,$AD$65,E1014=$AB$66,$AD$66,TRUE,"0")</f>
        <v>IP</v>
      </c>
      <c r="E1014" s="163" t="s">
        <v>270</v>
      </c>
      <c r="F1014" s="2" t="s">
        <v>44</v>
      </c>
      <c r="G1014" s="2" t="s">
        <v>45</v>
      </c>
      <c r="H1014" s="3">
        <v>45398.416666666664</v>
      </c>
      <c r="I1014" s="2" t="s">
        <v>53</v>
      </c>
      <c r="J1014" s="2" t="s">
        <v>124</v>
      </c>
      <c r="K1014" s="2">
        <v>59</v>
      </c>
      <c r="L1014" s="2">
        <v>0</v>
      </c>
      <c r="M1014" s="2">
        <v>20</v>
      </c>
      <c r="N1014" s="2">
        <v>37</v>
      </c>
      <c r="O1014" s="2">
        <v>3.3</v>
      </c>
      <c r="P1014" s="2"/>
      <c r="Q1014" s="2" t="s">
        <v>95</v>
      </c>
      <c r="R1014" s="10" t="s">
        <v>222</v>
      </c>
      <c r="S1014" s="10" t="s">
        <v>279</v>
      </c>
      <c r="T1014" s="188">
        <v>1000</v>
      </c>
      <c r="U1014" s="8">
        <f t="shared" si="120"/>
        <v>180</v>
      </c>
      <c r="V1014" s="234">
        <f t="shared" si="122"/>
        <v>88764.155246160299</v>
      </c>
      <c r="W1014" s="15">
        <v>25</v>
      </c>
      <c r="X1014" s="8">
        <f t="shared" si="123"/>
        <v>4.5</v>
      </c>
      <c r="Y1014" s="233">
        <f t="shared" si="124"/>
        <v>4085</v>
      </c>
    </row>
    <row r="1015" spans="1:25">
      <c r="A1015" s="156" t="e" cm="1">
        <f t="array" aca="1" ref="A1015" ca="1">_xlfn.IFS(E1015=$AB$42,$AC$42,E1015=$AB$43,$AC$43,E1015=$AB$44,$AC$44,E1015=$AB$45,$AC$45,E1015=$AB$46,$AC$46,E1015=$AB$47,$AC$47,E1015=$AB$48,$AC$48,E1015=$AB$49,$AC$49,E1015=$AB$50,$AC$50,E1015=$AB$51,$AC$51,E1015=$AB$52,$AC$52,E1015=$AB$53,$AC$53,E1015=$AB$54,$AC$54,E1015=$AB$55,$AC$55,E1015=$AB$56,$AC$56,E1015=$AB$57,$AC$57,E1015=$AB$58,$AC$58,E1015=$AB$59,$AC$59,E1015=$AB$60,$AC$60,E1015=$AB$61,$AC$61,E1015=$AB$62,$AC$62,E1015=$AB$63,$AC$63,E1015=$AB$64,$AC$64,E1015=$AB$65,$AC$65,E1015=$AB$66,$AC$66,TRUE,"0")</f>
        <v>#NAME?</v>
      </c>
      <c r="C1015" s="161" t="str" cm="1">
        <f t="array" ref="C1015">_xlfn.IFS(E1015=$AB$42,$AF$42,E1015=$AB$43,$AF$43,E1015=$AB$44,$AF$44,E1015=$AB$45,$AF$45,E1015=$AB$46,$AF$46,E1015=$AB$47,$AF$47,E1015=$AB$48,$AF$48,E1015=$AB$49,$AF$49,E1015=$AB$50,$AF$50,E1015=$AB$51,$AF$51,E1015=$AB$52,$AF$52,E1015=$AB$53,$AF$53,E1015=$AB$54,$AF$54,E1015=$AB$55,$AF$55,E1015=$AB$56,$AF$56,E1015=$AB$57,$AF$57,E1015=$AB$58,$AF$58,E1015=$AB$59,$AF$59,E1015=$AB$60,$AF$60,E1015=$AB$61,$AF$61,E1015=$AB$62,$AF$62,E1015=$AB$63,$AF$63,E1015=$AB$64,$AF$64,E1015=$AB$65,$AF$65,E1015=$AB$66,$AF$66,TRUE,"0")</f>
        <v>B4 match BACK FT +1.5 goals. X AFTER  GOAL</v>
      </c>
      <c r="D1015" s="270" t="str" cm="1">
        <f t="array" ref="D1015">_xlfn.IFS(E1015=$AB$42,$AD$42,E1015=$AB$43,$AD$43,E1015=$AB$44,$AD$44,E1015=$AB$45,$AD$45,E1015=$AB$46,$AD$46,E1015=$AB$47,$AD$47,E1015=$AB$48,$AD$48,E1015=$AB$49,$AD$49,E1015=$AB$50,$AD$50,E1015=$AB$51,$AD$51,E1015=$AB$52,$AD$52,E1015=$AB$53,$AD$53,E1015=$AB$54,$AD$54,E1015=$AB$55,$AD$55,E1015=$AB$56,$AD$56,E1015=$AB$57,$AD$57,E1015=$AB$58,$AD$58,E1015=$AB$59,$AD$59,E1015=$AB$60,$AD$60,E1015=$AB$61,$AD$61,E1015=$AB$62,$AD$62,E1015=$AB$63,$AD$63,E1015=$AB$64,$AD$64,E1015=$AB$65,$AD$65,E1015=$AB$66,$AD$66,TRUE,"0")</f>
        <v xml:space="preserve">BFM </v>
      </c>
      <c r="E1015" s="163" t="s">
        <v>623</v>
      </c>
      <c r="F1015" s="2" t="s">
        <v>6</v>
      </c>
      <c r="G1015" s="2" t="s">
        <v>11</v>
      </c>
      <c r="H1015" s="3">
        <v>45398.822916666664</v>
      </c>
      <c r="I1015" s="2" t="s">
        <v>300</v>
      </c>
      <c r="J1015" s="2" t="s">
        <v>263</v>
      </c>
      <c r="K1015" s="2">
        <v>5.7</v>
      </c>
      <c r="L1015" s="2">
        <v>20</v>
      </c>
      <c r="M1015" s="2">
        <v>2.7</v>
      </c>
      <c r="N1015" s="2">
        <v>24</v>
      </c>
      <c r="O1015" s="2">
        <v>2</v>
      </c>
      <c r="P1015" s="2">
        <v>10</v>
      </c>
      <c r="Q1015" s="2" t="s">
        <v>95</v>
      </c>
      <c r="R1015" s="10" t="s">
        <v>223</v>
      </c>
      <c r="S1015" s="10" t="s">
        <v>210</v>
      </c>
      <c r="T1015" s="188">
        <v>1000</v>
      </c>
      <c r="U1015" s="8">
        <f t="shared" si="120"/>
        <v>180</v>
      </c>
      <c r="V1015" s="234">
        <f t="shared" si="122"/>
        <v>88944.155246160299</v>
      </c>
      <c r="W1015" s="15">
        <v>25</v>
      </c>
      <c r="X1015" s="8">
        <f t="shared" si="123"/>
        <v>4.5</v>
      </c>
      <c r="Y1015" s="233">
        <f t="shared" si="124"/>
        <v>4089.5</v>
      </c>
    </row>
    <row r="1016" spans="1:25">
      <c r="A1016" s="156" t="e" cm="1">
        <f t="array" aca="1" ref="A1016" ca="1">_xlfn.IFS(E1016=$AB$42,$AC$42,E1016=$AB$43,$AC$43,E1016=$AB$44,$AC$44,E1016=$AB$45,$AC$45,E1016=$AB$46,$AC$46,E1016=$AB$47,$AC$47,E1016=$AB$48,$AC$48,E1016=$AB$49,$AC$49,E1016=$AB$50,$AC$50,E1016=$AB$51,$AC$51,E1016=$AB$52,$AC$52,E1016=$AB$53,$AC$53,E1016=$AB$54,$AC$54,E1016=$AB$55,$AC$55,E1016=$AB$56,$AC$56,E1016=$AB$57,$AC$57,E1016=$AB$58,$AC$58,E1016=$AB$59,$AC$59,E1016=$AB$60,$AC$60,E1016=$AB$61,$AC$61,E1016=$AB$62,$AC$62,E1016=$AB$63,$AC$63,E1016=$AB$64,$AC$64,E1016=$AB$65,$AC$65,E1016=$AB$66,$AC$66,TRUE,"0")</f>
        <v>#NAME?</v>
      </c>
      <c r="C1016" s="161" t="str" cm="1">
        <f t="array" ref="C1016">_xlfn.IFS(E1016=$AB$42,$AF$42,E1016=$AB$43,$AF$43,E1016=$AB$44,$AF$44,E1016=$AB$45,$AF$45,E1016=$AB$46,$AF$46,E1016=$AB$47,$AF$47,E1016=$AB$48,$AF$48,E1016=$AB$49,$AF$49,E1016=$AB$50,$AF$50,E1016=$AB$51,$AF$51,E1016=$AB$52,$AF$52,E1016=$AB$53,$AF$53,E1016=$AB$54,$AF$54,E1016=$AB$55,$AF$55,E1016=$AB$56,$AF$56,E1016=$AB$57,$AF$57,E1016=$AB$58,$AF$58,E1016=$AB$59,$AF$59,E1016=$AB$60,$AF$60,E1016=$AB$61,$AF$61,E1016=$AB$62,$AF$62,E1016=$AB$63,$AF$63,E1016=$AB$64,$AF$64,E1016=$AB$65,$AF$65,E1016=$AB$66,$AF$66,TRUE,"0")</f>
        <v>20mins if  0-0, BACK over 1.5 goals X after goal OR LET RUN</v>
      </c>
      <c r="D1016" s="270" t="str" cm="1">
        <f t="array" ref="D1016">_xlfn.IFS(E1016=$AB$42,$AD$42,E1016=$AB$43,$AD$43,E1016=$AB$44,$AD$44,E1016=$AB$45,$AD$45,E1016=$AB$46,$AD$46,E1016=$AB$47,$AD$47,E1016=$AB$48,$AD$48,E1016=$AB$49,$AD$49,E1016=$AB$50,$AD$50,E1016=$AB$51,$AD$51,E1016=$AB$52,$AD$52,E1016=$AB$53,$AD$53,E1016=$AB$54,$AD$54,E1016=$AB$55,$AD$55,E1016=$AB$56,$AD$56,E1016=$AB$57,$AD$57,E1016=$AB$58,$AD$58,E1016=$AB$59,$AD$59,E1016=$AB$60,$AD$60,E1016=$AB$61,$AD$61,E1016=$AB$62,$AD$62,E1016=$AB$63,$AD$63,E1016=$AB$64,$AD$64,E1016=$AB$65,$AD$65,E1016=$AB$66,$AD$66,TRUE,"0")</f>
        <v>IP</v>
      </c>
      <c r="E1016" s="163" t="s">
        <v>474</v>
      </c>
      <c r="F1016" s="2" t="s">
        <v>6</v>
      </c>
      <c r="G1016" s="2" t="s">
        <v>7</v>
      </c>
      <c r="H1016" s="3">
        <v>45398.822916666664</v>
      </c>
      <c r="I1016" s="2" t="s">
        <v>55</v>
      </c>
      <c r="J1016" s="2" t="s">
        <v>418</v>
      </c>
      <c r="K1016" s="2">
        <v>50</v>
      </c>
      <c r="L1016" s="2">
        <v>3.15</v>
      </c>
      <c r="M1016" s="2">
        <v>20</v>
      </c>
      <c r="N1016" s="2">
        <v>60</v>
      </c>
      <c r="O1016" s="2">
        <v>95</v>
      </c>
      <c r="P1016" s="2"/>
      <c r="Q1016" s="2" t="s">
        <v>95</v>
      </c>
      <c r="R1016" s="10" t="s">
        <v>193</v>
      </c>
      <c r="S1016" s="10" t="s">
        <v>216</v>
      </c>
      <c r="T1016" s="188">
        <v>1000</v>
      </c>
      <c r="U1016" s="8">
        <f t="shared" si="120"/>
        <v>180</v>
      </c>
      <c r="V1016" s="234">
        <f t="shared" si="122"/>
        <v>89124.155246160299</v>
      </c>
      <c r="W1016" s="15">
        <v>25</v>
      </c>
      <c r="X1016" s="8">
        <f t="shared" si="123"/>
        <v>4.5</v>
      </c>
      <c r="Y1016" s="233">
        <f t="shared" si="124"/>
        <v>4094</v>
      </c>
    </row>
    <row r="1017" spans="1:25">
      <c r="A1017" s="156" t="e" cm="1">
        <f t="array" aca="1" ref="A1017" ca="1">_xlfn.IFS(E1017=$AB$42,$AC$42,E1017=$AB$43,$AC$43,E1017=$AB$44,$AC$44,E1017=$AB$45,$AC$45,E1017=$AB$46,$AC$46,E1017=$AB$47,$AC$47,E1017=$AB$48,$AC$48,E1017=$AB$49,$AC$49,E1017=$AB$50,$AC$50,E1017=$AB$51,$AC$51,E1017=$AB$52,$AC$52,E1017=$AB$53,$AC$53,E1017=$AB$54,$AC$54,E1017=$AB$55,$AC$55,E1017=$AB$56,$AC$56,E1017=$AB$57,$AC$57,E1017=$AB$58,$AC$58,E1017=$AB$59,$AC$59,E1017=$AB$60,$AC$60,E1017=$AB$61,$AC$61,E1017=$AB$62,$AC$62,E1017=$AB$63,$AC$63,E1017=$AB$64,$AC$64,E1017=$AB$65,$AC$65,E1017=$AB$66,$AC$66,TRUE,"0")</f>
        <v>#NAME?</v>
      </c>
      <c r="C1017" s="161" t="str" cm="1">
        <f t="array" ref="C1017">_xlfn.IFS(E1017=$AB$42,$AF$42,E1017=$AB$43,$AF$43,E1017=$AB$44,$AF$44,E1017=$AB$45,$AF$45,E1017=$AB$46,$AF$46,E1017=$AB$47,$AF$47,E1017=$AB$48,$AF$48,E1017=$AB$49,$AF$49,E1017=$AB$50,$AF$50,E1017=$AB$51,$AF$51,E1017=$AB$52,$AF$52,E1017=$AB$53,$AF$53,E1017=$AB$54,$AF$54,E1017=$AB$55,$AF$55,E1017=$AB$56,$AF$56,E1017=$AB$57,$AF$57,E1017=$AB$58,$AF$58,E1017=$AB$59,$AF$59,E1017=$AB$60,$AF$60,E1017=$AB$61,$AF$61,E1017=$AB$62,$AF$62,E1017=$AB$63,$AF$63,E1017=$AB$64,$AF$64,E1017=$AB$65,$AF$65,E1017=$AB$66,$AF$66,TRUE,"0")</f>
        <v>40 mins Back ANother Goal</v>
      </c>
      <c r="D1017" s="270" t="str" cm="1">
        <f t="array" ref="D1017">_xlfn.IFS(E1017=$AB$42,$AD$42,E1017=$AB$43,$AD$43,E1017=$AB$44,$AD$44,E1017=$AB$45,$AD$45,E1017=$AB$46,$AD$46,E1017=$AB$47,$AD$47,E1017=$AB$48,$AD$48,E1017=$AB$49,$AD$49,E1017=$AB$50,$AD$50,E1017=$AB$51,$AD$51,E1017=$AB$52,$AD$52,E1017=$AB$53,$AD$53,E1017=$AB$54,$AD$54,E1017=$AB$55,$AD$55,E1017=$AB$56,$AD$56,E1017=$AB$57,$AD$57,E1017=$AB$58,$AD$58,E1017=$AB$59,$AD$59,E1017=$AB$60,$AD$60,E1017=$AB$61,$AD$61,E1017=$AB$62,$AD$62,E1017=$AB$63,$AD$63,E1017=$AB$64,$AD$64,E1017=$AB$65,$AD$65,E1017=$AB$66,$AD$66,TRUE,"0")</f>
        <v xml:space="preserve">  BANG</v>
      </c>
      <c r="E1017" s="163" t="s">
        <v>726</v>
      </c>
      <c r="F1017" s="2" t="s">
        <v>31</v>
      </c>
      <c r="G1017" s="2" t="s">
        <v>32</v>
      </c>
      <c r="H1017" s="3">
        <v>45398.822916666664</v>
      </c>
      <c r="I1017" s="2" t="s">
        <v>33</v>
      </c>
      <c r="J1017" s="2" t="s">
        <v>419</v>
      </c>
      <c r="K1017" s="2">
        <v>95</v>
      </c>
      <c r="L1017" s="2">
        <v>20</v>
      </c>
      <c r="M1017" s="2">
        <v>2.1</v>
      </c>
      <c r="N1017" s="2">
        <v>63</v>
      </c>
      <c r="O1017" s="2"/>
      <c r="P1017" s="2"/>
      <c r="Q1017" s="2" t="s">
        <v>95</v>
      </c>
      <c r="R1017" s="10" t="s">
        <v>216</v>
      </c>
      <c r="S1017" s="10" t="s">
        <v>222</v>
      </c>
      <c r="T1017" s="188">
        <v>1000</v>
      </c>
      <c r="U1017" s="8">
        <f t="shared" si="120"/>
        <v>180</v>
      </c>
      <c r="V1017" s="234">
        <f t="shared" si="122"/>
        <v>89304.155246160299</v>
      </c>
      <c r="W1017" s="15">
        <v>25</v>
      </c>
      <c r="X1017" s="8">
        <f t="shared" si="123"/>
        <v>4.5</v>
      </c>
      <c r="Y1017" s="233">
        <f t="shared" si="124"/>
        <v>4098.5</v>
      </c>
    </row>
    <row r="1018" spans="1:25">
      <c r="A1018" s="156" t="e" cm="1">
        <f t="array" aca="1" ref="A1018" ca="1">_xlfn.IFS(E1018=$AB$42,$AC$42,E1018=$AB$43,$AC$43,E1018=$AB$44,$AC$44,E1018=$AB$45,$AC$45,E1018=$AB$46,$AC$46,E1018=$AB$47,$AC$47,E1018=$AB$48,$AC$48,E1018=$AB$49,$AC$49,E1018=$AB$50,$AC$50,E1018=$AB$51,$AC$51,E1018=$AB$52,$AC$52,E1018=$AB$53,$AC$53,E1018=$AB$54,$AC$54,E1018=$AB$55,$AC$55,E1018=$AB$56,$AC$56,E1018=$AB$57,$AC$57,E1018=$AB$58,$AC$58,E1018=$AB$59,$AC$59,E1018=$AB$60,$AC$60,E1018=$AB$61,$AC$61,E1018=$AB$62,$AC$62,E1018=$AB$63,$AC$63,E1018=$AB$64,$AC$64,E1018=$AB$65,$AC$65,E1018=$AB$66,$AC$66,TRUE,"0")</f>
        <v>#NAME?</v>
      </c>
      <c r="C1018" s="161" t="str" cm="1">
        <f t="array" ref="C1018">_xlfn.IFS(E1018=$AB$42,$AF$42,E1018=$AB$43,$AF$43,E1018=$AB$44,$AF$44,E1018=$AB$45,$AF$45,E1018=$AB$46,$AF$46,E1018=$AB$47,$AF$47,E1018=$AB$48,$AF$48,E1018=$AB$49,$AF$49,E1018=$AB$50,$AF$50,E1018=$AB$51,$AF$51,E1018=$AB$52,$AF$52,E1018=$AB$53,$AF$53,E1018=$AB$54,$AF$54,E1018=$AB$55,$AF$55,E1018=$AB$56,$AF$56,E1018=$AB$57,$AF$57,E1018=$AB$58,$AF$58,E1018=$AB$59,$AF$59,E1018=$AB$60,$AF$60,E1018=$AB$61,$AF$61,E1018=$AB$62,$AF$62,E1018=$AB$63,$AF$63,E1018=$AB$64,$AF$64,E1018=$AB$65,$AF$65,E1018=$AB$66,$AF$66,TRUE,"0")</f>
        <v>40 mins Back ANother Goal</v>
      </c>
      <c r="D1018" s="270" t="str" cm="1">
        <f t="array" ref="D1018">_xlfn.IFS(E1018=$AB$42,$AD$42,E1018=$AB$43,$AD$43,E1018=$AB$44,$AD$44,E1018=$AB$45,$AD$45,E1018=$AB$46,$AD$46,E1018=$AB$47,$AD$47,E1018=$AB$48,$AD$48,E1018=$AB$49,$AD$49,E1018=$AB$50,$AD$50,E1018=$AB$51,$AD$51,E1018=$AB$52,$AD$52,E1018=$AB$53,$AD$53,E1018=$AB$54,$AD$54,E1018=$AB$55,$AD$55,E1018=$AB$56,$AD$56,E1018=$AB$57,$AD$57,E1018=$AB$58,$AD$58,E1018=$AB$59,$AD$59,E1018=$AB$60,$AD$60,E1018=$AB$61,$AD$61,E1018=$AB$62,$AD$62,E1018=$AB$63,$AD$63,E1018=$AB$64,$AD$64,E1018=$AB$65,$AD$65,E1018=$AB$66,$AD$66,TRUE,"0")</f>
        <v xml:space="preserve">  BANG</v>
      </c>
      <c r="E1018" s="163" t="s">
        <v>726</v>
      </c>
      <c r="F1018" s="2" t="s">
        <v>31</v>
      </c>
      <c r="G1018" s="2" t="s">
        <v>32</v>
      </c>
      <c r="H1018" s="3">
        <v>45398.822916666664</v>
      </c>
      <c r="I1018" s="2" t="s">
        <v>584</v>
      </c>
      <c r="J1018" s="2" t="s">
        <v>440</v>
      </c>
      <c r="K1018" s="2">
        <v>85</v>
      </c>
      <c r="L1018" s="2">
        <v>20</v>
      </c>
      <c r="M1018" s="2">
        <v>1.9</v>
      </c>
      <c r="N1018" s="2">
        <v>59</v>
      </c>
      <c r="O1018" s="2"/>
      <c r="P1018" s="2"/>
      <c r="Q1018" s="2" t="s">
        <v>95</v>
      </c>
      <c r="R1018" s="10" t="s">
        <v>221</v>
      </c>
      <c r="S1018" s="10" t="s">
        <v>220</v>
      </c>
      <c r="T1018" s="188">
        <v>1000</v>
      </c>
      <c r="U1018" s="8">
        <f t="shared" si="120"/>
        <v>180</v>
      </c>
      <c r="V1018" s="234">
        <f t="shared" si="122"/>
        <v>89484.155246160299</v>
      </c>
      <c r="W1018" s="15">
        <v>25</v>
      </c>
      <c r="X1018" s="8">
        <f t="shared" si="123"/>
        <v>4.5</v>
      </c>
      <c r="Y1018" s="233">
        <f t="shared" si="124"/>
        <v>4103</v>
      </c>
    </row>
    <row r="1019" spans="1:25">
      <c r="A1019" s="156" t="e" cm="1">
        <f t="array" aca="1" ref="A1019" ca="1">_xlfn.IFS(E1019=$AB$42,$AC$42,E1019=$AB$43,$AC$43,E1019=$AB$44,$AC$44,E1019=$AB$45,$AC$45,E1019=$AB$46,$AC$46,E1019=$AB$47,$AC$47,E1019=$AB$48,$AC$48,E1019=$AB$49,$AC$49,E1019=$AB$50,$AC$50,E1019=$AB$51,$AC$51,E1019=$AB$52,$AC$52,E1019=$AB$53,$AC$53,E1019=$AB$54,$AC$54,E1019=$AB$55,$AC$55,E1019=$AB$56,$AC$56,E1019=$AB$57,$AC$57,E1019=$AB$58,$AC$58,E1019=$AB$59,$AC$59,E1019=$AB$60,$AC$60,E1019=$AB$61,$AC$61,E1019=$AB$62,$AC$62,E1019=$AB$63,$AC$63,E1019=$AB$64,$AC$64,E1019=$AB$65,$AC$65,E1019=$AB$66,$AC$66,TRUE,"0")</f>
        <v>#NAME?</v>
      </c>
      <c r="C1019" s="161" t="str" cm="1">
        <f t="array" ref="C1019">_xlfn.IFS(E1019=$AB$42,$AF$42,E1019=$AB$43,$AF$43,E1019=$AB$44,$AF$44,E1019=$AB$45,$AF$45,E1019=$AB$46,$AF$46,E1019=$AB$47,$AF$47,E1019=$AB$48,$AF$48,E1019=$AB$49,$AF$49,E1019=$AB$50,$AF$50,E1019=$AB$51,$AF$51,E1019=$AB$52,$AF$52,E1019=$AB$53,$AF$53,E1019=$AB$54,$AF$54,E1019=$AB$55,$AF$55,E1019=$AB$56,$AF$56,E1019=$AB$57,$AF$57,E1019=$AB$58,$AF$58,E1019=$AB$59,$AF$59,E1019=$AB$60,$AF$60,E1019=$AB$61,$AF$61,E1019=$AB$62,$AF$62,E1019=$AB$63,$AF$63,E1019=$AB$64,$AF$64,E1019=$AB$65,$AF$65,E1019=$AB$66,$AF$66,TRUE,"0")</f>
        <v>10mins if  0-0, BACK over 1.5 goals X after goal OR LET RUN</v>
      </c>
      <c r="D1019" s="270" t="str" cm="1">
        <f t="array" ref="D1019">_xlfn.IFS(E1019=$AB$42,$AD$42,E1019=$AB$43,$AD$43,E1019=$AB$44,$AD$44,E1019=$AB$45,$AD$45,E1019=$AB$46,$AD$46,E1019=$AB$47,$AD$47,E1019=$AB$48,$AD$48,E1019=$AB$49,$AD$49,E1019=$AB$50,$AD$50,E1019=$AB$51,$AD$51,E1019=$AB$52,$AD$52,E1019=$AB$53,$AD$53,E1019=$AB$54,$AD$54,E1019=$AB$55,$AD$55,E1019=$AB$56,$AD$56,E1019=$AB$57,$AD$57,E1019=$AB$58,$AD$58,E1019=$AB$59,$AD$59,E1019=$AB$60,$AD$60,E1019=$AB$61,$AD$61,E1019=$AB$62,$AD$62,E1019=$AB$63,$AD$63,E1019=$AB$64,$AD$64,E1019=$AB$65,$AD$65,E1019=$AB$66,$AD$66,TRUE,"0")</f>
        <v>IP</v>
      </c>
      <c r="E1019" s="163" t="s">
        <v>498</v>
      </c>
      <c r="F1019" s="2" t="s">
        <v>31</v>
      </c>
      <c r="G1019" s="2" t="s">
        <v>32</v>
      </c>
      <c r="H1019" s="3">
        <v>45398.822916666664</v>
      </c>
      <c r="I1019" s="2" t="s">
        <v>584</v>
      </c>
      <c r="J1019" s="2" t="s">
        <v>440</v>
      </c>
      <c r="K1019" s="2">
        <v>65</v>
      </c>
      <c r="L1019" s="2">
        <v>90</v>
      </c>
      <c r="M1019" s="2">
        <v>1.7</v>
      </c>
      <c r="N1019" s="2">
        <v>20</v>
      </c>
      <c r="O1019" s="2"/>
      <c r="P1019" s="2"/>
      <c r="Q1019" s="2" t="s">
        <v>95</v>
      </c>
      <c r="R1019" s="10" t="s">
        <v>221</v>
      </c>
      <c r="S1019" s="10" t="s">
        <v>220</v>
      </c>
      <c r="T1019" s="188">
        <v>1000</v>
      </c>
      <c r="U1019" s="8">
        <f t="shared" si="120"/>
        <v>180</v>
      </c>
      <c r="V1019" s="234">
        <f t="shared" si="122"/>
        <v>89664.155246160299</v>
      </c>
      <c r="W1019" s="15">
        <v>25</v>
      </c>
      <c r="X1019" s="8">
        <f t="shared" si="123"/>
        <v>4.5</v>
      </c>
      <c r="Y1019" s="233">
        <f t="shared" si="124"/>
        <v>4107.5</v>
      </c>
    </row>
    <row r="1020" spans="1:25">
      <c r="A1020" s="156" t="e" cm="1">
        <f t="array" aca="1" ref="A1020" ca="1">_xlfn.IFS(E1020=$AB$42,$AC$42,E1020=$AB$43,$AC$43,E1020=$AB$44,$AC$44,E1020=$AB$45,$AC$45,E1020=$AB$46,$AC$46,E1020=$AB$47,$AC$47,E1020=$AB$48,$AC$48,E1020=$AB$49,$AC$49,E1020=$AB$50,$AC$50,E1020=$AB$51,$AC$51,E1020=$AB$52,$AC$52,E1020=$AB$53,$AC$53,E1020=$AB$54,$AC$54,E1020=$AB$55,$AC$55,E1020=$AB$56,$AC$56,E1020=$AB$57,$AC$57,E1020=$AB$58,$AC$58,E1020=$AB$59,$AC$59,E1020=$AB$60,$AC$60,E1020=$AB$61,$AC$61,E1020=$AB$62,$AC$62,E1020=$AB$63,$AC$63,E1020=$AB$64,$AC$64,E1020=$AB$65,$AC$65,E1020=$AB$66,$AC$66,TRUE,"0")</f>
        <v>#NAME?</v>
      </c>
      <c r="C1020" s="161" t="str" cm="1">
        <f t="array" ref="C1020">_xlfn.IFS(E1020=$AB$42,$AF$42,E1020=$AB$43,$AF$43,E1020=$AB$44,$AF$44,E1020=$AB$45,$AF$45,E1020=$AB$46,$AF$46,E1020=$AB$47,$AF$47,E1020=$AB$48,$AF$48,E1020=$AB$49,$AF$49,E1020=$AB$50,$AF$50,E1020=$AB$51,$AF$51,E1020=$AB$52,$AF$52,E1020=$AB$53,$AF$53,E1020=$AB$54,$AF$54,E1020=$AB$55,$AF$55,E1020=$AB$56,$AF$56,E1020=$AB$57,$AF$57,E1020=$AB$58,$AF$58,E1020=$AB$59,$AF$59,E1020=$AB$60,$AF$60,E1020=$AB$61,$AF$61,E1020=$AB$62,$AF$62,E1020=$AB$63,$AF$63,E1020=$AB$64,$AF$64,E1020=$AB$65,$AF$65,E1020=$AB$66,$AF$66,TRUE,"0")</f>
        <v>40 mins Back ANother Goal</v>
      </c>
      <c r="D1020" s="270" t="str" cm="1">
        <f t="array" ref="D1020">_xlfn.IFS(E1020=$AB$42,$AD$42,E1020=$AB$43,$AD$43,E1020=$AB$44,$AD$44,E1020=$AB$45,$AD$45,E1020=$AB$46,$AD$46,E1020=$AB$47,$AD$47,E1020=$AB$48,$AD$48,E1020=$AB$49,$AD$49,E1020=$AB$50,$AD$50,E1020=$AB$51,$AD$51,E1020=$AB$52,$AD$52,E1020=$AB$53,$AD$53,E1020=$AB$54,$AD$54,E1020=$AB$55,$AD$55,E1020=$AB$56,$AD$56,E1020=$AB$57,$AD$57,E1020=$AB$58,$AD$58,E1020=$AB$59,$AD$59,E1020=$AB$60,$AD$60,E1020=$AB$61,$AD$61,E1020=$AB$62,$AD$62,E1020=$AB$63,$AD$63,E1020=$AB$64,$AD$64,E1020=$AB$65,$AD$65,E1020=$AB$66,$AD$66,TRUE,"0")</f>
        <v xml:space="preserve">  BANG</v>
      </c>
      <c r="E1020" s="163" t="s">
        <v>726</v>
      </c>
      <c r="F1020" s="2" t="s">
        <v>31</v>
      </c>
      <c r="G1020" s="2" t="s">
        <v>32</v>
      </c>
      <c r="H1020" s="3">
        <v>45398.822916666664</v>
      </c>
      <c r="I1020" s="2" t="s">
        <v>690</v>
      </c>
      <c r="J1020" s="2" t="s">
        <v>261</v>
      </c>
      <c r="K1020" s="2">
        <v>90</v>
      </c>
      <c r="L1020" s="2">
        <v>20</v>
      </c>
      <c r="M1020" s="2">
        <v>2.2000000000000002</v>
      </c>
      <c r="N1020" s="2">
        <v>60</v>
      </c>
      <c r="O1020" s="2"/>
      <c r="P1020" s="2"/>
      <c r="Q1020" s="2" t="s">
        <v>95</v>
      </c>
      <c r="R1020" s="10" t="s">
        <v>193</v>
      </c>
      <c r="S1020" s="10" t="s">
        <v>210</v>
      </c>
      <c r="T1020" s="188">
        <v>1000</v>
      </c>
      <c r="U1020" s="8">
        <f t="shared" si="120"/>
        <v>180</v>
      </c>
      <c r="V1020" s="234">
        <f t="shared" si="122"/>
        <v>89844.155246160299</v>
      </c>
      <c r="W1020" s="15">
        <v>25</v>
      </c>
      <c r="X1020" s="8">
        <f t="shared" si="123"/>
        <v>4.5</v>
      </c>
      <c r="Y1020" s="233">
        <f t="shared" si="124"/>
        <v>4112</v>
      </c>
    </row>
    <row r="1021" spans="1:25">
      <c r="A1021" s="156" t="e" cm="1">
        <f t="array" aca="1" ref="A1021" ca="1">_xlfn.IFS(E1021=$AB$42,$AC$42,E1021=$AB$43,$AC$43,E1021=$AB$44,$AC$44,E1021=$AB$45,$AC$45,E1021=$AB$46,$AC$46,E1021=$AB$47,$AC$47,E1021=$AB$48,$AC$48,E1021=$AB$49,$AC$49,E1021=$AB$50,$AC$50,E1021=$AB$51,$AC$51,E1021=$AB$52,$AC$52,E1021=$AB$53,$AC$53,E1021=$AB$54,$AC$54,E1021=$AB$55,$AC$55,E1021=$AB$56,$AC$56,E1021=$AB$57,$AC$57,E1021=$AB$58,$AC$58,E1021=$AB$59,$AC$59,E1021=$AB$60,$AC$60,E1021=$AB$61,$AC$61,E1021=$AB$62,$AC$62,E1021=$AB$63,$AC$63,E1021=$AB$64,$AC$64,E1021=$AB$65,$AC$65,E1021=$AB$66,$AC$66,TRUE,"0")</f>
        <v>#NAME?</v>
      </c>
      <c r="C1021" s="161" t="str" cm="1">
        <f t="array" ref="C1021">_xlfn.IFS(E1021=$AB$42,$AF$42,E1021=$AB$43,$AF$43,E1021=$AB$44,$AF$44,E1021=$AB$45,$AF$45,E1021=$AB$46,$AF$46,E1021=$AB$47,$AF$47,E1021=$AB$48,$AF$48,E1021=$AB$49,$AF$49,E1021=$AB$50,$AF$50,E1021=$AB$51,$AF$51,E1021=$AB$52,$AF$52,E1021=$AB$53,$AF$53,E1021=$AB$54,$AF$54,E1021=$AB$55,$AF$55,E1021=$AB$56,$AF$56,E1021=$AB$57,$AF$57,E1021=$AB$58,$AF$58,E1021=$AB$59,$AF$59,E1021=$AB$60,$AF$60,E1021=$AB$61,$AF$61,E1021=$AB$62,$AF$62,E1021=$AB$63,$AF$63,E1021=$AB$64,$AF$64,E1021=$AB$65,$AF$65,E1021=$AB$66,$AF$66,TRUE,"0")</f>
        <v>B4 match BACK FT +1.5 goals. X AFTER  GOAL</v>
      </c>
      <c r="D1021" s="270" t="str" cm="1">
        <f t="array" ref="D1021">_xlfn.IFS(E1021=$AB$42,$AD$42,E1021=$AB$43,$AD$43,E1021=$AB$44,$AD$44,E1021=$AB$45,$AD$45,E1021=$AB$46,$AD$46,E1021=$AB$47,$AD$47,E1021=$AB$48,$AD$48,E1021=$AB$49,$AD$49,E1021=$AB$50,$AD$50,E1021=$AB$51,$AD$51,E1021=$AB$52,$AD$52,E1021=$AB$53,$AD$53,E1021=$AB$54,$AD$54,E1021=$AB$55,$AD$55,E1021=$AB$56,$AD$56,E1021=$AB$57,$AD$57,E1021=$AB$58,$AD$58,E1021=$AB$59,$AD$59,E1021=$AB$60,$AD$60,E1021=$AB$61,$AD$61,E1021=$AB$62,$AD$62,E1021=$AB$63,$AD$63,E1021=$AB$64,$AD$64,E1021=$AB$65,$AD$65,E1021=$AB$66,$AD$66,TRUE,"0")</f>
        <v xml:space="preserve">BFM </v>
      </c>
      <c r="E1021" s="163" t="s">
        <v>623</v>
      </c>
      <c r="F1021" s="2" t="s">
        <v>31</v>
      </c>
      <c r="G1021" s="2" t="s">
        <v>32</v>
      </c>
      <c r="H1021" s="3">
        <v>45398.822916666664</v>
      </c>
      <c r="I1021" s="2" t="s">
        <v>690</v>
      </c>
      <c r="J1021" s="2" t="s">
        <v>261</v>
      </c>
      <c r="K1021" s="2">
        <v>5.2</v>
      </c>
      <c r="L1021" s="2">
        <v>20</v>
      </c>
      <c r="M1021" s="2">
        <v>3.45</v>
      </c>
      <c r="N1021" s="2">
        <v>32</v>
      </c>
      <c r="O1021" s="2">
        <v>4</v>
      </c>
      <c r="P1021" s="2">
        <v>10</v>
      </c>
      <c r="Q1021" s="2" t="s">
        <v>95</v>
      </c>
      <c r="R1021" s="10" t="s">
        <v>193</v>
      </c>
      <c r="S1021" s="10" t="s">
        <v>210</v>
      </c>
      <c r="T1021" s="188">
        <v>1000</v>
      </c>
      <c r="U1021" s="8">
        <f t="shared" si="120"/>
        <v>180</v>
      </c>
      <c r="V1021" s="234">
        <f t="shared" si="122"/>
        <v>90024.155246160299</v>
      </c>
      <c r="W1021" s="15">
        <v>25</v>
      </c>
      <c r="X1021" s="8">
        <f t="shared" si="123"/>
        <v>4.5</v>
      </c>
      <c r="Y1021" s="233">
        <f t="shared" si="124"/>
        <v>4116.5</v>
      </c>
    </row>
    <row r="1022" spans="1:25">
      <c r="A1022" s="156" t="e" cm="1">
        <f t="array" aca="1" ref="A1022" ca="1">_xlfn.IFS(E1022=$AB$42,$AC$42,E1022=$AB$43,$AC$43,E1022=$AB$44,$AC$44,E1022=$AB$45,$AC$45,E1022=$AB$46,$AC$46,E1022=$AB$47,$AC$47,E1022=$AB$48,$AC$48,E1022=$AB$49,$AC$49,E1022=$AB$50,$AC$50,E1022=$AB$51,$AC$51,E1022=$AB$52,$AC$52,E1022=$AB$53,$AC$53,E1022=$AB$54,$AC$54,E1022=$AB$55,$AC$55,E1022=$AB$56,$AC$56,E1022=$AB$57,$AC$57,E1022=$AB$58,$AC$58,E1022=$AB$59,$AC$59,E1022=$AB$60,$AC$60,E1022=$AB$61,$AC$61,E1022=$AB$62,$AC$62,E1022=$AB$63,$AC$63,E1022=$AB$64,$AC$64,E1022=$AB$65,$AC$65,E1022=$AB$66,$AC$66,TRUE,"0")</f>
        <v>#NAME?</v>
      </c>
      <c r="C1022" s="161" t="str" cm="1">
        <f t="array" ref="C1022">_xlfn.IFS(E1022=$AB$42,$AF$42,E1022=$AB$43,$AF$43,E1022=$AB$44,$AF$44,E1022=$AB$45,$AF$45,E1022=$AB$46,$AF$46,E1022=$AB$47,$AF$47,E1022=$AB$48,$AF$48,E1022=$AB$49,$AF$49,E1022=$AB$50,$AF$50,E1022=$AB$51,$AF$51,E1022=$AB$52,$AF$52,E1022=$AB$53,$AF$53,E1022=$AB$54,$AF$54,E1022=$AB$55,$AF$55,E1022=$AB$56,$AF$56,E1022=$AB$57,$AF$57,E1022=$AB$58,$AF$58,E1022=$AB$59,$AF$59,E1022=$AB$60,$AF$60,E1022=$AB$61,$AF$61,E1022=$AB$62,$AF$62,E1022=$AB$63,$AF$63,E1022=$AB$64,$AF$64,E1022=$AB$65,$AF$65,E1022=$AB$66,$AF$66,TRUE,"0")</f>
        <v>20mins if  0-0, BACK over 1.5 goals X after goal OR LET RUN</v>
      </c>
      <c r="D1022" s="270" t="str" cm="1">
        <f t="array" ref="D1022">_xlfn.IFS(E1022=$AB$42,$AD$42,E1022=$AB$43,$AD$43,E1022=$AB$44,$AD$44,E1022=$AB$45,$AD$45,E1022=$AB$46,$AD$46,E1022=$AB$47,$AD$47,E1022=$AB$48,$AD$48,E1022=$AB$49,$AD$49,E1022=$AB$50,$AD$50,E1022=$AB$51,$AD$51,E1022=$AB$52,$AD$52,E1022=$AB$53,$AD$53,E1022=$AB$54,$AD$54,E1022=$AB$55,$AD$55,E1022=$AB$56,$AD$56,E1022=$AB$57,$AD$57,E1022=$AB$58,$AD$58,E1022=$AB$59,$AD$59,E1022=$AB$60,$AD$60,E1022=$AB$61,$AD$61,E1022=$AB$62,$AD$62,E1022=$AB$63,$AD$63,E1022=$AB$64,$AD$64,E1022=$AB$65,$AD$65,E1022=$AB$66,$AD$66,TRUE,"0")</f>
        <v>IP</v>
      </c>
      <c r="E1022" s="163" t="s">
        <v>474</v>
      </c>
      <c r="F1022" s="2" t="s">
        <v>6</v>
      </c>
      <c r="G1022" s="2" t="s">
        <v>7</v>
      </c>
      <c r="H1022" s="3">
        <v>45398.822916666664</v>
      </c>
      <c r="I1022" s="2" t="s">
        <v>8</v>
      </c>
      <c r="J1022" s="2" t="s">
        <v>18</v>
      </c>
      <c r="K1022" s="2">
        <v>50</v>
      </c>
      <c r="L1022" s="2">
        <v>3.45</v>
      </c>
      <c r="M1022" s="2">
        <v>20</v>
      </c>
      <c r="N1022" s="2">
        <v>75</v>
      </c>
      <c r="O1022" s="2">
        <v>90</v>
      </c>
      <c r="P1022" s="2"/>
      <c r="Q1022" s="2" t="s">
        <v>95</v>
      </c>
      <c r="R1022" s="10" t="s">
        <v>218</v>
      </c>
      <c r="S1022" s="10" t="s">
        <v>482</v>
      </c>
      <c r="T1022" s="188">
        <v>1000</v>
      </c>
      <c r="U1022" s="8">
        <f t="shared" si="120"/>
        <v>180</v>
      </c>
      <c r="V1022" s="234">
        <f t="shared" si="122"/>
        <v>90204.155246160299</v>
      </c>
      <c r="W1022" s="15">
        <v>25</v>
      </c>
      <c r="X1022" s="8">
        <f t="shared" si="123"/>
        <v>4.5</v>
      </c>
      <c r="Y1022" s="233">
        <f t="shared" si="124"/>
        <v>4121</v>
      </c>
    </row>
    <row r="1023" spans="1:25">
      <c r="A1023" s="156" t="e" cm="1">
        <f t="array" aca="1" ref="A1023" ca="1">_xlfn.IFS(E1023=$AB$42,$AC$42,E1023=$AB$43,$AC$43,E1023=$AB$44,$AC$44,E1023=$AB$45,$AC$45,E1023=$AB$46,$AC$46,E1023=$AB$47,$AC$47,E1023=$AB$48,$AC$48,E1023=$AB$49,$AC$49,E1023=$AB$50,$AC$50,E1023=$AB$51,$AC$51,E1023=$AB$52,$AC$52,E1023=$AB$53,$AC$53,E1023=$AB$54,$AC$54,E1023=$AB$55,$AC$55,E1023=$AB$56,$AC$56,E1023=$AB$57,$AC$57,E1023=$AB$58,$AC$58,E1023=$AB$59,$AC$59,E1023=$AB$60,$AC$60,E1023=$AB$61,$AC$61,E1023=$AB$62,$AC$62,E1023=$AB$63,$AC$63,E1023=$AB$64,$AC$64,E1023=$AB$65,$AC$65,E1023=$AB$66,$AC$66,TRUE,"0")</f>
        <v>#NAME?</v>
      </c>
      <c r="C1023" s="161" t="str" cm="1">
        <f t="array" ref="C1023">_xlfn.IFS(E1023=$AB$42,$AF$42,E1023=$AB$43,$AF$43,E1023=$AB$44,$AF$44,E1023=$AB$45,$AF$45,E1023=$AB$46,$AF$46,E1023=$AB$47,$AF$47,E1023=$AB$48,$AF$48,E1023=$AB$49,$AF$49,E1023=$AB$50,$AF$50,E1023=$AB$51,$AF$51,E1023=$AB$52,$AF$52,E1023=$AB$53,$AF$53,E1023=$AB$54,$AF$54,E1023=$AB$55,$AF$55,E1023=$AB$56,$AF$56,E1023=$AB$57,$AF$57,E1023=$AB$58,$AF$58,E1023=$AB$59,$AF$59,E1023=$AB$60,$AF$60,E1023=$AB$61,$AF$61,E1023=$AB$62,$AF$62,E1023=$AB$63,$AF$63,E1023=$AB$64,$AF$64,E1023=$AB$65,$AF$65,E1023=$AB$66,$AF$66,TRUE,"0")</f>
        <v>B4 match BACK FT +1.5 goals. X AFTER  GOAL</v>
      </c>
      <c r="D1023" s="270" t="str" cm="1">
        <f t="array" ref="D1023">_xlfn.IFS(E1023=$AB$42,$AD$42,E1023=$AB$43,$AD$43,E1023=$AB$44,$AD$44,E1023=$AB$45,$AD$45,E1023=$AB$46,$AD$46,E1023=$AB$47,$AD$47,E1023=$AB$48,$AD$48,E1023=$AB$49,$AD$49,E1023=$AB$50,$AD$50,E1023=$AB$51,$AD$51,E1023=$AB$52,$AD$52,E1023=$AB$53,$AD$53,E1023=$AB$54,$AD$54,E1023=$AB$55,$AD$55,E1023=$AB$56,$AD$56,E1023=$AB$57,$AD$57,E1023=$AB$58,$AD$58,E1023=$AB$59,$AD$59,E1023=$AB$60,$AD$60,E1023=$AB$61,$AD$61,E1023=$AB$62,$AD$62,E1023=$AB$63,$AD$63,E1023=$AB$64,$AD$64,E1023=$AB$65,$AD$65,E1023=$AB$66,$AD$66,TRUE,"0")</f>
        <v xml:space="preserve">BFM </v>
      </c>
      <c r="E1023" s="163" t="s">
        <v>623</v>
      </c>
      <c r="F1023" s="2" t="s">
        <v>6</v>
      </c>
      <c r="G1023" s="2" t="s">
        <v>11</v>
      </c>
      <c r="H1023" s="3">
        <v>45398.822916666664</v>
      </c>
      <c r="I1023" s="2" t="s">
        <v>12</v>
      </c>
      <c r="J1023" s="2" t="s">
        <v>405</v>
      </c>
      <c r="K1023" s="2">
        <v>6</v>
      </c>
      <c r="L1023" s="2">
        <v>20</v>
      </c>
      <c r="M1023" s="2">
        <v>3.15</v>
      </c>
      <c r="N1023" s="2">
        <v>29</v>
      </c>
      <c r="O1023" s="2">
        <v>1</v>
      </c>
      <c r="P1023" s="2">
        <v>10</v>
      </c>
      <c r="Q1023" s="2" t="s">
        <v>95</v>
      </c>
      <c r="R1023" s="10" t="s">
        <v>216</v>
      </c>
      <c r="S1023" s="10" t="s">
        <v>196</v>
      </c>
      <c r="T1023" s="188">
        <v>1000</v>
      </c>
      <c r="U1023" s="8">
        <f t="shared" si="120"/>
        <v>180</v>
      </c>
      <c r="V1023" s="234">
        <f t="shared" si="122"/>
        <v>90384.155246160299</v>
      </c>
      <c r="W1023" s="15">
        <v>25</v>
      </c>
      <c r="X1023" s="8">
        <f t="shared" si="123"/>
        <v>4.5</v>
      </c>
      <c r="Y1023" s="233">
        <f t="shared" si="124"/>
        <v>4125.5</v>
      </c>
    </row>
    <row r="1024" spans="1:25">
      <c r="A1024" s="156" t="e" cm="1">
        <f t="array" aca="1" ref="A1024" ca="1">_xlfn.IFS(E1024=$AB$42,$AC$42,E1024=$AB$43,$AC$43,E1024=$AB$44,$AC$44,E1024=$AB$45,$AC$45,E1024=$AB$46,$AC$46,E1024=$AB$47,$AC$47,E1024=$AB$48,$AC$48,E1024=$AB$49,$AC$49,E1024=$AB$50,$AC$50,E1024=$AB$51,$AC$51,E1024=$AB$52,$AC$52,E1024=$AB$53,$AC$53,E1024=$AB$54,$AC$54,E1024=$AB$55,$AC$55,E1024=$AB$56,$AC$56,E1024=$AB$57,$AC$57,E1024=$AB$58,$AC$58,E1024=$AB$59,$AC$59,E1024=$AB$60,$AC$60,E1024=$AB$61,$AC$61,E1024=$AB$62,$AC$62,E1024=$AB$63,$AC$63,E1024=$AB$64,$AC$64,E1024=$AB$65,$AC$65,E1024=$AB$66,$AC$66,TRUE,"0")</f>
        <v>#NAME?</v>
      </c>
      <c r="C1024" s="161" t="str" cm="1">
        <f t="array" ref="C1024">_xlfn.IFS(E1024=$AB$42,$AF$42,E1024=$AB$43,$AF$43,E1024=$AB$44,$AF$44,E1024=$AB$45,$AF$45,E1024=$AB$46,$AF$46,E1024=$AB$47,$AF$47,E1024=$AB$48,$AF$48,E1024=$AB$49,$AF$49,E1024=$AB$50,$AF$50,E1024=$AB$51,$AF$51,E1024=$AB$52,$AF$52,E1024=$AB$53,$AF$53,E1024=$AB$54,$AF$54,E1024=$AB$55,$AF$55,E1024=$AB$56,$AF$56,E1024=$AB$57,$AF$57,E1024=$AB$58,$AF$58,E1024=$AB$59,$AF$59,E1024=$AB$60,$AF$60,E1024=$AB$61,$AF$61,E1024=$AB$62,$AF$62,E1024=$AB$63,$AF$63,E1024=$AB$64,$AF$64,E1024=$AB$65,$AF$65,E1024=$AB$66,$AF$66,TRUE,"0")</f>
        <v>B4 Match, lay HT 0-0 or BACK H1 +0.5 GOALS</v>
      </c>
      <c r="D1024" s="270" t="str" cm="1">
        <f t="array" ref="D1024">_xlfn.IFS(E1024=$AB$42,$AD$42,E1024=$AB$43,$AD$43,E1024=$AB$44,$AD$44,E1024=$AB$45,$AD$45,E1024=$AB$46,$AD$46,E1024=$AB$47,$AD$47,E1024=$AB$48,$AD$48,E1024=$AB$49,$AD$49,E1024=$AB$50,$AD$50,E1024=$AB$51,$AD$51,E1024=$AB$52,$AD$52,E1024=$AB$53,$AD$53,E1024=$AB$54,$AD$54,E1024=$AB$55,$AD$55,E1024=$AB$56,$AD$56,E1024=$AB$57,$AD$57,E1024=$AB$58,$AD$58,E1024=$AB$59,$AD$59,E1024=$AB$60,$AD$60,E1024=$AB$61,$AD$61,E1024=$AB$62,$AD$62,E1024=$AB$63,$AD$63,E1024=$AB$64,$AD$64,E1024=$AB$65,$AD$65,E1024=$AB$66,$AD$66,TRUE,"0")</f>
        <v xml:space="preserve">BFM </v>
      </c>
      <c r="E1024" s="163" t="s">
        <v>432</v>
      </c>
      <c r="F1024" s="2" t="s">
        <v>6</v>
      </c>
      <c r="G1024" s="2" t="s">
        <v>11</v>
      </c>
      <c r="H1024" s="3">
        <v>45398.822916666664</v>
      </c>
      <c r="I1024" s="2" t="s">
        <v>634</v>
      </c>
      <c r="J1024" s="2" t="s">
        <v>742</v>
      </c>
      <c r="K1024" s="2">
        <v>0</v>
      </c>
      <c r="L1024" s="2">
        <v>20</v>
      </c>
      <c r="M1024" s="2">
        <v>18</v>
      </c>
      <c r="N1024" s="2">
        <v>18</v>
      </c>
      <c r="O1024" s="2">
        <v>21</v>
      </c>
      <c r="P1024" s="2">
        <v>1.95</v>
      </c>
      <c r="Q1024" s="2" t="s">
        <v>95</v>
      </c>
      <c r="R1024" s="10" t="s">
        <v>216</v>
      </c>
      <c r="S1024" s="10" t="s">
        <v>209</v>
      </c>
      <c r="T1024" s="188">
        <v>1000</v>
      </c>
      <c r="U1024" s="8">
        <f t="shared" si="120"/>
        <v>180</v>
      </c>
      <c r="V1024" s="234">
        <f t="shared" si="122"/>
        <v>90564.155246160299</v>
      </c>
      <c r="W1024" s="15">
        <v>25</v>
      </c>
      <c r="X1024" s="8">
        <f t="shared" si="123"/>
        <v>4.5</v>
      </c>
      <c r="Y1024" s="233">
        <f t="shared" si="124"/>
        <v>4130</v>
      </c>
    </row>
    <row r="1025" spans="1:25">
      <c r="A1025" s="156" t="e" cm="1">
        <f t="array" aca="1" ref="A1025" ca="1">_xlfn.IFS(E1025=$AB$42,$AC$42,E1025=$AB$43,$AC$43,E1025=$AB$44,$AC$44,E1025=$AB$45,$AC$45,E1025=$AB$46,$AC$46,E1025=$AB$47,$AC$47,E1025=$AB$48,$AC$48,E1025=$AB$49,$AC$49,E1025=$AB$50,$AC$50,E1025=$AB$51,$AC$51,E1025=$AB$52,$AC$52,E1025=$AB$53,$AC$53,E1025=$AB$54,$AC$54,E1025=$AB$55,$AC$55,E1025=$AB$56,$AC$56,E1025=$AB$57,$AC$57,E1025=$AB$58,$AC$58,E1025=$AB$59,$AC$59,E1025=$AB$60,$AC$60,E1025=$AB$61,$AC$61,E1025=$AB$62,$AC$62,E1025=$AB$63,$AC$63,E1025=$AB$64,$AC$64,E1025=$AB$65,$AC$65,E1025=$AB$66,$AC$66,TRUE,"0")</f>
        <v>#NAME?</v>
      </c>
      <c r="C1025" s="161" t="str" cm="1">
        <f t="array" ref="C1025">_xlfn.IFS(E1025=$AB$42,$AF$42,E1025=$AB$43,$AF$43,E1025=$AB$44,$AF$44,E1025=$AB$45,$AF$45,E1025=$AB$46,$AF$46,E1025=$AB$47,$AF$47,E1025=$AB$48,$AF$48,E1025=$AB$49,$AF$49,E1025=$AB$50,$AF$50,E1025=$AB$51,$AF$51,E1025=$AB$52,$AF$52,E1025=$AB$53,$AF$53,E1025=$AB$54,$AF$54,E1025=$AB$55,$AF$55,E1025=$AB$56,$AF$56,E1025=$AB$57,$AF$57,E1025=$AB$58,$AF$58,E1025=$AB$59,$AF$59,E1025=$AB$60,$AF$60,E1025=$AB$61,$AF$61,E1025=$AB$62,$AF$62,E1025=$AB$63,$AF$63,E1025=$AB$64,$AF$64,E1025=$AB$65,$AF$65,E1025=$AB$66,$AF$66,TRUE,"0")</f>
        <v>B4 Match, lay HT 0-0 or BACK H1 +0.5 GOALS</v>
      </c>
      <c r="D1025" s="270" t="str" cm="1">
        <f t="array" ref="D1025">_xlfn.IFS(E1025=$AB$42,$AD$42,E1025=$AB$43,$AD$43,E1025=$AB$44,$AD$44,E1025=$AB$45,$AD$45,E1025=$AB$46,$AD$46,E1025=$AB$47,$AD$47,E1025=$AB$48,$AD$48,E1025=$AB$49,$AD$49,E1025=$AB$50,$AD$50,E1025=$AB$51,$AD$51,E1025=$AB$52,$AD$52,E1025=$AB$53,$AD$53,E1025=$AB$54,$AD$54,E1025=$AB$55,$AD$55,E1025=$AB$56,$AD$56,E1025=$AB$57,$AD$57,E1025=$AB$58,$AD$58,E1025=$AB$59,$AD$59,E1025=$AB$60,$AD$60,E1025=$AB$61,$AD$61,E1025=$AB$62,$AD$62,E1025=$AB$63,$AD$63,E1025=$AB$64,$AD$64,E1025=$AB$65,$AD$65,E1025=$AB$66,$AD$66,TRUE,"0")</f>
        <v xml:space="preserve">BFM </v>
      </c>
      <c r="E1025" s="163" t="s">
        <v>448</v>
      </c>
      <c r="F1025" s="2" t="s">
        <v>6</v>
      </c>
      <c r="G1025" s="2" t="s">
        <v>11</v>
      </c>
      <c r="H1025" s="3">
        <v>45398.822916666664</v>
      </c>
      <c r="I1025" s="2" t="s">
        <v>634</v>
      </c>
      <c r="J1025" s="2" t="s">
        <v>742</v>
      </c>
      <c r="K1025" s="2">
        <v>20</v>
      </c>
      <c r="L1025" s="2">
        <v>0</v>
      </c>
      <c r="M1025" s="2">
        <v>39</v>
      </c>
      <c r="N1025" s="2">
        <v>8</v>
      </c>
      <c r="O1025" s="2">
        <v>4</v>
      </c>
      <c r="P1025" s="2">
        <v>9</v>
      </c>
      <c r="Q1025" s="2" t="s">
        <v>95</v>
      </c>
      <c r="R1025" s="10" t="s">
        <v>216</v>
      </c>
      <c r="S1025" s="10" t="s">
        <v>209</v>
      </c>
      <c r="T1025" s="188">
        <v>1000</v>
      </c>
      <c r="U1025" s="8">
        <f t="shared" si="120"/>
        <v>180</v>
      </c>
      <c r="V1025" s="234">
        <f t="shared" si="122"/>
        <v>90744.155246160299</v>
      </c>
      <c r="W1025" s="15">
        <v>25</v>
      </c>
      <c r="X1025" s="8">
        <f t="shared" si="123"/>
        <v>4.5</v>
      </c>
      <c r="Y1025" s="233">
        <f t="shared" si="124"/>
        <v>4134.5</v>
      </c>
    </row>
    <row r="1026" spans="1:25">
      <c r="A1026" s="156" t="e" cm="1">
        <f t="array" aca="1" ref="A1026" ca="1">_xlfn.IFS(E1026=$AB$42,$AC$42,E1026=$AB$43,$AC$43,E1026=$AB$44,$AC$44,E1026=$AB$45,$AC$45,E1026=$AB$46,$AC$46,E1026=$AB$47,$AC$47,E1026=$AB$48,$AC$48,E1026=$AB$49,$AC$49,E1026=$AB$50,$AC$50,E1026=$AB$51,$AC$51,E1026=$AB$52,$AC$52,E1026=$AB$53,$AC$53,E1026=$AB$54,$AC$54,E1026=$AB$55,$AC$55,E1026=$AB$56,$AC$56,E1026=$AB$57,$AC$57,E1026=$AB$58,$AC$58,E1026=$AB$59,$AC$59,E1026=$AB$60,$AC$60,E1026=$AB$61,$AC$61,E1026=$AB$62,$AC$62,E1026=$AB$63,$AC$63,E1026=$AB$64,$AC$64,E1026=$AB$65,$AC$65,E1026=$AB$66,$AC$66,TRUE,"0")</f>
        <v>#NAME?</v>
      </c>
      <c r="C1026" s="161" t="str" cm="1">
        <f t="array" ref="C1026">_xlfn.IFS(E1026=$AB$42,$AF$42,E1026=$AB$43,$AF$43,E1026=$AB$44,$AF$44,E1026=$AB$45,$AF$45,E1026=$AB$46,$AF$46,E1026=$AB$47,$AF$47,E1026=$AB$48,$AF$48,E1026=$AB$49,$AF$49,E1026=$AB$50,$AF$50,E1026=$AB$51,$AF$51,E1026=$AB$52,$AF$52,E1026=$AB$53,$AF$53,E1026=$AB$54,$AF$54,E1026=$AB$55,$AF$55,E1026=$AB$56,$AF$56,E1026=$AB$57,$AF$57,E1026=$AB$58,$AF$58,E1026=$AB$59,$AF$59,E1026=$AB$60,$AF$60,E1026=$AB$61,$AF$61,E1026=$AB$62,$AF$62,E1026=$AB$63,$AF$63,E1026=$AB$64,$AF$64,E1026=$AB$65,$AF$65,E1026=$AB$66,$AF$66,TRUE,"0")</f>
        <v>15mins if  0-0, BACK over 1.5 goals X after goal OR LET RUN</v>
      </c>
      <c r="D1026" s="270" t="str" cm="1">
        <f t="array" ref="D1026">_xlfn.IFS(E1026=$AB$42,$AD$42,E1026=$AB$43,$AD$43,E1026=$AB$44,$AD$44,E1026=$AB$45,$AD$45,E1026=$AB$46,$AD$46,E1026=$AB$47,$AD$47,E1026=$AB$48,$AD$48,E1026=$AB$49,$AD$49,E1026=$AB$50,$AD$50,E1026=$AB$51,$AD$51,E1026=$AB$52,$AD$52,E1026=$AB$53,$AD$53,E1026=$AB$54,$AD$54,E1026=$AB$55,$AD$55,E1026=$AB$56,$AD$56,E1026=$AB$57,$AD$57,E1026=$AB$58,$AD$58,E1026=$AB$59,$AD$59,E1026=$AB$60,$AD$60,E1026=$AB$61,$AD$61,E1026=$AB$62,$AD$62,E1026=$AB$63,$AD$63,E1026=$AB$64,$AD$64,E1026=$AB$65,$AD$65,E1026=$AB$66,$AD$66,TRUE,"0")</f>
        <v>IP</v>
      </c>
      <c r="E1026" s="163" t="s">
        <v>473</v>
      </c>
      <c r="F1026" s="2" t="s">
        <v>6</v>
      </c>
      <c r="G1026" s="2" t="s">
        <v>11</v>
      </c>
      <c r="H1026" s="3">
        <v>45398.822916666664</v>
      </c>
      <c r="I1026" s="2" t="s">
        <v>634</v>
      </c>
      <c r="J1026" s="2" t="s">
        <v>742</v>
      </c>
      <c r="K1026" s="2">
        <v>65</v>
      </c>
      <c r="L1026" s="2">
        <v>95</v>
      </c>
      <c r="M1026" s="2">
        <v>20</v>
      </c>
      <c r="N1026" s="2">
        <v>3.45</v>
      </c>
      <c r="O1026" s="2"/>
      <c r="P1026" s="2"/>
      <c r="Q1026" s="2" t="s">
        <v>95</v>
      </c>
      <c r="R1026" s="10" t="s">
        <v>216</v>
      </c>
      <c r="S1026" s="10" t="s">
        <v>209</v>
      </c>
      <c r="T1026" s="188">
        <v>1000</v>
      </c>
      <c r="U1026" s="8">
        <f t="shared" si="120"/>
        <v>180</v>
      </c>
      <c r="V1026" s="234">
        <f t="shared" si="122"/>
        <v>90924.155246160299</v>
      </c>
      <c r="W1026" s="15">
        <v>25</v>
      </c>
      <c r="X1026" s="8">
        <f t="shared" si="123"/>
        <v>4.5</v>
      </c>
      <c r="Y1026" s="233">
        <f t="shared" si="124"/>
        <v>4139</v>
      </c>
    </row>
    <row r="1027" spans="1:25">
      <c r="A1027" s="156" t="e" cm="1">
        <f t="array" aca="1" ref="A1027" ca="1">_xlfn.IFS(E1027=$AB$42,$AC$42,E1027=$AB$43,$AC$43,E1027=$AB$44,$AC$44,E1027=$AB$45,$AC$45,E1027=$AB$46,$AC$46,E1027=$AB$47,$AC$47,E1027=$AB$48,$AC$48,E1027=$AB$49,$AC$49,E1027=$AB$50,$AC$50,E1027=$AB$51,$AC$51,E1027=$AB$52,$AC$52,E1027=$AB$53,$AC$53,E1027=$AB$54,$AC$54,E1027=$AB$55,$AC$55,E1027=$AB$56,$AC$56,E1027=$AB$57,$AC$57,E1027=$AB$58,$AC$58,E1027=$AB$59,$AC$59,E1027=$AB$60,$AC$60,E1027=$AB$61,$AC$61,E1027=$AB$62,$AC$62,E1027=$AB$63,$AC$63,E1027=$AB$64,$AC$64,E1027=$AB$65,$AC$65,E1027=$AB$66,$AC$66,TRUE,"0")</f>
        <v>#NAME?</v>
      </c>
      <c r="C1027" s="161" t="str" cm="1">
        <f t="array" ref="C1027">_xlfn.IFS(E1027=$AB$42,$AF$42,E1027=$AB$43,$AF$43,E1027=$AB$44,$AF$44,E1027=$AB$45,$AF$45,E1027=$AB$46,$AF$46,E1027=$AB$47,$AF$47,E1027=$AB$48,$AF$48,E1027=$AB$49,$AF$49,E1027=$AB$50,$AF$50,E1027=$AB$51,$AF$51,E1027=$AB$52,$AF$52,E1027=$AB$53,$AF$53,E1027=$AB$54,$AF$54,E1027=$AB$55,$AF$55,E1027=$AB$56,$AF$56,E1027=$AB$57,$AF$57,E1027=$AB$58,$AF$58,E1027=$AB$59,$AF$59,E1027=$AB$60,$AF$60,E1027=$AB$61,$AF$61,E1027=$AB$62,$AF$62,E1027=$AB$63,$AF$63,E1027=$AB$64,$AF$64,E1027=$AB$65,$AF$65,E1027=$AB$66,$AF$66,TRUE,"0")</f>
        <v>B4 match BACK FT +1.5 goals. X AFTER  GOAL</v>
      </c>
      <c r="D1027" s="270" t="str" cm="1">
        <f t="array" ref="D1027">_xlfn.IFS(E1027=$AB$42,$AD$42,E1027=$AB$43,$AD$43,E1027=$AB$44,$AD$44,E1027=$AB$45,$AD$45,E1027=$AB$46,$AD$46,E1027=$AB$47,$AD$47,E1027=$AB$48,$AD$48,E1027=$AB$49,$AD$49,E1027=$AB$50,$AD$50,E1027=$AB$51,$AD$51,E1027=$AB$52,$AD$52,E1027=$AB$53,$AD$53,E1027=$AB$54,$AD$54,E1027=$AB$55,$AD$55,E1027=$AB$56,$AD$56,E1027=$AB$57,$AD$57,E1027=$AB$58,$AD$58,E1027=$AB$59,$AD$59,E1027=$AB$60,$AD$60,E1027=$AB$61,$AD$61,E1027=$AB$62,$AD$62,E1027=$AB$63,$AD$63,E1027=$AB$64,$AD$64,E1027=$AB$65,$AD$65,E1027=$AB$66,$AD$66,TRUE,"0")</f>
        <v xml:space="preserve">BFM </v>
      </c>
      <c r="E1027" s="163" t="s">
        <v>623</v>
      </c>
      <c r="F1027" s="2" t="s">
        <v>6</v>
      </c>
      <c r="G1027" s="2" t="s">
        <v>14</v>
      </c>
      <c r="H1027" s="3">
        <v>45398.833333333336</v>
      </c>
      <c r="I1027" s="2" t="s">
        <v>56</v>
      </c>
      <c r="J1027" s="2" t="s">
        <v>200</v>
      </c>
      <c r="K1027" s="2">
        <v>4.9000000000000004</v>
      </c>
      <c r="L1027" s="2">
        <v>20</v>
      </c>
      <c r="M1027" s="2">
        <v>3.15</v>
      </c>
      <c r="N1027" s="2">
        <v>22</v>
      </c>
      <c r="O1027" s="2">
        <v>4</v>
      </c>
      <c r="P1027" s="2">
        <v>10</v>
      </c>
      <c r="Q1027" s="2" t="s">
        <v>95</v>
      </c>
      <c r="R1027" s="10" t="s">
        <v>207</v>
      </c>
      <c r="S1027" s="10" t="s">
        <v>207</v>
      </c>
      <c r="T1027" s="188">
        <v>1000</v>
      </c>
      <c r="U1027" s="8">
        <f t="shared" si="120"/>
        <v>180</v>
      </c>
      <c r="V1027" s="234">
        <f t="shared" si="122"/>
        <v>91104.155246160299</v>
      </c>
      <c r="W1027" s="15">
        <v>25</v>
      </c>
      <c r="X1027" s="8">
        <f t="shared" si="123"/>
        <v>4.5</v>
      </c>
      <c r="Y1027" s="233">
        <f t="shared" si="124"/>
        <v>4143.5</v>
      </c>
    </row>
    <row r="1028" spans="1:25">
      <c r="A1028" s="156" t="e" cm="1">
        <f t="array" aca="1" ref="A1028" ca="1">_xlfn.IFS(E1028=$AB$42,$AC$42,E1028=$AB$43,$AC$43,E1028=$AB$44,$AC$44,E1028=$AB$45,$AC$45,E1028=$AB$46,$AC$46,E1028=$AB$47,$AC$47,E1028=$AB$48,$AC$48,E1028=$AB$49,$AC$49,E1028=$AB$50,$AC$50,E1028=$AB$51,$AC$51,E1028=$AB$52,$AC$52,E1028=$AB$53,$AC$53,E1028=$AB$54,$AC$54,E1028=$AB$55,$AC$55,E1028=$AB$56,$AC$56,E1028=$AB$57,$AC$57,E1028=$AB$58,$AC$58,E1028=$AB$59,$AC$59,E1028=$AB$60,$AC$60,E1028=$AB$61,$AC$61,E1028=$AB$62,$AC$62,E1028=$AB$63,$AC$63,E1028=$AB$64,$AC$64,E1028=$AB$65,$AC$65,E1028=$AB$66,$AC$66,TRUE,"0")</f>
        <v>#NAME?</v>
      </c>
      <c r="C1028" s="161" t="str" cm="1">
        <f t="array" ref="C1028">_xlfn.IFS(E1028=$AB$42,$AF$42,E1028=$AB$43,$AF$43,E1028=$AB$44,$AF$44,E1028=$AB$45,$AF$45,E1028=$AB$46,$AF$46,E1028=$AB$47,$AF$47,E1028=$AB$48,$AF$48,E1028=$AB$49,$AF$49,E1028=$AB$50,$AF$50,E1028=$AB$51,$AF$51,E1028=$AB$52,$AF$52,E1028=$AB$53,$AF$53,E1028=$AB$54,$AF$54,E1028=$AB$55,$AF$55,E1028=$AB$56,$AF$56,E1028=$AB$57,$AF$57,E1028=$AB$58,$AF$58,E1028=$AB$59,$AF$59,E1028=$AB$60,$AF$60,E1028=$AB$61,$AF$61,E1028=$AB$62,$AF$62,E1028=$AB$63,$AF$63,E1028=$AB$64,$AF$64,E1028=$AB$65,$AF$65,E1028=$AB$66,$AF$66,TRUE,"0")</f>
        <v>B4 match BACK FT +1.5 goals. X AFTER  GOAL</v>
      </c>
      <c r="D1028" s="270" t="str" cm="1">
        <f t="array" ref="D1028">_xlfn.IFS(E1028=$AB$42,$AD$42,E1028=$AB$43,$AD$43,E1028=$AB$44,$AD$44,E1028=$AB$45,$AD$45,E1028=$AB$46,$AD$46,E1028=$AB$47,$AD$47,E1028=$AB$48,$AD$48,E1028=$AB$49,$AD$49,E1028=$AB$50,$AD$50,E1028=$AB$51,$AD$51,E1028=$AB$52,$AD$52,E1028=$AB$53,$AD$53,E1028=$AB$54,$AD$54,E1028=$AB$55,$AD$55,E1028=$AB$56,$AD$56,E1028=$AB$57,$AD$57,E1028=$AB$58,$AD$58,E1028=$AB$59,$AD$59,E1028=$AB$60,$AD$60,E1028=$AB$61,$AD$61,E1028=$AB$62,$AD$62,E1028=$AB$63,$AD$63,E1028=$AB$64,$AD$64,E1028=$AB$65,$AD$65,E1028=$AB$66,$AD$66,TRUE,"0")</f>
        <v xml:space="preserve">BFM </v>
      </c>
      <c r="E1028" s="163" t="s">
        <v>531</v>
      </c>
      <c r="F1028" s="2" t="s">
        <v>58</v>
      </c>
      <c r="G1028" s="2" t="s">
        <v>59</v>
      </c>
      <c r="H1028" s="3">
        <v>45398.84375</v>
      </c>
      <c r="I1028" s="2" t="s">
        <v>61</v>
      </c>
      <c r="J1028" s="2" t="s">
        <v>125</v>
      </c>
      <c r="K1028" s="2">
        <v>4.9000000000000004</v>
      </c>
      <c r="L1028" s="2">
        <v>27</v>
      </c>
      <c r="M1028" s="2">
        <v>3.07</v>
      </c>
      <c r="N1028" s="2">
        <v>25</v>
      </c>
      <c r="O1028" s="2">
        <v>2</v>
      </c>
      <c r="P1028" s="2">
        <v>14</v>
      </c>
      <c r="Q1028" s="2" t="s">
        <v>95</v>
      </c>
      <c r="R1028" s="10" t="s">
        <v>193</v>
      </c>
      <c r="S1028" s="10" t="s">
        <v>193</v>
      </c>
      <c r="T1028" s="188">
        <v>1000</v>
      </c>
      <c r="U1028" s="8">
        <f t="shared" si="120"/>
        <v>180</v>
      </c>
      <c r="V1028" s="234">
        <f t="shared" si="122"/>
        <v>91284.155246160299</v>
      </c>
      <c r="W1028" s="15">
        <v>25</v>
      </c>
      <c r="X1028" s="8">
        <f t="shared" si="123"/>
        <v>4.5</v>
      </c>
      <c r="Y1028" s="233">
        <f t="shared" si="124"/>
        <v>4148</v>
      </c>
    </row>
    <row r="1029" spans="1:25">
      <c r="A1029" s="156" t="e" cm="1">
        <f t="array" aca="1" ref="A1029" ca="1">_xlfn.IFS(E1029=$AB$42,$AC$42,E1029=$AB$43,$AC$43,E1029=$AB$44,$AC$44,E1029=$AB$45,$AC$45,E1029=$AB$46,$AC$46,E1029=$AB$47,$AC$47,E1029=$AB$48,$AC$48,E1029=$AB$49,$AC$49,E1029=$AB$50,$AC$50,E1029=$AB$51,$AC$51,E1029=$AB$52,$AC$52,E1029=$AB$53,$AC$53,E1029=$AB$54,$AC$54,E1029=$AB$55,$AC$55,E1029=$AB$56,$AC$56,E1029=$AB$57,$AC$57,E1029=$AB$58,$AC$58,E1029=$AB$59,$AC$59,E1029=$AB$60,$AC$60,E1029=$AB$61,$AC$61,E1029=$AB$62,$AC$62,E1029=$AB$63,$AC$63,E1029=$AB$64,$AC$64,E1029=$AB$65,$AC$65,E1029=$AB$66,$AC$66,TRUE,"0")</f>
        <v>#NAME?</v>
      </c>
      <c r="C1029" s="161" t="str" cm="1">
        <f t="array" ref="C1029">_xlfn.IFS(E1029=$AB$42,$AF$42,E1029=$AB$43,$AF$43,E1029=$AB$44,$AF$44,E1029=$AB$45,$AF$45,E1029=$AB$46,$AF$46,E1029=$AB$47,$AF$47,E1029=$AB$48,$AF$48,E1029=$AB$49,$AF$49,E1029=$AB$50,$AF$50,E1029=$AB$51,$AF$51,E1029=$AB$52,$AF$52,E1029=$AB$53,$AF$53,E1029=$AB$54,$AF$54,E1029=$AB$55,$AF$55,E1029=$AB$56,$AF$56,E1029=$AB$57,$AF$57,E1029=$AB$58,$AF$58,E1029=$AB$59,$AF$59,E1029=$AB$60,$AF$60,E1029=$AB$61,$AF$61,E1029=$AB$62,$AF$62,E1029=$AB$63,$AF$63,E1029=$AB$64,$AF$64,E1029=$AB$65,$AF$65,E1029=$AB$66,$AF$66,TRUE,"0")</f>
        <v>B4 match BACK FT +1.5 goals. X AFTER  GOAL</v>
      </c>
      <c r="D1029" s="270" t="str" cm="1">
        <f t="array" ref="D1029">_xlfn.IFS(E1029=$AB$42,$AD$42,E1029=$AB$43,$AD$43,E1029=$AB$44,$AD$44,E1029=$AB$45,$AD$45,E1029=$AB$46,$AD$46,E1029=$AB$47,$AD$47,E1029=$AB$48,$AD$48,E1029=$AB$49,$AD$49,E1029=$AB$50,$AD$50,E1029=$AB$51,$AD$51,E1029=$AB$52,$AD$52,E1029=$AB$53,$AD$53,E1029=$AB$54,$AD$54,E1029=$AB$55,$AD$55,E1029=$AB$56,$AD$56,E1029=$AB$57,$AD$57,E1029=$AB$58,$AD$58,E1029=$AB$59,$AD$59,E1029=$AB$60,$AD$60,E1029=$AB$61,$AD$61,E1029=$AB$62,$AD$62,E1029=$AB$63,$AD$63,E1029=$AB$64,$AD$64,E1029=$AB$65,$AD$65,E1029=$AB$66,$AD$66,TRUE,"0")</f>
        <v xml:space="preserve">BFM </v>
      </c>
      <c r="E1029" s="163" t="s">
        <v>531</v>
      </c>
      <c r="F1029" s="2" t="s">
        <v>13</v>
      </c>
      <c r="G1029" s="2" t="s">
        <v>37</v>
      </c>
      <c r="H1029" s="3">
        <v>45399.833333333336</v>
      </c>
      <c r="I1029" s="2" t="s">
        <v>306</v>
      </c>
      <c r="J1029" s="2" t="s">
        <v>79</v>
      </c>
      <c r="K1029" s="2">
        <v>4</v>
      </c>
      <c r="L1029" s="2">
        <v>30</v>
      </c>
      <c r="M1029" s="2">
        <v>2.7</v>
      </c>
      <c r="N1029" s="2">
        <v>28</v>
      </c>
      <c r="O1029" s="2">
        <v>1</v>
      </c>
      <c r="P1029" s="2">
        <v>15</v>
      </c>
      <c r="Q1029" s="2" t="s">
        <v>96</v>
      </c>
      <c r="R1029" s="10" t="s">
        <v>221</v>
      </c>
      <c r="S1029" s="10" t="s">
        <v>221</v>
      </c>
      <c r="T1029" s="188">
        <v>1000</v>
      </c>
      <c r="U1029" s="8">
        <f t="shared" si="120"/>
        <v>-1000</v>
      </c>
      <c r="V1029" s="234">
        <f t="shared" si="122"/>
        <v>90284.155246160299</v>
      </c>
      <c r="W1029" s="15">
        <v>25</v>
      </c>
      <c r="X1029" s="8">
        <f t="shared" si="123"/>
        <v>-25</v>
      </c>
      <c r="Y1029" s="233">
        <f t="shared" si="124"/>
        <v>4123</v>
      </c>
    </row>
    <row r="1030" spans="1:25">
      <c r="A1030" s="156" t="e" cm="1">
        <f t="array" aca="1" ref="A1030" ca="1">_xlfn.IFS(E1030=$AB$42,$AC$42,E1030=$AB$43,$AC$43,E1030=$AB$44,$AC$44,E1030=$AB$45,$AC$45,E1030=$AB$46,$AC$46,E1030=$AB$47,$AC$47,E1030=$AB$48,$AC$48,E1030=$AB$49,$AC$49,E1030=$AB$50,$AC$50,E1030=$AB$51,$AC$51,E1030=$AB$52,$AC$52,E1030=$AB$53,$AC$53,E1030=$AB$54,$AC$54,E1030=$AB$55,$AC$55,E1030=$AB$56,$AC$56,E1030=$AB$57,$AC$57,E1030=$AB$58,$AC$58,E1030=$AB$59,$AC$59,E1030=$AB$60,$AC$60,E1030=$AB$61,$AC$61,E1030=$AB$62,$AC$62,E1030=$AB$63,$AC$63,E1030=$AB$64,$AC$64,E1030=$AB$65,$AC$65,E1030=$AB$66,$AC$66,TRUE,"0")</f>
        <v>#NAME?</v>
      </c>
      <c r="C1030" s="161" t="str" cm="1">
        <f t="array" ref="C1030">_xlfn.IFS(E1030=$AB$42,$AF$42,E1030=$AB$43,$AF$43,E1030=$AB$44,$AF$44,E1030=$AB$45,$AF$45,E1030=$AB$46,$AF$46,E1030=$AB$47,$AF$47,E1030=$AB$48,$AF$48,E1030=$AB$49,$AF$49,E1030=$AB$50,$AF$50,E1030=$AB$51,$AF$51,E1030=$AB$52,$AF$52,E1030=$AB$53,$AF$53,E1030=$AB$54,$AF$54,E1030=$AB$55,$AF$55,E1030=$AB$56,$AF$56,E1030=$AB$57,$AF$57,E1030=$AB$58,$AF$58,E1030=$AB$59,$AF$59,E1030=$AB$60,$AF$60,E1030=$AB$61,$AF$61,E1030=$AB$62,$AF$62,E1030=$AB$63,$AF$63,E1030=$AB$64,$AF$64,E1030=$AB$65,$AF$65,E1030=$AB$66,$AF$66,TRUE,"0")</f>
        <v>AT HT IF 0-0 BACK +0.5 GOALS</v>
      </c>
      <c r="D1030" s="270" t="str" cm="1">
        <f t="array" ref="D1030">_xlfn.IFS(E1030=$AB$42,$AD$42,E1030=$AB$43,$AD$43,E1030=$AB$44,$AD$44,E1030=$AB$45,$AD$45,E1030=$AB$46,$AD$46,E1030=$AB$47,$AD$47,E1030=$AB$48,$AD$48,E1030=$AB$49,$AD$49,E1030=$AB$50,$AD$50,E1030=$AB$51,$AD$51,E1030=$AB$52,$AD$52,E1030=$AB$53,$AD$53,E1030=$AB$54,$AD$54,E1030=$AB$55,$AD$55,E1030=$AB$56,$AD$56,E1030=$AB$57,$AD$57,E1030=$AB$58,$AD$58,E1030=$AB$59,$AD$59,E1030=$AB$60,$AD$60,E1030=$AB$61,$AD$61,E1030=$AB$62,$AD$62,E1030=$AB$63,$AD$63,E1030=$AB$64,$AD$64,E1030=$AB$65,$AD$65,E1030=$AB$66,$AD$66,TRUE,"0")</f>
        <v>IP</v>
      </c>
      <c r="E1030" s="163" t="s">
        <v>514</v>
      </c>
      <c r="F1030" s="2" t="s">
        <v>13</v>
      </c>
      <c r="G1030" s="2" t="s">
        <v>37</v>
      </c>
      <c r="H1030" s="3">
        <v>45399.833333333336</v>
      </c>
      <c r="I1030" s="2" t="s">
        <v>306</v>
      </c>
      <c r="J1030" s="2" t="s">
        <v>79</v>
      </c>
      <c r="K1030" s="2">
        <v>170</v>
      </c>
      <c r="L1030" s="2">
        <v>4</v>
      </c>
      <c r="M1030" s="2">
        <v>0</v>
      </c>
      <c r="N1030" s="2">
        <v>20</v>
      </c>
      <c r="O1030" s="2">
        <v>5</v>
      </c>
      <c r="P1030" s="2">
        <v>27</v>
      </c>
      <c r="Q1030" s="2" t="s">
        <v>96</v>
      </c>
      <c r="R1030" s="10" t="s">
        <v>221</v>
      </c>
      <c r="S1030" s="10" t="s">
        <v>221</v>
      </c>
      <c r="T1030" s="188">
        <v>1000</v>
      </c>
      <c r="U1030" s="8">
        <f t="shared" si="120"/>
        <v>-1000</v>
      </c>
      <c r="V1030" s="234">
        <f t="shared" si="122"/>
        <v>89284.155246160299</v>
      </c>
      <c r="W1030" s="15">
        <v>25</v>
      </c>
      <c r="X1030" s="8">
        <f t="shared" si="123"/>
        <v>-25</v>
      </c>
      <c r="Y1030" s="233">
        <f t="shared" si="124"/>
        <v>4098</v>
      </c>
    </row>
    <row r="1031" spans="1:25">
      <c r="A1031" s="156" t="e" cm="1">
        <f t="array" aca="1" ref="A1031" ca="1">_xlfn.IFS(E1031=$AB$42,$AC$42,E1031=$AB$43,$AC$43,E1031=$AB$44,$AC$44,E1031=$AB$45,$AC$45,E1031=$AB$46,$AC$46,E1031=$AB$47,$AC$47,E1031=$AB$48,$AC$48,E1031=$AB$49,$AC$49,E1031=$AB$50,$AC$50,E1031=$AB$51,$AC$51,E1031=$AB$52,$AC$52,E1031=$AB$53,$AC$53,E1031=$AB$54,$AC$54,E1031=$AB$55,$AC$55,E1031=$AB$56,$AC$56,E1031=$AB$57,$AC$57,E1031=$AB$58,$AC$58,E1031=$AB$59,$AC$59,E1031=$AB$60,$AC$60,E1031=$AB$61,$AC$61,E1031=$AB$62,$AC$62,E1031=$AB$63,$AC$63,E1031=$AB$64,$AC$64,E1031=$AB$65,$AC$65,E1031=$AB$66,$AC$66,TRUE,"0")</f>
        <v>#NAME?</v>
      </c>
      <c r="C1031" s="161" t="str" cm="1">
        <f t="array" ref="C1031">_xlfn.IFS(E1031=$AB$42,$AF$42,E1031=$AB$43,$AF$43,E1031=$AB$44,$AF$44,E1031=$AB$45,$AF$45,E1031=$AB$46,$AF$46,E1031=$AB$47,$AF$47,E1031=$AB$48,$AF$48,E1031=$AB$49,$AF$49,E1031=$AB$50,$AF$50,E1031=$AB$51,$AF$51,E1031=$AB$52,$AF$52,E1031=$AB$53,$AF$53,E1031=$AB$54,$AF$54,E1031=$AB$55,$AF$55,E1031=$AB$56,$AF$56,E1031=$AB$57,$AF$57,E1031=$AB$58,$AF$58,E1031=$AB$59,$AF$59,E1031=$AB$60,$AF$60,E1031=$AB$61,$AF$61,E1031=$AB$62,$AF$62,E1031=$AB$63,$AF$63,E1031=$AB$64,$AF$64,E1031=$AB$65,$AF$65,E1031=$AB$66,$AF$66,TRUE,"0")</f>
        <v>if 0-0, BACK+ 0.5 GOALS  @ 1.15+odds.  or @ 40 mins</v>
      </c>
      <c r="D1031" s="270" t="str" cm="1">
        <f t="array" ref="D1031">_xlfn.IFS(E1031=$AB$42,$AD$42,E1031=$AB$43,$AD$43,E1031=$AB$44,$AD$44,E1031=$AB$45,$AD$45,E1031=$AB$46,$AD$46,E1031=$AB$47,$AD$47,E1031=$AB$48,$AD$48,E1031=$AB$49,$AD$49,E1031=$AB$50,$AD$50,E1031=$AB$51,$AD$51,E1031=$AB$52,$AD$52,E1031=$AB$53,$AD$53,E1031=$AB$54,$AD$54,E1031=$AB$55,$AD$55,E1031=$AB$56,$AD$56,E1031=$AB$57,$AD$57,E1031=$AB$58,$AD$58,E1031=$AB$59,$AD$59,E1031=$AB$60,$AD$60,E1031=$AB$61,$AD$61,E1031=$AB$62,$AD$62,E1031=$AB$63,$AD$63,E1031=$AB$64,$AD$64,E1031=$AB$65,$AD$65,E1031=$AB$66,$AD$66,TRUE,"0")</f>
        <v>IP</v>
      </c>
      <c r="E1031" s="163" t="s">
        <v>270</v>
      </c>
      <c r="F1031" s="2" t="s">
        <v>441</v>
      </c>
      <c r="G1031" s="2" t="s">
        <v>442</v>
      </c>
      <c r="H1031" s="3">
        <v>45400.541666666664</v>
      </c>
      <c r="I1031" s="2" t="s">
        <v>741</v>
      </c>
      <c r="J1031" s="2" t="s">
        <v>696</v>
      </c>
      <c r="K1031" s="2">
        <v>62</v>
      </c>
      <c r="L1031" s="2">
        <v>0</v>
      </c>
      <c r="M1031" s="2">
        <v>20</v>
      </c>
      <c r="N1031" s="2">
        <v>40</v>
      </c>
      <c r="O1031" s="2">
        <v>1.6</v>
      </c>
      <c r="P1031" s="2"/>
      <c r="Q1031" s="2" t="s">
        <v>95</v>
      </c>
      <c r="R1031" s="10" t="s">
        <v>222</v>
      </c>
      <c r="S1031" s="10" t="s">
        <v>210</v>
      </c>
      <c r="T1031" s="188">
        <v>1000</v>
      </c>
      <c r="U1031" s="8">
        <f t="shared" si="120"/>
        <v>180</v>
      </c>
      <c r="V1031" s="234">
        <f t="shared" si="122"/>
        <v>89464.155246160299</v>
      </c>
      <c r="W1031" s="15">
        <v>25</v>
      </c>
      <c r="X1031" s="8">
        <f t="shared" si="123"/>
        <v>4.5</v>
      </c>
      <c r="Y1031" s="233">
        <f t="shared" si="124"/>
        <v>4102.5</v>
      </c>
    </row>
    <row r="1032" spans="1:25">
      <c r="A1032" s="156" t="e" cm="1">
        <f t="array" aca="1" ref="A1032" ca="1">_xlfn.IFS(E1032=$AB$42,$AC$42,E1032=$AB$43,$AC$43,E1032=$AB$44,$AC$44,E1032=$AB$45,$AC$45,E1032=$AB$46,$AC$46,E1032=$AB$47,$AC$47,E1032=$AB$48,$AC$48,E1032=$AB$49,$AC$49,E1032=$AB$50,$AC$50,E1032=$AB$51,$AC$51,E1032=$AB$52,$AC$52,E1032=$AB$53,$AC$53,E1032=$AB$54,$AC$54,E1032=$AB$55,$AC$55,E1032=$AB$56,$AC$56,E1032=$AB$57,$AC$57,E1032=$AB$58,$AC$58,E1032=$AB$59,$AC$59,E1032=$AB$60,$AC$60,E1032=$AB$61,$AC$61,E1032=$AB$62,$AC$62,E1032=$AB$63,$AC$63,E1032=$AB$64,$AC$64,E1032=$AB$65,$AC$65,E1032=$AB$66,$AC$66,TRUE,"0")</f>
        <v>#NAME?</v>
      </c>
      <c r="C1032" s="161" t="str" cm="1">
        <f t="array" ref="C1032">_xlfn.IFS(E1032=$AB$42,$AF$42,E1032=$AB$43,$AF$43,E1032=$AB$44,$AF$44,E1032=$AB$45,$AF$45,E1032=$AB$46,$AF$46,E1032=$AB$47,$AF$47,E1032=$AB$48,$AF$48,E1032=$AB$49,$AF$49,E1032=$AB$50,$AF$50,E1032=$AB$51,$AF$51,E1032=$AB$52,$AF$52,E1032=$AB$53,$AF$53,E1032=$AB$54,$AF$54,E1032=$AB$55,$AF$55,E1032=$AB$56,$AF$56,E1032=$AB$57,$AF$57,E1032=$AB$58,$AF$58,E1032=$AB$59,$AF$59,E1032=$AB$60,$AF$60,E1032=$AB$61,$AF$61,E1032=$AB$62,$AF$62,E1032=$AB$63,$AF$63,E1032=$AB$64,$AF$64,E1032=$AB$65,$AF$65,E1032=$AB$66,$AF$66,TRUE,"0")</f>
        <v>10mins if  0-0, BACK over 1.5 goals X after goal OR LET RUN</v>
      </c>
      <c r="D1032" s="270" t="str" cm="1">
        <f t="array" ref="D1032">_xlfn.IFS(E1032=$AB$42,$AD$42,E1032=$AB$43,$AD$43,E1032=$AB$44,$AD$44,E1032=$AB$45,$AD$45,E1032=$AB$46,$AD$46,E1032=$AB$47,$AD$47,E1032=$AB$48,$AD$48,E1032=$AB$49,$AD$49,E1032=$AB$50,$AD$50,E1032=$AB$51,$AD$51,E1032=$AB$52,$AD$52,E1032=$AB$53,$AD$53,E1032=$AB$54,$AD$54,E1032=$AB$55,$AD$55,E1032=$AB$56,$AD$56,E1032=$AB$57,$AD$57,E1032=$AB$58,$AD$58,E1032=$AB$59,$AD$59,E1032=$AB$60,$AD$60,E1032=$AB$61,$AD$61,E1032=$AB$62,$AD$62,E1032=$AB$63,$AD$63,E1032=$AB$64,$AD$64,E1032=$AB$65,$AD$65,E1032=$AB$66,$AD$66,TRUE,"0")</f>
        <v>IP</v>
      </c>
      <c r="E1032" s="163" t="s">
        <v>498</v>
      </c>
      <c r="F1032" s="2" t="s">
        <v>77</v>
      </c>
      <c r="G1032" s="2" t="s">
        <v>234</v>
      </c>
      <c r="H1032" s="3">
        <v>45401.729166666664</v>
      </c>
      <c r="I1032" s="2" t="s">
        <v>499</v>
      </c>
      <c r="J1032" s="2" t="s">
        <v>246</v>
      </c>
      <c r="K1032" s="2">
        <v>65</v>
      </c>
      <c r="L1032" s="2">
        <v>85</v>
      </c>
      <c r="M1032" s="2">
        <v>1.55</v>
      </c>
      <c r="N1032" s="2">
        <v>20</v>
      </c>
      <c r="O1032" s="2"/>
      <c r="P1032" s="2"/>
      <c r="Q1032" s="2" t="s">
        <v>95</v>
      </c>
      <c r="R1032" s="10" t="s">
        <v>214</v>
      </c>
      <c r="S1032" s="10" t="s">
        <v>216</v>
      </c>
      <c r="T1032" s="188">
        <v>1000</v>
      </c>
      <c r="U1032" s="8">
        <f t="shared" si="120"/>
        <v>180</v>
      </c>
      <c r="V1032" s="234">
        <f t="shared" si="122"/>
        <v>89644.155246160299</v>
      </c>
      <c r="W1032" s="15">
        <v>25</v>
      </c>
      <c r="X1032" s="8">
        <f t="shared" si="123"/>
        <v>4.5</v>
      </c>
      <c r="Y1032" s="233">
        <f t="shared" si="124"/>
        <v>4107</v>
      </c>
    </row>
    <row r="1033" spans="1:25">
      <c r="A1033" s="156" t="e" cm="1">
        <f t="array" aca="1" ref="A1033" ca="1">_xlfn.IFS(E1033=$AB$42,$AC$42,E1033=$AB$43,$AC$43,E1033=$AB$44,$AC$44,E1033=$AB$45,$AC$45,E1033=$AB$46,$AC$46,E1033=$AB$47,$AC$47,E1033=$AB$48,$AC$48,E1033=$AB$49,$AC$49,E1033=$AB$50,$AC$50,E1033=$AB$51,$AC$51,E1033=$AB$52,$AC$52,E1033=$AB$53,$AC$53,E1033=$AB$54,$AC$54,E1033=$AB$55,$AC$55,E1033=$AB$56,$AC$56,E1033=$AB$57,$AC$57,E1033=$AB$58,$AC$58,E1033=$AB$59,$AC$59,E1033=$AB$60,$AC$60,E1033=$AB$61,$AC$61,E1033=$AB$62,$AC$62,E1033=$AB$63,$AC$63,E1033=$AB$64,$AC$64,E1033=$AB$65,$AC$65,E1033=$AB$66,$AC$66,TRUE,"0")</f>
        <v>#NAME?</v>
      </c>
      <c r="C1033" s="161" t="str" cm="1">
        <f t="array" ref="C1033">_xlfn.IFS(E1033=$AB$42,$AF$42,E1033=$AB$43,$AF$43,E1033=$AB$44,$AF$44,E1033=$AB$45,$AF$45,E1033=$AB$46,$AF$46,E1033=$AB$47,$AF$47,E1033=$AB$48,$AF$48,E1033=$AB$49,$AF$49,E1033=$AB$50,$AF$50,E1033=$AB$51,$AF$51,E1033=$AB$52,$AF$52,E1033=$AB$53,$AF$53,E1033=$AB$54,$AF$54,E1033=$AB$55,$AF$55,E1033=$AB$56,$AF$56,E1033=$AB$57,$AF$57,E1033=$AB$58,$AF$58,E1033=$AB$59,$AF$59,E1033=$AB$60,$AF$60,E1033=$AB$61,$AF$61,E1033=$AB$62,$AF$62,E1033=$AB$63,$AF$63,E1033=$AB$64,$AF$64,E1033=$AB$65,$AF$65,E1033=$AB$66,$AF$66,TRUE,"0")</f>
        <v>10mins if  0-0, BACK over 1.5 goals X after goal OR LET RUN</v>
      </c>
      <c r="D1033" s="270" t="str" cm="1">
        <f t="array" ref="D1033">_xlfn.IFS(E1033=$AB$42,$AD$42,E1033=$AB$43,$AD$43,E1033=$AB$44,$AD$44,E1033=$AB$45,$AD$45,E1033=$AB$46,$AD$46,E1033=$AB$47,$AD$47,E1033=$AB$48,$AD$48,E1033=$AB$49,$AD$49,E1033=$AB$50,$AD$50,E1033=$AB$51,$AD$51,E1033=$AB$52,$AD$52,E1033=$AB$53,$AD$53,E1033=$AB$54,$AD$54,E1033=$AB$55,$AD$55,E1033=$AB$56,$AD$56,E1033=$AB$57,$AD$57,E1033=$AB$58,$AD$58,E1033=$AB$59,$AD$59,E1033=$AB$60,$AD$60,E1033=$AB$61,$AD$61,E1033=$AB$62,$AD$62,E1033=$AB$63,$AD$63,E1033=$AB$64,$AD$64,E1033=$AB$65,$AD$65,E1033=$AB$66,$AD$66,TRUE,"0")</f>
        <v>IP</v>
      </c>
      <c r="E1033" s="163" t="s">
        <v>498</v>
      </c>
      <c r="F1033" s="2" t="s">
        <v>20</v>
      </c>
      <c r="G1033" s="2" t="s">
        <v>21</v>
      </c>
      <c r="H1033" s="3">
        <v>45401.729166666664</v>
      </c>
      <c r="I1033" s="2" t="s">
        <v>24</v>
      </c>
      <c r="J1033" s="2" t="s">
        <v>590</v>
      </c>
      <c r="K1033" s="2">
        <v>63</v>
      </c>
      <c r="L1033" s="2">
        <v>85</v>
      </c>
      <c r="M1033" s="2">
        <v>1.2</v>
      </c>
      <c r="N1033" s="2">
        <v>20</v>
      </c>
      <c r="O1033" s="2"/>
      <c r="P1033" s="2"/>
      <c r="Q1033" s="2" t="s">
        <v>95</v>
      </c>
      <c r="R1033" s="10" t="s">
        <v>221</v>
      </c>
      <c r="S1033" s="10" t="s">
        <v>193</v>
      </c>
      <c r="T1033" s="188">
        <v>1000</v>
      </c>
      <c r="U1033" s="8">
        <f t="shared" si="120"/>
        <v>180</v>
      </c>
      <c r="V1033" s="234">
        <f t="shared" si="122"/>
        <v>89824.155246160299</v>
      </c>
      <c r="W1033" s="15">
        <v>25</v>
      </c>
      <c r="X1033" s="8">
        <f t="shared" si="123"/>
        <v>4.5</v>
      </c>
      <c r="Y1033" s="233">
        <f t="shared" si="124"/>
        <v>4111.5</v>
      </c>
    </row>
    <row r="1034" spans="1:25">
      <c r="A1034" s="156" t="e" cm="1">
        <f t="array" aca="1" ref="A1034" ca="1">_xlfn.IFS(E1034=$AB$42,$AC$42,E1034=$AB$43,$AC$43,E1034=$AB$44,$AC$44,E1034=$AB$45,$AC$45,E1034=$AB$46,$AC$46,E1034=$AB$47,$AC$47,E1034=$AB$48,$AC$48,E1034=$AB$49,$AC$49,E1034=$AB$50,$AC$50,E1034=$AB$51,$AC$51,E1034=$AB$52,$AC$52,E1034=$AB$53,$AC$53,E1034=$AB$54,$AC$54,E1034=$AB$55,$AC$55,E1034=$AB$56,$AC$56,E1034=$AB$57,$AC$57,E1034=$AB$58,$AC$58,E1034=$AB$59,$AC$59,E1034=$AB$60,$AC$60,E1034=$AB$61,$AC$61,E1034=$AB$62,$AC$62,E1034=$AB$63,$AC$63,E1034=$AB$64,$AC$64,E1034=$AB$65,$AC$65,E1034=$AB$66,$AC$66,TRUE,"0")</f>
        <v>#NAME?</v>
      </c>
      <c r="C1034" s="161" t="str" cm="1">
        <f t="array" ref="C1034">_xlfn.IFS(E1034=$AB$42,$AF$42,E1034=$AB$43,$AF$43,E1034=$AB$44,$AF$44,E1034=$AB$45,$AF$45,E1034=$AB$46,$AF$46,E1034=$AB$47,$AF$47,E1034=$AB$48,$AF$48,E1034=$AB$49,$AF$49,E1034=$AB$50,$AF$50,E1034=$AB$51,$AF$51,E1034=$AB$52,$AF$52,E1034=$AB$53,$AF$53,E1034=$AB$54,$AF$54,E1034=$AB$55,$AF$55,E1034=$AB$56,$AF$56,E1034=$AB$57,$AF$57,E1034=$AB$58,$AF$58,E1034=$AB$59,$AF$59,E1034=$AB$60,$AF$60,E1034=$AB$61,$AF$61,E1034=$AB$62,$AF$62,E1034=$AB$63,$AF$63,E1034=$AB$64,$AF$64,E1034=$AB$65,$AF$65,E1034=$AB$66,$AF$66,TRUE,"0")</f>
        <v>15mins if  0-0, BACK over 1.5 goals X after goal OR LET RUN</v>
      </c>
      <c r="D1034" s="270" t="str" cm="1">
        <f t="array" ref="D1034">_xlfn.IFS(E1034=$AB$42,$AD$42,E1034=$AB$43,$AD$43,E1034=$AB$44,$AD$44,E1034=$AB$45,$AD$45,E1034=$AB$46,$AD$46,E1034=$AB$47,$AD$47,E1034=$AB$48,$AD$48,E1034=$AB$49,$AD$49,E1034=$AB$50,$AD$50,E1034=$AB$51,$AD$51,E1034=$AB$52,$AD$52,E1034=$AB$53,$AD$53,E1034=$AB$54,$AD$54,E1034=$AB$55,$AD$55,E1034=$AB$56,$AD$56,E1034=$AB$57,$AD$57,E1034=$AB$58,$AD$58,E1034=$AB$59,$AD$59,E1034=$AB$60,$AD$60,E1034=$AB$61,$AD$61,E1034=$AB$62,$AD$62,E1034=$AB$63,$AD$63,E1034=$AB$64,$AD$64,E1034=$AB$65,$AD$65,E1034=$AB$66,$AD$66,TRUE,"0")</f>
        <v>IP</v>
      </c>
      <c r="E1034" s="163" t="s">
        <v>473</v>
      </c>
      <c r="F1034" s="2" t="s">
        <v>20</v>
      </c>
      <c r="G1034" s="2" t="s">
        <v>21</v>
      </c>
      <c r="H1034" s="3">
        <v>45401.729166666664</v>
      </c>
      <c r="I1034" s="2" t="s">
        <v>24</v>
      </c>
      <c r="J1034" s="2" t="s">
        <v>590</v>
      </c>
      <c r="K1034" s="2">
        <v>76</v>
      </c>
      <c r="L1034" s="2">
        <v>85</v>
      </c>
      <c r="M1034" s="2">
        <v>20</v>
      </c>
      <c r="N1034" s="2">
        <v>2.65</v>
      </c>
      <c r="O1034" s="2"/>
      <c r="P1034" s="2"/>
      <c r="Q1034" s="2" t="s">
        <v>95</v>
      </c>
      <c r="R1034" s="10" t="s">
        <v>221</v>
      </c>
      <c r="S1034" s="10" t="s">
        <v>193</v>
      </c>
      <c r="T1034" s="188">
        <v>1000</v>
      </c>
      <c r="U1034" s="8">
        <f t="shared" si="120"/>
        <v>180</v>
      </c>
      <c r="V1034" s="234">
        <f t="shared" si="122"/>
        <v>90004.155246160299</v>
      </c>
      <c r="W1034" s="15">
        <v>25</v>
      </c>
      <c r="X1034" s="8">
        <f t="shared" si="123"/>
        <v>4.5</v>
      </c>
      <c r="Y1034" s="233">
        <f t="shared" si="124"/>
        <v>4116</v>
      </c>
    </row>
    <row r="1035" spans="1:25">
      <c r="A1035" s="156" t="e" cm="1">
        <f t="array" aca="1" ref="A1035" ca="1">_xlfn.IFS(E1035=$AB$42,$AC$42,E1035=$AB$43,$AC$43,E1035=$AB$44,$AC$44,E1035=$AB$45,$AC$45,E1035=$AB$46,$AC$46,E1035=$AB$47,$AC$47,E1035=$AB$48,$AC$48,E1035=$AB$49,$AC$49,E1035=$AB$50,$AC$50,E1035=$AB$51,$AC$51,E1035=$AB$52,$AC$52,E1035=$AB$53,$AC$53,E1035=$AB$54,$AC$54,E1035=$AB$55,$AC$55,E1035=$AB$56,$AC$56,E1035=$AB$57,$AC$57,E1035=$AB$58,$AC$58,E1035=$AB$59,$AC$59,E1035=$AB$60,$AC$60,E1035=$AB$61,$AC$61,E1035=$AB$62,$AC$62,E1035=$AB$63,$AC$63,E1035=$AB$64,$AC$64,E1035=$AB$65,$AC$65,E1035=$AB$66,$AC$66,TRUE,"0")</f>
        <v>#NAME?</v>
      </c>
      <c r="C1035" s="161" t="str" cm="1">
        <f t="array" ref="C1035">_xlfn.IFS(E1035=$AB$42,$AF$42,E1035=$AB$43,$AF$43,E1035=$AB$44,$AF$44,E1035=$AB$45,$AF$45,E1035=$AB$46,$AF$46,E1035=$AB$47,$AF$47,E1035=$AB$48,$AF$48,E1035=$AB$49,$AF$49,E1035=$AB$50,$AF$50,E1035=$AB$51,$AF$51,E1035=$AB$52,$AF$52,E1035=$AB$53,$AF$53,E1035=$AB$54,$AF$54,E1035=$AB$55,$AF$55,E1035=$AB$56,$AF$56,E1035=$AB$57,$AF$57,E1035=$AB$58,$AF$58,E1035=$AB$59,$AF$59,E1035=$AB$60,$AF$60,E1035=$AB$61,$AF$61,E1035=$AB$62,$AF$62,E1035=$AB$63,$AF$63,E1035=$AB$64,$AF$64,E1035=$AB$65,$AF$65,E1035=$AB$66,$AF$66,TRUE,"0")</f>
        <v>10mins if  0-0, BACK over 1.5 goals X after goal OR LET RUN</v>
      </c>
      <c r="D1035" s="270" t="str" cm="1">
        <f t="array" ref="D1035">_xlfn.IFS(E1035=$AB$42,$AD$42,E1035=$AB$43,$AD$43,E1035=$AB$44,$AD$44,E1035=$AB$45,$AD$45,E1035=$AB$46,$AD$46,E1035=$AB$47,$AD$47,E1035=$AB$48,$AD$48,E1035=$AB$49,$AD$49,E1035=$AB$50,$AD$50,E1035=$AB$51,$AD$51,E1035=$AB$52,$AD$52,E1035=$AB$53,$AD$53,E1035=$AB$54,$AD$54,E1035=$AB$55,$AD$55,E1035=$AB$56,$AD$56,E1035=$AB$57,$AD$57,E1035=$AB$58,$AD$58,E1035=$AB$59,$AD$59,E1035=$AB$60,$AD$60,E1035=$AB$61,$AD$61,E1035=$AB$62,$AD$62,E1035=$AB$63,$AD$63,E1035=$AB$64,$AD$64,E1035=$AB$65,$AD$65,E1035=$AB$66,$AD$66,TRUE,"0")</f>
        <v>IP</v>
      </c>
      <c r="E1035" s="163" t="s">
        <v>498</v>
      </c>
      <c r="F1035" s="2" t="s">
        <v>77</v>
      </c>
      <c r="G1035" s="2" t="s">
        <v>234</v>
      </c>
      <c r="H1035" s="3">
        <v>45401.729166666664</v>
      </c>
      <c r="I1035" s="2" t="s">
        <v>328</v>
      </c>
      <c r="J1035" s="2" t="s">
        <v>424</v>
      </c>
      <c r="K1035" s="2">
        <v>69</v>
      </c>
      <c r="L1035" s="2">
        <v>95</v>
      </c>
      <c r="M1035" s="2">
        <v>1.55</v>
      </c>
      <c r="N1035" s="2">
        <v>20</v>
      </c>
      <c r="O1035" s="2"/>
      <c r="P1035" s="2"/>
      <c r="Q1035" s="2" t="s">
        <v>95</v>
      </c>
      <c r="R1035" s="10" t="s">
        <v>193</v>
      </c>
      <c r="S1035" s="10" t="s">
        <v>217</v>
      </c>
      <c r="T1035" s="188">
        <v>1000</v>
      </c>
      <c r="U1035" s="8">
        <f t="shared" si="120"/>
        <v>180</v>
      </c>
      <c r="V1035" s="234">
        <f t="shared" si="122"/>
        <v>90184.155246160299</v>
      </c>
      <c r="W1035" s="15">
        <v>25</v>
      </c>
      <c r="X1035" s="8">
        <f t="shared" si="123"/>
        <v>4.5</v>
      </c>
      <c r="Y1035" s="233">
        <f t="shared" si="124"/>
        <v>4120.5</v>
      </c>
    </row>
    <row r="1036" spans="1:25">
      <c r="A1036" s="156" t="e" cm="1">
        <f t="array" aca="1" ref="A1036" ca="1">_xlfn.IFS(E1036=$AB$42,$AC$42,E1036=$AB$43,$AC$43,E1036=$AB$44,$AC$44,E1036=$AB$45,$AC$45,E1036=$AB$46,$AC$46,E1036=$AB$47,$AC$47,E1036=$AB$48,$AC$48,E1036=$AB$49,$AC$49,E1036=$AB$50,$AC$50,E1036=$AB$51,$AC$51,E1036=$AB$52,$AC$52,E1036=$AB$53,$AC$53,E1036=$AB$54,$AC$54,E1036=$AB$55,$AC$55,E1036=$AB$56,$AC$56,E1036=$AB$57,$AC$57,E1036=$AB$58,$AC$58,E1036=$AB$59,$AC$59,E1036=$AB$60,$AC$60,E1036=$AB$61,$AC$61,E1036=$AB$62,$AC$62,E1036=$AB$63,$AC$63,E1036=$AB$64,$AC$64,E1036=$AB$65,$AC$65,E1036=$AB$66,$AC$66,TRUE,"0")</f>
        <v>#NAME?</v>
      </c>
      <c r="C1036" s="161" t="str" cm="1">
        <f t="array" ref="C1036">_xlfn.IFS(E1036=$AB$42,$AF$42,E1036=$AB$43,$AF$43,E1036=$AB$44,$AF$44,E1036=$AB$45,$AF$45,E1036=$AB$46,$AF$46,E1036=$AB$47,$AF$47,E1036=$AB$48,$AF$48,E1036=$AB$49,$AF$49,E1036=$AB$50,$AF$50,E1036=$AB$51,$AF$51,E1036=$AB$52,$AF$52,E1036=$AB$53,$AF$53,E1036=$AB$54,$AF$54,E1036=$AB$55,$AF$55,E1036=$AB$56,$AF$56,E1036=$AB$57,$AF$57,E1036=$AB$58,$AF$58,E1036=$AB$59,$AF$59,E1036=$AB$60,$AF$60,E1036=$AB$61,$AF$61,E1036=$AB$62,$AF$62,E1036=$AB$63,$AF$63,E1036=$AB$64,$AF$64,E1036=$AB$65,$AF$65,E1036=$AB$66,$AF$66,TRUE,"0")</f>
        <v>40 mins Back ANother Goal</v>
      </c>
      <c r="D1036" s="270" t="str" cm="1">
        <f t="array" ref="D1036">_xlfn.IFS(E1036=$AB$42,$AD$42,E1036=$AB$43,$AD$43,E1036=$AB$44,$AD$44,E1036=$AB$45,$AD$45,E1036=$AB$46,$AD$46,E1036=$AB$47,$AD$47,E1036=$AB$48,$AD$48,E1036=$AB$49,$AD$49,E1036=$AB$50,$AD$50,E1036=$AB$51,$AD$51,E1036=$AB$52,$AD$52,E1036=$AB$53,$AD$53,E1036=$AB$54,$AD$54,E1036=$AB$55,$AD$55,E1036=$AB$56,$AD$56,E1036=$AB$57,$AD$57,E1036=$AB$58,$AD$58,E1036=$AB$59,$AD$59,E1036=$AB$60,$AD$60,E1036=$AB$61,$AD$61,E1036=$AB$62,$AD$62,E1036=$AB$63,$AD$63,E1036=$AB$64,$AD$64,E1036=$AB$65,$AD$65,E1036=$AB$66,$AD$66,TRUE,"0")</f>
        <v xml:space="preserve">  BANG</v>
      </c>
      <c r="E1036" s="163" t="s">
        <v>726</v>
      </c>
      <c r="F1036" s="2" t="s">
        <v>149</v>
      </c>
      <c r="G1036" s="2" t="s">
        <v>150</v>
      </c>
      <c r="H1036" s="3">
        <v>45401.791666666664</v>
      </c>
      <c r="I1036" s="2" t="s">
        <v>332</v>
      </c>
      <c r="J1036" s="2" t="s">
        <v>746</v>
      </c>
      <c r="K1036" s="2">
        <v>80</v>
      </c>
      <c r="L1036" s="2">
        <v>20</v>
      </c>
      <c r="M1036" s="2">
        <v>1.95</v>
      </c>
      <c r="N1036" s="2">
        <v>59</v>
      </c>
      <c r="O1036" s="2"/>
      <c r="P1036" s="2"/>
      <c r="Q1036" s="2" t="s">
        <v>95</v>
      </c>
      <c r="R1036" s="10" t="s">
        <v>223</v>
      </c>
      <c r="S1036" s="10" t="s">
        <v>210</v>
      </c>
      <c r="T1036" s="188">
        <v>1000</v>
      </c>
      <c r="U1036" s="8">
        <f t="shared" ref="U1036:U1099" si="125">IF(Q1036="won",T1036*0.18,-T1036)</f>
        <v>180</v>
      </c>
      <c r="V1036" s="234">
        <f t="shared" si="122"/>
        <v>90364.155246160299</v>
      </c>
      <c r="W1036" s="15">
        <v>25</v>
      </c>
      <c r="X1036" s="8">
        <f t="shared" si="123"/>
        <v>4.5</v>
      </c>
      <c r="Y1036" s="233">
        <f t="shared" si="124"/>
        <v>4125</v>
      </c>
    </row>
    <row r="1037" spans="1:25">
      <c r="A1037" s="156" t="e" cm="1">
        <f t="array" aca="1" ref="A1037" ca="1">_xlfn.IFS(E1037=$AB$42,$AC$42,E1037=$AB$43,$AC$43,E1037=$AB$44,$AC$44,E1037=$AB$45,$AC$45,E1037=$AB$46,$AC$46,E1037=$AB$47,$AC$47,E1037=$AB$48,$AC$48,E1037=$AB$49,$AC$49,E1037=$AB$50,$AC$50,E1037=$AB$51,$AC$51,E1037=$AB$52,$AC$52,E1037=$AB$53,$AC$53,E1037=$AB$54,$AC$54,E1037=$AB$55,$AC$55,E1037=$AB$56,$AC$56,E1037=$AB$57,$AC$57,E1037=$AB$58,$AC$58,E1037=$AB$59,$AC$59,E1037=$AB$60,$AC$60,E1037=$AB$61,$AC$61,E1037=$AB$62,$AC$62,E1037=$AB$63,$AC$63,E1037=$AB$64,$AC$64,E1037=$AB$65,$AC$65,E1037=$AB$66,$AC$66,TRUE,"0")</f>
        <v>#NAME?</v>
      </c>
      <c r="C1037" s="161" t="str" cm="1">
        <f t="array" ref="C1037">_xlfn.IFS(E1037=$AB$42,$AF$42,E1037=$AB$43,$AF$43,E1037=$AB$44,$AF$44,E1037=$AB$45,$AF$45,E1037=$AB$46,$AF$46,E1037=$AB$47,$AF$47,E1037=$AB$48,$AF$48,E1037=$AB$49,$AF$49,E1037=$AB$50,$AF$50,E1037=$AB$51,$AF$51,E1037=$AB$52,$AF$52,E1037=$AB$53,$AF$53,E1037=$AB$54,$AF$54,E1037=$AB$55,$AF$55,E1037=$AB$56,$AF$56,E1037=$AB$57,$AF$57,E1037=$AB$58,$AF$58,E1037=$AB$59,$AF$59,E1037=$AB$60,$AF$60,E1037=$AB$61,$AF$61,E1037=$AB$62,$AF$62,E1037=$AB$63,$AF$63,E1037=$AB$64,$AF$64,E1037=$AB$65,$AF$65,E1037=$AB$66,$AF$66,TRUE,"0")</f>
        <v>B4 match BACK FT +1.5 goals. X AFTER  GOAL</v>
      </c>
      <c r="D1037" s="270" t="str" cm="1">
        <f t="array" ref="D1037">_xlfn.IFS(E1037=$AB$42,$AD$42,E1037=$AB$43,$AD$43,E1037=$AB$44,$AD$44,E1037=$AB$45,$AD$45,E1037=$AB$46,$AD$46,E1037=$AB$47,$AD$47,E1037=$AB$48,$AD$48,E1037=$AB$49,$AD$49,E1037=$AB$50,$AD$50,E1037=$AB$51,$AD$51,E1037=$AB$52,$AD$52,E1037=$AB$53,$AD$53,E1037=$AB$54,$AD$54,E1037=$AB$55,$AD$55,E1037=$AB$56,$AD$56,E1037=$AB$57,$AD$57,E1037=$AB$58,$AD$58,E1037=$AB$59,$AD$59,E1037=$AB$60,$AD$60,E1037=$AB$61,$AD$61,E1037=$AB$62,$AD$62,E1037=$AB$63,$AD$63,E1037=$AB$64,$AD$64,E1037=$AB$65,$AD$65,E1037=$AB$66,$AD$66,TRUE,"0")</f>
        <v xml:space="preserve">BFM </v>
      </c>
      <c r="E1037" s="163" t="s">
        <v>623</v>
      </c>
      <c r="F1037" s="2" t="s">
        <v>67</v>
      </c>
      <c r="G1037" s="2" t="s">
        <v>169</v>
      </c>
      <c r="H1037" s="3">
        <v>45401.791666666664</v>
      </c>
      <c r="I1037" s="2" t="s">
        <v>733</v>
      </c>
      <c r="J1037" s="2" t="s">
        <v>283</v>
      </c>
      <c r="K1037" s="2">
        <v>4.0999999999999996</v>
      </c>
      <c r="L1037" s="2">
        <v>20</v>
      </c>
      <c r="M1037" s="2">
        <v>2.5499999999999998</v>
      </c>
      <c r="N1037" s="2">
        <v>31</v>
      </c>
      <c r="O1037" s="2">
        <v>1</v>
      </c>
      <c r="P1037" s="2">
        <v>10</v>
      </c>
      <c r="Q1037" s="2" t="s">
        <v>95</v>
      </c>
      <c r="R1037" s="10" t="s">
        <v>214</v>
      </c>
      <c r="S1037" s="10" t="s">
        <v>222</v>
      </c>
      <c r="T1037" s="188">
        <v>1000</v>
      </c>
      <c r="U1037" s="8">
        <f t="shared" si="125"/>
        <v>180</v>
      </c>
      <c r="V1037" s="234">
        <f t="shared" si="122"/>
        <v>90544.155246160299</v>
      </c>
      <c r="W1037" s="15">
        <v>25</v>
      </c>
      <c r="X1037" s="8">
        <f t="shared" si="123"/>
        <v>4.5</v>
      </c>
      <c r="Y1037" s="233">
        <f t="shared" si="124"/>
        <v>4129.5</v>
      </c>
    </row>
    <row r="1038" spans="1:25">
      <c r="A1038" s="156" t="e" cm="1">
        <f t="array" aca="1" ref="A1038" ca="1">_xlfn.IFS(E1038=$AB$42,$AC$42,E1038=$AB$43,$AC$43,E1038=$AB$44,$AC$44,E1038=$AB$45,$AC$45,E1038=$AB$46,$AC$46,E1038=$AB$47,$AC$47,E1038=$AB$48,$AC$48,E1038=$AB$49,$AC$49,E1038=$AB$50,$AC$50,E1038=$AB$51,$AC$51,E1038=$AB$52,$AC$52,E1038=$AB$53,$AC$53,E1038=$AB$54,$AC$54,E1038=$AB$55,$AC$55,E1038=$AB$56,$AC$56,E1038=$AB$57,$AC$57,E1038=$AB$58,$AC$58,E1038=$AB$59,$AC$59,E1038=$AB$60,$AC$60,E1038=$AB$61,$AC$61,E1038=$AB$62,$AC$62,E1038=$AB$63,$AC$63,E1038=$AB$64,$AC$64,E1038=$AB$65,$AC$65,E1038=$AB$66,$AC$66,TRUE,"0")</f>
        <v>#NAME?</v>
      </c>
      <c r="C1038" s="161" t="str" cm="1">
        <f t="array" ref="C1038">_xlfn.IFS(E1038=$AB$42,$AF$42,E1038=$AB$43,$AF$43,E1038=$AB$44,$AF$44,E1038=$AB$45,$AF$45,E1038=$AB$46,$AF$46,E1038=$AB$47,$AF$47,E1038=$AB$48,$AF$48,E1038=$AB$49,$AF$49,E1038=$AB$50,$AF$50,E1038=$AB$51,$AF$51,E1038=$AB$52,$AF$52,E1038=$AB$53,$AF$53,E1038=$AB$54,$AF$54,E1038=$AB$55,$AF$55,E1038=$AB$56,$AF$56,E1038=$AB$57,$AF$57,E1038=$AB$58,$AF$58,E1038=$AB$59,$AF$59,E1038=$AB$60,$AF$60,E1038=$AB$61,$AF$61,E1038=$AB$62,$AF$62,E1038=$AB$63,$AF$63,E1038=$AB$64,$AF$64,E1038=$AB$65,$AF$65,E1038=$AB$66,$AF$66,TRUE,"0")</f>
        <v>B4 match BACK FT +1.5 goals. X AFTER  GOAL</v>
      </c>
      <c r="D1038" s="270" t="str" cm="1">
        <f t="array" ref="D1038">_xlfn.IFS(E1038=$AB$42,$AD$42,E1038=$AB$43,$AD$43,E1038=$AB$44,$AD$44,E1038=$AB$45,$AD$45,E1038=$AB$46,$AD$46,E1038=$AB$47,$AD$47,E1038=$AB$48,$AD$48,E1038=$AB$49,$AD$49,E1038=$AB$50,$AD$50,E1038=$AB$51,$AD$51,E1038=$AB$52,$AD$52,E1038=$AB$53,$AD$53,E1038=$AB$54,$AD$54,E1038=$AB$55,$AD$55,E1038=$AB$56,$AD$56,E1038=$AB$57,$AD$57,E1038=$AB$58,$AD$58,E1038=$AB$59,$AD$59,E1038=$AB$60,$AD$60,E1038=$AB$61,$AD$61,E1038=$AB$62,$AD$62,E1038=$AB$63,$AD$63,E1038=$AB$64,$AD$64,E1038=$AB$65,$AD$65,E1038=$AB$66,$AD$66,TRUE,"0")</f>
        <v xml:space="preserve">BFM </v>
      </c>
      <c r="E1038" s="163" t="s">
        <v>623</v>
      </c>
      <c r="F1038" s="2" t="s">
        <v>67</v>
      </c>
      <c r="G1038" s="2" t="s">
        <v>169</v>
      </c>
      <c r="H1038" s="3">
        <v>45401.791666666664</v>
      </c>
      <c r="I1038" s="2" t="s">
        <v>372</v>
      </c>
      <c r="J1038" s="2" t="s">
        <v>170</v>
      </c>
      <c r="K1038" s="2">
        <v>5</v>
      </c>
      <c r="L1038" s="2">
        <v>20</v>
      </c>
      <c r="M1038" s="2">
        <v>3</v>
      </c>
      <c r="N1038" s="2">
        <v>25</v>
      </c>
      <c r="O1038" s="2">
        <v>3</v>
      </c>
      <c r="P1038" s="2">
        <v>10</v>
      </c>
      <c r="Q1038" s="2" t="s">
        <v>95</v>
      </c>
      <c r="R1038" s="10" t="s">
        <v>220</v>
      </c>
      <c r="S1038" s="10" t="s">
        <v>195</v>
      </c>
      <c r="T1038" s="188">
        <v>1000</v>
      </c>
      <c r="U1038" s="8">
        <f t="shared" si="125"/>
        <v>180</v>
      </c>
      <c r="V1038" s="234">
        <f t="shared" si="122"/>
        <v>90724.155246160299</v>
      </c>
      <c r="W1038" s="15">
        <v>25</v>
      </c>
      <c r="X1038" s="8">
        <f t="shared" si="123"/>
        <v>4.5</v>
      </c>
      <c r="Y1038" s="233">
        <f t="shared" si="124"/>
        <v>4134</v>
      </c>
    </row>
    <row r="1039" spans="1:25">
      <c r="A1039" s="156" t="e" cm="1">
        <f t="array" aca="1" ref="A1039" ca="1">_xlfn.IFS(E1039=$AB$42,$AC$42,E1039=$AB$43,$AC$43,E1039=$AB$44,$AC$44,E1039=$AB$45,$AC$45,E1039=$AB$46,$AC$46,E1039=$AB$47,$AC$47,E1039=$AB$48,$AC$48,E1039=$AB$49,$AC$49,E1039=$AB$50,$AC$50,E1039=$AB$51,$AC$51,E1039=$AB$52,$AC$52,E1039=$AB$53,$AC$53,E1039=$AB$54,$AC$54,E1039=$AB$55,$AC$55,E1039=$AB$56,$AC$56,E1039=$AB$57,$AC$57,E1039=$AB$58,$AC$58,E1039=$AB$59,$AC$59,E1039=$AB$60,$AC$60,E1039=$AB$61,$AC$61,E1039=$AB$62,$AC$62,E1039=$AB$63,$AC$63,E1039=$AB$64,$AC$64,E1039=$AB$65,$AC$65,E1039=$AB$66,$AC$66,TRUE,"0")</f>
        <v>#NAME?</v>
      </c>
      <c r="C1039" s="161" t="str" cm="1">
        <f t="array" ref="C1039">_xlfn.IFS(E1039=$AB$42,$AF$42,E1039=$AB$43,$AF$43,E1039=$AB$44,$AF$44,E1039=$AB$45,$AF$45,E1039=$AB$46,$AF$46,E1039=$AB$47,$AF$47,E1039=$AB$48,$AF$48,E1039=$AB$49,$AF$49,E1039=$AB$50,$AF$50,E1039=$AB$51,$AF$51,E1039=$AB$52,$AF$52,E1039=$AB$53,$AF$53,E1039=$AB$54,$AF$54,E1039=$AB$55,$AF$55,E1039=$AB$56,$AF$56,E1039=$AB$57,$AF$57,E1039=$AB$58,$AF$58,E1039=$AB$59,$AF$59,E1039=$AB$60,$AF$60,E1039=$AB$61,$AF$61,E1039=$AB$62,$AF$62,E1039=$AB$63,$AF$63,E1039=$AB$64,$AF$64,E1039=$AB$65,$AF$65,E1039=$AB$66,$AF$66,TRUE,"0")</f>
        <v>if 0-0, BACK+ 0.5 GOALS  @ 1.15+odds.  or @ 40 mins</v>
      </c>
      <c r="D1039" s="270" t="str" cm="1">
        <f t="array" ref="D1039">_xlfn.IFS(E1039=$AB$42,$AD$42,E1039=$AB$43,$AD$43,E1039=$AB$44,$AD$44,E1039=$AB$45,$AD$45,E1039=$AB$46,$AD$46,E1039=$AB$47,$AD$47,E1039=$AB$48,$AD$48,E1039=$AB$49,$AD$49,E1039=$AB$50,$AD$50,E1039=$AB$51,$AD$51,E1039=$AB$52,$AD$52,E1039=$AB$53,$AD$53,E1039=$AB$54,$AD$54,E1039=$AB$55,$AD$55,E1039=$AB$56,$AD$56,E1039=$AB$57,$AD$57,E1039=$AB$58,$AD$58,E1039=$AB$59,$AD$59,E1039=$AB$60,$AD$60,E1039=$AB$61,$AD$61,E1039=$AB$62,$AD$62,E1039=$AB$63,$AD$63,E1039=$AB$64,$AD$64,E1039=$AB$65,$AD$65,E1039=$AB$66,$AD$66,TRUE,"0")</f>
        <v>IP</v>
      </c>
      <c r="E1039" s="163" t="s">
        <v>270</v>
      </c>
      <c r="F1039" s="2" t="s">
        <v>67</v>
      </c>
      <c r="G1039" s="2" t="s">
        <v>169</v>
      </c>
      <c r="H1039" s="3">
        <v>45401.791666666664</v>
      </c>
      <c r="I1039" s="2" t="s">
        <v>393</v>
      </c>
      <c r="J1039" s="2" t="s">
        <v>171</v>
      </c>
      <c r="K1039" s="2">
        <v>60</v>
      </c>
      <c r="L1039" s="2">
        <v>0</v>
      </c>
      <c r="M1039" s="2">
        <v>20</v>
      </c>
      <c r="N1039" s="2">
        <v>28</v>
      </c>
      <c r="O1039" s="2">
        <v>2.54</v>
      </c>
      <c r="P1039" s="2"/>
      <c r="Q1039" s="2" t="s">
        <v>95</v>
      </c>
      <c r="R1039" s="10" t="s">
        <v>193</v>
      </c>
      <c r="S1039" s="10" t="s">
        <v>223</v>
      </c>
      <c r="T1039" s="188">
        <v>1000</v>
      </c>
      <c r="U1039" s="8">
        <f t="shared" si="125"/>
        <v>180</v>
      </c>
      <c r="V1039" s="234">
        <f t="shared" si="122"/>
        <v>90904.155246160299</v>
      </c>
      <c r="W1039" s="15">
        <v>25</v>
      </c>
      <c r="X1039" s="8">
        <f t="shared" si="123"/>
        <v>4.5</v>
      </c>
      <c r="Y1039" s="233">
        <f t="shared" si="124"/>
        <v>4138.5</v>
      </c>
    </row>
    <row r="1040" spans="1:25">
      <c r="A1040" s="156" t="e" cm="1">
        <f t="array" aca="1" ref="A1040" ca="1">_xlfn.IFS(E1040=$AB$42,$AC$42,E1040=$AB$43,$AC$43,E1040=$AB$44,$AC$44,E1040=$AB$45,$AC$45,E1040=$AB$46,$AC$46,E1040=$AB$47,$AC$47,E1040=$AB$48,$AC$48,E1040=$AB$49,$AC$49,E1040=$AB$50,$AC$50,E1040=$AB$51,$AC$51,E1040=$AB$52,$AC$52,E1040=$AB$53,$AC$53,E1040=$AB$54,$AC$54,E1040=$AB$55,$AC$55,E1040=$AB$56,$AC$56,E1040=$AB$57,$AC$57,E1040=$AB$58,$AC$58,E1040=$AB$59,$AC$59,E1040=$AB$60,$AC$60,E1040=$AB$61,$AC$61,E1040=$AB$62,$AC$62,E1040=$AB$63,$AC$63,E1040=$AB$64,$AC$64,E1040=$AB$65,$AC$65,E1040=$AB$66,$AC$66,TRUE,"0")</f>
        <v>#NAME?</v>
      </c>
      <c r="C1040" s="161" t="str" cm="1">
        <f t="array" ref="C1040">_xlfn.IFS(E1040=$AB$42,$AF$42,E1040=$AB$43,$AF$43,E1040=$AB$44,$AF$44,E1040=$AB$45,$AF$45,E1040=$AB$46,$AF$46,E1040=$AB$47,$AF$47,E1040=$AB$48,$AF$48,E1040=$AB$49,$AF$49,E1040=$AB$50,$AF$50,E1040=$AB$51,$AF$51,E1040=$AB$52,$AF$52,E1040=$AB$53,$AF$53,E1040=$AB$54,$AF$54,E1040=$AB$55,$AF$55,E1040=$AB$56,$AF$56,E1040=$AB$57,$AF$57,E1040=$AB$58,$AF$58,E1040=$AB$59,$AF$59,E1040=$AB$60,$AF$60,E1040=$AB$61,$AF$61,E1040=$AB$62,$AF$62,E1040=$AB$63,$AF$63,E1040=$AB$64,$AF$64,E1040=$AB$65,$AF$65,E1040=$AB$66,$AF$66,TRUE,"0")</f>
        <v>20mins if  0-0, BACK over 1.5 goals X after goal OR LET RUN</v>
      </c>
      <c r="D1040" s="270" t="str" cm="1">
        <f t="array" ref="D1040">_xlfn.IFS(E1040=$AB$42,$AD$42,E1040=$AB$43,$AD$43,E1040=$AB$44,$AD$44,E1040=$AB$45,$AD$45,E1040=$AB$46,$AD$46,E1040=$AB$47,$AD$47,E1040=$AB$48,$AD$48,E1040=$AB$49,$AD$49,E1040=$AB$50,$AD$50,E1040=$AB$51,$AD$51,E1040=$AB$52,$AD$52,E1040=$AB$53,$AD$53,E1040=$AB$54,$AD$54,E1040=$AB$55,$AD$55,E1040=$AB$56,$AD$56,E1040=$AB$57,$AD$57,E1040=$AB$58,$AD$58,E1040=$AB$59,$AD$59,E1040=$AB$60,$AD$60,E1040=$AB$61,$AD$61,E1040=$AB$62,$AD$62,E1040=$AB$63,$AD$63,E1040=$AB$64,$AD$64,E1040=$AB$65,$AD$65,E1040=$AB$66,$AD$66,TRUE,"0")</f>
        <v>IP</v>
      </c>
      <c r="E1040" s="163" t="s">
        <v>474</v>
      </c>
      <c r="F1040" s="2" t="s">
        <v>149</v>
      </c>
      <c r="G1040" s="2" t="s">
        <v>150</v>
      </c>
      <c r="H1040" s="3">
        <v>45401.791666666664</v>
      </c>
      <c r="I1040" s="2" t="s">
        <v>187</v>
      </c>
      <c r="J1040" s="2" t="s">
        <v>329</v>
      </c>
      <c r="K1040" s="2">
        <v>50</v>
      </c>
      <c r="L1040" s="2">
        <v>3.5</v>
      </c>
      <c r="M1040" s="2">
        <v>20</v>
      </c>
      <c r="N1040" s="2">
        <v>70</v>
      </c>
      <c r="O1040" s="2">
        <v>95</v>
      </c>
      <c r="P1040" s="2"/>
      <c r="Q1040" s="2" t="s">
        <v>95</v>
      </c>
      <c r="R1040" s="10" t="s">
        <v>220</v>
      </c>
      <c r="S1040" s="10" t="s">
        <v>213</v>
      </c>
      <c r="T1040" s="188">
        <v>1000</v>
      </c>
      <c r="U1040" s="8">
        <f t="shared" si="125"/>
        <v>180</v>
      </c>
      <c r="V1040" s="234">
        <f t="shared" si="122"/>
        <v>91084.155246160299</v>
      </c>
      <c r="W1040" s="15">
        <v>25</v>
      </c>
      <c r="X1040" s="8">
        <f t="shared" si="123"/>
        <v>4.5</v>
      </c>
      <c r="Y1040" s="233">
        <f t="shared" si="124"/>
        <v>4143</v>
      </c>
    </row>
    <row r="1041" spans="1:25">
      <c r="A1041" s="156" t="e" cm="1">
        <f t="array" aca="1" ref="A1041" ca="1">_xlfn.IFS(E1041=$AB$42,$AC$42,E1041=$AB$43,$AC$43,E1041=$AB$44,$AC$44,E1041=$AB$45,$AC$45,E1041=$AB$46,$AC$46,E1041=$AB$47,$AC$47,E1041=$AB$48,$AC$48,E1041=$AB$49,$AC$49,E1041=$AB$50,$AC$50,E1041=$AB$51,$AC$51,E1041=$AB$52,$AC$52,E1041=$AB$53,$AC$53,E1041=$AB$54,$AC$54,E1041=$AB$55,$AC$55,E1041=$AB$56,$AC$56,E1041=$AB$57,$AC$57,E1041=$AB$58,$AC$58,E1041=$AB$59,$AC$59,E1041=$AB$60,$AC$60,E1041=$AB$61,$AC$61,E1041=$AB$62,$AC$62,E1041=$AB$63,$AC$63,E1041=$AB$64,$AC$64,E1041=$AB$65,$AC$65,E1041=$AB$66,$AC$66,TRUE,"0")</f>
        <v>#NAME?</v>
      </c>
      <c r="C1041" s="161" t="str" cm="1">
        <f t="array" ref="C1041">_xlfn.IFS(E1041=$AB$42,$AF$42,E1041=$AB$43,$AF$43,E1041=$AB$44,$AF$44,E1041=$AB$45,$AF$45,E1041=$AB$46,$AF$46,E1041=$AB$47,$AF$47,E1041=$AB$48,$AF$48,E1041=$AB$49,$AF$49,E1041=$AB$50,$AF$50,E1041=$AB$51,$AF$51,E1041=$AB$52,$AF$52,E1041=$AB$53,$AF$53,E1041=$AB$54,$AF$54,E1041=$AB$55,$AF$55,E1041=$AB$56,$AF$56,E1041=$AB$57,$AF$57,E1041=$AB$58,$AF$58,E1041=$AB$59,$AF$59,E1041=$AB$60,$AF$60,E1041=$AB$61,$AF$61,E1041=$AB$62,$AF$62,E1041=$AB$63,$AF$63,E1041=$AB$64,$AF$64,E1041=$AB$65,$AF$65,E1041=$AB$66,$AF$66,TRUE,"0")</f>
        <v>40 mins Back ANother Goal</v>
      </c>
      <c r="D1041" s="270" t="str" cm="1">
        <f t="array" ref="D1041">_xlfn.IFS(E1041=$AB$42,$AD$42,E1041=$AB$43,$AD$43,E1041=$AB$44,$AD$44,E1041=$AB$45,$AD$45,E1041=$AB$46,$AD$46,E1041=$AB$47,$AD$47,E1041=$AB$48,$AD$48,E1041=$AB$49,$AD$49,E1041=$AB$50,$AD$50,E1041=$AB$51,$AD$51,E1041=$AB$52,$AD$52,E1041=$AB$53,$AD$53,E1041=$AB$54,$AD$54,E1041=$AB$55,$AD$55,E1041=$AB$56,$AD$56,E1041=$AB$57,$AD$57,E1041=$AB$58,$AD$58,E1041=$AB$59,$AD$59,E1041=$AB$60,$AD$60,E1041=$AB$61,$AD$61,E1041=$AB$62,$AD$62,E1041=$AB$63,$AD$63,E1041=$AB$64,$AD$64,E1041=$AB$65,$AD$65,E1041=$AB$66,$AD$66,TRUE,"0")</f>
        <v xml:space="preserve">  BANG</v>
      </c>
      <c r="E1041" s="163" t="s">
        <v>726</v>
      </c>
      <c r="F1041" s="2" t="s">
        <v>296</v>
      </c>
      <c r="G1041" s="2" t="s">
        <v>525</v>
      </c>
      <c r="H1041" s="3">
        <v>45401.802083333336</v>
      </c>
      <c r="I1041" s="2" t="s">
        <v>529</v>
      </c>
      <c r="J1041" s="2" t="s">
        <v>597</v>
      </c>
      <c r="K1041" s="2">
        <v>85</v>
      </c>
      <c r="L1041" s="2">
        <v>20</v>
      </c>
      <c r="M1041" s="2">
        <v>2.15</v>
      </c>
      <c r="N1041" s="2">
        <v>64</v>
      </c>
      <c r="O1041" s="2"/>
      <c r="P1041" s="2"/>
      <c r="Q1041" s="2" t="s">
        <v>95</v>
      </c>
      <c r="R1041" s="10" t="s">
        <v>221</v>
      </c>
      <c r="S1041" s="10" t="s">
        <v>214</v>
      </c>
      <c r="T1041" s="188">
        <v>1000</v>
      </c>
      <c r="U1041" s="8">
        <f t="shared" si="125"/>
        <v>180</v>
      </c>
      <c r="V1041" s="234">
        <f t="shared" si="122"/>
        <v>91264.155246160299</v>
      </c>
      <c r="W1041" s="15">
        <v>25</v>
      </c>
      <c r="X1041" s="8">
        <f t="shared" si="123"/>
        <v>4.5</v>
      </c>
      <c r="Y1041" s="233">
        <f t="shared" si="124"/>
        <v>4147.5</v>
      </c>
    </row>
    <row r="1042" spans="1:25">
      <c r="A1042" s="156" t="e" cm="1">
        <f t="array" aca="1" ref="A1042" ca="1">_xlfn.IFS(E1042=$AB$42,$AC$42,E1042=$AB$43,$AC$43,E1042=$AB$44,$AC$44,E1042=$AB$45,$AC$45,E1042=$AB$46,$AC$46,E1042=$AB$47,$AC$47,E1042=$AB$48,$AC$48,E1042=$AB$49,$AC$49,E1042=$AB$50,$AC$50,E1042=$AB$51,$AC$51,E1042=$AB$52,$AC$52,E1042=$AB$53,$AC$53,E1042=$AB$54,$AC$54,E1042=$AB$55,$AC$55,E1042=$AB$56,$AC$56,E1042=$AB$57,$AC$57,E1042=$AB$58,$AC$58,E1042=$AB$59,$AC$59,E1042=$AB$60,$AC$60,E1042=$AB$61,$AC$61,E1042=$AB$62,$AC$62,E1042=$AB$63,$AC$63,E1042=$AB$64,$AC$64,E1042=$AB$65,$AC$65,E1042=$AB$66,$AC$66,TRUE,"0")</f>
        <v>#NAME?</v>
      </c>
      <c r="C1042" s="161" t="str" cm="1">
        <f t="array" ref="C1042">_xlfn.IFS(E1042=$AB$42,$AF$42,E1042=$AB$43,$AF$43,E1042=$AB$44,$AF$44,E1042=$AB$45,$AF$45,E1042=$AB$46,$AF$46,E1042=$AB$47,$AF$47,E1042=$AB$48,$AF$48,E1042=$AB$49,$AF$49,E1042=$AB$50,$AF$50,E1042=$AB$51,$AF$51,E1042=$AB$52,$AF$52,E1042=$AB$53,$AF$53,E1042=$AB$54,$AF$54,E1042=$AB$55,$AF$55,E1042=$AB$56,$AF$56,E1042=$AB$57,$AF$57,E1042=$AB$58,$AF$58,E1042=$AB$59,$AF$59,E1042=$AB$60,$AF$60,E1042=$AB$61,$AF$61,E1042=$AB$62,$AF$62,E1042=$AB$63,$AF$63,E1042=$AB$64,$AF$64,E1042=$AB$65,$AF$65,E1042=$AB$66,$AF$66,TRUE,"0")</f>
        <v>B4 MATCH bet H1 'under 2.5goals'- X at 40 minutes</v>
      </c>
      <c r="D1042" s="270" t="str" cm="1">
        <f t="array" ref="D1042">_xlfn.IFS(E1042=$AB$42,$AD$42,E1042=$AB$43,$AD$43,E1042=$AB$44,$AD$44,E1042=$AB$45,$AD$45,E1042=$AB$46,$AD$46,E1042=$AB$47,$AD$47,E1042=$AB$48,$AD$48,E1042=$AB$49,$AD$49,E1042=$AB$50,$AD$50,E1042=$AB$51,$AD$51,E1042=$AB$52,$AD$52,E1042=$AB$53,$AD$53,E1042=$AB$54,$AD$54,E1042=$AB$55,$AD$55,E1042=$AB$56,$AD$56,E1042=$AB$57,$AD$57,E1042=$AB$58,$AD$58,E1042=$AB$59,$AD$59,E1042=$AB$60,$AD$60,E1042=$AB$61,$AD$61,E1042=$AB$62,$AD$62,E1042=$AB$63,$AD$63,E1042=$AB$64,$AD$64,E1042=$AB$65,$AD$65,E1042=$AB$66,$AD$66,TRUE,"0")</f>
        <v xml:space="preserve">BFM </v>
      </c>
      <c r="E1042" s="168" t="s">
        <v>458</v>
      </c>
      <c r="F1042" s="2" t="s">
        <v>20</v>
      </c>
      <c r="G1042" s="2" t="s">
        <v>322</v>
      </c>
      <c r="H1042" s="3">
        <v>45401.8125</v>
      </c>
      <c r="I1042" s="2" t="s">
        <v>749</v>
      </c>
      <c r="J1042" s="2" t="s">
        <v>579</v>
      </c>
      <c r="K1042" s="2">
        <v>20</v>
      </c>
      <c r="L1042" s="2">
        <v>80</v>
      </c>
      <c r="M1042" s="2">
        <v>95</v>
      </c>
      <c r="N1042" s="2">
        <v>39</v>
      </c>
      <c r="O1042" s="2">
        <v>1.95</v>
      </c>
      <c r="P1042" s="2"/>
      <c r="Q1042" s="2" t="s">
        <v>95</v>
      </c>
      <c r="R1042" s="10" t="s">
        <v>217</v>
      </c>
      <c r="S1042" s="10" t="s">
        <v>288</v>
      </c>
      <c r="T1042" s="188">
        <v>1000</v>
      </c>
      <c r="U1042" s="8">
        <f t="shared" si="125"/>
        <v>180</v>
      </c>
      <c r="V1042" s="234">
        <f t="shared" si="122"/>
        <v>91444.155246160299</v>
      </c>
      <c r="W1042" s="15">
        <v>25</v>
      </c>
      <c r="X1042" s="8">
        <f t="shared" si="123"/>
        <v>4.5</v>
      </c>
      <c r="Y1042" s="233">
        <f t="shared" si="124"/>
        <v>4152</v>
      </c>
    </row>
    <row r="1043" spans="1:25">
      <c r="A1043" s="156" t="e" cm="1">
        <f t="array" aca="1" ref="A1043" ca="1">_xlfn.IFS(E1043=$AB$42,$AC$42,E1043=$AB$43,$AC$43,E1043=$AB$44,$AC$44,E1043=$AB$45,$AC$45,E1043=$AB$46,$AC$46,E1043=$AB$47,$AC$47,E1043=$AB$48,$AC$48,E1043=$AB$49,$AC$49,E1043=$AB$50,$AC$50,E1043=$AB$51,$AC$51,E1043=$AB$52,$AC$52,E1043=$AB$53,$AC$53,E1043=$AB$54,$AC$54,E1043=$AB$55,$AC$55,E1043=$AB$56,$AC$56,E1043=$AB$57,$AC$57,E1043=$AB$58,$AC$58,E1043=$AB$59,$AC$59,E1043=$AB$60,$AC$60,E1043=$AB$61,$AC$61,E1043=$AB$62,$AC$62,E1043=$AB$63,$AC$63,E1043=$AB$64,$AC$64,E1043=$AB$65,$AC$65,E1043=$AB$66,$AC$66,TRUE,"0")</f>
        <v>#NAME?</v>
      </c>
      <c r="C1043" s="161" t="str" cm="1">
        <f t="array" ref="C1043">_xlfn.IFS(E1043=$AB$42,$AF$42,E1043=$AB$43,$AF$43,E1043=$AB$44,$AF$44,E1043=$AB$45,$AF$45,E1043=$AB$46,$AF$46,E1043=$AB$47,$AF$47,E1043=$AB$48,$AF$48,E1043=$AB$49,$AF$49,E1043=$AB$50,$AF$50,E1043=$AB$51,$AF$51,E1043=$AB$52,$AF$52,E1043=$AB$53,$AF$53,E1043=$AB$54,$AF$54,E1043=$AB$55,$AF$55,E1043=$AB$56,$AF$56,E1043=$AB$57,$AF$57,E1043=$AB$58,$AF$58,E1043=$AB$59,$AF$59,E1043=$AB$60,$AF$60,E1043=$AB$61,$AF$61,E1043=$AB$62,$AF$62,E1043=$AB$63,$AF$63,E1043=$AB$64,$AF$64,E1043=$AB$65,$AF$65,E1043=$AB$66,$AF$66,TRUE,"0")</f>
        <v>40 mins Back ANother Goal</v>
      </c>
      <c r="D1043" s="270" t="str" cm="1">
        <f t="array" ref="D1043">_xlfn.IFS(E1043=$AB$42,$AD$42,E1043=$AB$43,$AD$43,E1043=$AB$44,$AD$44,E1043=$AB$45,$AD$45,E1043=$AB$46,$AD$46,E1043=$AB$47,$AD$47,E1043=$AB$48,$AD$48,E1043=$AB$49,$AD$49,E1043=$AB$50,$AD$50,E1043=$AB$51,$AD$51,E1043=$AB$52,$AD$52,E1043=$AB$53,$AD$53,E1043=$AB$54,$AD$54,E1043=$AB$55,$AD$55,E1043=$AB$56,$AD$56,E1043=$AB$57,$AD$57,E1043=$AB$58,$AD$58,E1043=$AB$59,$AD$59,E1043=$AB$60,$AD$60,E1043=$AB$61,$AD$61,E1043=$AB$62,$AD$62,E1043=$AB$63,$AD$63,E1043=$AB$64,$AD$64,E1043=$AB$65,$AD$65,E1043=$AB$66,$AD$66,TRUE,"0")</f>
        <v xml:space="preserve">  BANG</v>
      </c>
      <c r="E1043" s="163" t="s">
        <v>43</v>
      </c>
      <c r="F1043" s="2" t="s">
        <v>20</v>
      </c>
      <c r="G1043" s="2" t="s">
        <v>21</v>
      </c>
      <c r="H1043" s="3">
        <v>45401.822916666664</v>
      </c>
      <c r="I1043" s="2" t="s">
        <v>335</v>
      </c>
      <c r="J1043" s="2" t="s">
        <v>358</v>
      </c>
      <c r="K1043" s="2">
        <v>67</v>
      </c>
      <c r="L1043" s="2">
        <v>69</v>
      </c>
      <c r="M1043" s="2">
        <v>63</v>
      </c>
      <c r="N1043" s="2">
        <v>1.55</v>
      </c>
      <c r="O1043" s="2">
        <v>1.37</v>
      </c>
      <c r="P1043" s="2"/>
      <c r="Q1043" s="2" t="s">
        <v>95</v>
      </c>
      <c r="R1043" s="10" t="s">
        <v>220</v>
      </c>
      <c r="S1043" s="10" t="s">
        <v>210</v>
      </c>
      <c r="T1043" s="188">
        <v>1000</v>
      </c>
      <c r="U1043" s="8">
        <f t="shared" si="125"/>
        <v>180</v>
      </c>
      <c r="V1043" s="234">
        <f t="shared" si="122"/>
        <v>91624.155246160299</v>
      </c>
      <c r="W1043" s="15">
        <v>25</v>
      </c>
      <c r="X1043" s="8">
        <f t="shared" si="123"/>
        <v>4.5</v>
      </c>
      <c r="Y1043" s="233">
        <f t="shared" si="124"/>
        <v>4156.5</v>
      </c>
    </row>
    <row r="1044" spans="1:25">
      <c r="A1044" s="156" t="e" cm="1">
        <f t="array" aca="1" ref="A1044" ca="1">_xlfn.IFS(E1044=$AB$42,$AC$42,E1044=$AB$43,$AC$43,E1044=$AB$44,$AC$44,E1044=$AB$45,$AC$45,E1044=$AB$46,$AC$46,E1044=$AB$47,$AC$47,E1044=$AB$48,$AC$48,E1044=$AB$49,$AC$49,E1044=$AB$50,$AC$50,E1044=$AB$51,$AC$51,E1044=$AB$52,$AC$52,E1044=$AB$53,$AC$53,E1044=$AB$54,$AC$54,E1044=$AB$55,$AC$55,E1044=$AB$56,$AC$56,E1044=$AB$57,$AC$57,E1044=$AB$58,$AC$58,E1044=$AB$59,$AC$59,E1044=$AB$60,$AC$60,E1044=$AB$61,$AC$61,E1044=$AB$62,$AC$62,E1044=$AB$63,$AC$63,E1044=$AB$64,$AC$64,E1044=$AB$65,$AC$65,E1044=$AB$66,$AC$66,TRUE,"0")</f>
        <v>#NAME?</v>
      </c>
      <c r="C1044" s="161" t="str" cm="1">
        <f t="array" ref="C1044">_xlfn.IFS(E1044=$AB$42,$AF$42,E1044=$AB$43,$AF$43,E1044=$AB$44,$AF$44,E1044=$AB$45,$AF$45,E1044=$AB$46,$AF$46,E1044=$AB$47,$AF$47,E1044=$AB$48,$AF$48,E1044=$AB$49,$AF$49,E1044=$AB$50,$AF$50,E1044=$AB$51,$AF$51,E1044=$AB$52,$AF$52,E1044=$AB$53,$AF$53,E1044=$AB$54,$AF$54,E1044=$AB$55,$AF$55,E1044=$AB$56,$AF$56,E1044=$AB$57,$AF$57,E1044=$AB$58,$AF$58,E1044=$AB$59,$AF$59,E1044=$AB$60,$AF$60,E1044=$AB$61,$AF$61,E1044=$AB$62,$AF$62,E1044=$AB$63,$AF$63,E1044=$AB$64,$AF$64,E1044=$AB$65,$AF$65,E1044=$AB$66,$AF$66,TRUE,"0")</f>
        <v>40 mins Back ANother Goal</v>
      </c>
      <c r="D1044" s="270" t="str" cm="1">
        <f t="array" ref="D1044">_xlfn.IFS(E1044=$AB$42,$AD$42,E1044=$AB$43,$AD$43,E1044=$AB$44,$AD$44,E1044=$AB$45,$AD$45,E1044=$AB$46,$AD$46,E1044=$AB$47,$AD$47,E1044=$AB$48,$AD$48,E1044=$AB$49,$AD$49,E1044=$AB$50,$AD$50,E1044=$AB$51,$AD$51,E1044=$AB$52,$AD$52,E1044=$AB$53,$AD$53,E1044=$AB$54,$AD$54,E1044=$AB$55,$AD$55,E1044=$AB$56,$AD$56,E1044=$AB$57,$AD$57,E1044=$AB$58,$AD$58,E1044=$AB$59,$AD$59,E1044=$AB$60,$AD$60,E1044=$AB$61,$AD$61,E1044=$AB$62,$AD$62,E1044=$AB$63,$AD$63,E1044=$AB$64,$AD$64,E1044=$AB$65,$AD$65,E1044=$AB$66,$AD$66,TRUE,"0")</f>
        <v xml:space="preserve">  BANG</v>
      </c>
      <c r="E1044" s="163" t="s">
        <v>515</v>
      </c>
      <c r="F1044" s="2" t="s">
        <v>564</v>
      </c>
      <c r="G1044" s="2" t="s">
        <v>565</v>
      </c>
      <c r="H1044" s="3">
        <v>45401.822916666664</v>
      </c>
      <c r="I1044" s="2" t="s">
        <v>743</v>
      </c>
      <c r="J1044" s="2" t="s">
        <v>744</v>
      </c>
      <c r="K1044" s="2">
        <v>20</v>
      </c>
      <c r="L1044" s="2">
        <v>76</v>
      </c>
      <c r="M1044" s="2">
        <v>1.7</v>
      </c>
      <c r="N1044" s="2"/>
      <c r="O1044" s="2"/>
      <c r="P1044" s="2"/>
      <c r="Q1044" s="2" t="s">
        <v>95</v>
      </c>
      <c r="R1044" s="10" t="s">
        <v>221</v>
      </c>
      <c r="S1044" s="10" t="s">
        <v>211</v>
      </c>
      <c r="T1044" s="188">
        <v>1000</v>
      </c>
      <c r="U1044" s="8">
        <f t="shared" si="125"/>
        <v>180</v>
      </c>
      <c r="V1044" s="234">
        <f t="shared" si="122"/>
        <v>91804.155246160299</v>
      </c>
      <c r="W1044" s="15">
        <v>25</v>
      </c>
      <c r="X1044" s="8">
        <f t="shared" si="123"/>
        <v>4.5</v>
      </c>
      <c r="Y1044" s="233">
        <f t="shared" si="124"/>
        <v>4161</v>
      </c>
    </row>
    <row r="1045" spans="1:25">
      <c r="A1045" s="156" t="e" cm="1">
        <f t="array" aca="1" ref="A1045" ca="1">_xlfn.IFS(E1045=$AB$42,$AC$42,E1045=$AB$43,$AC$43,E1045=$AB$44,$AC$44,E1045=$AB$45,$AC$45,E1045=$AB$46,$AC$46,E1045=$AB$47,$AC$47,E1045=$AB$48,$AC$48,E1045=$AB$49,$AC$49,E1045=$AB$50,$AC$50,E1045=$AB$51,$AC$51,E1045=$AB$52,$AC$52,E1045=$AB$53,$AC$53,E1045=$AB$54,$AC$54,E1045=$AB$55,$AC$55,E1045=$AB$56,$AC$56,E1045=$AB$57,$AC$57,E1045=$AB$58,$AC$58,E1045=$AB$59,$AC$59,E1045=$AB$60,$AC$60,E1045=$AB$61,$AC$61,E1045=$AB$62,$AC$62,E1045=$AB$63,$AC$63,E1045=$AB$64,$AC$64,E1045=$AB$65,$AC$65,E1045=$AB$66,$AC$66,TRUE,"0")</f>
        <v>#NAME?</v>
      </c>
      <c r="C1045" s="161" t="str" cm="1">
        <f t="array" ref="C1045">_xlfn.IFS(E1045=$AB$42,$AF$42,E1045=$AB$43,$AF$43,E1045=$AB$44,$AF$44,E1045=$AB$45,$AF$45,E1045=$AB$46,$AF$46,E1045=$AB$47,$AF$47,E1045=$AB$48,$AF$48,E1045=$AB$49,$AF$49,E1045=$AB$50,$AF$50,E1045=$AB$51,$AF$51,E1045=$AB$52,$AF$52,E1045=$AB$53,$AF$53,E1045=$AB$54,$AF$54,E1045=$AB$55,$AF$55,E1045=$AB$56,$AF$56,E1045=$AB$57,$AF$57,E1045=$AB$58,$AF$58,E1045=$AB$59,$AF$59,E1045=$AB$60,$AF$60,E1045=$AB$61,$AF$61,E1045=$AB$62,$AF$62,E1045=$AB$63,$AF$63,E1045=$AB$64,$AF$64,E1045=$AB$65,$AF$65,E1045=$AB$66,$AF$66,TRUE,"0")</f>
        <v>B4 match BACK FT +1.5 goals. X AFTER  GOAL</v>
      </c>
      <c r="D1045" s="270" t="str" cm="1">
        <f t="array" ref="D1045">_xlfn.IFS(E1045=$AB$42,$AD$42,E1045=$AB$43,$AD$43,E1045=$AB$44,$AD$44,E1045=$AB$45,$AD$45,E1045=$AB$46,$AD$46,E1045=$AB$47,$AD$47,E1045=$AB$48,$AD$48,E1045=$AB$49,$AD$49,E1045=$AB$50,$AD$50,E1045=$AB$51,$AD$51,E1045=$AB$52,$AD$52,E1045=$AB$53,$AD$53,E1045=$AB$54,$AD$54,E1045=$AB$55,$AD$55,E1045=$AB$56,$AD$56,E1045=$AB$57,$AD$57,E1045=$AB$58,$AD$58,E1045=$AB$59,$AD$59,E1045=$AB$60,$AD$60,E1045=$AB$61,$AD$61,E1045=$AB$62,$AD$62,E1045=$AB$63,$AD$63,E1045=$AB$64,$AD$64,E1045=$AB$65,$AD$65,E1045=$AB$66,$AD$66,TRUE,"0")</f>
        <v xml:space="preserve">BFM </v>
      </c>
      <c r="E1045" s="163" t="s">
        <v>406</v>
      </c>
      <c r="F1045" s="2" t="s">
        <v>119</v>
      </c>
      <c r="G1045" s="2" t="s">
        <v>120</v>
      </c>
      <c r="H1045" s="3">
        <v>45401.833333333336</v>
      </c>
      <c r="I1045" s="2" t="s">
        <v>384</v>
      </c>
      <c r="J1045" s="2" t="s">
        <v>388</v>
      </c>
      <c r="K1045" s="2">
        <v>1.28</v>
      </c>
      <c r="L1045" s="2">
        <v>15</v>
      </c>
      <c r="M1045" s="2">
        <v>2.75</v>
      </c>
      <c r="N1045" s="2">
        <v>5</v>
      </c>
      <c r="O1045" s="2">
        <v>2.7</v>
      </c>
      <c r="P1045" s="2"/>
      <c r="Q1045" s="2" t="s">
        <v>95</v>
      </c>
      <c r="R1045" s="10" t="s">
        <v>216</v>
      </c>
      <c r="S1045" s="10" t="s">
        <v>216</v>
      </c>
      <c r="T1045" s="188">
        <v>1000</v>
      </c>
      <c r="U1045" s="8">
        <f t="shared" si="125"/>
        <v>180</v>
      </c>
      <c r="V1045" s="234">
        <f t="shared" si="122"/>
        <v>91984.155246160299</v>
      </c>
      <c r="W1045" s="15">
        <v>25</v>
      </c>
      <c r="X1045" s="8">
        <f t="shared" si="123"/>
        <v>4.5</v>
      </c>
      <c r="Y1045" s="233">
        <f t="shared" si="124"/>
        <v>4165.5</v>
      </c>
    </row>
    <row r="1046" spans="1:25">
      <c r="A1046" s="156" t="e" cm="1">
        <f t="array" aca="1" ref="A1046" ca="1">_xlfn.IFS(E1046=$AB$42,$AC$42,E1046=$AB$43,$AC$43,E1046=$AB$44,$AC$44,E1046=$AB$45,$AC$45,E1046=$AB$46,$AC$46,E1046=$AB$47,$AC$47,E1046=$AB$48,$AC$48,E1046=$AB$49,$AC$49,E1046=$AB$50,$AC$50,E1046=$AB$51,$AC$51,E1046=$AB$52,$AC$52,E1046=$AB$53,$AC$53,E1046=$AB$54,$AC$54,E1046=$AB$55,$AC$55,E1046=$AB$56,$AC$56,E1046=$AB$57,$AC$57,E1046=$AB$58,$AC$58,E1046=$AB$59,$AC$59,E1046=$AB$60,$AC$60,E1046=$AB$61,$AC$61,E1046=$AB$62,$AC$62,E1046=$AB$63,$AC$63,E1046=$AB$64,$AC$64,E1046=$AB$65,$AC$65,E1046=$AB$66,$AC$66,TRUE,"0")</f>
        <v>#NAME?</v>
      </c>
      <c r="C1046" s="161" t="str" cm="1">
        <f t="array" ref="C1046">_xlfn.IFS(E1046=$AB$42,$AF$42,E1046=$AB$43,$AF$43,E1046=$AB$44,$AF$44,E1046=$AB$45,$AF$45,E1046=$AB$46,$AF$46,E1046=$AB$47,$AF$47,E1046=$AB$48,$AF$48,E1046=$AB$49,$AF$49,E1046=$AB$50,$AF$50,E1046=$AB$51,$AF$51,E1046=$AB$52,$AF$52,E1046=$AB$53,$AF$53,E1046=$AB$54,$AF$54,E1046=$AB$55,$AF$55,E1046=$AB$56,$AF$56,E1046=$AB$57,$AF$57,E1046=$AB$58,$AF$58,E1046=$AB$59,$AF$59,E1046=$AB$60,$AF$60,E1046=$AB$61,$AF$61,E1046=$AB$62,$AF$62,E1046=$AB$63,$AF$63,E1046=$AB$64,$AF$64,E1046=$AB$65,$AF$65,E1046=$AB$66,$AF$66,TRUE,"0")</f>
        <v>B4 match BACK FT +1.5 goals. X AFTER  GOAL</v>
      </c>
      <c r="D1046" s="270" t="str" cm="1">
        <f t="array" ref="D1046">_xlfn.IFS(E1046=$AB$42,$AD$42,E1046=$AB$43,$AD$43,E1046=$AB$44,$AD$44,E1046=$AB$45,$AD$45,E1046=$AB$46,$AD$46,E1046=$AB$47,$AD$47,E1046=$AB$48,$AD$48,E1046=$AB$49,$AD$49,E1046=$AB$50,$AD$50,E1046=$AB$51,$AD$51,E1046=$AB$52,$AD$52,E1046=$AB$53,$AD$53,E1046=$AB$54,$AD$54,E1046=$AB$55,$AD$55,E1046=$AB$56,$AD$56,E1046=$AB$57,$AD$57,E1046=$AB$58,$AD$58,E1046=$AB$59,$AD$59,E1046=$AB$60,$AD$60,E1046=$AB$61,$AD$61,E1046=$AB$62,$AD$62,E1046=$AB$63,$AD$63,E1046=$AB$64,$AD$64,E1046=$AB$65,$AD$65,E1046=$AB$66,$AD$66,TRUE,"0")</f>
        <v xml:space="preserve">BFM </v>
      </c>
      <c r="E1046" s="163" t="s">
        <v>623</v>
      </c>
      <c r="F1046" s="2" t="s">
        <v>119</v>
      </c>
      <c r="G1046" s="2" t="s">
        <v>120</v>
      </c>
      <c r="H1046" s="3">
        <v>45401.833333333336</v>
      </c>
      <c r="I1046" s="2" t="s">
        <v>384</v>
      </c>
      <c r="J1046" s="2" t="s">
        <v>388</v>
      </c>
      <c r="K1046" s="2">
        <v>5</v>
      </c>
      <c r="L1046" s="2">
        <v>20</v>
      </c>
      <c r="M1046" s="2">
        <v>2.75</v>
      </c>
      <c r="N1046" s="2">
        <v>36</v>
      </c>
      <c r="O1046" s="2">
        <v>3</v>
      </c>
      <c r="P1046" s="2">
        <v>10</v>
      </c>
      <c r="Q1046" s="2" t="s">
        <v>95</v>
      </c>
      <c r="R1046" s="10" t="s">
        <v>216</v>
      </c>
      <c r="S1046" s="10" t="s">
        <v>216</v>
      </c>
      <c r="T1046" s="188">
        <v>1000</v>
      </c>
      <c r="U1046" s="8">
        <f t="shared" si="125"/>
        <v>180</v>
      </c>
      <c r="V1046" s="234">
        <f t="shared" si="122"/>
        <v>92164.155246160299</v>
      </c>
      <c r="W1046" s="15">
        <v>25</v>
      </c>
      <c r="X1046" s="8">
        <f t="shared" si="123"/>
        <v>4.5</v>
      </c>
      <c r="Y1046" s="233">
        <f t="shared" si="124"/>
        <v>4170</v>
      </c>
    </row>
    <row r="1047" spans="1:25">
      <c r="A1047" s="156" t="e" cm="1">
        <f t="array" aca="1" ref="A1047" ca="1">_xlfn.IFS(E1047=$AB$42,$AC$42,E1047=$AB$43,$AC$43,E1047=$AB$44,$AC$44,E1047=$AB$45,$AC$45,E1047=$AB$46,$AC$46,E1047=$AB$47,$AC$47,E1047=$AB$48,$AC$48,E1047=$AB$49,$AC$49,E1047=$AB$50,$AC$50,E1047=$AB$51,$AC$51,E1047=$AB$52,$AC$52,E1047=$AB$53,$AC$53,E1047=$AB$54,$AC$54,E1047=$AB$55,$AC$55,E1047=$AB$56,$AC$56,E1047=$AB$57,$AC$57,E1047=$AB$58,$AC$58,E1047=$AB$59,$AC$59,E1047=$AB$60,$AC$60,E1047=$AB$61,$AC$61,E1047=$AB$62,$AC$62,E1047=$AB$63,$AC$63,E1047=$AB$64,$AC$64,E1047=$AB$65,$AC$65,E1047=$AB$66,$AC$66,TRUE,"0")</f>
        <v>#NAME?</v>
      </c>
      <c r="C1047" s="161" t="str" cm="1">
        <f t="array" ref="C1047">_xlfn.IFS(E1047=$AB$42,$AF$42,E1047=$AB$43,$AF$43,E1047=$AB$44,$AF$44,E1047=$AB$45,$AF$45,E1047=$AB$46,$AF$46,E1047=$AB$47,$AF$47,E1047=$AB$48,$AF$48,E1047=$AB$49,$AF$49,E1047=$AB$50,$AF$50,E1047=$AB$51,$AF$51,E1047=$AB$52,$AF$52,E1047=$AB$53,$AF$53,E1047=$AB$54,$AF$54,E1047=$AB$55,$AF$55,E1047=$AB$56,$AF$56,E1047=$AB$57,$AF$57,E1047=$AB$58,$AF$58,E1047=$AB$59,$AF$59,E1047=$AB$60,$AF$60,E1047=$AB$61,$AF$61,E1047=$AB$62,$AF$62,E1047=$AB$63,$AF$63,E1047=$AB$64,$AF$64,E1047=$AB$65,$AF$65,E1047=$AB$66,$AF$66,TRUE,"0")</f>
        <v>if 0-0, BACK+ 0.5 GOALS  @ 1.15+odds.  or @ 40 mins</v>
      </c>
      <c r="D1047" s="270" t="str" cm="1">
        <f t="array" ref="D1047">_xlfn.IFS(E1047=$AB$42,$AD$42,E1047=$AB$43,$AD$43,E1047=$AB$44,$AD$44,E1047=$AB$45,$AD$45,E1047=$AB$46,$AD$46,E1047=$AB$47,$AD$47,E1047=$AB$48,$AD$48,E1047=$AB$49,$AD$49,E1047=$AB$50,$AD$50,E1047=$AB$51,$AD$51,E1047=$AB$52,$AD$52,E1047=$AB$53,$AD$53,E1047=$AB$54,$AD$54,E1047=$AB$55,$AD$55,E1047=$AB$56,$AD$56,E1047=$AB$57,$AD$57,E1047=$AB$58,$AD$58,E1047=$AB$59,$AD$59,E1047=$AB$60,$AD$60,E1047=$AB$61,$AD$61,E1047=$AB$62,$AD$62,E1047=$AB$63,$AD$63,E1047=$AB$64,$AD$64,E1047=$AB$65,$AD$65,E1047=$AB$66,$AD$66,TRUE,"0")</f>
        <v>IP</v>
      </c>
      <c r="E1047" s="163" t="s">
        <v>270</v>
      </c>
      <c r="F1047" s="2" t="s">
        <v>159</v>
      </c>
      <c r="G1047" s="2" t="s">
        <v>750</v>
      </c>
      <c r="H1047" s="3">
        <v>45402.083333333336</v>
      </c>
      <c r="I1047" s="2" t="s">
        <v>751</v>
      </c>
      <c r="J1047" s="2" t="s">
        <v>752</v>
      </c>
      <c r="K1047" s="2">
        <v>59</v>
      </c>
      <c r="L1047" s="2">
        <v>0</v>
      </c>
      <c r="M1047" s="2">
        <v>20</v>
      </c>
      <c r="N1047" s="2">
        <v>38</v>
      </c>
      <c r="O1047" s="2">
        <v>2.16</v>
      </c>
      <c r="P1047" s="2"/>
      <c r="Q1047" s="2" t="s">
        <v>95</v>
      </c>
      <c r="R1047" s="10" t="s">
        <v>221</v>
      </c>
      <c r="S1047" s="10" t="s">
        <v>217</v>
      </c>
      <c r="T1047" s="188">
        <v>1000</v>
      </c>
      <c r="U1047" s="8">
        <f t="shared" si="125"/>
        <v>180</v>
      </c>
      <c r="V1047" s="234">
        <f t="shared" ref="V1047:V1073" si="126">SUM(V1046,U1047)</f>
        <v>92344.155246160299</v>
      </c>
      <c r="W1047" s="15">
        <v>25</v>
      </c>
      <c r="X1047" s="8">
        <f t="shared" si="123"/>
        <v>4.5</v>
      </c>
      <c r="Y1047" s="233">
        <f t="shared" si="124"/>
        <v>4174.5</v>
      </c>
    </row>
    <row r="1048" spans="1:25">
      <c r="A1048" s="156" t="e" cm="1">
        <f t="array" aca="1" ref="A1048" ca="1">_xlfn.IFS(E1048=$AB$42,$AC$42,E1048=$AB$43,$AC$43,E1048=$AB$44,$AC$44,E1048=$AB$45,$AC$45,E1048=$AB$46,$AC$46,E1048=$AB$47,$AC$47,E1048=$AB$48,$AC$48,E1048=$AB$49,$AC$49,E1048=$AB$50,$AC$50,E1048=$AB$51,$AC$51,E1048=$AB$52,$AC$52,E1048=$AB$53,$AC$53,E1048=$AB$54,$AC$54,E1048=$AB$55,$AC$55,E1048=$AB$56,$AC$56,E1048=$AB$57,$AC$57,E1048=$AB$58,$AC$58,E1048=$AB$59,$AC$59,E1048=$AB$60,$AC$60,E1048=$AB$61,$AC$61,E1048=$AB$62,$AC$62,E1048=$AB$63,$AC$63,E1048=$AB$64,$AC$64,E1048=$AB$65,$AC$65,E1048=$AB$66,$AC$66,TRUE,"0")</f>
        <v>#NAME?</v>
      </c>
      <c r="C1048" s="161" t="str" cm="1">
        <f t="array" ref="C1048">_xlfn.IFS(E1048=$AB$42,$AF$42,E1048=$AB$43,$AF$43,E1048=$AB$44,$AF$44,E1048=$AB$45,$AF$45,E1048=$AB$46,$AF$46,E1048=$AB$47,$AF$47,E1048=$AB$48,$AF$48,E1048=$AB$49,$AF$49,E1048=$AB$50,$AF$50,E1048=$AB$51,$AF$51,E1048=$AB$52,$AF$52,E1048=$AB$53,$AF$53,E1048=$AB$54,$AF$54,E1048=$AB$55,$AF$55,E1048=$AB$56,$AF$56,E1048=$AB$57,$AF$57,E1048=$AB$58,$AF$58,E1048=$AB$59,$AF$59,E1048=$AB$60,$AF$60,E1048=$AB$61,$AF$61,E1048=$AB$62,$AF$62,E1048=$AB$63,$AF$63,E1048=$AB$64,$AF$64,E1048=$AB$65,$AF$65,E1048=$AB$66,$AF$66,TRUE,"0")</f>
        <v>if 0-0, BACK+ 0.5 GOALS  @ 1.15+odds.  or @ 40 mins</v>
      </c>
      <c r="D1048" s="270" t="str" cm="1">
        <f t="array" ref="D1048">_xlfn.IFS(E1048=$AB$42,$AD$42,E1048=$AB$43,$AD$43,E1048=$AB$44,$AD$44,E1048=$AB$45,$AD$45,E1048=$AB$46,$AD$46,E1048=$AB$47,$AD$47,E1048=$AB$48,$AD$48,E1048=$AB$49,$AD$49,E1048=$AB$50,$AD$50,E1048=$AB$51,$AD$51,E1048=$AB$52,$AD$52,E1048=$AB$53,$AD$53,E1048=$AB$54,$AD$54,E1048=$AB$55,$AD$55,E1048=$AB$56,$AD$56,E1048=$AB$57,$AD$57,E1048=$AB$58,$AD$58,E1048=$AB$59,$AD$59,E1048=$AB$60,$AD$60,E1048=$AB$61,$AD$61,E1048=$AB$62,$AD$62,E1048=$AB$63,$AD$63,E1048=$AB$64,$AD$64,E1048=$AB$65,$AD$65,E1048=$AB$66,$AD$66,TRUE,"0")</f>
        <v>IP</v>
      </c>
      <c r="E1048" s="163" t="s">
        <v>270</v>
      </c>
      <c r="F1048" s="2" t="s">
        <v>159</v>
      </c>
      <c r="G1048" s="2" t="s">
        <v>750</v>
      </c>
      <c r="H1048" s="3">
        <v>45402.173611111109</v>
      </c>
      <c r="I1048" s="2" t="s">
        <v>753</v>
      </c>
      <c r="J1048" s="2" t="s">
        <v>754</v>
      </c>
      <c r="K1048" s="2">
        <v>68</v>
      </c>
      <c r="L1048" s="2">
        <v>0</v>
      </c>
      <c r="M1048" s="2">
        <v>20</v>
      </c>
      <c r="N1048" s="2">
        <v>39</v>
      </c>
      <c r="O1048" s="2">
        <v>2.33</v>
      </c>
      <c r="P1048" s="2"/>
      <c r="Q1048" s="2" t="s">
        <v>95</v>
      </c>
      <c r="R1048" s="10" t="s">
        <v>193</v>
      </c>
      <c r="S1048" s="10" t="s">
        <v>215</v>
      </c>
      <c r="T1048" s="188">
        <v>1000</v>
      </c>
      <c r="U1048" s="8">
        <f t="shared" si="125"/>
        <v>180</v>
      </c>
      <c r="V1048" s="234">
        <f t="shared" si="126"/>
        <v>92524.155246160299</v>
      </c>
      <c r="W1048" s="15">
        <v>25</v>
      </c>
      <c r="X1048" s="8">
        <f t="shared" si="123"/>
        <v>4.5</v>
      </c>
      <c r="Y1048" s="233">
        <f t="shared" si="124"/>
        <v>4179</v>
      </c>
    </row>
    <row r="1049" spans="1:25">
      <c r="A1049" s="156" t="e" cm="1">
        <f t="array" aca="1" ref="A1049" ca="1">_xlfn.IFS(E1049=$AB$42,$AC$42,E1049=$AB$43,$AC$43,E1049=$AB$44,$AC$44,E1049=$AB$45,$AC$45,E1049=$AB$46,$AC$46,E1049=$AB$47,$AC$47,E1049=$AB$48,$AC$48,E1049=$AB$49,$AC$49,E1049=$AB$50,$AC$50,E1049=$AB$51,$AC$51,E1049=$AB$52,$AC$52,E1049=$AB$53,$AC$53,E1049=$AB$54,$AC$54,E1049=$AB$55,$AC$55,E1049=$AB$56,$AC$56,E1049=$AB$57,$AC$57,E1049=$AB$58,$AC$58,E1049=$AB$59,$AC$59,E1049=$AB$60,$AC$60,E1049=$AB$61,$AC$61,E1049=$AB$62,$AC$62,E1049=$AB$63,$AC$63,E1049=$AB$64,$AC$64,E1049=$AB$65,$AC$65,E1049=$AB$66,$AC$66,TRUE,"0")</f>
        <v>#NAME?</v>
      </c>
      <c r="C1049" s="161" t="str" cm="1">
        <f t="array" ref="C1049">_xlfn.IFS(E1049=$AB$42,$AF$42,E1049=$AB$43,$AF$43,E1049=$AB$44,$AF$44,E1049=$AB$45,$AF$45,E1049=$AB$46,$AF$46,E1049=$AB$47,$AF$47,E1049=$AB$48,$AF$48,E1049=$AB$49,$AF$49,E1049=$AB$50,$AF$50,E1049=$AB$51,$AF$51,E1049=$AB$52,$AF$52,E1049=$AB$53,$AF$53,E1049=$AB$54,$AF$54,E1049=$AB$55,$AF$55,E1049=$AB$56,$AF$56,E1049=$AB$57,$AF$57,E1049=$AB$58,$AF$58,E1049=$AB$59,$AF$59,E1049=$AB$60,$AF$60,E1049=$AB$61,$AF$61,E1049=$AB$62,$AF$62,E1049=$AB$63,$AF$63,E1049=$AB$64,$AF$64,E1049=$AB$65,$AF$65,E1049=$AB$66,$AF$66,TRUE,"0")</f>
        <v>40 mins Back ANother Goal</v>
      </c>
      <c r="D1049" s="270" t="str" cm="1">
        <f t="array" ref="D1049">_xlfn.IFS(E1049=$AB$42,$AD$42,E1049=$AB$43,$AD$43,E1049=$AB$44,$AD$44,E1049=$AB$45,$AD$45,E1049=$AB$46,$AD$46,E1049=$AB$47,$AD$47,E1049=$AB$48,$AD$48,E1049=$AB$49,$AD$49,E1049=$AB$50,$AD$50,E1049=$AB$51,$AD$51,E1049=$AB$52,$AD$52,E1049=$AB$53,$AD$53,E1049=$AB$54,$AD$54,E1049=$AB$55,$AD$55,E1049=$AB$56,$AD$56,E1049=$AB$57,$AD$57,E1049=$AB$58,$AD$58,E1049=$AB$59,$AD$59,E1049=$AB$60,$AD$60,E1049=$AB$61,$AD$61,E1049=$AB$62,$AD$62,E1049=$AB$63,$AD$63,E1049=$AB$64,$AD$64,E1049=$AB$65,$AD$65,E1049=$AB$66,$AD$66,TRUE,"0")</f>
        <v xml:space="preserve">  BANG</v>
      </c>
      <c r="E1049" s="163" t="s">
        <v>43</v>
      </c>
      <c r="F1049" s="2" t="s">
        <v>44</v>
      </c>
      <c r="G1049" s="2" t="s">
        <v>45</v>
      </c>
      <c r="H1049" s="3">
        <v>45402.270833333336</v>
      </c>
      <c r="I1049" s="2" t="s">
        <v>321</v>
      </c>
      <c r="J1049" s="2" t="s">
        <v>126</v>
      </c>
      <c r="K1049" s="2">
        <v>69</v>
      </c>
      <c r="L1049" s="2">
        <v>69</v>
      </c>
      <c r="M1049" s="2">
        <v>59</v>
      </c>
      <c r="N1049" s="2">
        <v>2.1</v>
      </c>
      <c r="O1049" s="2">
        <v>1.52</v>
      </c>
      <c r="P1049" s="2"/>
      <c r="Q1049" s="2" t="s">
        <v>95</v>
      </c>
      <c r="R1049" s="10" t="s">
        <v>217</v>
      </c>
      <c r="S1049" s="10" t="s">
        <v>223</v>
      </c>
      <c r="T1049" s="188">
        <v>1000</v>
      </c>
      <c r="U1049" s="8">
        <f t="shared" si="125"/>
        <v>180</v>
      </c>
      <c r="V1049" s="234">
        <f t="shared" si="126"/>
        <v>92704.155246160299</v>
      </c>
      <c r="W1049" s="15">
        <v>25</v>
      </c>
      <c r="X1049" s="8">
        <f t="shared" si="123"/>
        <v>4.5</v>
      </c>
      <c r="Y1049" s="233">
        <f t="shared" si="124"/>
        <v>4183.5</v>
      </c>
    </row>
    <row r="1050" spans="1:25">
      <c r="A1050" s="156" t="e" cm="1">
        <f t="array" aca="1" ref="A1050" ca="1">_xlfn.IFS(E1050=$AB$42,$AC$42,E1050=$AB$43,$AC$43,E1050=$AB$44,$AC$44,E1050=$AB$45,$AC$45,E1050=$AB$46,$AC$46,E1050=$AB$47,$AC$47,E1050=$AB$48,$AC$48,E1050=$AB$49,$AC$49,E1050=$AB$50,$AC$50,E1050=$AB$51,$AC$51,E1050=$AB$52,$AC$52,E1050=$AB$53,$AC$53,E1050=$AB$54,$AC$54,E1050=$AB$55,$AC$55,E1050=$AB$56,$AC$56,E1050=$AB$57,$AC$57,E1050=$AB$58,$AC$58,E1050=$AB$59,$AC$59,E1050=$AB$60,$AC$60,E1050=$AB$61,$AC$61,E1050=$AB$62,$AC$62,E1050=$AB$63,$AC$63,E1050=$AB$64,$AC$64,E1050=$AB$65,$AC$65,E1050=$AB$66,$AC$66,TRUE,"0")</f>
        <v>#NAME?</v>
      </c>
      <c r="C1050" s="161" t="str" cm="1">
        <f t="array" ref="C1050">_xlfn.IFS(E1050=$AB$42,$AF$42,E1050=$AB$43,$AF$43,E1050=$AB$44,$AF$44,E1050=$AB$45,$AF$45,E1050=$AB$46,$AF$46,E1050=$AB$47,$AF$47,E1050=$AB$48,$AF$48,E1050=$AB$49,$AF$49,E1050=$AB$50,$AF$50,E1050=$AB$51,$AF$51,E1050=$AB$52,$AF$52,E1050=$AB$53,$AF$53,E1050=$AB$54,$AF$54,E1050=$AB$55,$AF$55,E1050=$AB$56,$AF$56,E1050=$AB$57,$AF$57,E1050=$AB$58,$AF$58,E1050=$AB$59,$AF$59,E1050=$AB$60,$AF$60,E1050=$AB$61,$AF$61,E1050=$AB$62,$AF$62,E1050=$AB$63,$AF$63,E1050=$AB$64,$AF$64,E1050=$AB$65,$AF$65,E1050=$AB$66,$AF$66,TRUE,"0")</f>
        <v>40 mins Back ANother Goal</v>
      </c>
      <c r="D1050" s="270" t="str" cm="1">
        <f t="array" ref="D1050">_xlfn.IFS(E1050=$AB$42,$AD$42,E1050=$AB$43,$AD$43,E1050=$AB$44,$AD$44,E1050=$AB$45,$AD$45,E1050=$AB$46,$AD$46,E1050=$AB$47,$AD$47,E1050=$AB$48,$AD$48,E1050=$AB$49,$AD$49,E1050=$AB$50,$AD$50,E1050=$AB$51,$AD$51,E1050=$AB$52,$AD$52,E1050=$AB$53,$AD$53,E1050=$AB$54,$AD$54,E1050=$AB$55,$AD$55,E1050=$AB$56,$AD$56,E1050=$AB$57,$AD$57,E1050=$AB$58,$AD$58,E1050=$AB$59,$AD$59,E1050=$AB$60,$AD$60,E1050=$AB$61,$AD$61,E1050=$AB$62,$AD$62,E1050=$AB$63,$AD$63,E1050=$AB$64,$AD$64,E1050=$AB$65,$AD$65,E1050=$AB$66,$AD$66,TRUE,"0")</f>
        <v xml:space="preserve">  BANG</v>
      </c>
      <c r="E1050" s="163" t="s">
        <v>726</v>
      </c>
      <c r="F1050" s="2" t="s">
        <v>44</v>
      </c>
      <c r="G1050" s="2" t="s">
        <v>45</v>
      </c>
      <c r="H1050" s="3">
        <v>45402.270833333336</v>
      </c>
      <c r="I1050" s="2" t="s">
        <v>321</v>
      </c>
      <c r="J1050" s="2" t="s">
        <v>126</v>
      </c>
      <c r="K1050" s="2">
        <v>90</v>
      </c>
      <c r="L1050" s="2">
        <v>20</v>
      </c>
      <c r="M1050" s="2">
        <v>2.1</v>
      </c>
      <c r="N1050" s="2">
        <v>59</v>
      </c>
      <c r="O1050" s="2"/>
      <c r="P1050" s="2"/>
      <c r="Q1050" s="2" t="s">
        <v>95</v>
      </c>
      <c r="R1050" s="10" t="s">
        <v>217</v>
      </c>
      <c r="S1050" s="10" t="s">
        <v>223</v>
      </c>
      <c r="T1050" s="188">
        <v>1000</v>
      </c>
      <c r="U1050" s="8">
        <f t="shared" si="125"/>
        <v>180</v>
      </c>
      <c r="V1050" s="234">
        <f t="shared" si="126"/>
        <v>92884.155246160299</v>
      </c>
      <c r="W1050" s="15">
        <v>25</v>
      </c>
      <c r="X1050" s="8">
        <f t="shared" si="123"/>
        <v>4.5</v>
      </c>
      <c r="Y1050" s="233">
        <f t="shared" si="124"/>
        <v>4188</v>
      </c>
    </row>
    <row r="1051" spans="1:25">
      <c r="A1051" s="156" t="e" cm="1">
        <f t="array" aca="1" ref="A1051" ca="1">_xlfn.IFS(E1051=$AB$42,$AC$42,E1051=$AB$43,$AC$43,E1051=$AB$44,$AC$44,E1051=$AB$45,$AC$45,E1051=$AB$46,$AC$46,E1051=$AB$47,$AC$47,E1051=$AB$48,$AC$48,E1051=$AB$49,$AC$49,E1051=$AB$50,$AC$50,E1051=$AB$51,$AC$51,E1051=$AB$52,$AC$52,E1051=$AB$53,$AC$53,E1051=$AB$54,$AC$54,E1051=$AB$55,$AC$55,E1051=$AB$56,$AC$56,E1051=$AB$57,$AC$57,E1051=$AB$58,$AC$58,E1051=$AB$59,$AC$59,E1051=$AB$60,$AC$60,E1051=$AB$61,$AC$61,E1051=$AB$62,$AC$62,E1051=$AB$63,$AC$63,E1051=$AB$64,$AC$64,E1051=$AB$65,$AC$65,E1051=$AB$66,$AC$66,TRUE,"0")</f>
        <v>#NAME?</v>
      </c>
      <c r="C1051" s="161" t="str" cm="1">
        <f t="array" ref="C1051">_xlfn.IFS(E1051=$AB$42,$AF$42,E1051=$AB$43,$AF$43,E1051=$AB$44,$AF$44,E1051=$AB$45,$AF$45,E1051=$AB$46,$AF$46,E1051=$AB$47,$AF$47,E1051=$AB$48,$AF$48,E1051=$AB$49,$AF$49,E1051=$AB$50,$AF$50,E1051=$AB$51,$AF$51,E1051=$AB$52,$AF$52,E1051=$AB$53,$AF$53,E1051=$AB$54,$AF$54,E1051=$AB$55,$AF$55,E1051=$AB$56,$AF$56,E1051=$AB$57,$AF$57,E1051=$AB$58,$AF$58,E1051=$AB$59,$AF$59,E1051=$AB$60,$AF$60,E1051=$AB$61,$AF$61,E1051=$AB$62,$AF$62,E1051=$AB$63,$AF$63,E1051=$AB$64,$AF$64,E1051=$AB$65,$AF$65,E1051=$AB$66,$AF$66,TRUE,"0")</f>
        <v>if 0-0, BACK+ 0.5 GOALS  @ 1.15+odds.  or @ 40 mins</v>
      </c>
      <c r="D1051" s="270" t="str" cm="1">
        <f t="array" ref="D1051">_xlfn.IFS(E1051=$AB$42,$AD$42,E1051=$AB$43,$AD$43,E1051=$AB$44,$AD$44,E1051=$AB$45,$AD$45,E1051=$AB$46,$AD$46,E1051=$AB$47,$AD$47,E1051=$AB$48,$AD$48,E1051=$AB$49,$AD$49,E1051=$AB$50,$AD$50,E1051=$AB$51,$AD$51,E1051=$AB$52,$AD$52,E1051=$AB$53,$AD$53,E1051=$AB$54,$AD$54,E1051=$AB$55,$AD$55,E1051=$AB$56,$AD$56,E1051=$AB$57,$AD$57,E1051=$AB$58,$AD$58,E1051=$AB$59,$AD$59,E1051=$AB$60,$AD$60,E1051=$AB$61,$AD$61,E1051=$AB$62,$AD$62,E1051=$AB$63,$AD$63,E1051=$AB$64,$AD$64,E1051=$AB$65,$AD$65,E1051=$AB$66,$AD$66,TRUE,"0")</f>
        <v>IP</v>
      </c>
      <c r="E1051" s="163" t="s">
        <v>270</v>
      </c>
      <c r="F1051" s="2" t="s">
        <v>44</v>
      </c>
      <c r="G1051" s="2" t="s">
        <v>45</v>
      </c>
      <c r="H1051" s="3">
        <v>45402.270833333336</v>
      </c>
      <c r="I1051" s="2" t="s">
        <v>321</v>
      </c>
      <c r="J1051" s="2" t="s">
        <v>126</v>
      </c>
      <c r="K1051" s="2">
        <v>61</v>
      </c>
      <c r="L1051" s="2">
        <v>0</v>
      </c>
      <c r="M1051" s="2">
        <v>20</v>
      </c>
      <c r="N1051" s="2">
        <v>25</v>
      </c>
      <c r="O1051" s="2">
        <v>2.95</v>
      </c>
      <c r="P1051" s="2"/>
      <c r="Q1051" s="2" t="s">
        <v>95</v>
      </c>
      <c r="R1051" s="10" t="s">
        <v>217</v>
      </c>
      <c r="S1051" s="10" t="s">
        <v>223</v>
      </c>
      <c r="T1051" s="188">
        <v>1000</v>
      </c>
      <c r="U1051" s="8">
        <f t="shared" si="125"/>
        <v>180</v>
      </c>
      <c r="V1051" s="234">
        <f t="shared" si="126"/>
        <v>93064.155246160299</v>
      </c>
      <c r="W1051" s="15">
        <v>25</v>
      </c>
      <c r="X1051" s="8">
        <f t="shared" si="123"/>
        <v>4.5</v>
      </c>
      <c r="Y1051" s="233">
        <f t="shared" si="124"/>
        <v>4192.5</v>
      </c>
    </row>
    <row r="1052" spans="1:25">
      <c r="A1052" s="156" t="e" cm="1">
        <f t="array" aca="1" ref="A1052" ca="1">_xlfn.IFS(E1052=$AB$42,$AC$42,E1052=$AB$43,$AC$43,E1052=$AB$44,$AC$44,E1052=$AB$45,$AC$45,E1052=$AB$46,$AC$46,E1052=$AB$47,$AC$47,E1052=$AB$48,$AC$48,E1052=$AB$49,$AC$49,E1052=$AB$50,$AC$50,E1052=$AB$51,$AC$51,E1052=$AB$52,$AC$52,E1052=$AB$53,$AC$53,E1052=$AB$54,$AC$54,E1052=$AB$55,$AC$55,E1052=$AB$56,$AC$56,E1052=$AB$57,$AC$57,E1052=$AB$58,$AC$58,E1052=$AB$59,$AC$59,E1052=$AB$60,$AC$60,E1052=$AB$61,$AC$61,E1052=$AB$62,$AC$62,E1052=$AB$63,$AC$63,E1052=$AB$64,$AC$64,E1052=$AB$65,$AC$65,E1052=$AB$66,$AC$66,TRUE,"0")</f>
        <v>#NAME?</v>
      </c>
      <c r="C1052" s="161" t="str" cm="1">
        <f t="array" ref="C1052">_xlfn.IFS(E1052=$AB$42,$AF$42,E1052=$AB$43,$AF$43,E1052=$AB$44,$AF$44,E1052=$AB$45,$AF$45,E1052=$AB$46,$AF$46,E1052=$AB$47,$AF$47,E1052=$AB$48,$AF$48,E1052=$AB$49,$AF$49,E1052=$AB$50,$AF$50,E1052=$AB$51,$AF$51,E1052=$AB$52,$AF$52,E1052=$AB$53,$AF$53,E1052=$AB$54,$AF$54,E1052=$AB$55,$AF$55,E1052=$AB$56,$AF$56,E1052=$AB$57,$AF$57,E1052=$AB$58,$AF$58,E1052=$AB$59,$AF$59,E1052=$AB$60,$AF$60,E1052=$AB$61,$AF$61,E1052=$AB$62,$AF$62,E1052=$AB$63,$AF$63,E1052=$AB$64,$AF$64,E1052=$AB$65,$AF$65,E1052=$AB$66,$AF$66,TRUE,"0")</f>
        <v>B4 match BACK FT +1.5 goals. X AFTER  GOAL</v>
      </c>
      <c r="D1052" s="270" t="str" cm="1">
        <f t="array" ref="D1052">_xlfn.IFS(E1052=$AB$42,$AD$42,E1052=$AB$43,$AD$43,E1052=$AB$44,$AD$44,E1052=$AB$45,$AD$45,E1052=$AB$46,$AD$46,E1052=$AB$47,$AD$47,E1052=$AB$48,$AD$48,E1052=$AB$49,$AD$49,E1052=$AB$50,$AD$50,E1052=$AB$51,$AD$51,E1052=$AB$52,$AD$52,E1052=$AB$53,$AD$53,E1052=$AB$54,$AD$54,E1052=$AB$55,$AD$55,E1052=$AB$56,$AD$56,E1052=$AB$57,$AD$57,E1052=$AB$58,$AD$58,E1052=$AB$59,$AD$59,E1052=$AB$60,$AD$60,E1052=$AB$61,$AD$61,E1052=$AB$62,$AD$62,E1052=$AB$63,$AD$63,E1052=$AB$64,$AD$64,E1052=$AB$65,$AD$65,E1052=$AB$66,$AD$66,TRUE,"0")</f>
        <v xml:space="preserve">BFM </v>
      </c>
      <c r="E1052" s="163" t="s">
        <v>531</v>
      </c>
      <c r="F1052" s="2" t="s">
        <v>44</v>
      </c>
      <c r="G1052" s="2" t="s">
        <v>45</v>
      </c>
      <c r="H1052" s="3">
        <v>45402.447916666664</v>
      </c>
      <c r="I1052" s="2" t="s">
        <v>143</v>
      </c>
      <c r="J1052" s="2" t="s">
        <v>46</v>
      </c>
      <c r="K1052" s="2">
        <v>4.7</v>
      </c>
      <c r="L1052" s="2">
        <v>26</v>
      </c>
      <c r="M1052" s="2">
        <v>3.62</v>
      </c>
      <c r="N1052" s="2">
        <v>22</v>
      </c>
      <c r="O1052" s="2">
        <v>3</v>
      </c>
      <c r="P1052" s="2">
        <v>13</v>
      </c>
      <c r="Q1052" s="2" t="s">
        <v>95</v>
      </c>
      <c r="R1052" s="10" t="s">
        <v>214</v>
      </c>
      <c r="S1052" s="10" t="s">
        <v>214</v>
      </c>
      <c r="T1052" s="188">
        <v>1000</v>
      </c>
      <c r="U1052" s="8">
        <f t="shared" si="125"/>
        <v>180</v>
      </c>
      <c r="V1052" s="234">
        <f t="shared" ref="V1052" si="127">SUM(V1051,U1052)</f>
        <v>93244.155246160299</v>
      </c>
      <c r="W1052" s="15">
        <v>25</v>
      </c>
      <c r="X1052" s="8">
        <f t="shared" si="123"/>
        <v>4.5</v>
      </c>
      <c r="Y1052" s="233">
        <f t="shared" si="124"/>
        <v>4197</v>
      </c>
    </row>
    <row r="1053" spans="1:25">
      <c r="A1053" s="156" t="e" cm="1">
        <f t="array" aca="1" ref="A1053" ca="1">_xlfn.IFS(E1053=$AB$42,$AC$42,E1053=$AB$43,$AC$43,E1053=$AB$44,$AC$44,E1053=$AB$45,$AC$45,E1053=$AB$46,$AC$46,E1053=$AB$47,$AC$47,E1053=$AB$48,$AC$48,E1053=$AB$49,$AC$49,E1053=$AB$50,$AC$50,E1053=$AB$51,$AC$51,E1053=$AB$52,$AC$52,E1053=$AB$53,$AC$53,E1053=$AB$54,$AC$54,E1053=$AB$55,$AC$55,E1053=$AB$56,$AC$56,E1053=$AB$57,$AC$57,E1053=$AB$58,$AC$58,E1053=$AB$59,$AC$59,E1053=$AB$60,$AC$60,E1053=$AB$61,$AC$61,E1053=$AB$62,$AC$62,E1053=$AB$63,$AC$63,E1053=$AB$64,$AC$64,E1053=$AB$65,$AC$65,E1053=$AB$66,$AC$66,TRUE,"0")</f>
        <v>#NAME?</v>
      </c>
      <c r="C1053" s="161" t="str" cm="1">
        <f t="array" ref="C1053">_xlfn.IFS(E1053=$AB$42,$AF$42,E1053=$AB$43,$AF$43,E1053=$AB$44,$AF$44,E1053=$AB$45,$AF$45,E1053=$AB$46,$AF$46,E1053=$AB$47,$AF$47,E1053=$AB$48,$AF$48,E1053=$AB$49,$AF$49,E1053=$AB$50,$AF$50,E1053=$AB$51,$AF$51,E1053=$AB$52,$AF$52,E1053=$AB$53,$AF$53,E1053=$AB$54,$AF$54,E1053=$AB$55,$AF$55,E1053=$AB$56,$AF$56,E1053=$AB$57,$AF$57,E1053=$AB$58,$AF$58,E1053=$AB$59,$AF$59,E1053=$AB$60,$AF$60,E1053=$AB$61,$AF$61,E1053=$AB$62,$AF$62,E1053=$AB$63,$AF$63,E1053=$AB$64,$AF$64,E1053=$AB$65,$AF$65,E1053=$AB$66,$AF$66,TRUE,"0")</f>
        <v>B4 Match, lay HT 0-0 or BACK H1 +0.5 GOALS</v>
      </c>
      <c r="D1053" s="270" t="str" cm="1">
        <f t="array" ref="D1053">_xlfn.IFS(E1053=$AB$42,$AD$42,E1053=$AB$43,$AD$43,E1053=$AB$44,$AD$44,E1053=$AB$45,$AD$45,E1053=$AB$46,$AD$46,E1053=$AB$47,$AD$47,E1053=$AB$48,$AD$48,E1053=$AB$49,$AD$49,E1053=$AB$50,$AD$50,E1053=$AB$51,$AD$51,E1053=$AB$52,$AD$52,E1053=$AB$53,$AD$53,E1053=$AB$54,$AD$54,E1053=$AB$55,$AD$55,E1053=$AB$56,$AD$56,E1053=$AB$57,$AD$57,E1053=$AB$58,$AD$58,E1053=$AB$59,$AD$59,E1053=$AB$60,$AD$60,E1053=$AB$61,$AD$61,E1053=$AB$62,$AD$62,E1053=$AB$63,$AD$63,E1053=$AB$64,$AD$64,E1053=$AB$65,$AD$65,E1053=$AB$66,$AD$66,TRUE,"0")</f>
        <v xml:space="preserve">BFM </v>
      </c>
      <c r="E1053" s="163" t="s">
        <v>448</v>
      </c>
      <c r="F1053" s="2" t="s">
        <v>44</v>
      </c>
      <c r="G1053" s="2" t="s">
        <v>45</v>
      </c>
      <c r="H1053" s="3">
        <v>45402.447916666664</v>
      </c>
      <c r="I1053" s="2" t="s">
        <v>143</v>
      </c>
      <c r="J1053" s="2" t="s">
        <v>46</v>
      </c>
      <c r="K1053" s="2">
        <v>20</v>
      </c>
      <c r="L1053" s="2">
        <v>10</v>
      </c>
      <c r="M1053" s="2">
        <v>42</v>
      </c>
      <c r="N1053" s="2">
        <v>13</v>
      </c>
      <c r="O1053" s="2">
        <v>8</v>
      </c>
      <c r="P1053" s="2">
        <v>6</v>
      </c>
      <c r="Q1053" s="2" t="s">
        <v>95</v>
      </c>
      <c r="R1053" s="10" t="s">
        <v>214</v>
      </c>
      <c r="S1053" s="10" t="s">
        <v>214</v>
      </c>
      <c r="T1053" s="188">
        <v>1000</v>
      </c>
      <c r="U1053" s="8">
        <f t="shared" si="125"/>
        <v>180</v>
      </c>
      <c r="V1053" s="234">
        <f t="shared" si="126"/>
        <v>93424.155246160299</v>
      </c>
      <c r="W1053" s="15">
        <v>25</v>
      </c>
      <c r="X1053" s="8">
        <f t="shared" si="123"/>
        <v>4.5</v>
      </c>
      <c r="Y1053" s="233">
        <f t="shared" si="124"/>
        <v>4201.5</v>
      </c>
    </row>
    <row r="1054" spans="1:25">
      <c r="A1054" s="156" t="e" cm="1">
        <f t="array" aca="1" ref="A1054" ca="1">_xlfn.IFS(E1054=$AB$42,$AC$42,E1054=$AB$43,$AC$43,E1054=$AB$44,$AC$44,E1054=$AB$45,$AC$45,E1054=$AB$46,$AC$46,E1054=$AB$47,$AC$47,E1054=$AB$48,$AC$48,E1054=$AB$49,$AC$49,E1054=$AB$50,$AC$50,E1054=$AB$51,$AC$51,E1054=$AB$52,$AC$52,E1054=$AB$53,$AC$53,E1054=$AB$54,$AC$54,E1054=$AB$55,$AC$55,E1054=$AB$56,$AC$56,E1054=$AB$57,$AC$57,E1054=$AB$58,$AC$58,E1054=$AB$59,$AC$59,E1054=$AB$60,$AC$60,E1054=$AB$61,$AC$61,E1054=$AB$62,$AC$62,E1054=$AB$63,$AC$63,E1054=$AB$64,$AC$64,E1054=$AB$65,$AC$65,E1054=$AB$66,$AC$66,TRUE,"0")</f>
        <v>#NAME?</v>
      </c>
      <c r="C1054" s="161" t="str" cm="1">
        <f t="array" ref="C1054">_xlfn.IFS(E1054=$AB$42,$AF$42,E1054=$AB$43,$AF$43,E1054=$AB$44,$AF$44,E1054=$AB$45,$AF$45,E1054=$AB$46,$AF$46,E1054=$AB$47,$AF$47,E1054=$AB$48,$AF$48,E1054=$AB$49,$AF$49,E1054=$AB$50,$AF$50,E1054=$AB$51,$AF$51,E1054=$AB$52,$AF$52,E1054=$AB$53,$AF$53,E1054=$AB$54,$AF$54,E1054=$AB$55,$AF$55,E1054=$AB$56,$AF$56,E1054=$AB$57,$AF$57,E1054=$AB$58,$AF$58,E1054=$AB$59,$AF$59,E1054=$AB$60,$AF$60,E1054=$AB$61,$AF$61,E1054=$AB$62,$AF$62,E1054=$AB$63,$AF$63,E1054=$AB$64,$AF$64,E1054=$AB$65,$AF$65,E1054=$AB$66,$AF$66,TRUE,"0")</f>
        <v>B4 match BACK FT +1.5 goals. X AFTER  GOAL</v>
      </c>
      <c r="D1054" s="270" t="str" cm="1">
        <f t="array" ref="D1054">_xlfn.IFS(E1054=$AB$42,$AD$42,E1054=$AB$43,$AD$43,E1054=$AB$44,$AD$44,E1054=$AB$45,$AD$45,E1054=$AB$46,$AD$46,E1054=$AB$47,$AD$47,E1054=$AB$48,$AD$48,E1054=$AB$49,$AD$49,E1054=$AB$50,$AD$50,E1054=$AB$51,$AD$51,E1054=$AB$52,$AD$52,E1054=$AB$53,$AD$53,E1054=$AB$54,$AD$54,E1054=$AB$55,$AD$55,E1054=$AB$56,$AD$56,E1054=$AB$57,$AD$57,E1054=$AB$58,$AD$58,E1054=$AB$59,$AD$59,E1054=$AB$60,$AD$60,E1054=$AB$61,$AD$61,E1054=$AB$62,$AD$62,E1054=$AB$63,$AD$63,E1054=$AB$64,$AD$64,E1054=$AB$65,$AD$65,E1054=$AB$66,$AD$66,TRUE,"0")</f>
        <v xml:space="preserve">BFM </v>
      </c>
      <c r="E1054" s="163" t="s">
        <v>623</v>
      </c>
      <c r="F1054" s="2" t="s">
        <v>77</v>
      </c>
      <c r="G1054" s="2" t="s">
        <v>234</v>
      </c>
      <c r="H1054" s="3">
        <v>45402.5</v>
      </c>
      <c r="I1054" s="2" t="s">
        <v>632</v>
      </c>
      <c r="J1054" s="2" t="s">
        <v>633</v>
      </c>
      <c r="K1054" s="2">
        <v>6</v>
      </c>
      <c r="L1054" s="2">
        <v>20</v>
      </c>
      <c r="M1054" s="2">
        <v>2.9</v>
      </c>
      <c r="N1054" s="2">
        <v>25</v>
      </c>
      <c r="O1054" s="2">
        <v>2</v>
      </c>
      <c r="P1054" s="2">
        <v>10</v>
      </c>
      <c r="Q1054" s="2" t="s">
        <v>95</v>
      </c>
      <c r="R1054" s="10" t="s">
        <v>221</v>
      </c>
      <c r="S1054" s="10" t="s">
        <v>214</v>
      </c>
      <c r="T1054" s="188">
        <v>1000</v>
      </c>
      <c r="U1054" s="8">
        <f t="shared" si="125"/>
        <v>180</v>
      </c>
      <c r="V1054" s="234">
        <f t="shared" si="126"/>
        <v>93604.155246160299</v>
      </c>
      <c r="W1054" s="15">
        <v>25</v>
      </c>
      <c r="X1054" s="8">
        <f t="shared" si="123"/>
        <v>4.5</v>
      </c>
      <c r="Y1054" s="233">
        <f t="shared" si="124"/>
        <v>4206</v>
      </c>
    </row>
    <row r="1055" spans="1:25">
      <c r="A1055" s="156" t="e" cm="1">
        <f t="array" aca="1" ref="A1055" ca="1">_xlfn.IFS(E1055=$AB$42,$AC$42,E1055=$AB$43,$AC$43,E1055=$AB$44,$AC$44,E1055=$AB$45,$AC$45,E1055=$AB$46,$AC$46,E1055=$AB$47,$AC$47,E1055=$AB$48,$AC$48,E1055=$AB$49,$AC$49,E1055=$AB$50,$AC$50,E1055=$AB$51,$AC$51,E1055=$AB$52,$AC$52,E1055=$AB$53,$AC$53,E1055=$AB$54,$AC$54,E1055=$AB$55,$AC$55,E1055=$AB$56,$AC$56,E1055=$AB$57,$AC$57,E1055=$AB$58,$AC$58,E1055=$AB$59,$AC$59,E1055=$AB$60,$AC$60,E1055=$AB$61,$AC$61,E1055=$AB$62,$AC$62,E1055=$AB$63,$AC$63,E1055=$AB$64,$AC$64,E1055=$AB$65,$AC$65,E1055=$AB$66,$AC$66,TRUE,"0")</f>
        <v>#NAME?</v>
      </c>
      <c r="C1055" s="161" t="str" cm="1">
        <f t="array" ref="C1055">_xlfn.IFS(E1055=$AB$42,$AF$42,E1055=$AB$43,$AF$43,E1055=$AB$44,$AF$44,E1055=$AB$45,$AF$45,E1055=$AB$46,$AF$46,E1055=$AB$47,$AF$47,E1055=$AB$48,$AF$48,E1055=$AB$49,$AF$49,E1055=$AB$50,$AF$50,E1055=$AB$51,$AF$51,E1055=$AB$52,$AF$52,E1055=$AB$53,$AF$53,E1055=$AB$54,$AF$54,E1055=$AB$55,$AF$55,E1055=$AB$56,$AF$56,E1055=$AB$57,$AF$57,E1055=$AB$58,$AF$58,E1055=$AB$59,$AF$59,E1055=$AB$60,$AF$60,E1055=$AB$61,$AF$61,E1055=$AB$62,$AF$62,E1055=$AB$63,$AF$63,E1055=$AB$64,$AF$64,E1055=$AB$65,$AF$65,E1055=$AB$66,$AF$66,TRUE,"0")</f>
        <v>10mins if  0-0, BACK over 1.5 goals X after goal OR LET RUN</v>
      </c>
      <c r="D1055" s="270" t="str" cm="1">
        <f t="array" ref="D1055">_xlfn.IFS(E1055=$AB$42,$AD$42,E1055=$AB$43,$AD$43,E1055=$AB$44,$AD$44,E1055=$AB$45,$AD$45,E1055=$AB$46,$AD$46,E1055=$AB$47,$AD$47,E1055=$AB$48,$AD$48,E1055=$AB$49,$AD$49,E1055=$AB$50,$AD$50,E1055=$AB$51,$AD$51,E1055=$AB$52,$AD$52,E1055=$AB$53,$AD$53,E1055=$AB$54,$AD$54,E1055=$AB$55,$AD$55,E1055=$AB$56,$AD$56,E1055=$AB$57,$AD$57,E1055=$AB$58,$AD$58,E1055=$AB$59,$AD$59,E1055=$AB$60,$AD$60,E1055=$AB$61,$AD$61,E1055=$AB$62,$AD$62,E1055=$AB$63,$AD$63,E1055=$AB$64,$AD$64,E1055=$AB$65,$AD$65,E1055=$AB$66,$AD$66,TRUE,"0")</f>
        <v>IP</v>
      </c>
      <c r="E1055" s="163" t="s">
        <v>498</v>
      </c>
      <c r="F1055" s="2" t="s">
        <v>77</v>
      </c>
      <c r="G1055" s="2" t="s">
        <v>234</v>
      </c>
      <c r="H1055" s="3">
        <v>45402.5</v>
      </c>
      <c r="I1055" s="2" t="s">
        <v>632</v>
      </c>
      <c r="J1055" s="2" t="s">
        <v>633</v>
      </c>
      <c r="K1055" s="2">
        <v>67</v>
      </c>
      <c r="L1055" s="2">
        <v>80</v>
      </c>
      <c r="M1055" s="2">
        <v>1.6</v>
      </c>
      <c r="N1055" s="2">
        <v>20</v>
      </c>
      <c r="O1055" s="2"/>
      <c r="P1055" s="2"/>
      <c r="Q1055" s="2" t="s">
        <v>95</v>
      </c>
      <c r="R1055" s="10" t="s">
        <v>221</v>
      </c>
      <c r="S1055" s="10" t="s">
        <v>214</v>
      </c>
      <c r="T1055" s="188">
        <v>1000</v>
      </c>
      <c r="U1055" s="8">
        <f t="shared" si="125"/>
        <v>180</v>
      </c>
      <c r="V1055" s="234">
        <f t="shared" si="126"/>
        <v>93784.155246160299</v>
      </c>
      <c r="W1055" s="15">
        <v>25</v>
      </c>
      <c r="X1055" s="8">
        <f t="shared" si="123"/>
        <v>4.5</v>
      </c>
      <c r="Y1055" s="233">
        <f t="shared" si="124"/>
        <v>4210.5</v>
      </c>
    </row>
    <row r="1056" spans="1:25">
      <c r="A1056" s="156" t="e" cm="1">
        <f t="array" aca="1" ref="A1056" ca="1">_xlfn.IFS(E1056=$AB$42,$AC$42,E1056=$AB$43,$AC$43,E1056=$AB$44,$AC$44,E1056=$AB$45,$AC$45,E1056=$AB$46,$AC$46,E1056=$AB$47,$AC$47,E1056=$AB$48,$AC$48,E1056=$AB$49,$AC$49,E1056=$AB$50,$AC$50,E1056=$AB$51,$AC$51,E1056=$AB$52,$AC$52,E1056=$AB$53,$AC$53,E1056=$AB$54,$AC$54,E1056=$AB$55,$AC$55,E1056=$AB$56,$AC$56,E1056=$AB$57,$AC$57,E1056=$AB$58,$AC$58,E1056=$AB$59,$AC$59,E1056=$AB$60,$AC$60,E1056=$AB$61,$AC$61,E1056=$AB$62,$AC$62,E1056=$AB$63,$AC$63,E1056=$AB$64,$AC$64,E1056=$AB$65,$AC$65,E1056=$AB$66,$AC$66,TRUE,"0")</f>
        <v>#NAME?</v>
      </c>
      <c r="C1056" s="161" t="str" cm="1">
        <f t="array" ref="C1056">_xlfn.IFS(E1056=$AB$42,$AF$42,E1056=$AB$43,$AF$43,E1056=$AB$44,$AF$44,E1056=$AB$45,$AF$45,E1056=$AB$46,$AF$46,E1056=$AB$47,$AF$47,E1056=$AB$48,$AF$48,E1056=$AB$49,$AF$49,E1056=$AB$50,$AF$50,E1056=$AB$51,$AF$51,E1056=$AB$52,$AF$52,E1056=$AB$53,$AF$53,E1056=$AB$54,$AF$54,E1056=$AB$55,$AF$55,E1056=$AB$56,$AF$56,E1056=$AB$57,$AF$57,E1056=$AB$58,$AF$58,E1056=$AB$59,$AF$59,E1056=$AB$60,$AF$60,E1056=$AB$61,$AF$61,E1056=$AB$62,$AF$62,E1056=$AB$63,$AF$63,E1056=$AB$64,$AF$64,E1056=$AB$65,$AF$65,E1056=$AB$66,$AF$66,TRUE,"0")</f>
        <v>40 mins Back ANother Goal</v>
      </c>
      <c r="D1056" s="270" t="str" cm="1">
        <f t="array" ref="D1056">_xlfn.IFS(E1056=$AB$42,$AD$42,E1056=$AB$43,$AD$43,E1056=$AB$44,$AD$44,E1056=$AB$45,$AD$45,E1056=$AB$46,$AD$46,E1056=$AB$47,$AD$47,E1056=$AB$48,$AD$48,E1056=$AB$49,$AD$49,E1056=$AB$50,$AD$50,E1056=$AB$51,$AD$51,E1056=$AB$52,$AD$52,E1056=$AB$53,$AD$53,E1056=$AB$54,$AD$54,E1056=$AB$55,$AD$55,E1056=$AB$56,$AD$56,E1056=$AB$57,$AD$57,E1056=$AB$58,$AD$58,E1056=$AB$59,$AD$59,E1056=$AB$60,$AD$60,E1056=$AB$61,$AD$61,E1056=$AB$62,$AD$62,E1056=$AB$63,$AD$63,E1056=$AB$64,$AD$64,E1056=$AB$65,$AD$65,E1056=$AB$66,$AD$66,TRUE,"0")</f>
        <v xml:space="preserve">  BANG</v>
      </c>
      <c r="E1056" s="163" t="s">
        <v>35</v>
      </c>
      <c r="F1056" s="2" t="s">
        <v>77</v>
      </c>
      <c r="G1056" s="2" t="s">
        <v>234</v>
      </c>
      <c r="H1056" s="3">
        <v>45402.5</v>
      </c>
      <c r="I1056" s="2" t="s">
        <v>631</v>
      </c>
      <c r="J1056" s="2" t="s">
        <v>407</v>
      </c>
      <c r="K1056" s="2">
        <v>69</v>
      </c>
      <c r="L1056" s="2">
        <v>100</v>
      </c>
      <c r="M1056" s="2">
        <v>70</v>
      </c>
      <c r="N1056" s="2">
        <v>40</v>
      </c>
      <c r="O1056" s="2">
        <v>20</v>
      </c>
      <c r="P1056" s="2">
        <v>2.0299999999999998</v>
      </c>
      <c r="Q1056" s="2" t="s">
        <v>95</v>
      </c>
      <c r="R1056" s="10" t="s">
        <v>214</v>
      </c>
      <c r="S1056" s="10" t="s">
        <v>216</v>
      </c>
      <c r="T1056" s="188">
        <v>1000</v>
      </c>
      <c r="U1056" s="8">
        <f t="shared" si="125"/>
        <v>180</v>
      </c>
      <c r="V1056" s="234">
        <f t="shared" si="126"/>
        <v>93964.155246160299</v>
      </c>
      <c r="W1056" s="15">
        <v>25</v>
      </c>
      <c r="X1056" s="8">
        <f t="shared" si="123"/>
        <v>4.5</v>
      </c>
      <c r="Y1056" s="233">
        <f t="shared" si="124"/>
        <v>4215</v>
      </c>
    </row>
    <row r="1057" spans="1:25">
      <c r="A1057" s="156" t="e" cm="1">
        <f t="array" aca="1" ref="A1057" ca="1">_xlfn.IFS(E1057=$AB$42,$AC$42,E1057=$AB$43,$AC$43,E1057=$AB$44,$AC$44,E1057=$AB$45,$AC$45,E1057=$AB$46,$AC$46,E1057=$AB$47,$AC$47,E1057=$AB$48,$AC$48,E1057=$AB$49,$AC$49,E1057=$AB$50,$AC$50,E1057=$AB$51,$AC$51,E1057=$AB$52,$AC$52,E1057=$AB$53,$AC$53,E1057=$AB$54,$AC$54,E1057=$AB$55,$AC$55,E1057=$AB$56,$AC$56,E1057=$AB$57,$AC$57,E1057=$AB$58,$AC$58,E1057=$AB$59,$AC$59,E1057=$AB$60,$AC$60,E1057=$AB$61,$AC$61,E1057=$AB$62,$AC$62,E1057=$AB$63,$AC$63,E1057=$AB$64,$AC$64,E1057=$AB$65,$AC$65,E1057=$AB$66,$AC$66,TRUE,"0")</f>
        <v>#NAME?</v>
      </c>
      <c r="C1057" s="161" t="str" cm="1">
        <f t="array" ref="C1057">_xlfn.IFS(E1057=$AB$42,$AF$42,E1057=$AB$43,$AF$43,E1057=$AB$44,$AF$44,E1057=$AB$45,$AF$45,E1057=$AB$46,$AF$46,E1057=$AB$47,$AF$47,E1057=$AB$48,$AF$48,E1057=$AB$49,$AF$49,E1057=$AB$50,$AF$50,E1057=$AB$51,$AF$51,E1057=$AB$52,$AF$52,E1057=$AB$53,$AF$53,E1057=$AB$54,$AF$54,E1057=$AB$55,$AF$55,E1057=$AB$56,$AF$56,E1057=$AB$57,$AF$57,E1057=$AB$58,$AF$58,E1057=$AB$59,$AF$59,E1057=$AB$60,$AF$60,E1057=$AB$61,$AF$61,E1057=$AB$62,$AF$62,E1057=$AB$63,$AF$63,E1057=$AB$64,$AF$64,E1057=$AB$65,$AF$65,E1057=$AB$66,$AF$66,TRUE,"0")</f>
        <v>40 mins Back ANother Goal</v>
      </c>
      <c r="D1057" s="270" t="str" cm="1">
        <f t="array" ref="D1057">_xlfn.IFS(E1057=$AB$42,$AD$42,E1057=$AB$43,$AD$43,E1057=$AB$44,$AD$44,E1057=$AB$45,$AD$45,E1057=$AB$46,$AD$46,E1057=$AB$47,$AD$47,E1057=$AB$48,$AD$48,E1057=$AB$49,$AD$49,E1057=$AB$50,$AD$50,E1057=$AB$51,$AD$51,E1057=$AB$52,$AD$52,E1057=$AB$53,$AD$53,E1057=$AB$54,$AD$54,E1057=$AB$55,$AD$55,E1057=$AB$56,$AD$56,E1057=$AB$57,$AD$57,E1057=$AB$58,$AD$58,E1057=$AB$59,$AD$59,E1057=$AB$60,$AD$60,E1057=$AB$61,$AD$61,E1057=$AB$62,$AD$62,E1057=$AB$63,$AD$63,E1057=$AB$64,$AD$64,E1057=$AB$65,$AD$65,E1057=$AB$66,$AD$66,TRUE,"0")</f>
        <v xml:space="preserve">  BANG</v>
      </c>
      <c r="E1057" s="163" t="s">
        <v>726</v>
      </c>
      <c r="F1057" s="2" t="s">
        <v>77</v>
      </c>
      <c r="G1057" s="2" t="s">
        <v>234</v>
      </c>
      <c r="H1057" s="3">
        <v>45402.5</v>
      </c>
      <c r="I1057" s="2" t="s">
        <v>631</v>
      </c>
      <c r="J1057" s="2" t="s">
        <v>407</v>
      </c>
      <c r="K1057" s="2">
        <v>100</v>
      </c>
      <c r="L1057" s="2">
        <v>20</v>
      </c>
      <c r="M1057" s="2">
        <v>2.35</v>
      </c>
      <c r="N1057" s="2">
        <v>60</v>
      </c>
      <c r="O1057" s="2"/>
      <c r="P1057" s="2"/>
      <c r="Q1057" s="2" t="s">
        <v>95</v>
      </c>
      <c r="R1057" s="10" t="s">
        <v>214</v>
      </c>
      <c r="S1057" s="10" t="s">
        <v>216</v>
      </c>
      <c r="T1057" s="188">
        <v>1000</v>
      </c>
      <c r="U1057" s="8">
        <f t="shared" si="125"/>
        <v>180</v>
      </c>
      <c r="V1057" s="234">
        <f t="shared" si="126"/>
        <v>94144.155246160299</v>
      </c>
      <c r="W1057" s="15">
        <v>25</v>
      </c>
      <c r="X1057" s="8">
        <f t="shared" ref="X1057:X1120" si="128">IF(Q1057="won",W1057*0.18,-W1057)</f>
        <v>4.5</v>
      </c>
      <c r="Y1057" s="233">
        <f t="shared" si="124"/>
        <v>4219.5</v>
      </c>
    </row>
    <row r="1058" spans="1:25">
      <c r="A1058" s="156" t="e" cm="1">
        <f t="array" aca="1" ref="A1058" ca="1">_xlfn.IFS(E1058=$AB$42,$AC$42,E1058=$AB$43,$AC$43,E1058=$AB$44,$AC$44,E1058=$AB$45,$AC$45,E1058=$AB$46,$AC$46,E1058=$AB$47,$AC$47,E1058=$AB$48,$AC$48,E1058=$AB$49,$AC$49,E1058=$AB$50,$AC$50,E1058=$AB$51,$AC$51,E1058=$AB$52,$AC$52,E1058=$AB$53,$AC$53,E1058=$AB$54,$AC$54,E1058=$AB$55,$AC$55,E1058=$AB$56,$AC$56,E1058=$AB$57,$AC$57,E1058=$AB$58,$AC$58,E1058=$AB$59,$AC$59,E1058=$AB$60,$AC$60,E1058=$AB$61,$AC$61,E1058=$AB$62,$AC$62,E1058=$AB$63,$AC$63,E1058=$AB$64,$AC$64,E1058=$AB$65,$AC$65,E1058=$AB$66,$AC$66,TRUE,"0")</f>
        <v>#NAME?</v>
      </c>
      <c r="C1058" s="161" t="str" cm="1">
        <f t="array" ref="C1058">_xlfn.IFS(E1058=$AB$42,$AF$42,E1058=$AB$43,$AF$43,E1058=$AB$44,$AF$44,E1058=$AB$45,$AF$45,E1058=$AB$46,$AF$46,E1058=$AB$47,$AF$47,E1058=$AB$48,$AF$48,E1058=$AB$49,$AF$49,E1058=$AB$50,$AF$50,E1058=$AB$51,$AF$51,E1058=$AB$52,$AF$52,E1058=$AB$53,$AF$53,E1058=$AB$54,$AF$54,E1058=$AB$55,$AF$55,E1058=$AB$56,$AF$56,E1058=$AB$57,$AF$57,E1058=$AB$58,$AF$58,E1058=$AB$59,$AF$59,E1058=$AB$60,$AF$60,E1058=$AB$61,$AF$61,E1058=$AB$62,$AF$62,E1058=$AB$63,$AF$63,E1058=$AB$64,$AF$64,E1058=$AB$65,$AF$65,E1058=$AB$66,$AF$66,TRUE,"0")</f>
        <v>if 0-0, BACK+ 0.5 GOALS  @ 1.15+odds.  or @ 40 mins</v>
      </c>
      <c r="D1058" s="270" t="str" cm="1">
        <f t="array" ref="D1058">_xlfn.IFS(E1058=$AB$42,$AD$42,E1058=$AB$43,$AD$43,E1058=$AB$44,$AD$44,E1058=$AB$45,$AD$45,E1058=$AB$46,$AD$46,E1058=$AB$47,$AD$47,E1058=$AB$48,$AD$48,E1058=$AB$49,$AD$49,E1058=$AB$50,$AD$50,E1058=$AB$51,$AD$51,E1058=$AB$52,$AD$52,E1058=$AB$53,$AD$53,E1058=$AB$54,$AD$54,E1058=$AB$55,$AD$55,E1058=$AB$56,$AD$56,E1058=$AB$57,$AD$57,E1058=$AB$58,$AD$58,E1058=$AB$59,$AD$59,E1058=$AB$60,$AD$60,E1058=$AB$61,$AD$61,E1058=$AB$62,$AD$62,E1058=$AB$63,$AD$63,E1058=$AB$64,$AD$64,E1058=$AB$65,$AD$65,E1058=$AB$66,$AD$66,TRUE,"0")</f>
        <v>IP</v>
      </c>
      <c r="E1058" s="163" t="s">
        <v>270</v>
      </c>
      <c r="F1058" s="2" t="s">
        <v>77</v>
      </c>
      <c r="G1058" s="2" t="s">
        <v>234</v>
      </c>
      <c r="H1058" s="3">
        <v>45402.5</v>
      </c>
      <c r="I1058" s="2" t="s">
        <v>631</v>
      </c>
      <c r="J1058" s="2" t="s">
        <v>407</v>
      </c>
      <c r="K1058" s="2">
        <v>69</v>
      </c>
      <c r="L1058" s="2">
        <v>0</v>
      </c>
      <c r="M1058" s="2">
        <v>20</v>
      </c>
      <c r="N1058" s="2">
        <v>31</v>
      </c>
      <c r="O1058" s="2">
        <v>3.38</v>
      </c>
      <c r="P1058" s="2"/>
      <c r="Q1058" s="2" t="s">
        <v>95</v>
      </c>
      <c r="R1058" s="10" t="s">
        <v>214</v>
      </c>
      <c r="S1058" s="10" t="s">
        <v>216</v>
      </c>
      <c r="T1058" s="188">
        <v>1000</v>
      </c>
      <c r="U1058" s="8">
        <f t="shared" si="125"/>
        <v>180</v>
      </c>
      <c r="V1058" s="234">
        <f t="shared" si="126"/>
        <v>94324.155246160299</v>
      </c>
      <c r="W1058" s="15">
        <v>25</v>
      </c>
      <c r="X1058" s="8">
        <f t="shared" si="128"/>
        <v>4.5</v>
      </c>
      <c r="Y1058" s="233">
        <f t="shared" si="124"/>
        <v>4224</v>
      </c>
    </row>
    <row r="1059" spans="1:25">
      <c r="A1059" s="156" t="e" cm="1">
        <f t="array" aca="1" ref="A1059" ca="1">_xlfn.IFS(E1059=$AB$42,$AC$42,E1059=$AB$43,$AC$43,E1059=$AB$44,$AC$44,E1059=$AB$45,$AC$45,E1059=$AB$46,$AC$46,E1059=$AB$47,$AC$47,E1059=$AB$48,$AC$48,E1059=$AB$49,$AC$49,E1059=$AB$50,$AC$50,E1059=$AB$51,$AC$51,E1059=$AB$52,$AC$52,E1059=$AB$53,$AC$53,E1059=$AB$54,$AC$54,E1059=$AB$55,$AC$55,E1059=$AB$56,$AC$56,E1059=$AB$57,$AC$57,E1059=$AB$58,$AC$58,E1059=$AB$59,$AC$59,E1059=$AB$60,$AC$60,E1059=$AB$61,$AC$61,E1059=$AB$62,$AC$62,E1059=$AB$63,$AC$63,E1059=$AB$64,$AC$64,E1059=$AB$65,$AC$65,E1059=$AB$66,$AC$66,TRUE,"0")</f>
        <v>#NAME?</v>
      </c>
      <c r="C1059" s="161" t="str" cm="1">
        <f t="array" ref="C1059">_xlfn.IFS(E1059=$AB$42,$AF$42,E1059=$AB$43,$AF$43,E1059=$AB$44,$AF$44,E1059=$AB$45,$AF$45,E1059=$AB$46,$AF$46,E1059=$AB$47,$AF$47,E1059=$AB$48,$AF$48,E1059=$AB$49,$AF$49,E1059=$AB$50,$AF$50,E1059=$AB$51,$AF$51,E1059=$AB$52,$AF$52,E1059=$AB$53,$AF$53,E1059=$AB$54,$AF$54,E1059=$AB$55,$AF$55,E1059=$AB$56,$AF$56,E1059=$AB$57,$AF$57,E1059=$AB$58,$AF$58,E1059=$AB$59,$AF$59,E1059=$AB$60,$AF$60,E1059=$AB$61,$AF$61,E1059=$AB$62,$AF$62,E1059=$AB$63,$AF$63,E1059=$AB$64,$AF$64,E1059=$AB$65,$AF$65,E1059=$AB$66,$AF$66,TRUE,"0")</f>
        <v>40 mins Back ANother Goal</v>
      </c>
      <c r="D1059" s="270" t="str" cm="1">
        <f t="array" ref="D1059">_xlfn.IFS(E1059=$AB$42,$AD$42,E1059=$AB$43,$AD$43,E1059=$AB$44,$AD$44,E1059=$AB$45,$AD$45,E1059=$AB$46,$AD$46,E1059=$AB$47,$AD$47,E1059=$AB$48,$AD$48,E1059=$AB$49,$AD$49,E1059=$AB$50,$AD$50,E1059=$AB$51,$AD$51,E1059=$AB$52,$AD$52,E1059=$AB$53,$AD$53,E1059=$AB$54,$AD$54,E1059=$AB$55,$AD$55,E1059=$AB$56,$AD$56,E1059=$AB$57,$AD$57,E1059=$AB$58,$AD$58,E1059=$AB$59,$AD$59,E1059=$AB$60,$AD$60,E1059=$AB$61,$AD$61,E1059=$AB$62,$AD$62,E1059=$AB$63,$AD$63,E1059=$AB$64,$AD$64,E1059=$AB$65,$AD$65,E1059=$AB$66,$AD$66,TRUE,"0")</f>
        <v xml:space="preserve">  BANG</v>
      </c>
      <c r="E1059" s="163" t="s">
        <v>43</v>
      </c>
      <c r="F1059" s="2" t="s">
        <v>6</v>
      </c>
      <c r="G1059" s="2" t="s">
        <v>14</v>
      </c>
      <c r="H1059" s="3">
        <v>45402.520833333336</v>
      </c>
      <c r="I1059" s="2" t="s">
        <v>290</v>
      </c>
      <c r="J1059" s="2" t="s">
        <v>414</v>
      </c>
      <c r="K1059" s="2">
        <v>70</v>
      </c>
      <c r="L1059" s="2">
        <v>67</v>
      </c>
      <c r="M1059" s="2">
        <v>64</v>
      </c>
      <c r="N1059" s="2">
        <v>1.9</v>
      </c>
      <c r="O1059" s="2">
        <v>1.71</v>
      </c>
      <c r="P1059" s="2"/>
      <c r="Q1059" s="2" t="s">
        <v>95</v>
      </c>
      <c r="R1059" s="10" t="s">
        <v>214</v>
      </c>
      <c r="S1059" s="10" t="s">
        <v>222</v>
      </c>
      <c r="T1059" s="188">
        <v>1000</v>
      </c>
      <c r="U1059" s="8">
        <f t="shared" si="125"/>
        <v>180</v>
      </c>
      <c r="V1059" s="234">
        <f t="shared" si="126"/>
        <v>94504.155246160299</v>
      </c>
      <c r="W1059" s="15">
        <v>25</v>
      </c>
      <c r="X1059" s="8">
        <f t="shared" si="128"/>
        <v>4.5</v>
      </c>
      <c r="Y1059" s="233">
        <f t="shared" si="124"/>
        <v>4228.5</v>
      </c>
    </row>
    <row r="1060" spans="1:25">
      <c r="A1060" s="156" t="e" cm="1">
        <f t="array" aca="1" ref="A1060" ca="1">_xlfn.IFS(E1060=$AB$42,$AC$42,E1060=$AB$43,$AC$43,E1060=$AB$44,$AC$44,E1060=$AB$45,$AC$45,E1060=$AB$46,$AC$46,E1060=$AB$47,$AC$47,E1060=$AB$48,$AC$48,E1060=$AB$49,$AC$49,E1060=$AB$50,$AC$50,E1060=$AB$51,$AC$51,E1060=$AB$52,$AC$52,E1060=$AB$53,$AC$53,E1060=$AB$54,$AC$54,E1060=$AB$55,$AC$55,E1060=$AB$56,$AC$56,E1060=$AB$57,$AC$57,E1060=$AB$58,$AC$58,E1060=$AB$59,$AC$59,E1060=$AB$60,$AC$60,E1060=$AB$61,$AC$61,E1060=$AB$62,$AC$62,E1060=$AB$63,$AC$63,E1060=$AB$64,$AC$64,E1060=$AB$65,$AC$65,E1060=$AB$66,$AC$66,TRUE,"0")</f>
        <v>#NAME?</v>
      </c>
      <c r="C1060" s="161" t="str" cm="1">
        <f t="array" ref="C1060">_xlfn.IFS(E1060=$AB$42,$AF$42,E1060=$AB$43,$AF$43,E1060=$AB$44,$AF$44,E1060=$AB$45,$AF$45,E1060=$AB$46,$AF$46,E1060=$AB$47,$AF$47,E1060=$AB$48,$AF$48,E1060=$AB$49,$AF$49,E1060=$AB$50,$AF$50,E1060=$AB$51,$AF$51,E1060=$AB$52,$AF$52,E1060=$AB$53,$AF$53,E1060=$AB$54,$AF$54,E1060=$AB$55,$AF$55,E1060=$AB$56,$AF$56,E1060=$AB$57,$AF$57,E1060=$AB$58,$AF$58,E1060=$AB$59,$AF$59,E1060=$AB$60,$AF$60,E1060=$AB$61,$AF$61,E1060=$AB$62,$AF$62,E1060=$AB$63,$AF$63,E1060=$AB$64,$AF$64,E1060=$AB$65,$AF$65,E1060=$AB$66,$AF$66,TRUE,"0")</f>
        <v>40 mins Back ANother Goal</v>
      </c>
      <c r="D1060" s="270" t="str" cm="1">
        <f t="array" ref="D1060">_xlfn.IFS(E1060=$AB$42,$AD$42,E1060=$AB$43,$AD$43,E1060=$AB$44,$AD$44,E1060=$AB$45,$AD$45,E1060=$AB$46,$AD$46,E1060=$AB$47,$AD$47,E1060=$AB$48,$AD$48,E1060=$AB$49,$AD$49,E1060=$AB$50,$AD$50,E1060=$AB$51,$AD$51,E1060=$AB$52,$AD$52,E1060=$AB$53,$AD$53,E1060=$AB$54,$AD$54,E1060=$AB$55,$AD$55,E1060=$AB$56,$AD$56,E1060=$AB$57,$AD$57,E1060=$AB$58,$AD$58,E1060=$AB$59,$AD$59,E1060=$AB$60,$AD$60,E1060=$AB$61,$AD$61,E1060=$AB$62,$AD$62,E1060=$AB$63,$AD$63,E1060=$AB$64,$AD$64,E1060=$AB$65,$AD$65,E1060=$AB$66,$AD$66,TRUE,"0")</f>
        <v xml:space="preserve">  BANG</v>
      </c>
      <c r="E1060" s="163" t="s">
        <v>726</v>
      </c>
      <c r="F1060" s="2" t="s">
        <v>6</v>
      </c>
      <c r="G1060" s="2" t="s">
        <v>14</v>
      </c>
      <c r="H1060" s="3">
        <v>45402.520833333336</v>
      </c>
      <c r="I1060" s="2" t="s">
        <v>290</v>
      </c>
      <c r="J1060" s="2" t="s">
        <v>414</v>
      </c>
      <c r="K1060" s="2">
        <v>85</v>
      </c>
      <c r="L1060" s="2">
        <v>20</v>
      </c>
      <c r="M1060" s="2">
        <v>1.9</v>
      </c>
      <c r="N1060" s="2">
        <v>64</v>
      </c>
      <c r="O1060" s="2"/>
      <c r="P1060" s="2"/>
      <c r="Q1060" s="2" t="s">
        <v>95</v>
      </c>
      <c r="R1060" s="10" t="s">
        <v>214</v>
      </c>
      <c r="S1060" s="10" t="s">
        <v>222</v>
      </c>
      <c r="T1060" s="188">
        <v>1000</v>
      </c>
      <c r="U1060" s="8">
        <f t="shared" si="125"/>
        <v>180</v>
      </c>
      <c r="V1060" s="234">
        <f t="shared" si="126"/>
        <v>94684.155246160299</v>
      </c>
      <c r="W1060" s="15">
        <v>25</v>
      </c>
      <c r="X1060" s="8">
        <f t="shared" si="128"/>
        <v>4.5</v>
      </c>
      <c r="Y1060" s="233">
        <f t="shared" si="124"/>
        <v>4233</v>
      </c>
    </row>
    <row r="1061" spans="1:25">
      <c r="A1061" s="156" t="e" cm="1">
        <f t="array" aca="1" ref="A1061" ca="1">_xlfn.IFS(E1061=$AB$42,$AC$42,E1061=$AB$43,$AC$43,E1061=$AB$44,$AC$44,E1061=$AB$45,$AC$45,E1061=$AB$46,$AC$46,E1061=$AB$47,$AC$47,E1061=$AB$48,$AC$48,E1061=$AB$49,$AC$49,E1061=$AB$50,$AC$50,E1061=$AB$51,$AC$51,E1061=$AB$52,$AC$52,E1061=$AB$53,$AC$53,E1061=$AB$54,$AC$54,E1061=$AB$55,$AC$55,E1061=$AB$56,$AC$56,E1061=$AB$57,$AC$57,E1061=$AB$58,$AC$58,E1061=$AB$59,$AC$59,E1061=$AB$60,$AC$60,E1061=$AB$61,$AC$61,E1061=$AB$62,$AC$62,E1061=$AB$63,$AC$63,E1061=$AB$64,$AC$64,E1061=$AB$65,$AC$65,E1061=$AB$66,$AC$66,TRUE,"0")</f>
        <v>#NAME?</v>
      </c>
      <c r="C1061" s="161" t="str" cm="1">
        <f t="array" ref="C1061">_xlfn.IFS(E1061=$AB$42,$AF$42,E1061=$AB$43,$AF$43,E1061=$AB$44,$AF$44,E1061=$AB$45,$AF$45,E1061=$AB$46,$AF$46,E1061=$AB$47,$AF$47,E1061=$AB$48,$AF$48,E1061=$AB$49,$AF$49,E1061=$AB$50,$AF$50,E1061=$AB$51,$AF$51,E1061=$AB$52,$AF$52,E1061=$AB$53,$AF$53,E1061=$AB$54,$AF$54,E1061=$AB$55,$AF$55,E1061=$AB$56,$AF$56,E1061=$AB$57,$AF$57,E1061=$AB$58,$AF$58,E1061=$AB$59,$AF$59,E1061=$AB$60,$AF$60,E1061=$AB$61,$AF$61,E1061=$AB$62,$AF$62,E1061=$AB$63,$AF$63,E1061=$AB$64,$AF$64,E1061=$AB$65,$AF$65,E1061=$AB$66,$AF$66,TRUE,"0")</f>
        <v>if 0-0, BACK+ 0.5 GOALS  @ 1.15+odds.  or @ 40 mins</v>
      </c>
      <c r="D1061" s="270" t="str" cm="1">
        <f t="array" ref="D1061">_xlfn.IFS(E1061=$AB$42,$AD$42,E1061=$AB$43,$AD$43,E1061=$AB$44,$AD$44,E1061=$AB$45,$AD$45,E1061=$AB$46,$AD$46,E1061=$AB$47,$AD$47,E1061=$AB$48,$AD$48,E1061=$AB$49,$AD$49,E1061=$AB$50,$AD$50,E1061=$AB$51,$AD$51,E1061=$AB$52,$AD$52,E1061=$AB$53,$AD$53,E1061=$AB$54,$AD$54,E1061=$AB$55,$AD$55,E1061=$AB$56,$AD$56,E1061=$AB$57,$AD$57,E1061=$AB$58,$AD$58,E1061=$AB$59,$AD$59,E1061=$AB$60,$AD$60,E1061=$AB$61,$AD$61,E1061=$AB$62,$AD$62,E1061=$AB$63,$AD$63,E1061=$AB$64,$AD$64,E1061=$AB$65,$AD$65,E1061=$AB$66,$AD$66,TRUE,"0")</f>
        <v>IP</v>
      </c>
      <c r="E1061" s="163" t="s">
        <v>270</v>
      </c>
      <c r="F1061" s="2" t="s">
        <v>6</v>
      </c>
      <c r="G1061" s="2" t="s">
        <v>14</v>
      </c>
      <c r="H1061" s="3">
        <v>45402.520833333336</v>
      </c>
      <c r="I1061" s="2" t="s">
        <v>290</v>
      </c>
      <c r="J1061" s="2" t="s">
        <v>414</v>
      </c>
      <c r="K1061" s="2">
        <v>61</v>
      </c>
      <c r="L1061" s="2">
        <v>0</v>
      </c>
      <c r="M1061" s="2">
        <v>20</v>
      </c>
      <c r="N1061" s="2">
        <v>29</v>
      </c>
      <c r="O1061" s="2">
        <v>2.67</v>
      </c>
      <c r="P1061" s="2"/>
      <c r="Q1061" s="2" t="s">
        <v>95</v>
      </c>
      <c r="R1061" s="10" t="s">
        <v>214</v>
      </c>
      <c r="S1061" s="10" t="s">
        <v>222</v>
      </c>
      <c r="T1061" s="188">
        <v>1000</v>
      </c>
      <c r="U1061" s="8">
        <f t="shared" si="125"/>
        <v>180</v>
      </c>
      <c r="V1061" s="234">
        <f t="shared" ref="V1061:V1063" si="129">SUM(V1060,U1061)</f>
        <v>94864.155246160299</v>
      </c>
      <c r="W1061" s="15">
        <v>25</v>
      </c>
      <c r="X1061" s="8">
        <f t="shared" si="128"/>
        <v>4.5</v>
      </c>
      <c r="Y1061" s="233">
        <f t="shared" ref="Y1061:Y1124" si="130">SUM(Y1060,X1061)</f>
        <v>4237.5</v>
      </c>
    </row>
    <row r="1062" spans="1:25">
      <c r="A1062" s="156" t="e" cm="1">
        <f t="array" aca="1" ref="A1062" ca="1">_xlfn.IFS(E1062=$AB$42,$AC$42,E1062=$AB$43,$AC$43,E1062=$AB$44,$AC$44,E1062=$AB$45,$AC$45,E1062=$AB$46,$AC$46,E1062=$AB$47,$AC$47,E1062=$AB$48,$AC$48,E1062=$AB$49,$AC$49,E1062=$AB$50,$AC$50,E1062=$AB$51,$AC$51,E1062=$AB$52,$AC$52,E1062=$AB$53,$AC$53,E1062=$AB$54,$AC$54,E1062=$AB$55,$AC$55,E1062=$AB$56,$AC$56,E1062=$AB$57,$AC$57,E1062=$AB$58,$AC$58,E1062=$AB$59,$AC$59,E1062=$AB$60,$AC$60,E1062=$AB$61,$AC$61,E1062=$AB$62,$AC$62,E1062=$AB$63,$AC$63,E1062=$AB$64,$AC$64,E1062=$AB$65,$AC$65,E1062=$AB$66,$AC$66,TRUE,"0")</f>
        <v>#NAME?</v>
      </c>
      <c r="C1062" s="161" t="str" cm="1">
        <f t="array" ref="C1062">_xlfn.IFS(E1062=$AB$42,$AF$42,E1062=$AB$43,$AF$43,E1062=$AB$44,$AF$44,E1062=$AB$45,$AF$45,E1062=$AB$46,$AF$46,E1062=$AB$47,$AF$47,E1062=$AB$48,$AF$48,E1062=$AB$49,$AF$49,E1062=$AB$50,$AF$50,E1062=$AB$51,$AF$51,E1062=$AB$52,$AF$52,E1062=$AB$53,$AF$53,E1062=$AB$54,$AF$54,E1062=$AB$55,$AF$55,E1062=$AB$56,$AF$56,E1062=$AB$57,$AF$57,E1062=$AB$58,$AF$58,E1062=$AB$59,$AF$59,E1062=$AB$60,$AF$60,E1062=$AB$61,$AF$61,E1062=$AB$62,$AF$62,E1062=$AB$63,$AF$63,E1062=$AB$64,$AF$64,E1062=$AB$65,$AF$65,E1062=$AB$66,$AF$66,TRUE,"0")</f>
        <v>B4 match BACK FT +1.5 goals. X AFTER  GOAL</v>
      </c>
      <c r="D1062" s="270" t="str" cm="1">
        <f t="array" ref="D1062">_xlfn.IFS(E1062=$AB$42,$AD$42,E1062=$AB$43,$AD$43,E1062=$AB$44,$AD$44,E1062=$AB$45,$AD$45,E1062=$AB$46,$AD$46,E1062=$AB$47,$AD$47,E1062=$AB$48,$AD$48,E1062=$AB$49,$AD$49,E1062=$AB$50,$AD$50,E1062=$AB$51,$AD$51,E1062=$AB$52,$AD$52,E1062=$AB$53,$AD$53,E1062=$AB$54,$AD$54,E1062=$AB$55,$AD$55,E1062=$AB$56,$AD$56,E1062=$AB$57,$AD$57,E1062=$AB$58,$AD$58,E1062=$AB$59,$AD$59,E1062=$AB$60,$AD$60,E1062=$AB$61,$AD$61,E1062=$AB$62,$AD$62,E1062=$AB$63,$AD$63,E1062=$AB$64,$AD$64,E1062=$AB$65,$AD$65,E1062=$AB$66,$AD$66,TRUE,"0")</f>
        <v xml:space="preserve">BFM </v>
      </c>
      <c r="E1062" s="163" t="s">
        <v>623</v>
      </c>
      <c r="F1062" s="2" t="s">
        <v>77</v>
      </c>
      <c r="G1062" s="2" t="s">
        <v>156</v>
      </c>
      <c r="H1062" s="3">
        <v>45402.604166666664</v>
      </c>
      <c r="I1062" s="2" t="s">
        <v>438</v>
      </c>
      <c r="J1062" s="2" t="s">
        <v>345</v>
      </c>
      <c r="K1062" s="2">
        <v>6.2</v>
      </c>
      <c r="L1062" s="2">
        <v>20</v>
      </c>
      <c r="M1062" s="2">
        <v>2.85</v>
      </c>
      <c r="N1062" s="2">
        <v>32</v>
      </c>
      <c r="O1062" s="2">
        <v>2</v>
      </c>
      <c r="P1062" s="2">
        <v>10</v>
      </c>
      <c r="Q1062" s="2" t="s">
        <v>95</v>
      </c>
      <c r="R1062" s="10" t="s">
        <v>221</v>
      </c>
      <c r="S1062" s="10" t="s">
        <v>217</v>
      </c>
      <c r="T1062" s="188">
        <v>1000</v>
      </c>
      <c r="U1062" s="8">
        <f t="shared" si="125"/>
        <v>180</v>
      </c>
      <c r="V1062" s="234">
        <f t="shared" si="129"/>
        <v>95044.155246160299</v>
      </c>
      <c r="W1062" s="15">
        <v>25</v>
      </c>
      <c r="X1062" s="8">
        <f t="shared" si="128"/>
        <v>4.5</v>
      </c>
      <c r="Y1062" s="233">
        <f t="shared" si="130"/>
        <v>4242</v>
      </c>
    </row>
    <row r="1063" spans="1:25">
      <c r="A1063" s="156" t="e" cm="1">
        <f t="array" aca="1" ref="A1063" ca="1">_xlfn.IFS(E1063=$AB$42,$AC$42,E1063=$AB$43,$AC$43,E1063=$AB$44,$AC$44,E1063=$AB$45,$AC$45,E1063=$AB$46,$AC$46,E1063=$AB$47,$AC$47,E1063=$AB$48,$AC$48,E1063=$AB$49,$AC$49,E1063=$AB$50,$AC$50,E1063=$AB$51,$AC$51,E1063=$AB$52,$AC$52,E1063=$AB$53,$AC$53,E1063=$AB$54,$AC$54,E1063=$AB$55,$AC$55,E1063=$AB$56,$AC$56,E1063=$AB$57,$AC$57,E1063=$AB$58,$AC$58,E1063=$AB$59,$AC$59,E1063=$AB$60,$AC$60,E1063=$AB$61,$AC$61,E1063=$AB$62,$AC$62,E1063=$AB$63,$AC$63,E1063=$AB$64,$AC$64,E1063=$AB$65,$AC$65,E1063=$AB$66,$AC$66,TRUE,"0")</f>
        <v>#NAME?</v>
      </c>
      <c r="C1063" s="161" t="str" cm="1">
        <f t="array" ref="C1063">_xlfn.IFS(E1063=$AB$42,$AF$42,E1063=$AB$43,$AF$43,E1063=$AB$44,$AF$44,E1063=$AB$45,$AF$45,E1063=$AB$46,$AF$46,E1063=$AB$47,$AF$47,E1063=$AB$48,$AF$48,E1063=$AB$49,$AF$49,E1063=$AB$50,$AF$50,E1063=$AB$51,$AF$51,E1063=$AB$52,$AF$52,E1063=$AB$53,$AF$53,E1063=$AB$54,$AF$54,E1063=$AB$55,$AF$55,E1063=$AB$56,$AF$56,E1063=$AB$57,$AF$57,E1063=$AB$58,$AF$58,E1063=$AB$59,$AF$59,E1063=$AB$60,$AF$60,E1063=$AB$61,$AF$61,E1063=$AB$62,$AF$62,E1063=$AB$63,$AF$63,E1063=$AB$64,$AF$64,E1063=$AB$65,$AF$65,E1063=$AB$66,$AF$66,TRUE,"0")</f>
        <v>B4 match BACK FT +1.5 goals. X AFTER  GOAL</v>
      </c>
      <c r="D1063" s="270" t="str" cm="1">
        <f t="array" ref="D1063">_xlfn.IFS(E1063=$AB$42,$AD$42,E1063=$AB$43,$AD$43,E1063=$AB$44,$AD$44,E1063=$AB$45,$AD$45,E1063=$AB$46,$AD$46,E1063=$AB$47,$AD$47,E1063=$AB$48,$AD$48,E1063=$AB$49,$AD$49,E1063=$AB$50,$AD$50,E1063=$AB$51,$AD$51,E1063=$AB$52,$AD$52,E1063=$AB$53,$AD$53,E1063=$AB$54,$AD$54,E1063=$AB$55,$AD$55,E1063=$AB$56,$AD$56,E1063=$AB$57,$AD$57,E1063=$AB$58,$AD$58,E1063=$AB$59,$AD$59,E1063=$AB$60,$AD$60,E1063=$AB$61,$AD$61,E1063=$AB$62,$AD$62,E1063=$AB$63,$AD$63,E1063=$AB$64,$AD$64,E1063=$AB$65,$AD$65,E1063=$AB$66,$AD$66,TRUE,"0")</f>
        <v xml:space="preserve">BFM </v>
      </c>
      <c r="E1063" s="163" t="s">
        <v>531</v>
      </c>
      <c r="F1063" s="2" t="s">
        <v>77</v>
      </c>
      <c r="G1063" s="2" t="s">
        <v>156</v>
      </c>
      <c r="H1063" s="3">
        <v>45402.604166666664</v>
      </c>
      <c r="I1063" s="2" t="s">
        <v>260</v>
      </c>
      <c r="J1063" s="2" t="s">
        <v>181</v>
      </c>
      <c r="K1063" s="2">
        <v>5.0999999999999996</v>
      </c>
      <c r="L1063" s="2">
        <v>28</v>
      </c>
      <c r="M1063" s="2">
        <v>3.61</v>
      </c>
      <c r="N1063" s="2">
        <v>32</v>
      </c>
      <c r="O1063" s="2">
        <v>4</v>
      </c>
      <c r="P1063" s="2">
        <v>14</v>
      </c>
      <c r="Q1063" s="2" t="s">
        <v>95</v>
      </c>
      <c r="R1063" s="10" t="s">
        <v>193</v>
      </c>
      <c r="S1063" s="10" t="s">
        <v>223</v>
      </c>
      <c r="T1063" s="188">
        <v>1000</v>
      </c>
      <c r="U1063" s="8">
        <f t="shared" si="125"/>
        <v>180</v>
      </c>
      <c r="V1063" s="234">
        <f t="shared" si="129"/>
        <v>95224.155246160299</v>
      </c>
      <c r="W1063" s="15">
        <v>25</v>
      </c>
      <c r="X1063" s="8">
        <f t="shared" si="128"/>
        <v>4.5</v>
      </c>
      <c r="Y1063" s="233">
        <f t="shared" si="130"/>
        <v>4246.5</v>
      </c>
    </row>
    <row r="1064" spans="1:25">
      <c r="A1064" s="156" t="e" cm="1">
        <f t="array" aca="1" ref="A1064" ca="1">_xlfn.IFS(E1064=$AB$42,$AC$42,E1064=$AB$43,$AC$43,E1064=$AB$44,$AC$44,E1064=$AB$45,$AC$45,E1064=$AB$46,$AC$46,E1064=$AB$47,$AC$47,E1064=$AB$48,$AC$48,E1064=$AB$49,$AC$49,E1064=$AB$50,$AC$50,E1064=$AB$51,$AC$51,E1064=$AB$52,$AC$52,E1064=$AB$53,$AC$53,E1064=$AB$54,$AC$54,E1064=$AB$55,$AC$55,E1064=$AB$56,$AC$56,E1064=$AB$57,$AC$57,E1064=$AB$58,$AC$58,E1064=$AB$59,$AC$59,E1064=$AB$60,$AC$60,E1064=$AB$61,$AC$61,E1064=$AB$62,$AC$62,E1064=$AB$63,$AC$63,E1064=$AB$64,$AC$64,E1064=$AB$65,$AC$65,E1064=$AB$66,$AC$66,TRUE,"0")</f>
        <v>#NAME?</v>
      </c>
      <c r="C1064" s="161" t="str" cm="1">
        <f t="array" ref="C1064">_xlfn.IFS(E1064=$AB$42,$AF$42,E1064=$AB$43,$AF$43,E1064=$AB$44,$AF$44,E1064=$AB$45,$AF$45,E1064=$AB$46,$AF$46,E1064=$AB$47,$AF$47,E1064=$AB$48,$AF$48,E1064=$AB$49,$AF$49,E1064=$AB$50,$AF$50,E1064=$AB$51,$AF$51,E1064=$AB$52,$AF$52,E1064=$AB$53,$AF$53,E1064=$AB$54,$AF$54,E1064=$AB$55,$AF$55,E1064=$AB$56,$AF$56,E1064=$AB$57,$AF$57,E1064=$AB$58,$AF$58,E1064=$AB$59,$AF$59,E1064=$AB$60,$AF$60,E1064=$AB$61,$AF$61,E1064=$AB$62,$AF$62,E1064=$AB$63,$AF$63,E1064=$AB$64,$AF$64,E1064=$AB$65,$AF$65,E1064=$AB$66,$AF$66,TRUE,"0")</f>
        <v>20mins if  0-0, BACK over 1.5 goals X after goal OR LET RUN</v>
      </c>
      <c r="D1064" s="270" t="str" cm="1">
        <f t="array" ref="D1064">_xlfn.IFS(E1064=$AB$42,$AD$42,E1064=$AB$43,$AD$43,E1064=$AB$44,$AD$44,E1064=$AB$45,$AD$45,E1064=$AB$46,$AD$46,E1064=$AB$47,$AD$47,E1064=$AB$48,$AD$48,E1064=$AB$49,$AD$49,E1064=$AB$50,$AD$50,E1064=$AB$51,$AD$51,E1064=$AB$52,$AD$52,E1064=$AB$53,$AD$53,E1064=$AB$54,$AD$54,E1064=$AB$55,$AD$55,E1064=$AB$56,$AD$56,E1064=$AB$57,$AD$57,E1064=$AB$58,$AD$58,E1064=$AB$59,$AD$59,E1064=$AB$60,$AD$60,E1064=$AB$61,$AD$61,E1064=$AB$62,$AD$62,E1064=$AB$63,$AD$63,E1064=$AB$64,$AD$64,E1064=$AB$65,$AD$65,E1064=$AB$66,$AD$66,TRUE,"0")</f>
        <v>IP</v>
      </c>
      <c r="E1064" s="163" t="s">
        <v>474</v>
      </c>
      <c r="F1064" s="2" t="s">
        <v>77</v>
      </c>
      <c r="G1064" s="2" t="s">
        <v>156</v>
      </c>
      <c r="H1064" s="3">
        <v>45402.604166666664</v>
      </c>
      <c r="I1064" s="2" t="s">
        <v>260</v>
      </c>
      <c r="J1064" s="2" t="s">
        <v>181</v>
      </c>
      <c r="K1064" s="2">
        <v>57</v>
      </c>
      <c r="L1064" s="2">
        <v>3.45</v>
      </c>
      <c r="M1064" s="2">
        <v>20</v>
      </c>
      <c r="N1064" s="2">
        <v>65</v>
      </c>
      <c r="O1064" s="2">
        <v>90</v>
      </c>
      <c r="P1064" s="2"/>
      <c r="Q1064" s="2" t="s">
        <v>95</v>
      </c>
      <c r="R1064" s="10" t="s">
        <v>193</v>
      </c>
      <c r="S1064" s="10" t="s">
        <v>223</v>
      </c>
      <c r="T1064" s="188">
        <v>1000</v>
      </c>
      <c r="U1064" s="8">
        <f t="shared" si="125"/>
        <v>180</v>
      </c>
      <c r="V1064" s="234">
        <f t="shared" si="126"/>
        <v>95404.155246160299</v>
      </c>
      <c r="W1064" s="15">
        <v>25</v>
      </c>
      <c r="X1064" s="8">
        <f t="shared" si="128"/>
        <v>4.5</v>
      </c>
      <c r="Y1064" s="233">
        <f t="shared" si="130"/>
        <v>4251</v>
      </c>
    </row>
    <row r="1065" spans="1:25">
      <c r="A1065" s="156" t="e" cm="1">
        <f t="array" aca="1" ref="A1065" ca="1">_xlfn.IFS(E1065=$AB$42,$AC$42,E1065=$AB$43,$AC$43,E1065=$AB$44,$AC$44,E1065=$AB$45,$AC$45,E1065=$AB$46,$AC$46,E1065=$AB$47,$AC$47,E1065=$AB$48,$AC$48,E1065=$AB$49,$AC$49,E1065=$AB$50,$AC$50,E1065=$AB$51,$AC$51,E1065=$AB$52,$AC$52,E1065=$AB$53,$AC$53,E1065=$AB$54,$AC$54,E1065=$AB$55,$AC$55,E1065=$AB$56,$AC$56,E1065=$AB$57,$AC$57,E1065=$AB$58,$AC$58,E1065=$AB$59,$AC$59,E1065=$AB$60,$AC$60,E1065=$AB$61,$AC$61,E1065=$AB$62,$AC$62,E1065=$AB$63,$AC$63,E1065=$AB$64,$AC$64,E1065=$AB$65,$AC$65,E1065=$AB$66,$AC$66,TRUE,"0")</f>
        <v>#NAME?</v>
      </c>
      <c r="C1065" s="161" t="str" cm="1">
        <f t="array" ref="C1065">_xlfn.IFS(E1065=$AB$42,$AF$42,E1065=$AB$43,$AF$43,E1065=$AB$44,$AF$44,E1065=$AB$45,$AF$45,E1065=$AB$46,$AF$46,E1065=$AB$47,$AF$47,E1065=$AB$48,$AF$48,E1065=$AB$49,$AF$49,E1065=$AB$50,$AF$50,E1065=$AB$51,$AF$51,E1065=$AB$52,$AF$52,E1065=$AB$53,$AF$53,E1065=$AB$54,$AF$54,E1065=$AB$55,$AF$55,E1065=$AB$56,$AF$56,E1065=$AB$57,$AF$57,E1065=$AB$58,$AF$58,E1065=$AB$59,$AF$59,E1065=$AB$60,$AF$60,E1065=$AB$61,$AF$61,E1065=$AB$62,$AF$62,E1065=$AB$63,$AF$63,E1065=$AB$64,$AF$64,E1065=$AB$65,$AF$65,E1065=$AB$66,$AF$66,TRUE,"0")</f>
        <v>20mins if  0-0, BACK over 1.5 goals X after goal OR LET RUN</v>
      </c>
      <c r="D1065" s="270" t="str" cm="1">
        <f t="array" ref="D1065">_xlfn.IFS(E1065=$AB$42,$AD$42,E1065=$AB$43,$AD$43,E1065=$AB$44,$AD$44,E1065=$AB$45,$AD$45,E1065=$AB$46,$AD$46,E1065=$AB$47,$AD$47,E1065=$AB$48,$AD$48,E1065=$AB$49,$AD$49,E1065=$AB$50,$AD$50,E1065=$AB$51,$AD$51,E1065=$AB$52,$AD$52,E1065=$AB$53,$AD$53,E1065=$AB$54,$AD$54,E1065=$AB$55,$AD$55,E1065=$AB$56,$AD$56,E1065=$AB$57,$AD$57,E1065=$AB$58,$AD$58,E1065=$AB$59,$AD$59,E1065=$AB$60,$AD$60,E1065=$AB$61,$AD$61,E1065=$AB$62,$AD$62,E1065=$AB$63,$AD$63,E1065=$AB$64,$AD$64,E1065=$AB$65,$AD$65,E1065=$AB$66,$AD$66,TRUE,"0")</f>
        <v>IP</v>
      </c>
      <c r="E1065" s="163" t="s">
        <v>474</v>
      </c>
      <c r="F1065" s="2" t="s">
        <v>77</v>
      </c>
      <c r="G1065" s="2" t="s">
        <v>156</v>
      </c>
      <c r="H1065" s="3">
        <v>45402.604166666664</v>
      </c>
      <c r="I1065" s="2" t="s">
        <v>161</v>
      </c>
      <c r="J1065" s="2" t="s">
        <v>239</v>
      </c>
      <c r="K1065" s="2">
        <v>51</v>
      </c>
      <c r="L1065" s="2">
        <v>3.2</v>
      </c>
      <c r="M1065" s="2">
        <v>20</v>
      </c>
      <c r="N1065" s="2">
        <v>70</v>
      </c>
      <c r="O1065" s="2">
        <v>90</v>
      </c>
      <c r="P1065" s="2"/>
      <c r="Q1065" s="2" t="s">
        <v>95</v>
      </c>
      <c r="R1065" s="10" t="s">
        <v>214</v>
      </c>
      <c r="S1065" s="10" t="s">
        <v>214</v>
      </c>
      <c r="T1065" s="188">
        <v>1000</v>
      </c>
      <c r="U1065" s="8">
        <f t="shared" si="125"/>
        <v>180</v>
      </c>
      <c r="V1065" s="234">
        <f t="shared" si="126"/>
        <v>95584.155246160299</v>
      </c>
      <c r="W1065" s="15">
        <v>25</v>
      </c>
      <c r="X1065" s="8">
        <f t="shared" si="128"/>
        <v>4.5</v>
      </c>
      <c r="Y1065" s="233">
        <f t="shared" si="130"/>
        <v>4255.5</v>
      </c>
    </row>
    <row r="1066" spans="1:25">
      <c r="A1066" s="156" t="e" cm="1">
        <f t="array" aca="1" ref="A1066" ca="1">_xlfn.IFS(E1066=$AB$42,$AC$42,E1066=$AB$43,$AC$43,E1066=$AB$44,$AC$44,E1066=$AB$45,$AC$45,E1066=$AB$46,$AC$46,E1066=$AB$47,$AC$47,E1066=$AB$48,$AC$48,E1066=$AB$49,$AC$49,E1066=$AB$50,$AC$50,E1066=$AB$51,$AC$51,E1066=$AB$52,$AC$52,E1066=$AB$53,$AC$53,E1066=$AB$54,$AC$54,E1066=$AB$55,$AC$55,E1066=$AB$56,$AC$56,E1066=$AB$57,$AC$57,E1066=$AB$58,$AC$58,E1066=$AB$59,$AC$59,E1066=$AB$60,$AC$60,E1066=$AB$61,$AC$61,E1066=$AB$62,$AC$62,E1066=$AB$63,$AC$63,E1066=$AB$64,$AC$64,E1066=$AB$65,$AC$65,E1066=$AB$66,$AC$66,TRUE,"0")</f>
        <v>#NAME?</v>
      </c>
      <c r="C1066" s="161" t="str" cm="1">
        <f t="array" ref="C1066">_xlfn.IFS(E1066=$AB$42,$AF$42,E1066=$AB$43,$AF$43,E1066=$AB$44,$AF$44,E1066=$AB$45,$AF$45,E1066=$AB$46,$AF$46,E1066=$AB$47,$AF$47,E1066=$AB$48,$AF$48,E1066=$AB$49,$AF$49,E1066=$AB$50,$AF$50,E1066=$AB$51,$AF$51,E1066=$AB$52,$AF$52,E1066=$AB$53,$AF$53,E1066=$AB$54,$AF$54,E1066=$AB$55,$AF$55,E1066=$AB$56,$AF$56,E1066=$AB$57,$AF$57,E1066=$AB$58,$AF$58,E1066=$AB$59,$AF$59,E1066=$AB$60,$AF$60,E1066=$AB$61,$AF$61,E1066=$AB$62,$AF$62,E1066=$AB$63,$AF$63,E1066=$AB$64,$AF$64,E1066=$AB$65,$AF$65,E1066=$AB$66,$AF$66,TRUE,"0")</f>
        <v>B4 match BACK FT +1.5 goals. X AFTER  GOAL</v>
      </c>
      <c r="D1066" s="270" t="str" cm="1">
        <f t="array" ref="D1066">_xlfn.IFS(E1066=$AB$42,$AD$42,E1066=$AB$43,$AD$43,E1066=$AB$44,$AD$44,E1066=$AB$45,$AD$45,E1066=$AB$46,$AD$46,E1066=$AB$47,$AD$47,E1066=$AB$48,$AD$48,E1066=$AB$49,$AD$49,E1066=$AB$50,$AD$50,E1066=$AB$51,$AD$51,E1066=$AB$52,$AD$52,E1066=$AB$53,$AD$53,E1066=$AB$54,$AD$54,E1066=$AB$55,$AD$55,E1066=$AB$56,$AD$56,E1066=$AB$57,$AD$57,E1066=$AB$58,$AD$58,E1066=$AB$59,$AD$59,E1066=$AB$60,$AD$60,E1066=$AB$61,$AD$61,E1066=$AB$62,$AD$62,E1066=$AB$63,$AD$63,E1066=$AB$64,$AD$64,E1066=$AB$65,$AD$65,E1066=$AB$66,$AD$66,TRUE,"0")</f>
        <v xml:space="preserve">BFM </v>
      </c>
      <c r="E1066" s="163" t="s">
        <v>623</v>
      </c>
      <c r="F1066" s="2" t="s">
        <v>6</v>
      </c>
      <c r="G1066" s="2" t="s">
        <v>11</v>
      </c>
      <c r="H1066" s="3">
        <v>45402.625</v>
      </c>
      <c r="I1066" s="2" t="s">
        <v>300</v>
      </c>
      <c r="J1066" s="2" t="s">
        <v>710</v>
      </c>
      <c r="K1066" s="2">
        <v>6</v>
      </c>
      <c r="L1066" s="2">
        <v>20</v>
      </c>
      <c r="M1066" s="2">
        <v>2.75</v>
      </c>
      <c r="N1066" s="2">
        <v>31</v>
      </c>
      <c r="O1066" s="2">
        <v>2</v>
      </c>
      <c r="P1066" s="2">
        <v>10</v>
      </c>
      <c r="Q1066" s="2" t="s">
        <v>95</v>
      </c>
      <c r="R1066" s="10" t="s">
        <v>221</v>
      </c>
      <c r="S1066" s="10" t="s">
        <v>220</v>
      </c>
      <c r="T1066" s="188">
        <v>1000</v>
      </c>
      <c r="U1066" s="8">
        <f t="shared" si="125"/>
        <v>180</v>
      </c>
      <c r="V1066" s="234">
        <f t="shared" si="126"/>
        <v>95764.155246160299</v>
      </c>
      <c r="W1066" s="15">
        <v>25</v>
      </c>
      <c r="X1066" s="8">
        <f t="shared" si="128"/>
        <v>4.5</v>
      </c>
      <c r="Y1066" s="233">
        <f t="shared" si="130"/>
        <v>4260</v>
      </c>
    </row>
    <row r="1067" spans="1:25">
      <c r="A1067" s="156" t="e" cm="1">
        <f t="array" aca="1" ref="A1067" ca="1">_xlfn.IFS(E1067=$AB$42,$AC$42,E1067=$AB$43,$AC$43,E1067=$AB$44,$AC$44,E1067=$AB$45,$AC$45,E1067=$AB$46,$AC$46,E1067=$AB$47,$AC$47,E1067=$AB$48,$AC$48,E1067=$AB$49,$AC$49,E1067=$AB$50,$AC$50,E1067=$AB$51,$AC$51,E1067=$AB$52,$AC$52,E1067=$AB$53,$AC$53,E1067=$AB$54,$AC$54,E1067=$AB$55,$AC$55,E1067=$AB$56,$AC$56,E1067=$AB$57,$AC$57,E1067=$AB$58,$AC$58,E1067=$AB$59,$AC$59,E1067=$AB$60,$AC$60,E1067=$AB$61,$AC$61,E1067=$AB$62,$AC$62,E1067=$AB$63,$AC$63,E1067=$AB$64,$AC$64,E1067=$AB$65,$AC$65,E1067=$AB$66,$AC$66,TRUE,"0")</f>
        <v>#NAME?</v>
      </c>
      <c r="C1067" s="161" t="str" cm="1">
        <f t="array" ref="C1067">_xlfn.IFS(E1067=$AB$42,$AF$42,E1067=$AB$43,$AF$43,E1067=$AB$44,$AF$44,E1067=$AB$45,$AF$45,E1067=$AB$46,$AF$46,E1067=$AB$47,$AF$47,E1067=$AB$48,$AF$48,E1067=$AB$49,$AF$49,E1067=$AB$50,$AF$50,E1067=$AB$51,$AF$51,E1067=$AB$52,$AF$52,E1067=$AB$53,$AF$53,E1067=$AB$54,$AF$54,E1067=$AB$55,$AF$55,E1067=$AB$56,$AF$56,E1067=$AB$57,$AF$57,E1067=$AB$58,$AF$58,E1067=$AB$59,$AF$59,E1067=$AB$60,$AF$60,E1067=$AB$61,$AF$61,E1067=$AB$62,$AF$62,E1067=$AB$63,$AF$63,E1067=$AB$64,$AF$64,E1067=$AB$65,$AF$65,E1067=$AB$66,$AF$66,TRUE,"0")</f>
        <v>AT HT IF 0-0 BACK +0.5 GOALS</v>
      </c>
      <c r="D1067" s="270" t="str" cm="1">
        <f t="array" ref="D1067">_xlfn.IFS(E1067=$AB$42,$AD$42,E1067=$AB$43,$AD$43,E1067=$AB$44,$AD$44,E1067=$AB$45,$AD$45,E1067=$AB$46,$AD$46,E1067=$AB$47,$AD$47,E1067=$AB$48,$AD$48,E1067=$AB$49,$AD$49,E1067=$AB$50,$AD$50,E1067=$AB$51,$AD$51,E1067=$AB$52,$AD$52,E1067=$AB$53,$AD$53,E1067=$AB$54,$AD$54,E1067=$AB$55,$AD$55,E1067=$AB$56,$AD$56,E1067=$AB$57,$AD$57,E1067=$AB$58,$AD$58,E1067=$AB$59,$AD$59,E1067=$AB$60,$AD$60,E1067=$AB$61,$AD$61,E1067=$AB$62,$AD$62,E1067=$AB$63,$AD$63,E1067=$AB$64,$AD$64,E1067=$AB$65,$AD$65,E1067=$AB$66,$AD$66,TRUE,"0")</f>
        <v>IP</v>
      </c>
      <c r="E1067" s="163" t="s">
        <v>514</v>
      </c>
      <c r="F1067" s="2" t="s">
        <v>6</v>
      </c>
      <c r="G1067" s="2" t="s">
        <v>11</v>
      </c>
      <c r="H1067" s="3">
        <v>45402.625</v>
      </c>
      <c r="I1067" s="2" t="s">
        <v>300</v>
      </c>
      <c r="J1067" s="2" t="s">
        <v>710</v>
      </c>
      <c r="K1067" s="2">
        <v>6</v>
      </c>
      <c r="L1067" s="2">
        <v>150</v>
      </c>
      <c r="M1067" s="2">
        <v>980</v>
      </c>
      <c r="N1067" s="2">
        <v>20</v>
      </c>
      <c r="O1067" s="2">
        <v>10</v>
      </c>
      <c r="P1067" s="2">
        <v>31</v>
      </c>
      <c r="Q1067" s="2" t="s">
        <v>95</v>
      </c>
      <c r="R1067" s="10" t="s">
        <v>221</v>
      </c>
      <c r="S1067" s="10" t="s">
        <v>220</v>
      </c>
      <c r="T1067" s="188">
        <v>1000</v>
      </c>
      <c r="U1067" s="8">
        <f t="shared" si="125"/>
        <v>180</v>
      </c>
      <c r="V1067" s="234">
        <f t="shared" si="126"/>
        <v>95944.155246160299</v>
      </c>
      <c r="W1067" s="15">
        <v>25</v>
      </c>
      <c r="X1067" s="8">
        <f t="shared" si="128"/>
        <v>4.5</v>
      </c>
      <c r="Y1067" s="233">
        <f t="shared" si="130"/>
        <v>4264.5</v>
      </c>
    </row>
    <row r="1068" spans="1:25">
      <c r="A1068" s="156" t="e" cm="1">
        <f t="array" aca="1" ref="A1068" ca="1">_xlfn.IFS(E1068=$AB$42,$AC$42,E1068=$AB$43,$AC$43,E1068=$AB$44,$AC$44,E1068=$AB$45,$AC$45,E1068=$AB$46,$AC$46,E1068=$AB$47,$AC$47,E1068=$AB$48,$AC$48,E1068=$AB$49,$AC$49,E1068=$AB$50,$AC$50,E1068=$AB$51,$AC$51,E1068=$AB$52,$AC$52,E1068=$AB$53,$AC$53,E1068=$AB$54,$AC$54,E1068=$AB$55,$AC$55,E1068=$AB$56,$AC$56,E1068=$AB$57,$AC$57,E1068=$AB$58,$AC$58,E1068=$AB$59,$AC$59,E1068=$AB$60,$AC$60,E1068=$AB$61,$AC$61,E1068=$AB$62,$AC$62,E1068=$AB$63,$AC$63,E1068=$AB$64,$AC$64,E1068=$AB$65,$AC$65,E1068=$AB$66,$AC$66,TRUE,"0")</f>
        <v>#NAME?</v>
      </c>
      <c r="C1068" s="161" t="str" cm="1">
        <f t="array" ref="C1068">_xlfn.IFS(E1068=$AB$42,$AF$42,E1068=$AB$43,$AF$43,E1068=$AB$44,$AF$44,E1068=$AB$45,$AF$45,E1068=$AB$46,$AF$46,E1068=$AB$47,$AF$47,E1068=$AB$48,$AF$48,E1068=$AB$49,$AF$49,E1068=$AB$50,$AF$50,E1068=$AB$51,$AF$51,E1068=$AB$52,$AF$52,E1068=$AB$53,$AF$53,E1068=$AB$54,$AF$54,E1068=$AB$55,$AF$55,E1068=$AB$56,$AF$56,E1068=$AB$57,$AF$57,E1068=$AB$58,$AF$58,E1068=$AB$59,$AF$59,E1068=$AB$60,$AF$60,E1068=$AB$61,$AF$61,E1068=$AB$62,$AF$62,E1068=$AB$63,$AF$63,E1068=$AB$64,$AF$64,E1068=$AB$65,$AF$65,E1068=$AB$66,$AF$66,TRUE,"0")</f>
        <v>if 0-0, BACK+ 0.5 GOALS  @ 1.15+odds.  or @ 40 mins</v>
      </c>
      <c r="D1068" s="270" t="str" cm="1">
        <f t="array" ref="D1068">_xlfn.IFS(E1068=$AB$42,$AD$42,E1068=$AB$43,$AD$43,E1068=$AB$44,$AD$44,E1068=$AB$45,$AD$45,E1068=$AB$46,$AD$46,E1068=$AB$47,$AD$47,E1068=$AB$48,$AD$48,E1068=$AB$49,$AD$49,E1068=$AB$50,$AD$50,E1068=$AB$51,$AD$51,E1068=$AB$52,$AD$52,E1068=$AB$53,$AD$53,E1068=$AB$54,$AD$54,E1068=$AB$55,$AD$55,E1068=$AB$56,$AD$56,E1068=$AB$57,$AD$57,E1068=$AB$58,$AD$58,E1068=$AB$59,$AD$59,E1068=$AB$60,$AD$60,E1068=$AB$61,$AD$61,E1068=$AB$62,$AD$62,E1068=$AB$63,$AD$63,E1068=$AB$64,$AD$64,E1068=$AB$65,$AD$65,E1068=$AB$66,$AD$66,TRUE,"0")</f>
        <v>IP</v>
      </c>
      <c r="E1068" s="163" t="s">
        <v>270</v>
      </c>
      <c r="F1068" s="2" t="s">
        <v>6</v>
      </c>
      <c r="G1068" s="2" t="s">
        <v>11</v>
      </c>
      <c r="H1068" s="3">
        <v>45402.625</v>
      </c>
      <c r="I1068" s="2" t="s">
        <v>232</v>
      </c>
      <c r="J1068" s="2" t="s">
        <v>704</v>
      </c>
      <c r="K1068" s="2">
        <v>64</v>
      </c>
      <c r="L1068" s="2">
        <v>0</v>
      </c>
      <c r="M1068" s="2">
        <v>20</v>
      </c>
      <c r="N1068" s="2">
        <v>38</v>
      </c>
      <c r="O1068" s="2">
        <v>2</v>
      </c>
      <c r="P1068" s="2"/>
      <c r="Q1068" s="2" t="s">
        <v>95</v>
      </c>
      <c r="R1068" s="10" t="s">
        <v>221</v>
      </c>
      <c r="S1068" s="10" t="s">
        <v>220</v>
      </c>
      <c r="T1068" s="188">
        <v>1000</v>
      </c>
      <c r="U1068" s="8">
        <f t="shared" si="125"/>
        <v>180</v>
      </c>
      <c r="V1068" s="234">
        <f t="shared" si="126"/>
        <v>96124.155246160299</v>
      </c>
      <c r="W1068" s="15">
        <v>25</v>
      </c>
      <c r="X1068" s="8">
        <f t="shared" si="128"/>
        <v>4.5</v>
      </c>
      <c r="Y1068" s="233">
        <f t="shared" si="130"/>
        <v>4269</v>
      </c>
    </row>
    <row r="1069" spans="1:25">
      <c r="A1069" s="156" t="e" cm="1">
        <f t="array" aca="1" ref="A1069" ca="1">_xlfn.IFS(E1069=$AB$42,$AC$42,E1069=$AB$43,$AC$43,E1069=$AB$44,$AC$44,E1069=$AB$45,$AC$45,E1069=$AB$46,$AC$46,E1069=$AB$47,$AC$47,E1069=$AB$48,$AC$48,E1069=$AB$49,$AC$49,E1069=$AB$50,$AC$50,E1069=$AB$51,$AC$51,E1069=$AB$52,$AC$52,E1069=$AB$53,$AC$53,E1069=$AB$54,$AC$54,E1069=$AB$55,$AC$55,E1069=$AB$56,$AC$56,E1069=$AB$57,$AC$57,E1069=$AB$58,$AC$58,E1069=$AB$59,$AC$59,E1069=$AB$60,$AC$60,E1069=$AB$61,$AC$61,E1069=$AB$62,$AC$62,E1069=$AB$63,$AC$63,E1069=$AB$64,$AC$64,E1069=$AB$65,$AC$65,E1069=$AB$66,$AC$66,TRUE,"0")</f>
        <v>#NAME?</v>
      </c>
      <c r="C1069" s="161" t="str" cm="1">
        <f t="array" ref="C1069">_xlfn.IFS(E1069=$AB$42,$AF$42,E1069=$AB$43,$AF$43,E1069=$AB$44,$AF$44,E1069=$AB$45,$AF$45,E1069=$AB$46,$AF$46,E1069=$AB$47,$AF$47,E1069=$AB$48,$AF$48,E1069=$AB$49,$AF$49,E1069=$AB$50,$AF$50,E1069=$AB$51,$AF$51,E1069=$AB$52,$AF$52,E1069=$AB$53,$AF$53,E1069=$AB$54,$AF$54,E1069=$AB$55,$AF$55,E1069=$AB$56,$AF$56,E1069=$AB$57,$AF$57,E1069=$AB$58,$AF$58,E1069=$AB$59,$AF$59,E1069=$AB$60,$AF$60,E1069=$AB$61,$AF$61,E1069=$AB$62,$AF$62,E1069=$AB$63,$AF$63,E1069=$AB$64,$AF$64,E1069=$AB$65,$AF$65,E1069=$AB$66,$AF$66,TRUE,"0")</f>
        <v>B4 match BACK FT +1.5 goals. X AFTER  GOAL</v>
      </c>
      <c r="D1069" s="270" t="str" cm="1">
        <f t="array" ref="D1069">_xlfn.IFS(E1069=$AB$42,$AD$42,E1069=$AB$43,$AD$43,E1069=$AB$44,$AD$44,E1069=$AB$45,$AD$45,E1069=$AB$46,$AD$46,E1069=$AB$47,$AD$47,E1069=$AB$48,$AD$48,E1069=$AB$49,$AD$49,E1069=$AB$50,$AD$50,E1069=$AB$51,$AD$51,E1069=$AB$52,$AD$52,E1069=$AB$53,$AD$53,E1069=$AB$54,$AD$54,E1069=$AB$55,$AD$55,E1069=$AB$56,$AD$56,E1069=$AB$57,$AD$57,E1069=$AB$58,$AD$58,E1069=$AB$59,$AD$59,E1069=$AB$60,$AD$60,E1069=$AB$61,$AD$61,E1069=$AB$62,$AD$62,E1069=$AB$63,$AD$63,E1069=$AB$64,$AD$64,E1069=$AB$65,$AD$65,E1069=$AB$66,$AD$66,TRUE,"0")</f>
        <v xml:space="preserve">BFM </v>
      </c>
      <c r="E1069" s="163" t="s">
        <v>531</v>
      </c>
      <c r="F1069" s="2" t="s">
        <v>6</v>
      </c>
      <c r="G1069" s="2" t="s">
        <v>14</v>
      </c>
      <c r="H1069" s="3">
        <v>45402.625</v>
      </c>
      <c r="I1069" s="2" t="s">
        <v>755</v>
      </c>
      <c r="J1069" s="2" t="s">
        <v>56</v>
      </c>
      <c r="K1069" s="2">
        <v>5.0999999999999996</v>
      </c>
      <c r="L1069" s="2">
        <v>40</v>
      </c>
      <c r="M1069" s="2">
        <v>2.6</v>
      </c>
      <c r="N1069" s="2">
        <v>34</v>
      </c>
      <c r="O1069" s="2">
        <v>2</v>
      </c>
      <c r="P1069" s="2">
        <v>20</v>
      </c>
      <c r="Q1069" s="2" t="s">
        <v>95</v>
      </c>
      <c r="R1069" s="10" t="s">
        <v>193</v>
      </c>
      <c r="S1069" s="10" t="s">
        <v>222</v>
      </c>
      <c r="T1069" s="188">
        <v>1000</v>
      </c>
      <c r="U1069" s="8">
        <f t="shared" si="125"/>
        <v>180</v>
      </c>
      <c r="V1069" s="234">
        <f t="shared" si="126"/>
        <v>96304.155246160299</v>
      </c>
      <c r="W1069" s="15">
        <v>25</v>
      </c>
      <c r="X1069" s="8">
        <f t="shared" si="128"/>
        <v>4.5</v>
      </c>
      <c r="Y1069" s="233">
        <f t="shared" si="130"/>
        <v>4273.5</v>
      </c>
    </row>
    <row r="1070" spans="1:25">
      <c r="A1070" s="156" t="e" cm="1">
        <f t="array" aca="1" ref="A1070" ca="1">_xlfn.IFS(E1070=$AB$42,$AC$42,E1070=$AB$43,$AC$43,E1070=$AB$44,$AC$44,E1070=$AB$45,$AC$45,E1070=$AB$46,$AC$46,E1070=$AB$47,$AC$47,E1070=$AB$48,$AC$48,E1070=$AB$49,$AC$49,E1070=$AB$50,$AC$50,E1070=$AB$51,$AC$51,E1070=$AB$52,$AC$52,E1070=$AB$53,$AC$53,E1070=$AB$54,$AC$54,E1070=$AB$55,$AC$55,E1070=$AB$56,$AC$56,E1070=$AB$57,$AC$57,E1070=$AB$58,$AC$58,E1070=$AB$59,$AC$59,E1070=$AB$60,$AC$60,E1070=$AB$61,$AC$61,E1070=$AB$62,$AC$62,E1070=$AB$63,$AC$63,E1070=$AB$64,$AC$64,E1070=$AB$65,$AC$65,E1070=$AB$66,$AC$66,TRUE,"0")</f>
        <v>#NAME?</v>
      </c>
      <c r="C1070" s="161" t="str" cm="1">
        <f t="array" ref="C1070">_xlfn.IFS(E1070=$AB$42,$AF$42,E1070=$AB$43,$AF$43,E1070=$AB$44,$AF$44,E1070=$AB$45,$AF$45,E1070=$AB$46,$AF$46,E1070=$AB$47,$AF$47,E1070=$AB$48,$AF$48,E1070=$AB$49,$AF$49,E1070=$AB$50,$AF$50,E1070=$AB$51,$AF$51,E1070=$AB$52,$AF$52,E1070=$AB$53,$AF$53,E1070=$AB$54,$AF$54,E1070=$AB$55,$AF$55,E1070=$AB$56,$AF$56,E1070=$AB$57,$AF$57,E1070=$AB$58,$AF$58,E1070=$AB$59,$AF$59,E1070=$AB$60,$AF$60,E1070=$AB$61,$AF$61,E1070=$AB$62,$AF$62,E1070=$AB$63,$AF$63,E1070=$AB$64,$AF$64,E1070=$AB$65,$AF$65,E1070=$AB$66,$AF$66,TRUE,"0")</f>
        <v>10mins if  0-0, BACK over 1.5 goals X after goal OR LET RUN</v>
      </c>
      <c r="D1070" s="270" t="str" cm="1">
        <f t="array" ref="D1070">_xlfn.IFS(E1070=$AB$42,$AD$42,E1070=$AB$43,$AD$43,E1070=$AB$44,$AD$44,E1070=$AB$45,$AD$45,E1070=$AB$46,$AD$46,E1070=$AB$47,$AD$47,E1070=$AB$48,$AD$48,E1070=$AB$49,$AD$49,E1070=$AB$50,$AD$50,E1070=$AB$51,$AD$51,E1070=$AB$52,$AD$52,E1070=$AB$53,$AD$53,E1070=$AB$54,$AD$54,E1070=$AB$55,$AD$55,E1070=$AB$56,$AD$56,E1070=$AB$57,$AD$57,E1070=$AB$58,$AD$58,E1070=$AB$59,$AD$59,E1070=$AB$60,$AD$60,E1070=$AB$61,$AD$61,E1070=$AB$62,$AD$62,E1070=$AB$63,$AD$63,E1070=$AB$64,$AD$64,E1070=$AB$65,$AD$65,E1070=$AB$66,$AD$66,TRUE,"0")</f>
        <v>IP</v>
      </c>
      <c r="E1070" s="163" t="s">
        <v>498</v>
      </c>
      <c r="F1070" s="2" t="s">
        <v>6</v>
      </c>
      <c r="G1070" s="2" t="s">
        <v>14</v>
      </c>
      <c r="H1070" s="3">
        <v>45402.625</v>
      </c>
      <c r="I1070" s="2" t="s">
        <v>755</v>
      </c>
      <c r="J1070" s="2" t="s">
        <v>56</v>
      </c>
      <c r="K1070" s="2">
        <v>63</v>
      </c>
      <c r="L1070" s="2">
        <v>80</v>
      </c>
      <c r="M1070" s="2">
        <v>1.45</v>
      </c>
      <c r="N1070" s="2">
        <v>20</v>
      </c>
      <c r="O1070" s="2"/>
      <c r="P1070" s="2"/>
      <c r="Q1070" s="2" t="s">
        <v>95</v>
      </c>
      <c r="R1070" s="10" t="s">
        <v>193</v>
      </c>
      <c r="S1070" s="10" t="s">
        <v>222</v>
      </c>
      <c r="T1070" s="188">
        <v>1000</v>
      </c>
      <c r="U1070" s="8">
        <f t="shared" si="125"/>
        <v>180</v>
      </c>
      <c r="V1070" s="234">
        <f t="shared" si="126"/>
        <v>96484.155246160299</v>
      </c>
      <c r="W1070" s="15">
        <v>25</v>
      </c>
      <c r="X1070" s="8">
        <f t="shared" si="128"/>
        <v>4.5</v>
      </c>
      <c r="Y1070" s="233">
        <f t="shared" si="130"/>
        <v>4278</v>
      </c>
    </row>
    <row r="1071" spans="1:25">
      <c r="A1071" s="156" t="e" cm="1">
        <f t="array" aca="1" ref="A1071" ca="1">_xlfn.IFS(E1071=$AB$42,$AC$42,E1071=$AB$43,$AC$43,E1071=$AB$44,$AC$44,E1071=$AB$45,$AC$45,E1071=$AB$46,$AC$46,E1071=$AB$47,$AC$47,E1071=$AB$48,$AC$48,E1071=$AB$49,$AC$49,E1071=$AB$50,$AC$50,E1071=$AB$51,$AC$51,E1071=$AB$52,$AC$52,E1071=$AB$53,$AC$53,E1071=$AB$54,$AC$54,E1071=$AB$55,$AC$55,E1071=$AB$56,$AC$56,E1071=$AB$57,$AC$57,E1071=$AB$58,$AC$58,E1071=$AB$59,$AC$59,E1071=$AB$60,$AC$60,E1071=$AB$61,$AC$61,E1071=$AB$62,$AC$62,E1071=$AB$63,$AC$63,E1071=$AB$64,$AC$64,E1071=$AB$65,$AC$65,E1071=$AB$66,$AC$66,TRUE,"0")</f>
        <v>#NAME?</v>
      </c>
      <c r="C1071" s="161" t="str" cm="1">
        <f t="array" ref="C1071">_xlfn.IFS(E1071=$AB$42,$AF$42,E1071=$AB$43,$AF$43,E1071=$AB$44,$AF$44,E1071=$AB$45,$AF$45,E1071=$AB$46,$AF$46,E1071=$AB$47,$AF$47,E1071=$AB$48,$AF$48,E1071=$AB$49,$AF$49,E1071=$AB$50,$AF$50,E1071=$AB$51,$AF$51,E1071=$AB$52,$AF$52,E1071=$AB$53,$AF$53,E1071=$AB$54,$AF$54,E1071=$AB$55,$AF$55,E1071=$AB$56,$AF$56,E1071=$AB$57,$AF$57,E1071=$AB$58,$AF$58,E1071=$AB$59,$AF$59,E1071=$AB$60,$AF$60,E1071=$AB$61,$AF$61,E1071=$AB$62,$AF$62,E1071=$AB$63,$AF$63,E1071=$AB$64,$AF$64,E1071=$AB$65,$AF$65,E1071=$AB$66,$AF$66,TRUE,"0")</f>
        <v>40 mins Back ANother Goal</v>
      </c>
      <c r="D1071" s="270" t="str" cm="1">
        <f t="array" ref="D1071">_xlfn.IFS(E1071=$AB$42,$AD$42,E1071=$AB$43,$AD$43,E1071=$AB$44,$AD$44,E1071=$AB$45,$AD$45,E1071=$AB$46,$AD$46,E1071=$AB$47,$AD$47,E1071=$AB$48,$AD$48,E1071=$AB$49,$AD$49,E1071=$AB$50,$AD$50,E1071=$AB$51,$AD$51,E1071=$AB$52,$AD$52,E1071=$AB$53,$AD$53,E1071=$AB$54,$AD$54,E1071=$AB$55,$AD$55,E1071=$AB$56,$AD$56,E1071=$AB$57,$AD$57,E1071=$AB$58,$AD$58,E1071=$AB$59,$AD$59,E1071=$AB$60,$AD$60,E1071=$AB$61,$AD$61,E1071=$AB$62,$AD$62,E1071=$AB$63,$AD$63,E1071=$AB$64,$AD$64,E1071=$AB$65,$AD$65,E1071=$AB$66,$AD$66,TRUE,"0")</f>
        <v xml:space="preserve">  BANG</v>
      </c>
      <c r="E1071" s="163" t="s">
        <v>726</v>
      </c>
      <c r="F1071" s="2" t="s">
        <v>31</v>
      </c>
      <c r="G1071" s="2" t="s">
        <v>32</v>
      </c>
      <c r="H1071" s="3">
        <v>45402.625</v>
      </c>
      <c r="I1071" s="2" t="s">
        <v>261</v>
      </c>
      <c r="J1071" s="2" t="s">
        <v>33</v>
      </c>
      <c r="K1071" s="2">
        <v>85</v>
      </c>
      <c r="L1071" s="2">
        <v>20</v>
      </c>
      <c r="M1071" s="2">
        <v>1.85</v>
      </c>
      <c r="N1071" s="2">
        <v>64</v>
      </c>
      <c r="O1071" s="2"/>
      <c r="P1071" s="2"/>
      <c r="Q1071" s="2" t="s">
        <v>96</v>
      </c>
      <c r="R1071" s="10" t="s">
        <v>217</v>
      </c>
      <c r="S1071" s="10" t="s">
        <v>217</v>
      </c>
      <c r="T1071" s="188">
        <v>1000</v>
      </c>
      <c r="U1071" s="8">
        <f t="shared" si="125"/>
        <v>-1000</v>
      </c>
      <c r="V1071" s="234">
        <f t="shared" si="126"/>
        <v>95484.155246160299</v>
      </c>
      <c r="W1071" s="15">
        <v>25</v>
      </c>
      <c r="X1071" s="8">
        <f t="shared" si="128"/>
        <v>-25</v>
      </c>
      <c r="Y1071" s="233">
        <f t="shared" si="130"/>
        <v>4253</v>
      </c>
    </row>
    <row r="1072" spans="1:25">
      <c r="A1072" s="156" t="e" cm="1">
        <f t="array" aca="1" ref="A1072" ca="1">_xlfn.IFS(E1072=$AB$42,$AC$42,E1072=$AB$43,$AC$43,E1072=$AB$44,$AC$44,E1072=$AB$45,$AC$45,E1072=$AB$46,$AC$46,E1072=$AB$47,$AC$47,E1072=$AB$48,$AC$48,E1072=$AB$49,$AC$49,E1072=$AB$50,$AC$50,E1072=$AB$51,$AC$51,E1072=$AB$52,$AC$52,E1072=$AB$53,$AC$53,E1072=$AB$54,$AC$54,E1072=$AB$55,$AC$55,E1072=$AB$56,$AC$56,E1072=$AB$57,$AC$57,E1072=$AB$58,$AC$58,E1072=$AB$59,$AC$59,E1072=$AB$60,$AC$60,E1072=$AB$61,$AC$61,E1072=$AB$62,$AC$62,E1072=$AB$63,$AC$63,E1072=$AB$64,$AC$64,E1072=$AB$65,$AC$65,E1072=$AB$66,$AC$66,TRUE,"0")</f>
        <v>#NAME?</v>
      </c>
      <c r="C1072" s="161" t="str" cm="1">
        <f t="array" ref="C1072">_xlfn.IFS(E1072=$AB$42,$AF$42,E1072=$AB$43,$AF$43,E1072=$AB$44,$AF$44,E1072=$AB$45,$AF$45,E1072=$AB$46,$AF$46,E1072=$AB$47,$AF$47,E1072=$AB$48,$AF$48,E1072=$AB$49,$AF$49,E1072=$AB$50,$AF$50,E1072=$AB$51,$AF$51,E1072=$AB$52,$AF$52,E1072=$AB$53,$AF$53,E1072=$AB$54,$AF$54,E1072=$AB$55,$AF$55,E1072=$AB$56,$AF$56,E1072=$AB$57,$AF$57,E1072=$AB$58,$AF$58,E1072=$AB$59,$AF$59,E1072=$AB$60,$AF$60,E1072=$AB$61,$AF$61,E1072=$AB$62,$AF$62,E1072=$AB$63,$AF$63,E1072=$AB$64,$AF$64,E1072=$AB$65,$AF$65,E1072=$AB$66,$AF$66,TRUE,"0")</f>
        <v>B4 Match, lay HT 0-0 or BACK H1 +0.5 GOALS</v>
      </c>
      <c r="D1072" s="270" t="str" cm="1">
        <f t="array" ref="D1072">_xlfn.IFS(E1072=$AB$42,$AD$42,E1072=$AB$43,$AD$43,E1072=$AB$44,$AD$44,E1072=$AB$45,$AD$45,E1072=$AB$46,$AD$46,E1072=$AB$47,$AD$47,E1072=$AB$48,$AD$48,E1072=$AB$49,$AD$49,E1072=$AB$50,$AD$50,E1072=$AB$51,$AD$51,E1072=$AB$52,$AD$52,E1072=$AB$53,$AD$53,E1072=$AB$54,$AD$54,E1072=$AB$55,$AD$55,E1072=$AB$56,$AD$56,E1072=$AB$57,$AD$57,E1072=$AB$58,$AD$58,E1072=$AB$59,$AD$59,E1072=$AB$60,$AD$60,E1072=$AB$61,$AD$61,E1072=$AB$62,$AD$62,E1072=$AB$63,$AD$63,E1072=$AB$64,$AD$64,E1072=$AB$65,$AD$65,E1072=$AB$66,$AD$66,TRUE,"0")</f>
        <v xml:space="preserve">BFM </v>
      </c>
      <c r="E1072" s="163" t="s">
        <v>448</v>
      </c>
      <c r="F1072" s="2" t="s">
        <v>6</v>
      </c>
      <c r="G1072" s="2" t="s">
        <v>7</v>
      </c>
      <c r="H1072" s="3">
        <v>45402.625</v>
      </c>
      <c r="I1072" s="2" t="s">
        <v>705</v>
      </c>
      <c r="J1072" s="2" t="s">
        <v>418</v>
      </c>
      <c r="K1072" s="2">
        <v>20</v>
      </c>
      <c r="L1072" s="2">
        <v>10</v>
      </c>
      <c r="M1072" s="2">
        <v>31</v>
      </c>
      <c r="N1072" s="2">
        <v>6</v>
      </c>
      <c r="O1072" s="2">
        <v>6</v>
      </c>
      <c r="P1072" s="2">
        <v>5</v>
      </c>
      <c r="Q1072" s="2" t="s">
        <v>95</v>
      </c>
      <c r="R1072" s="10" t="s">
        <v>217</v>
      </c>
      <c r="S1072" s="10" t="s">
        <v>277</v>
      </c>
      <c r="T1072" s="188">
        <v>1000</v>
      </c>
      <c r="U1072" s="8">
        <f t="shared" si="125"/>
        <v>180</v>
      </c>
      <c r="V1072" s="234">
        <f t="shared" si="126"/>
        <v>95664.155246160299</v>
      </c>
      <c r="W1072" s="15">
        <v>25</v>
      </c>
      <c r="X1072" s="8">
        <f t="shared" si="128"/>
        <v>4.5</v>
      </c>
      <c r="Y1072" s="233">
        <f t="shared" si="130"/>
        <v>4257.5</v>
      </c>
    </row>
    <row r="1073" spans="1:25">
      <c r="A1073" s="156" t="e" cm="1">
        <f t="array" aca="1" ref="A1073" ca="1">_xlfn.IFS(E1073=$AB$42,$AC$42,E1073=$AB$43,$AC$43,E1073=$AB$44,$AC$44,E1073=$AB$45,$AC$45,E1073=$AB$46,$AC$46,E1073=$AB$47,$AC$47,E1073=$AB$48,$AC$48,E1073=$AB$49,$AC$49,E1073=$AB$50,$AC$50,E1073=$AB$51,$AC$51,E1073=$AB$52,$AC$52,E1073=$AB$53,$AC$53,E1073=$AB$54,$AC$54,E1073=$AB$55,$AC$55,E1073=$AB$56,$AC$56,E1073=$AB$57,$AC$57,E1073=$AB$58,$AC$58,E1073=$AB$59,$AC$59,E1073=$AB$60,$AC$60,E1073=$AB$61,$AC$61,E1073=$AB$62,$AC$62,E1073=$AB$63,$AC$63,E1073=$AB$64,$AC$64,E1073=$AB$65,$AC$65,E1073=$AB$66,$AC$66,TRUE,"0")</f>
        <v>#NAME?</v>
      </c>
      <c r="C1073" s="161" t="str" cm="1">
        <f t="array" ref="C1073">_xlfn.IFS(E1073=$AB$42,$AF$42,E1073=$AB$43,$AF$43,E1073=$AB$44,$AF$44,E1073=$AB$45,$AF$45,E1073=$AB$46,$AF$46,E1073=$AB$47,$AF$47,E1073=$AB$48,$AF$48,E1073=$AB$49,$AF$49,E1073=$AB$50,$AF$50,E1073=$AB$51,$AF$51,E1073=$AB$52,$AF$52,E1073=$AB$53,$AF$53,E1073=$AB$54,$AF$54,E1073=$AB$55,$AF$55,E1073=$AB$56,$AF$56,E1073=$AB$57,$AF$57,E1073=$AB$58,$AF$58,E1073=$AB$59,$AF$59,E1073=$AB$60,$AF$60,E1073=$AB$61,$AF$61,E1073=$AB$62,$AF$62,E1073=$AB$63,$AF$63,E1073=$AB$64,$AF$64,E1073=$AB$65,$AF$65,E1073=$AB$66,$AF$66,TRUE,"0")</f>
        <v>40 mins Back ANother Goal</v>
      </c>
      <c r="D1073" s="270" t="str" cm="1">
        <f t="array" ref="D1073">_xlfn.IFS(E1073=$AB$42,$AD$42,E1073=$AB$43,$AD$43,E1073=$AB$44,$AD$44,E1073=$AB$45,$AD$45,E1073=$AB$46,$AD$46,E1073=$AB$47,$AD$47,E1073=$AB$48,$AD$48,E1073=$AB$49,$AD$49,E1073=$AB$50,$AD$50,E1073=$AB$51,$AD$51,E1073=$AB$52,$AD$52,E1073=$AB$53,$AD$53,E1073=$AB$54,$AD$54,E1073=$AB$55,$AD$55,E1073=$AB$56,$AD$56,E1073=$AB$57,$AD$57,E1073=$AB$58,$AD$58,E1073=$AB$59,$AD$59,E1073=$AB$60,$AD$60,E1073=$AB$61,$AD$61,E1073=$AB$62,$AD$62,E1073=$AB$63,$AD$63,E1073=$AB$64,$AD$64,E1073=$AB$65,$AD$65,E1073=$AB$66,$AD$66,TRUE,"0")</f>
        <v xml:space="preserve">  BANG</v>
      </c>
      <c r="E1073" s="163" t="s">
        <v>726</v>
      </c>
      <c r="F1073" s="2" t="s">
        <v>31</v>
      </c>
      <c r="G1073" s="2" t="s">
        <v>32</v>
      </c>
      <c r="H1073" s="3">
        <v>45402.625</v>
      </c>
      <c r="I1073" s="2" t="s">
        <v>584</v>
      </c>
      <c r="J1073" s="2" t="s">
        <v>186</v>
      </c>
      <c r="K1073" s="2">
        <v>90</v>
      </c>
      <c r="L1073" s="2">
        <v>20</v>
      </c>
      <c r="M1073" s="2">
        <v>1.85</v>
      </c>
      <c r="N1073" s="2">
        <v>64</v>
      </c>
      <c r="O1073" s="2"/>
      <c r="P1073" s="2"/>
      <c r="Q1073" s="2" t="s">
        <v>95</v>
      </c>
      <c r="R1073" s="10" t="s">
        <v>214</v>
      </c>
      <c r="S1073" s="10" t="s">
        <v>220</v>
      </c>
      <c r="T1073" s="188">
        <v>1000</v>
      </c>
      <c r="U1073" s="8">
        <f t="shared" si="125"/>
        <v>180</v>
      </c>
      <c r="V1073" s="234">
        <f t="shared" si="126"/>
        <v>95844.155246160299</v>
      </c>
      <c r="W1073" s="15">
        <v>25</v>
      </c>
      <c r="X1073" s="8">
        <f t="shared" si="128"/>
        <v>4.5</v>
      </c>
      <c r="Y1073" s="233">
        <f t="shared" si="130"/>
        <v>4262</v>
      </c>
    </row>
    <row r="1074" spans="1:25">
      <c r="A1074" s="156" t="e" cm="1">
        <f t="array" aca="1" ref="A1074" ca="1">_xlfn.IFS(E1074=$AB$42,$AC$42,E1074=$AB$43,$AC$43,E1074=$AB$44,$AC$44,E1074=$AB$45,$AC$45,E1074=$AB$46,$AC$46,E1074=$AB$47,$AC$47,E1074=$AB$48,$AC$48,E1074=$AB$49,$AC$49,E1074=$AB$50,$AC$50,E1074=$AB$51,$AC$51,E1074=$AB$52,$AC$52,E1074=$AB$53,$AC$53,E1074=$AB$54,$AC$54,E1074=$AB$55,$AC$55,E1074=$AB$56,$AC$56,E1074=$AB$57,$AC$57,E1074=$AB$58,$AC$58,E1074=$AB$59,$AC$59,E1074=$AB$60,$AC$60,E1074=$AB$61,$AC$61,E1074=$AB$62,$AC$62,E1074=$AB$63,$AC$63,E1074=$AB$64,$AC$64,E1074=$AB$65,$AC$65,E1074=$AB$66,$AC$66,TRUE,"0")</f>
        <v>#NAME?</v>
      </c>
      <c r="C1074" s="161" t="str" cm="1">
        <f t="array" ref="C1074">_xlfn.IFS(E1074=$AB$42,$AF$42,E1074=$AB$43,$AF$43,E1074=$AB$44,$AF$44,E1074=$AB$45,$AF$45,E1074=$AB$46,$AF$46,E1074=$AB$47,$AF$47,E1074=$AB$48,$AF$48,E1074=$AB$49,$AF$49,E1074=$AB$50,$AF$50,E1074=$AB$51,$AF$51,E1074=$AB$52,$AF$52,E1074=$AB$53,$AF$53,E1074=$AB$54,$AF$54,E1074=$AB$55,$AF$55,E1074=$AB$56,$AF$56,E1074=$AB$57,$AF$57,E1074=$AB$58,$AF$58,E1074=$AB$59,$AF$59,E1074=$AB$60,$AF$60,E1074=$AB$61,$AF$61,E1074=$AB$62,$AF$62,E1074=$AB$63,$AF$63,E1074=$AB$64,$AF$64,E1074=$AB$65,$AF$65,E1074=$AB$66,$AF$66,TRUE,"0")</f>
        <v>10mins if  0-0, BACK over 1.5 goals X after goal OR LET RUN</v>
      </c>
      <c r="D1074" s="270" t="str" cm="1">
        <f t="array" ref="D1074">_xlfn.IFS(E1074=$AB$42,$AD$42,E1074=$AB$43,$AD$43,E1074=$AB$44,$AD$44,E1074=$AB$45,$AD$45,E1074=$AB$46,$AD$46,E1074=$AB$47,$AD$47,E1074=$AB$48,$AD$48,E1074=$AB$49,$AD$49,E1074=$AB$50,$AD$50,E1074=$AB$51,$AD$51,E1074=$AB$52,$AD$52,E1074=$AB$53,$AD$53,E1074=$AB$54,$AD$54,E1074=$AB$55,$AD$55,E1074=$AB$56,$AD$56,E1074=$AB$57,$AD$57,E1074=$AB$58,$AD$58,E1074=$AB$59,$AD$59,E1074=$AB$60,$AD$60,E1074=$AB$61,$AD$61,E1074=$AB$62,$AD$62,E1074=$AB$63,$AD$63,E1074=$AB$64,$AD$64,E1074=$AB$65,$AD$65,E1074=$AB$66,$AD$66,TRUE,"0")</f>
        <v>IP</v>
      </c>
      <c r="E1074" s="163" t="s">
        <v>498</v>
      </c>
      <c r="F1074" s="2" t="s">
        <v>31</v>
      </c>
      <c r="G1074" s="2" t="s">
        <v>32</v>
      </c>
      <c r="H1074" s="3">
        <v>45402.625</v>
      </c>
      <c r="I1074" s="2" t="s">
        <v>584</v>
      </c>
      <c r="J1074" s="2" t="s">
        <v>186</v>
      </c>
      <c r="K1074" s="2">
        <v>63</v>
      </c>
      <c r="L1074" s="2">
        <v>90</v>
      </c>
      <c r="M1074" s="2">
        <v>1.8</v>
      </c>
      <c r="N1074" s="2">
        <v>20</v>
      </c>
      <c r="O1074" s="2"/>
      <c r="P1074" s="2"/>
      <c r="Q1074" s="2" t="s">
        <v>95</v>
      </c>
      <c r="R1074" s="10" t="s">
        <v>214</v>
      </c>
      <c r="S1074" s="10" t="s">
        <v>220</v>
      </c>
      <c r="T1074" s="188">
        <v>1000</v>
      </c>
      <c r="U1074" s="8">
        <f t="shared" si="125"/>
        <v>180</v>
      </c>
      <c r="V1074" s="234">
        <f t="shared" ref="V1074:V1084" si="131">SUM(V1073,U1074)</f>
        <v>96024.155246160299</v>
      </c>
      <c r="W1074" s="15">
        <v>25</v>
      </c>
      <c r="X1074" s="8">
        <f t="shared" si="128"/>
        <v>4.5</v>
      </c>
      <c r="Y1074" s="233">
        <f t="shared" si="130"/>
        <v>4266.5</v>
      </c>
    </row>
    <row r="1075" spans="1:25">
      <c r="A1075" s="156" t="e" cm="1">
        <f t="array" aca="1" ref="A1075" ca="1">_xlfn.IFS(E1075=$AB$42,$AC$42,E1075=$AB$43,$AC$43,E1075=$AB$44,$AC$44,E1075=$AB$45,$AC$45,E1075=$AB$46,$AC$46,E1075=$AB$47,$AC$47,E1075=$AB$48,$AC$48,E1075=$AB$49,$AC$49,E1075=$AB$50,$AC$50,E1075=$AB$51,$AC$51,E1075=$AB$52,$AC$52,E1075=$AB$53,$AC$53,E1075=$AB$54,$AC$54,E1075=$AB$55,$AC$55,E1075=$AB$56,$AC$56,E1075=$AB$57,$AC$57,E1075=$AB$58,$AC$58,E1075=$AB$59,$AC$59,E1075=$AB$60,$AC$60,E1075=$AB$61,$AC$61,E1075=$AB$62,$AC$62,E1075=$AB$63,$AC$63,E1075=$AB$64,$AC$64,E1075=$AB$65,$AC$65,E1075=$AB$66,$AC$66,TRUE,"0")</f>
        <v>#NAME?</v>
      </c>
      <c r="C1075" s="161" t="str" cm="1">
        <f t="array" ref="C1075">_xlfn.IFS(E1075=$AB$42,$AF$42,E1075=$AB$43,$AF$43,E1075=$AB$44,$AF$44,E1075=$AB$45,$AF$45,E1075=$AB$46,$AF$46,E1075=$AB$47,$AF$47,E1075=$AB$48,$AF$48,E1075=$AB$49,$AF$49,E1075=$AB$50,$AF$50,E1075=$AB$51,$AF$51,E1075=$AB$52,$AF$52,E1075=$AB$53,$AF$53,E1075=$AB$54,$AF$54,E1075=$AB$55,$AF$55,E1075=$AB$56,$AF$56,E1075=$AB$57,$AF$57,E1075=$AB$58,$AF$58,E1075=$AB$59,$AF$59,E1075=$AB$60,$AF$60,E1075=$AB$61,$AF$61,E1075=$AB$62,$AF$62,E1075=$AB$63,$AF$63,E1075=$AB$64,$AF$64,E1075=$AB$65,$AF$65,E1075=$AB$66,$AF$66,TRUE,"0")</f>
        <v>if 0-0, BACK+ 0.5 GOALS  @ 1.15+odds.  or @ 40 mins</v>
      </c>
      <c r="D1075" s="270" t="str" cm="1">
        <f t="array" ref="D1075">_xlfn.IFS(E1075=$AB$42,$AD$42,E1075=$AB$43,$AD$43,E1075=$AB$44,$AD$44,E1075=$AB$45,$AD$45,E1075=$AB$46,$AD$46,E1075=$AB$47,$AD$47,E1075=$AB$48,$AD$48,E1075=$AB$49,$AD$49,E1075=$AB$50,$AD$50,E1075=$AB$51,$AD$51,E1075=$AB$52,$AD$52,E1075=$AB$53,$AD$53,E1075=$AB$54,$AD$54,E1075=$AB$55,$AD$55,E1075=$AB$56,$AD$56,E1075=$AB$57,$AD$57,E1075=$AB$58,$AD$58,E1075=$AB$59,$AD$59,E1075=$AB$60,$AD$60,E1075=$AB$61,$AD$61,E1075=$AB$62,$AD$62,E1075=$AB$63,$AD$63,E1075=$AB$64,$AD$64,E1075=$AB$65,$AD$65,E1075=$AB$66,$AD$66,TRUE,"0")</f>
        <v>IP</v>
      </c>
      <c r="E1075" s="163" t="s">
        <v>270</v>
      </c>
      <c r="F1075" s="2" t="s">
        <v>6</v>
      </c>
      <c r="G1075" s="2" t="s">
        <v>7</v>
      </c>
      <c r="H1075" s="3">
        <v>45402.625</v>
      </c>
      <c r="I1075" s="2" t="s">
        <v>378</v>
      </c>
      <c r="J1075" s="2" t="s">
        <v>54</v>
      </c>
      <c r="K1075" s="2">
        <v>62</v>
      </c>
      <c r="L1075" s="2">
        <v>0</v>
      </c>
      <c r="M1075" s="2">
        <v>20</v>
      </c>
      <c r="N1075" s="2">
        <v>38</v>
      </c>
      <c r="O1075" s="2">
        <v>2.44</v>
      </c>
      <c r="P1075" s="2"/>
      <c r="Q1075" s="2" t="s">
        <v>95</v>
      </c>
      <c r="R1075" s="10" t="s">
        <v>210</v>
      </c>
      <c r="S1075" s="10" t="s">
        <v>366</v>
      </c>
      <c r="T1075" s="188">
        <v>1000</v>
      </c>
      <c r="U1075" s="8">
        <f t="shared" si="125"/>
        <v>180</v>
      </c>
      <c r="V1075" s="234">
        <f t="shared" si="131"/>
        <v>96204.155246160299</v>
      </c>
      <c r="W1075" s="15">
        <v>25</v>
      </c>
      <c r="X1075" s="8">
        <f t="shared" si="128"/>
        <v>4.5</v>
      </c>
      <c r="Y1075" s="233">
        <f t="shared" si="130"/>
        <v>4271</v>
      </c>
    </row>
    <row r="1076" spans="1:25">
      <c r="A1076" s="156" t="e" cm="1">
        <f t="array" aca="1" ref="A1076" ca="1">_xlfn.IFS(E1076=$AB$42,$AC$42,E1076=$AB$43,$AC$43,E1076=$AB$44,$AC$44,E1076=$AB$45,$AC$45,E1076=$AB$46,$AC$46,E1076=$AB$47,$AC$47,E1076=$AB$48,$AC$48,E1076=$AB$49,$AC$49,E1076=$AB$50,$AC$50,E1076=$AB$51,$AC$51,E1076=$AB$52,$AC$52,E1076=$AB$53,$AC$53,E1076=$AB$54,$AC$54,E1076=$AB$55,$AC$55,E1076=$AB$56,$AC$56,E1076=$AB$57,$AC$57,E1076=$AB$58,$AC$58,E1076=$AB$59,$AC$59,E1076=$AB$60,$AC$60,E1076=$AB$61,$AC$61,E1076=$AB$62,$AC$62,E1076=$AB$63,$AC$63,E1076=$AB$64,$AC$64,E1076=$AB$65,$AC$65,E1076=$AB$66,$AC$66,TRUE,"0")</f>
        <v>#NAME?</v>
      </c>
      <c r="C1076" s="161" t="str" cm="1">
        <f t="array" ref="C1076">_xlfn.IFS(E1076=$AB$42,$AF$42,E1076=$AB$43,$AF$43,E1076=$AB$44,$AF$44,E1076=$AB$45,$AF$45,E1076=$AB$46,$AF$46,E1076=$AB$47,$AF$47,E1076=$AB$48,$AF$48,E1076=$AB$49,$AF$49,E1076=$AB$50,$AF$50,E1076=$AB$51,$AF$51,E1076=$AB$52,$AF$52,E1076=$AB$53,$AF$53,E1076=$AB$54,$AF$54,E1076=$AB$55,$AF$55,E1076=$AB$56,$AF$56,E1076=$AB$57,$AF$57,E1076=$AB$58,$AF$58,E1076=$AB$59,$AF$59,E1076=$AB$60,$AF$60,E1076=$AB$61,$AF$61,E1076=$AB$62,$AF$62,E1076=$AB$63,$AF$63,E1076=$AB$64,$AF$64,E1076=$AB$65,$AF$65,E1076=$AB$66,$AF$66,TRUE,"0")</f>
        <v>if 0-0, BACK+ 0.5 GOALS  @ 1.15+odds.  or @ 40 mins</v>
      </c>
      <c r="D1076" s="270" t="str" cm="1">
        <f t="array" ref="D1076">_xlfn.IFS(E1076=$AB$42,$AD$42,E1076=$AB$43,$AD$43,E1076=$AB$44,$AD$44,E1076=$AB$45,$AD$45,E1076=$AB$46,$AD$46,E1076=$AB$47,$AD$47,E1076=$AB$48,$AD$48,E1076=$AB$49,$AD$49,E1076=$AB$50,$AD$50,E1076=$AB$51,$AD$51,E1076=$AB$52,$AD$52,E1076=$AB$53,$AD$53,E1076=$AB$54,$AD$54,E1076=$AB$55,$AD$55,E1076=$AB$56,$AD$56,E1076=$AB$57,$AD$57,E1076=$AB$58,$AD$58,E1076=$AB$59,$AD$59,E1076=$AB$60,$AD$60,E1076=$AB$61,$AD$61,E1076=$AB$62,$AD$62,E1076=$AB$63,$AD$63,E1076=$AB$64,$AD$64,E1076=$AB$65,$AD$65,E1076=$AB$66,$AD$66,TRUE,"0")</f>
        <v>IP</v>
      </c>
      <c r="E1076" s="163" t="s">
        <v>270</v>
      </c>
      <c r="F1076" s="2" t="s">
        <v>6</v>
      </c>
      <c r="G1076" s="2" t="s">
        <v>14</v>
      </c>
      <c r="H1076" s="3">
        <v>45402.625</v>
      </c>
      <c r="I1076" s="2" t="s">
        <v>421</v>
      </c>
      <c r="J1076" s="2" t="s">
        <v>377</v>
      </c>
      <c r="K1076" s="2">
        <v>63</v>
      </c>
      <c r="L1076" s="2">
        <v>0</v>
      </c>
      <c r="M1076" s="2">
        <v>20</v>
      </c>
      <c r="N1076" s="2">
        <v>33</v>
      </c>
      <c r="O1076" s="2">
        <v>2.2999999999999998</v>
      </c>
      <c r="P1076" s="2"/>
      <c r="Q1076" s="2" t="s">
        <v>95</v>
      </c>
      <c r="R1076" s="10" t="s">
        <v>221</v>
      </c>
      <c r="S1076" s="10" t="s">
        <v>288</v>
      </c>
      <c r="T1076" s="188">
        <v>1000</v>
      </c>
      <c r="U1076" s="8">
        <f t="shared" si="125"/>
        <v>180</v>
      </c>
      <c r="V1076" s="234">
        <f t="shared" si="131"/>
        <v>96384.155246160299</v>
      </c>
      <c r="W1076" s="15">
        <v>25</v>
      </c>
      <c r="X1076" s="8">
        <f t="shared" si="128"/>
        <v>4.5</v>
      </c>
      <c r="Y1076" s="233">
        <f t="shared" si="130"/>
        <v>4275.5</v>
      </c>
    </row>
    <row r="1077" spans="1:25">
      <c r="A1077" s="156" t="e" cm="1">
        <f t="array" aca="1" ref="A1077" ca="1">_xlfn.IFS(E1077=$AB$42,$AC$42,E1077=$AB$43,$AC$43,E1077=$AB$44,$AC$44,E1077=$AB$45,$AC$45,E1077=$AB$46,$AC$46,E1077=$AB$47,$AC$47,E1077=$AB$48,$AC$48,E1077=$AB$49,$AC$49,E1077=$AB$50,$AC$50,E1077=$AB$51,$AC$51,E1077=$AB$52,$AC$52,E1077=$AB$53,$AC$53,E1077=$AB$54,$AC$54,E1077=$AB$55,$AC$55,E1077=$AB$56,$AC$56,E1077=$AB$57,$AC$57,E1077=$AB$58,$AC$58,E1077=$AB$59,$AC$59,E1077=$AB$60,$AC$60,E1077=$AB$61,$AC$61,E1077=$AB$62,$AC$62,E1077=$AB$63,$AC$63,E1077=$AB$64,$AC$64,E1077=$AB$65,$AC$65,E1077=$AB$66,$AC$66,TRUE,"0")</f>
        <v>#NAME?</v>
      </c>
      <c r="C1077" s="161" t="str" cm="1">
        <f t="array" ref="C1077">_xlfn.IFS(E1077=$AB$42,$AF$42,E1077=$AB$43,$AF$43,E1077=$AB$44,$AF$44,E1077=$AB$45,$AF$45,E1077=$AB$46,$AF$46,E1077=$AB$47,$AF$47,E1077=$AB$48,$AF$48,E1077=$AB$49,$AF$49,E1077=$AB$50,$AF$50,E1077=$AB$51,$AF$51,E1077=$AB$52,$AF$52,E1077=$AB$53,$AF$53,E1077=$AB$54,$AF$54,E1077=$AB$55,$AF$55,E1077=$AB$56,$AF$56,E1077=$AB$57,$AF$57,E1077=$AB$58,$AF$58,E1077=$AB$59,$AF$59,E1077=$AB$60,$AF$60,E1077=$AB$61,$AF$61,E1077=$AB$62,$AF$62,E1077=$AB$63,$AF$63,E1077=$AB$64,$AF$64,E1077=$AB$65,$AF$65,E1077=$AB$66,$AF$66,TRUE,"0")</f>
        <v>40 mins Back ANother Goal</v>
      </c>
      <c r="D1077" s="270" t="str" cm="1">
        <f t="array" ref="D1077">_xlfn.IFS(E1077=$AB$42,$AD$42,E1077=$AB$43,$AD$43,E1077=$AB$44,$AD$44,E1077=$AB$45,$AD$45,E1077=$AB$46,$AD$46,E1077=$AB$47,$AD$47,E1077=$AB$48,$AD$48,E1077=$AB$49,$AD$49,E1077=$AB$50,$AD$50,E1077=$AB$51,$AD$51,E1077=$AB$52,$AD$52,E1077=$AB$53,$AD$53,E1077=$AB$54,$AD$54,E1077=$AB$55,$AD$55,E1077=$AB$56,$AD$56,E1077=$AB$57,$AD$57,E1077=$AB$58,$AD$58,E1077=$AB$59,$AD$59,E1077=$AB$60,$AD$60,E1077=$AB$61,$AD$61,E1077=$AB$62,$AD$62,E1077=$AB$63,$AD$63,E1077=$AB$64,$AD$64,E1077=$AB$65,$AD$65,E1077=$AB$66,$AD$66,TRUE,"0")</f>
        <v xml:space="preserve">  BANG</v>
      </c>
      <c r="E1077" s="163" t="s">
        <v>726</v>
      </c>
      <c r="F1077" s="2" t="s">
        <v>6</v>
      </c>
      <c r="G1077" s="2" t="s">
        <v>62</v>
      </c>
      <c r="H1077" s="3">
        <v>45402.625</v>
      </c>
      <c r="I1077" s="2" t="s">
        <v>86</v>
      </c>
      <c r="J1077" s="2" t="s">
        <v>63</v>
      </c>
      <c r="K1077" s="2">
        <v>85</v>
      </c>
      <c r="L1077" s="2">
        <v>20</v>
      </c>
      <c r="M1077" s="2">
        <v>1.9</v>
      </c>
      <c r="N1077" s="2">
        <v>62</v>
      </c>
      <c r="O1077" s="2"/>
      <c r="P1077" s="2"/>
      <c r="Q1077" s="2" t="s">
        <v>95</v>
      </c>
      <c r="R1077" s="10" t="s">
        <v>217</v>
      </c>
      <c r="S1077" s="10" t="s">
        <v>287</v>
      </c>
      <c r="T1077" s="188">
        <v>1000</v>
      </c>
      <c r="U1077" s="8">
        <f t="shared" si="125"/>
        <v>180</v>
      </c>
      <c r="V1077" s="234">
        <f t="shared" si="131"/>
        <v>96564.155246160299</v>
      </c>
      <c r="W1077" s="15">
        <v>25</v>
      </c>
      <c r="X1077" s="8">
        <f t="shared" si="128"/>
        <v>4.5</v>
      </c>
      <c r="Y1077" s="233">
        <f t="shared" si="130"/>
        <v>4280</v>
      </c>
    </row>
    <row r="1078" spans="1:25">
      <c r="A1078" s="156" t="e" cm="1">
        <f t="array" aca="1" ref="A1078" ca="1">_xlfn.IFS(E1078=$AB$42,$AC$42,E1078=$AB$43,$AC$43,E1078=$AB$44,$AC$44,E1078=$AB$45,$AC$45,E1078=$AB$46,$AC$46,E1078=$AB$47,$AC$47,E1078=$AB$48,$AC$48,E1078=$AB$49,$AC$49,E1078=$AB$50,$AC$50,E1078=$AB$51,$AC$51,E1078=$AB$52,$AC$52,E1078=$AB$53,$AC$53,E1078=$AB$54,$AC$54,E1078=$AB$55,$AC$55,E1078=$AB$56,$AC$56,E1078=$AB$57,$AC$57,E1078=$AB$58,$AC$58,E1078=$AB$59,$AC$59,E1078=$AB$60,$AC$60,E1078=$AB$61,$AC$61,E1078=$AB$62,$AC$62,E1078=$AB$63,$AC$63,E1078=$AB$64,$AC$64,E1078=$AB$65,$AC$65,E1078=$AB$66,$AC$66,TRUE,"0")</f>
        <v>#NAME?</v>
      </c>
      <c r="C1078" s="161" t="str" cm="1">
        <f t="array" ref="C1078">_xlfn.IFS(E1078=$AB$42,$AF$42,E1078=$AB$43,$AF$43,E1078=$AB$44,$AF$44,E1078=$AB$45,$AF$45,E1078=$AB$46,$AF$46,E1078=$AB$47,$AF$47,E1078=$AB$48,$AF$48,E1078=$AB$49,$AF$49,E1078=$AB$50,$AF$50,E1078=$AB$51,$AF$51,E1078=$AB$52,$AF$52,E1078=$AB$53,$AF$53,E1078=$AB$54,$AF$54,E1078=$AB$55,$AF$55,E1078=$AB$56,$AF$56,E1078=$AB$57,$AF$57,E1078=$AB$58,$AF$58,E1078=$AB$59,$AF$59,E1078=$AB$60,$AF$60,E1078=$AB$61,$AF$61,E1078=$AB$62,$AF$62,E1078=$AB$63,$AF$63,E1078=$AB$64,$AF$64,E1078=$AB$65,$AF$65,E1078=$AB$66,$AF$66,TRUE,"0")</f>
        <v>B4 Match, lay HT 0-0 or BACK H1 +0.5 GOALS</v>
      </c>
      <c r="D1078" s="270" t="str" cm="1">
        <f t="array" ref="D1078">_xlfn.IFS(E1078=$AB$42,$AD$42,E1078=$AB$43,$AD$43,E1078=$AB$44,$AD$44,E1078=$AB$45,$AD$45,E1078=$AB$46,$AD$46,E1078=$AB$47,$AD$47,E1078=$AB$48,$AD$48,E1078=$AB$49,$AD$49,E1078=$AB$50,$AD$50,E1078=$AB$51,$AD$51,E1078=$AB$52,$AD$52,E1078=$AB$53,$AD$53,E1078=$AB$54,$AD$54,E1078=$AB$55,$AD$55,E1078=$AB$56,$AD$56,E1078=$AB$57,$AD$57,E1078=$AB$58,$AD$58,E1078=$AB$59,$AD$59,E1078=$AB$60,$AD$60,E1078=$AB$61,$AD$61,E1078=$AB$62,$AD$62,E1078=$AB$63,$AD$63,E1078=$AB$64,$AD$64,E1078=$AB$65,$AD$65,E1078=$AB$66,$AD$66,TRUE,"0")</f>
        <v xml:space="preserve">BFM </v>
      </c>
      <c r="E1078" s="163" t="s">
        <v>448</v>
      </c>
      <c r="F1078" s="2" t="s">
        <v>6</v>
      </c>
      <c r="G1078" s="2" t="s">
        <v>62</v>
      </c>
      <c r="H1078" s="3">
        <v>45402.625</v>
      </c>
      <c r="I1078" s="2" t="s">
        <v>86</v>
      </c>
      <c r="J1078" s="2" t="s">
        <v>63</v>
      </c>
      <c r="K1078" s="2">
        <v>20</v>
      </c>
      <c r="L1078" s="2">
        <v>10</v>
      </c>
      <c r="M1078" s="2">
        <v>33</v>
      </c>
      <c r="N1078" s="2">
        <v>8</v>
      </c>
      <c r="O1078" s="2">
        <v>7</v>
      </c>
      <c r="P1078" s="2">
        <v>5</v>
      </c>
      <c r="Q1078" s="2" t="s">
        <v>95</v>
      </c>
      <c r="R1078" s="10" t="s">
        <v>217</v>
      </c>
      <c r="S1078" s="10" t="s">
        <v>287</v>
      </c>
      <c r="T1078" s="188">
        <v>1000</v>
      </c>
      <c r="U1078" s="8">
        <f t="shared" si="125"/>
        <v>180</v>
      </c>
      <c r="V1078" s="234">
        <f t="shared" si="131"/>
        <v>96744.155246160299</v>
      </c>
      <c r="W1078" s="15">
        <v>25</v>
      </c>
      <c r="X1078" s="8">
        <f t="shared" si="128"/>
        <v>4.5</v>
      </c>
      <c r="Y1078" s="233">
        <f t="shared" si="130"/>
        <v>4284.5</v>
      </c>
    </row>
    <row r="1079" spans="1:25">
      <c r="A1079" s="156" t="e" cm="1">
        <f t="array" aca="1" ref="A1079" ca="1">_xlfn.IFS(E1079=$AB$42,$AC$42,E1079=$AB$43,$AC$43,E1079=$AB$44,$AC$44,E1079=$AB$45,$AC$45,E1079=$AB$46,$AC$46,E1079=$AB$47,$AC$47,E1079=$AB$48,$AC$48,E1079=$AB$49,$AC$49,E1079=$AB$50,$AC$50,E1079=$AB$51,$AC$51,E1079=$AB$52,$AC$52,E1079=$AB$53,$AC$53,E1079=$AB$54,$AC$54,E1079=$AB$55,$AC$55,E1079=$AB$56,$AC$56,E1079=$AB$57,$AC$57,E1079=$AB$58,$AC$58,E1079=$AB$59,$AC$59,E1079=$AB$60,$AC$60,E1079=$AB$61,$AC$61,E1079=$AB$62,$AC$62,E1079=$AB$63,$AC$63,E1079=$AB$64,$AC$64,E1079=$AB$65,$AC$65,E1079=$AB$66,$AC$66,TRUE,"0")</f>
        <v>#NAME?</v>
      </c>
      <c r="C1079" s="161" t="str" cm="1">
        <f t="array" ref="C1079">_xlfn.IFS(E1079=$AB$42,$AF$42,E1079=$AB$43,$AF$43,E1079=$AB$44,$AF$44,E1079=$AB$45,$AF$45,E1079=$AB$46,$AF$46,E1079=$AB$47,$AF$47,E1079=$AB$48,$AF$48,E1079=$AB$49,$AF$49,E1079=$AB$50,$AF$50,E1079=$AB$51,$AF$51,E1079=$AB$52,$AF$52,E1079=$AB$53,$AF$53,E1079=$AB$54,$AF$54,E1079=$AB$55,$AF$55,E1079=$AB$56,$AF$56,E1079=$AB$57,$AF$57,E1079=$AB$58,$AF$58,E1079=$AB$59,$AF$59,E1079=$AB$60,$AF$60,E1079=$AB$61,$AF$61,E1079=$AB$62,$AF$62,E1079=$AB$63,$AF$63,E1079=$AB$64,$AF$64,E1079=$AB$65,$AF$65,E1079=$AB$66,$AF$66,TRUE,"0")</f>
        <v>20mins if  0-0, BACK over 1.5 goals X after goal OR LET RUN</v>
      </c>
      <c r="D1079" s="270" t="str" cm="1">
        <f t="array" ref="D1079">_xlfn.IFS(E1079=$AB$42,$AD$42,E1079=$AB$43,$AD$43,E1079=$AB$44,$AD$44,E1079=$AB$45,$AD$45,E1079=$AB$46,$AD$46,E1079=$AB$47,$AD$47,E1079=$AB$48,$AD$48,E1079=$AB$49,$AD$49,E1079=$AB$50,$AD$50,E1079=$AB$51,$AD$51,E1079=$AB$52,$AD$52,E1079=$AB$53,$AD$53,E1079=$AB$54,$AD$54,E1079=$AB$55,$AD$55,E1079=$AB$56,$AD$56,E1079=$AB$57,$AD$57,E1079=$AB$58,$AD$58,E1079=$AB$59,$AD$59,E1079=$AB$60,$AD$60,E1079=$AB$61,$AD$61,E1079=$AB$62,$AD$62,E1079=$AB$63,$AD$63,E1079=$AB$64,$AD$64,E1079=$AB$65,$AD$65,E1079=$AB$66,$AD$66,TRUE,"0")</f>
        <v>IP</v>
      </c>
      <c r="E1079" s="163" t="s">
        <v>474</v>
      </c>
      <c r="F1079" s="2" t="s">
        <v>6</v>
      </c>
      <c r="G1079" s="2" t="s">
        <v>62</v>
      </c>
      <c r="H1079" s="3">
        <v>45402.625</v>
      </c>
      <c r="I1079" s="2" t="s">
        <v>86</v>
      </c>
      <c r="J1079" s="2" t="s">
        <v>63</v>
      </c>
      <c r="K1079" s="2">
        <v>51</v>
      </c>
      <c r="L1079" s="2">
        <v>3.55</v>
      </c>
      <c r="M1079" s="2">
        <v>20</v>
      </c>
      <c r="N1079" s="2">
        <v>75</v>
      </c>
      <c r="O1079" s="2">
        <v>85</v>
      </c>
      <c r="P1079" s="2"/>
      <c r="Q1079" s="2" t="s">
        <v>95</v>
      </c>
      <c r="R1079" s="10" t="s">
        <v>217</v>
      </c>
      <c r="S1079" s="10" t="s">
        <v>287</v>
      </c>
      <c r="T1079" s="188">
        <v>1000</v>
      </c>
      <c r="U1079" s="8">
        <f t="shared" si="125"/>
        <v>180</v>
      </c>
      <c r="V1079" s="234">
        <f t="shared" si="131"/>
        <v>96924.155246160299</v>
      </c>
      <c r="W1079" s="15">
        <v>25</v>
      </c>
      <c r="X1079" s="8">
        <f t="shared" si="128"/>
        <v>4.5</v>
      </c>
      <c r="Y1079" s="233">
        <f t="shared" si="130"/>
        <v>4289</v>
      </c>
    </row>
    <row r="1080" spans="1:25">
      <c r="A1080" s="156" t="e" cm="1">
        <f t="array" aca="1" ref="A1080" ca="1">_xlfn.IFS(E1080=$AB$42,$AC$42,E1080=$AB$43,$AC$43,E1080=$AB$44,$AC$44,E1080=$AB$45,$AC$45,E1080=$AB$46,$AC$46,E1080=$AB$47,$AC$47,E1080=$AB$48,$AC$48,E1080=$AB$49,$AC$49,E1080=$AB$50,$AC$50,E1080=$AB$51,$AC$51,E1080=$AB$52,$AC$52,E1080=$AB$53,$AC$53,E1080=$AB$54,$AC$54,E1080=$AB$55,$AC$55,E1080=$AB$56,$AC$56,E1080=$AB$57,$AC$57,E1080=$AB$58,$AC$58,E1080=$AB$59,$AC$59,E1080=$AB$60,$AC$60,E1080=$AB$61,$AC$61,E1080=$AB$62,$AC$62,E1080=$AB$63,$AC$63,E1080=$AB$64,$AC$64,E1080=$AB$65,$AC$65,E1080=$AB$66,$AC$66,TRUE,"0")</f>
        <v>#NAME?</v>
      </c>
      <c r="C1080" s="161" t="str" cm="1">
        <f t="array" ref="C1080">_xlfn.IFS(E1080=$AB$42,$AF$42,E1080=$AB$43,$AF$43,E1080=$AB$44,$AF$44,E1080=$AB$45,$AF$45,E1080=$AB$46,$AF$46,E1080=$AB$47,$AF$47,E1080=$AB$48,$AF$48,E1080=$AB$49,$AF$49,E1080=$AB$50,$AF$50,E1080=$AB$51,$AF$51,E1080=$AB$52,$AF$52,E1080=$AB$53,$AF$53,E1080=$AB$54,$AF$54,E1080=$AB$55,$AF$55,E1080=$AB$56,$AF$56,E1080=$AB$57,$AF$57,E1080=$AB$58,$AF$58,E1080=$AB$59,$AF$59,E1080=$AB$60,$AF$60,E1080=$AB$61,$AF$61,E1080=$AB$62,$AF$62,E1080=$AB$63,$AF$63,E1080=$AB$64,$AF$64,E1080=$AB$65,$AF$65,E1080=$AB$66,$AF$66,TRUE,"0")</f>
        <v>B4 Match, lay HT 0-0 or BACK H1 +0.5 GOALS</v>
      </c>
      <c r="D1080" s="270" t="str" cm="1">
        <f t="array" ref="D1080">_xlfn.IFS(E1080=$AB$42,$AD$42,E1080=$AB$43,$AD$43,E1080=$AB$44,$AD$44,E1080=$AB$45,$AD$45,E1080=$AB$46,$AD$46,E1080=$AB$47,$AD$47,E1080=$AB$48,$AD$48,E1080=$AB$49,$AD$49,E1080=$AB$50,$AD$50,E1080=$AB$51,$AD$51,E1080=$AB$52,$AD$52,E1080=$AB$53,$AD$53,E1080=$AB$54,$AD$54,E1080=$AB$55,$AD$55,E1080=$AB$56,$AD$56,E1080=$AB$57,$AD$57,E1080=$AB$58,$AD$58,E1080=$AB$59,$AD$59,E1080=$AB$60,$AD$60,E1080=$AB$61,$AD$61,E1080=$AB$62,$AD$62,E1080=$AB$63,$AD$63,E1080=$AB$64,$AD$64,E1080=$AB$65,$AD$65,E1080=$AB$66,$AD$66,TRUE,"0")</f>
        <v xml:space="preserve">BFM </v>
      </c>
      <c r="E1080" s="163" t="s">
        <v>448</v>
      </c>
      <c r="F1080" s="2" t="s">
        <v>6</v>
      </c>
      <c r="G1080" s="2" t="s">
        <v>7</v>
      </c>
      <c r="H1080" s="3">
        <v>45402.625</v>
      </c>
      <c r="I1080" s="2" t="s">
        <v>8</v>
      </c>
      <c r="J1080" s="2" t="s">
        <v>27</v>
      </c>
      <c r="K1080" s="2">
        <v>20</v>
      </c>
      <c r="L1080" s="2">
        <v>10</v>
      </c>
      <c r="M1080" s="2">
        <v>40</v>
      </c>
      <c r="N1080" s="2">
        <v>8</v>
      </c>
      <c r="O1080" s="2">
        <v>10</v>
      </c>
      <c r="P1080" s="2">
        <v>6</v>
      </c>
      <c r="Q1080" s="2" t="s">
        <v>95</v>
      </c>
      <c r="R1080" s="10" t="s">
        <v>221</v>
      </c>
      <c r="S1080" s="10" t="s">
        <v>214</v>
      </c>
      <c r="T1080" s="188">
        <v>1000</v>
      </c>
      <c r="U1080" s="8">
        <f t="shared" si="125"/>
        <v>180</v>
      </c>
      <c r="V1080" s="234">
        <f t="shared" si="131"/>
        <v>97104.155246160299</v>
      </c>
      <c r="W1080" s="15">
        <v>25</v>
      </c>
      <c r="X1080" s="8">
        <f t="shared" si="128"/>
        <v>4.5</v>
      </c>
      <c r="Y1080" s="233">
        <f t="shared" si="130"/>
        <v>4293.5</v>
      </c>
    </row>
    <row r="1081" spans="1:25">
      <c r="A1081" s="156" t="e" cm="1">
        <f t="array" aca="1" ref="A1081" ca="1">_xlfn.IFS(E1081=$AB$42,$AC$42,E1081=$AB$43,$AC$43,E1081=$AB$44,$AC$44,E1081=$AB$45,$AC$45,E1081=$AB$46,$AC$46,E1081=$AB$47,$AC$47,E1081=$AB$48,$AC$48,E1081=$AB$49,$AC$49,E1081=$AB$50,$AC$50,E1081=$AB$51,$AC$51,E1081=$AB$52,$AC$52,E1081=$AB$53,$AC$53,E1081=$AB$54,$AC$54,E1081=$AB$55,$AC$55,E1081=$AB$56,$AC$56,E1081=$AB$57,$AC$57,E1081=$AB$58,$AC$58,E1081=$AB$59,$AC$59,E1081=$AB$60,$AC$60,E1081=$AB$61,$AC$61,E1081=$AB$62,$AC$62,E1081=$AB$63,$AC$63,E1081=$AB$64,$AC$64,E1081=$AB$65,$AC$65,E1081=$AB$66,$AC$66,TRUE,"0")</f>
        <v>#NAME?</v>
      </c>
      <c r="C1081" s="161" t="str" cm="1">
        <f t="array" ref="C1081">_xlfn.IFS(E1081=$AB$42,$AF$42,E1081=$AB$43,$AF$43,E1081=$AB$44,$AF$44,E1081=$AB$45,$AF$45,E1081=$AB$46,$AF$46,E1081=$AB$47,$AF$47,E1081=$AB$48,$AF$48,E1081=$AB$49,$AF$49,E1081=$AB$50,$AF$50,E1081=$AB$51,$AF$51,E1081=$AB$52,$AF$52,E1081=$AB$53,$AF$53,E1081=$AB$54,$AF$54,E1081=$AB$55,$AF$55,E1081=$AB$56,$AF$56,E1081=$AB$57,$AF$57,E1081=$AB$58,$AF$58,E1081=$AB$59,$AF$59,E1081=$AB$60,$AF$60,E1081=$AB$61,$AF$61,E1081=$AB$62,$AF$62,E1081=$AB$63,$AF$63,E1081=$AB$64,$AF$64,E1081=$AB$65,$AF$65,E1081=$AB$66,$AF$66,TRUE,"0")</f>
        <v>B4 Match, lay HT 0-0 or BACK H1 +0.5 GOALS</v>
      </c>
      <c r="D1081" s="270" t="str" cm="1">
        <f t="array" ref="D1081">_xlfn.IFS(E1081=$AB$42,$AD$42,E1081=$AB$43,$AD$43,E1081=$AB$44,$AD$44,E1081=$AB$45,$AD$45,E1081=$AB$46,$AD$46,E1081=$AB$47,$AD$47,E1081=$AB$48,$AD$48,E1081=$AB$49,$AD$49,E1081=$AB$50,$AD$50,E1081=$AB$51,$AD$51,E1081=$AB$52,$AD$52,E1081=$AB$53,$AD$53,E1081=$AB$54,$AD$54,E1081=$AB$55,$AD$55,E1081=$AB$56,$AD$56,E1081=$AB$57,$AD$57,E1081=$AB$58,$AD$58,E1081=$AB$59,$AD$59,E1081=$AB$60,$AD$60,E1081=$AB$61,$AD$61,E1081=$AB$62,$AD$62,E1081=$AB$63,$AD$63,E1081=$AB$64,$AD$64,E1081=$AB$65,$AD$65,E1081=$AB$66,$AD$66,TRUE,"0")</f>
        <v xml:space="preserve">BFM </v>
      </c>
      <c r="E1081" s="163" t="s">
        <v>432</v>
      </c>
      <c r="F1081" s="2" t="s">
        <v>6</v>
      </c>
      <c r="G1081" s="2" t="s">
        <v>11</v>
      </c>
      <c r="H1081" s="3">
        <v>45402.625</v>
      </c>
      <c r="I1081" s="2" t="s">
        <v>634</v>
      </c>
      <c r="J1081" s="2" t="s">
        <v>737</v>
      </c>
      <c r="K1081" s="2">
        <v>5</v>
      </c>
      <c r="L1081" s="2">
        <v>20</v>
      </c>
      <c r="M1081" s="2">
        <v>19</v>
      </c>
      <c r="N1081" s="2">
        <v>14</v>
      </c>
      <c r="O1081" s="2">
        <v>23</v>
      </c>
      <c r="P1081" s="2">
        <v>1.8</v>
      </c>
      <c r="Q1081" s="2" t="s">
        <v>95</v>
      </c>
      <c r="R1081" s="10" t="s">
        <v>193</v>
      </c>
      <c r="S1081" s="10" t="s">
        <v>223</v>
      </c>
      <c r="T1081" s="188">
        <v>1000</v>
      </c>
      <c r="U1081" s="8">
        <f t="shared" si="125"/>
        <v>180</v>
      </c>
      <c r="V1081" s="234">
        <f t="shared" si="131"/>
        <v>97284.155246160299</v>
      </c>
      <c r="W1081" s="15">
        <v>25</v>
      </c>
      <c r="X1081" s="8">
        <f t="shared" si="128"/>
        <v>4.5</v>
      </c>
      <c r="Y1081" s="233">
        <f t="shared" si="130"/>
        <v>4298</v>
      </c>
    </row>
    <row r="1082" spans="1:25">
      <c r="A1082" s="156" t="e" cm="1">
        <f t="array" aca="1" ref="A1082" ca="1">_xlfn.IFS(E1082=$AB$42,$AC$42,E1082=$AB$43,$AC$43,E1082=$AB$44,$AC$44,E1082=$AB$45,$AC$45,E1082=$AB$46,$AC$46,E1082=$AB$47,$AC$47,E1082=$AB$48,$AC$48,E1082=$AB$49,$AC$49,E1082=$AB$50,$AC$50,E1082=$AB$51,$AC$51,E1082=$AB$52,$AC$52,E1082=$AB$53,$AC$53,E1082=$AB$54,$AC$54,E1082=$AB$55,$AC$55,E1082=$AB$56,$AC$56,E1082=$AB$57,$AC$57,E1082=$AB$58,$AC$58,E1082=$AB$59,$AC$59,E1082=$AB$60,$AC$60,E1082=$AB$61,$AC$61,E1082=$AB$62,$AC$62,E1082=$AB$63,$AC$63,E1082=$AB$64,$AC$64,E1082=$AB$65,$AC$65,E1082=$AB$66,$AC$66,TRUE,"0")</f>
        <v>#NAME?</v>
      </c>
      <c r="C1082" s="161" t="str" cm="1">
        <f t="array" ref="C1082">_xlfn.IFS(E1082=$AB$42,$AF$42,E1082=$AB$43,$AF$43,E1082=$AB$44,$AF$44,E1082=$AB$45,$AF$45,E1082=$AB$46,$AF$46,E1082=$AB$47,$AF$47,E1082=$AB$48,$AF$48,E1082=$AB$49,$AF$49,E1082=$AB$50,$AF$50,E1082=$AB$51,$AF$51,E1082=$AB$52,$AF$52,E1082=$AB$53,$AF$53,E1082=$AB$54,$AF$54,E1082=$AB$55,$AF$55,E1082=$AB$56,$AF$56,E1082=$AB$57,$AF$57,E1082=$AB$58,$AF$58,E1082=$AB$59,$AF$59,E1082=$AB$60,$AF$60,E1082=$AB$61,$AF$61,E1082=$AB$62,$AF$62,E1082=$AB$63,$AF$63,E1082=$AB$64,$AF$64,E1082=$AB$65,$AF$65,E1082=$AB$66,$AF$66,TRUE,"0")</f>
        <v>B4 Match, lay HT 0-0 or BACK H1 +0.5 GOALS</v>
      </c>
      <c r="D1082" s="270" t="str" cm="1">
        <f t="array" ref="D1082">_xlfn.IFS(E1082=$AB$42,$AD$42,E1082=$AB$43,$AD$43,E1082=$AB$44,$AD$44,E1082=$AB$45,$AD$45,E1082=$AB$46,$AD$46,E1082=$AB$47,$AD$47,E1082=$AB$48,$AD$48,E1082=$AB$49,$AD$49,E1082=$AB$50,$AD$50,E1082=$AB$51,$AD$51,E1082=$AB$52,$AD$52,E1082=$AB$53,$AD$53,E1082=$AB$54,$AD$54,E1082=$AB$55,$AD$55,E1082=$AB$56,$AD$56,E1082=$AB$57,$AD$57,E1082=$AB$58,$AD$58,E1082=$AB$59,$AD$59,E1082=$AB$60,$AD$60,E1082=$AB$61,$AD$61,E1082=$AB$62,$AD$62,E1082=$AB$63,$AD$63,E1082=$AB$64,$AD$64,E1082=$AB$65,$AD$65,E1082=$AB$66,$AD$66,TRUE,"0")</f>
        <v xml:space="preserve">BFM </v>
      </c>
      <c r="E1082" s="163" t="s">
        <v>448</v>
      </c>
      <c r="F1082" s="2" t="s">
        <v>6</v>
      </c>
      <c r="G1082" s="2" t="s">
        <v>11</v>
      </c>
      <c r="H1082" s="3">
        <v>45402.625</v>
      </c>
      <c r="I1082" s="2" t="s">
        <v>634</v>
      </c>
      <c r="J1082" s="2" t="s">
        <v>737</v>
      </c>
      <c r="K1082" s="2">
        <v>20</v>
      </c>
      <c r="L1082" s="2">
        <v>5</v>
      </c>
      <c r="M1082" s="2">
        <v>36</v>
      </c>
      <c r="N1082" s="2">
        <v>6</v>
      </c>
      <c r="O1082" s="2">
        <v>10</v>
      </c>
      <c r="P1082" s="2">
        <v>6</v>
      </c>
      <c r="Q1082" s="2" t="s">
        <v>95</v>
      </c>
      <c r="R1082" s="10" t="s">
        <v>193</v>
      </c>
      <c r="S1082" s="10" t="s">
        <v>223</v>
      </c>
      <c r="T1082" s="188">
        <v>1000</v>
      </c>
      <c r="U1082" s="8">
        <f t="shared" si="125"/>
        <v>180</v>
      </c>
      <c r="V1082" s="234">
        <f t="shared" si="131"/>
        <v>97464.155246160299</v>
      </c>
      <c r="W1082" s="15">
        <v>25</v>
      </c>
      <c r="X1082" s="8">
        <f t="shared" si="128"/>
        <v>4.5</v>
      </c>
      <c r="Y1082" s="233">
        <f t="shared" si="130"/>
        <v>4302.5</v>
      </c>
    </row>
    <row r="1083" spans="1:25">
      <c r="A1083" s="156" t="e" cm="1">
        <f t="array" aca="1" ref="A1083" ca="1">_xlfn.IFS(E1083=$AB$42,$AC$42,E1083=$AB$43,$AC$43,E1083=$AB$44,$AC$44,E1083=$AB$45,$AC$45,E1083=$AB$46,$AC$46,E1083=$AB$47,$AC$47,E1083=$AB$48,$AC$48,E1083=$AB$49,$AC$49,E1083=$AB$50,$AC$50,E1083=$AB$51,$AC$51,E1083=$AB$52,$AC$52,E1083=$AB$53,$AC$53,E1083=$AB$54,$AC$54,E1083=$AB$55,$AC$55,E1083=$AB$56,$AC$56,E1083=$AB$57,$AC$57,E1083=$AB$58,$AC$58,E1083=$AB$59,$AC$59,E1083=$AB$60,$AC$60,E1083=$AB$61,$AC$61,E1083=$AB$62,$AC$62,E1083=$AB$63,$AC$63,E1083=$AB$64,$AC$64,E1083=$AB$65,$AC$65,E1083=$AB$66,$AC$66,TRUE,"0")</f>
        <v>#NAME?</v>
      </c>
      <c r="C1083" s="161" t="str" cm="1">
        <f t="array" ref="C1083">_xlfn.IFS(E1083=$AB$42,$AF$42,E1083=$AB$43,$AF$43,E1083=$AB$44,$AF$44,E1083=$AB$45,$AF$45,E1083=$AB$46,$AF$46,E1083=$AB$47,$AF$47,E1083=$AB$48,$AF$48,E1083=$AB$49,$AF$49,E1083=$AB$50,$AF$50,E1083=$AB$51,$AF$51,E1083=$AB$52,$AF$52,E1083=$AB$53,$AF$53,E1083=$AB$54,$AF$54,E1083=$AB$55,$AF$55,E1083=$AB$56,$AF$56,E1083=$AB$57,$AF$57,E1083=$AB$58,$AF$58,E1083=$AB$59,$AF$59,E1083=$AB$60,$AF$60,E1083=$AB$61,$AF$61,E1083=$AB$62,$AF$62,E1083=$AB$63,$AF$63,E1083=$AB$64,$AF$64,E1083=$AB$65,$AF$65,E1083=$AB$66,$AF$66,TRUE,"0")</f>
        <v>40 mins Back ANother Goal</v>
      </c>
      <c r="D1083" s="270" t="str" cm="1">
        <f t="array" ref="D1083">_xlfn.IFS(E1083=$AB$42,$AD$42,E1083=$AB$43,$AD$43,E1083=$AB$44,$AD$44,E1083=$AB$45,$AD$45,E1083=$AB$46,$AD$46,E1083=$AB$47,$AD$47,E1083=$AB$48,$AD$48,E1083=$AB$49,$AD$49,E1083=$AB$50,$AD$50,E1083=$AB$51,$AD$51,E1083=$AB$52,$AD$52,E1083=$AB$53,$AD$53,E1083=$AB$54,$AD$54,E1083=$AB$55,$AD$55,E1083=$AB$56,$AD$56,E1083=$AB$57,$AD$57,E1083=$AB$58,$AD$58,E1083=$AB$59,$AD$59,E1083=$AB$60,$AD$60,E1083=$AB$61,$AD$61,E1083=$AB$62,$AD$62,E1083=$AB$63,$AD$63,E1083=$AB$64,$AD$64,E1083=$AB$65,$AD$65,E1083=$AB$66,$AD$66,TRUE,"0")</f>
        <v xml:space="preserve">  BANG</v>
      </c>
      <c r="E1083" s="163" t="s">
        <v>726</v>
      </c>
      <c r="F1083" s="2" t="s">
        <v>6</v>
      </c>
      <c r="G1083" s="2" t="s">
        <v>62</v>
      </c>
      <c r="H1083" s="3">
        <v>45402.625</v>
      </c>
      <c r="I1083" s="2" t="s">
        <v>85</v>
      </c>
      <c r="J1083" s="2" t="s">
        <v>103</v>
      </c>
      <c r="K1083" s="2">
        <v>85</v>
      </c>
      <c r="L1083" s="2">
        <v>20</v>
      </c>
      <c r="M1083" s="2">
        <v>1.95</v>
      </c>
      <c r="N1083" s="2">
        <v>61</v>
      </c>
      <c r="O1083" s="2"/>
      <c r="P1083" s="2"/>
      <c r="Q1083" s="2" t="s">
        <v>95</v>
      </c>
      <c r="R1083" s="10" t="s">
        <v>217</v>
      </c>
      <c r="S1083" s="10" t="s">
        <v>225</v>
      </c>
      <c r="T1083" s="188">
        <v>1000</v>
      </c>
      <c r="U1083" s="8">
        <f t="shared" si="125"/>
        <v>180</v>
      </c>
      <c r="V1083" s="234">
        <f t="shared" si="131"/>
        <v>97644.155246160299</v>
      </c>
      <c r="W1083" s="15">
        <v>25</v>
      </c>
      <c r="X1083" s="8">
        <f t="shared" si="128"/>
        <v>4.5</v>
      </c>
      <c r="Y1083" s="233">
        <f t="shared" si="130"/>
        <v>4307</v>
      </c>
    </row>
    <row r="1084" spans="1:25">
      <c r="A1084" s="156" t="e" cm="1">
        <f t="array" aca="1" ref="A1084" ca="1">_xlfn.IFS(E1084=$AB$42,$AC$42,E1084=$AB$43,$AC$43,E1084=$AB$44,$AC$44,E1084=$AB$45,$AC$45,E1084=$AB$46,$AC$46,E1084=$AB$47,$AC$47,E1084=$AB$48,$AC$48,E1084=$AB$49,$AC$49,E1084=$AB$50,$AC$50,E1084=$AB$51,$AC$51,E1084=$AB$52,$AC$52,E1084=$AB$53,$AC$53,E1084=$AB$54,$AC$54,E1084=$AB$55,$AC$55,E1084=$AB$56,$AC$56,E1084=$AB$57,$AC$57,E1084=$AB$58,$AC$58,E1084=$AB$59,$AC$59,E1084=$AB$60,$AC$60,E1084=$AB$61,$AC$61,E1084=$AB$62,$AC$62,E1084=$AB$63,$AC$63,E1084=$AB$64,$AC$64,E1084=$AB$65,$AC$65,E1084=$AB$66,$AC$66,TRUE,"0")</f>
        <v>#NAME?</v>
      </c>
      <c r="C1084" s="161" t="str" cm="1">
        <f t="array" ref="C1084">_xlfn.IFS(E1084=$AB$42,$AF$42,E1084=$AB$43,$AF$43,E1084=$AB$44,$AF$44,E1084=$AB$45,$AF$45,E1084=$AB$46,$AF$46,E1084=$AB$47,$AF$47,E1084=$AB$48,$AF$48,E1084=$AB$49,$AF$49,E1084=$AB$50,$AF$50,E1084=$AB$51,$AF$51,E1084=$AB$52,$AF$52,E1084=$AB$53,$AF$53,E1084=$AB$54,$AF$54,E1084=$AB$55,$AF$55,E1084=$AB$56,$AF$56,E1084=$AB$57,$AF$57,E1084=$AB$58,$AF$58,E1084=$AB$59,$AF$59,E1084=$AB$60,$AF$60,E1084=$AB$61,$AF$61,E1084=$AB$62,$AF$62,E1084=$AB$63,$AF$63,E1084=$AB$64,$AF$64,E1084=$AB$65,$AF$65,E1084=$AB$66,$AF$66,TRUE,"0")</f>
        <v>B4 match BACK FT +1.5 goals. X AFTER  GOAL</v>
      </c>
      <c r="D1084" s="270" t="str" cm="1">
        <f t="array" ref="D1084">_xlfn.IFS(E1084=$AB$42,$AD$42,E1084=$AB$43,$AD$43,E1084=$AB$44,$AD$44,E1084=$AB$45,$AD$45,E1084=$AB$46,$AD$46,E1084=$AB$47,$AD$47,E1084=$AB$48,$AD$48,E1084=$AB$49,$AD$49,E1084=$AB$50,$AD$50,E1084=$AB$51,$AD$51,E1084=$AB$52,$AD$52,E1084=$AB$53,$AD$53,E1084=$AB$54,$AD$54,E1084=$AB$55,$AD$55,E1084=$AB$56,$AD$56,E1084=$AB$57,$AD$57,E1084=$AB$58,$AD$58,E1084=$AB$59,$AD$59,E1084=$AB$60,$AD$60,E1084=$AB$61,$AD$61,E1084=$AB$62,$AD$62,E1084=$AB$63,$AD$63,E1084=$AB$64,$AD$64,E1084=$AB$65,$AD$65,E1084=$AB$66,$AD$66,TRUE,"0")</f>
        <v xml:space="preserve">BFM </v>
      </c>
      <c r="E1084" s="163" t="s">
        <v>623</v>
      </c>
      <c r="F1084" s="2" t="s">
        <v>6</v>
      </c>
      <c r="G1084" s="2" t="s">
        <v>7</v>
      </c>
      <c r="H1084" s="3">
        <v>45402.625</v>
      </c>
      <c r="I1084" s="2" t="s">
        <v>18</v>
      </c>
      <c r="J1084" s="2" t="s">
        <v>420</v>
      </c>
      <c r="K1084" s="2">
        <v>4.8</v>
      </c>
      <c r="L1084" s="2">
        <v>20</v>
      </c>
      <c r="M1084" s="2">
        <v>2.75</v>
      </c>
      <c r="N1084" s="2">
        <v>28</v>
      </c>
      <c r="O1084" s="2">
        <v>1</v>
      </c>
      <c r="P1084" s="2">
        <v>10</v>
      </c>
      <c r="Q1084" s="2" t="s">
        <v>95</v>
      </c>
      <c r="R1084" s="10" t="s">
        <v>222</v>
      </c>
      <c r="S1084" s="10" t="s">
        <v>277</v>
      </c>
      <c r="T1084" s="188">
        <v>1000</v>
      </c>
      <c r="U1084" s="8">
        <f t="shared" si="125"/>
        <v>180</v>
      </c>
      <c r="V1084" s="234">
        <f t="shared" si="131"/>
        <v>97824.155246160299</v>
      </c>
      <c r="W1084" s="15">
        <v>25</v>
      </c>
      <c r="X1084" s="8">
        <f t="shared" si="128"/>
        <v>4.5</v>
      </c>
      <c r="Y1084" s="233">
        <f t="shared" si="130"/>
        <v>4311.5</v>
      </c>
    </row>
    <row r="1085" spans="1:25">
      <c r="A1085" s="156" t="e" cm="1">
        <f t="array" aca="1" ref="A1085" ca="1">_xlfn.IFS(E1085=$AB$42,$AC$42,E1085=$AB$43,$AC$43,E1085=$AB$44,$AC$44,E1085=$AB$45,$AC$45,E1085=$AB$46,$AC$46,E1085=$AB$47,$AC$47,E1085=$AB$48,$AC$48,E1085=$AB$49,$AC$49,E1085=$AB$50,$AC$50,E1085=$AB$51,$AC$51,E1085=$AB$52,$AC$52,E1085=$AB$53,$AC$53,E1085=$AB$54,$AC$54,E1085=$AB$55,$AC$55,E1085=$AB$56,$AC$56,E1085=$AB$57,$AC$57,E1085=$AB$58,$AC$58,E1085=$AB$59,$AC$59,E1085=$AB$60,$AC$60,E1085=$AB$61,$AC$61,E1085=$AB$62,$AC$62,E1085=$AB$63,$AC$63,E1085=$AB$64,$AC$64,E1085=$AB$65,$AC$65,E1085=$AB$66,$AC$66,TRUE,"0")</f>
        <v>#NAME?</v>
      </c>
      <c r="C1085" s="161" t="str" cm="1">
        <f t="array" ref="C1085">_xlfn.IFS(E1085=$AB$42,$AF$42,E1085=$AB$43,$AF$43,E1085=$AB$44,$AF$44,E1085=$AB$45,$AF$45,E1085=$AB$46,$AF$46,E1085=$AB$47,$AF$47,E1085=$AB$48,$AF$48,E1085=$AB$49,$AF$49,E1085=$AB$50,$AF$50,E1085=$AB$51,$AF$51,E1085=$AB$52,$AF$52,E1085=$AB$53,$AF$53,E1085=$AB$54,$AF$54,E1085=$AB$55,$AF$55,E1085=$AB$56,$AF$56,E1085=$AB$57,$AF$57,E1085=$AB$58,$AF$58,E1085=$AB$59,$AF$59,E1085=$AB$60,$AF$60,E1085=$AB$61,$AF$61,E1085=$AB$62,$AF$62,E1085=$AB$63,$AF$63,E1085=$AB$64,$AF$64,E1085=$AB$65,$AF$65,E1085=$AB$66,$AF$66,TRUE,"0")</f>
        <v>if 0-0, BACK+ 0.5 GOALS  @ 1.15+odds.  or @ 40 mins</v>
      </c>
      <c r="D1085" s="270" t="str" cm="1">
        <f t="array" ref="D1085">_xlfn.IFS(E1085=$AB$42,$AD$42,E1085=$AB$43,$AD$43,E1085=$AB$44,$AD$44,E1085=$AB$45,$AD$45,E1085=$AB$46,$AD$46,E1085=$AB$47,$AD$47,E1085=$AB$48,$AD$48,E1085=$AB$49,$AD$49,E1085=$AB$50,$AD$50,E1085=$AB$51,$AD$51,E1085=$AB$52,$AD$52,E1085=$AB$53,$AD$53,E1085=$AB$54,$AD$54,E1085=$AB$55,$AD$55,E1085=$AB$56,$AD$56,E1085=$AB$57,$AD$57,E1085=$AB$58,$AD$58,E1085=$AB$59,$AD$59,E1085=$AB$60,$AD$60,E1085=$AB$61,$AD$61,E1085=$AB$62,$AD$62,E1085=$AB$63,$AD$63,E1085=$AB$64,$AD$64,E1085=$AB$65,$AD$65,E1085=$AB$66,$AD$66,TRUE,"0")</f>
        <v>IP</v>
      </c>
      <c r="E1085" s="163" t="s">
        <v>270</v>
      </c>
      <c r="F1085" s="2" t="s">
        <v>6</v>
      </c>
      <c r="G1085" s="2" t="s">
        <v>7</v>
      </c>
      <c r="H1085" s="3">
        <v>45402.625</v>
      </c>
      <c r="I1085" s="2" t="s">
        <v>84</v>
      </c>
      <c r="J1085" s="2" t="s">
        <v>55</v>
      </c>
      <c r="K1085" s="2">
        <v>62</v>
      </c>
      <c r="L1085" s="2">
        <v>0</v>
      </c>
      <c r="M1085" s="2">
        <v>20</v>
      </c>
      <c r="N1085" s="2">
        <v>36</v>
      </c>
      <c r="O1085" s="2">
        <v>2.4500000000000002</v>
      </c>
      <c r="P1085" s="2"/>
      <c r="Q1085" s="2" t="s">
        <v>95</v>
      </c>
      <c r="R1085" s="10" t="s">
        <v>193</v>
      </c>
      <c r="S1085" s="10" t="s">
        <v>210</v>
      </c>
      <c r="T1085" s="188">
        <v>1000</v>
      </c>
      <c r="U1085" s="8">
        <f t="shared" si="125"/>
        <v>180</v>
      </c>
      <c r="V1085" s="234">
        <f t="shared" ref="V1085:V1100" si="132">SUM(V1084,U1085)</f>
        <v>98004.155246160299</v>
      </c>
      <c r="W1085" s="15">
        <v>25</v>
      </c>
      <c r="X1085" s="8">
        <f t="shared" si="128"/>
        <v>4.5</v>
      </c>
      <c r="Y1085" s="233">
        <f t="shared" si="130"/>
        <v>4316</v>
      </c>
    </row>
    <row r="1086" spans="1:25">
      <c r="A1086" s="156" t="e" cm="1">
        <f t="array" aca="1" ref="A1086" ca="1">_xlfn.IFS(E1086=$AB$42,$AC$42,E1086=$AB$43,$AC$43,E1086=$AB$44,$AC$44,E1086=$AB$45,$AC$45,E1086=$AB$46,$AC$46,E1086=$AB$47,$AC$47,E1086=$AB$48,$AC$48,E1086=$AB$49,$AC$49,E1086=$AB$50,$AC$50,E1086=$AB$51,$AC$51,E1086=$AB$52,$AC$52,E1086=$AB$53,$AC$53,E1086=$AB$54,$AC$54,E1086=$AB$55,$AC$55,E1086=$AB$56,$AC$56,E1086=$AB$57,$AC$57,E1086=$AB$58,$AC$58,E1086=$AB$59,$AC$59,E1086=$AB$60,$AC$60,E1086=$AB$61,$AC$61,E1086=$AB$62,$AC$62,E1086=$AB$63,$AC$63,E1086=$AB$64,$AC$64,E1086=$AB$65,$AC$65,E1086=$AB$66,$AC$66,TRUE,"0")</f>
        <v>#NAME?</v>
      </c>
      <c r="C1086" s="161" t="str" cm="1">
        <f t="array" ref="C1086">_xlfn.IFS(E1086=$AB$42,$AF$42,E1086=$AB$43,$AF$43,E1086=$AB$44,$AF$44,E1086=$AB$45,$AF$45,E1086=$AB$46,$AF$46,E1086=$AB$47,$AF$47,E1086=$AB$48,$AF$48,E1086=$AB$49,$AF$49,E1086=$AB$50,$AF$50,E1086=$AB$51,$AF$51,E1086=$AB$52,$AF$52,E1086=$AB$53,$AF$53,E1086=$AB$54,$AF$54,E1086=$AB$55,$AF$55,E1086=$AB$56,$AF$56,E1086=$AB$57,$AF$57,E1086=$AB$58,$AF$58,E1086=$AB$59,$AF$59,E1086=$AB$60,$AF$60,E1086=$AB$61,$AF$61,E1086=$AB$62,$AF$62,E1086=$AB$63,$AF$63,E1086=$AB$64,$AF$64,E1086=$AB$65,$AF$65,E1086=$AB$66,$AF$66,TRUE,"0")</f>
        <v>40 mins Back ANother Goal</v>
      </c>
      <c r="D1086" s="270" t="str" cm="1">
        <f t="array" ref="D1086">_xlfn.IFS(E1086=$AB$42,$AD$42,E1086=$AB$43,$AD$43,E1086=$AB$44,$AD$44,E1086=$AB$45,$AD$45,E1086=$AB$46,$AD$46,E1086=$AB$47,$AD$47,E1086=$AB$48,$AD$48,E1086=$AB$49,$AD$49,E1086=$AB$50,$AD$50,E1086=$AB$51,$AD$51,E1086=$AB$52,$AD$52,E1086=$AB$53,$AD$53,E1086=$AB$54,$AD$54,E1086=$AB$55,$AD$55,E1086=$AB$56,$AD$56,E1086=$AB$57,$AD$57,E1086=$AB$58,$AD$58,E1086=$AB$59,$AD$59,E1086=$AB$60,$AD$60,E1086=$AB$61,$AD$61,E1086=$AB$62,$AD$62,E1086=$AB$63,$AD$63,E1086=$AB$64,$AD$64,E1086=$AB$65,$AD$65,E1086=$AB$66,$AD$66,TRUE,"0")</f>
        <v xml:space="preserve">  BANG</v>
      </c>
      <c r="E1086" s="163" t="s">
        <v>726</v>
      </c>
      <c r="F1086" s="2" t="s">
        <v>296</v>
      </c>
      <c r="G1086" s="2" t="s">
        <v>525</v>
      </c>
      <c r="H1086" s="3">
        <v>45402.708333333336</v>
      </c>
      <c r="I1086" s="2" t="s">
        <v>596</v>
      </c>
      <c r="J1086" s="2" t="s">
        <v>684</v>
      </c>
      <c r="K1086" s="2">
        <v>90</v>
      </c>
      <c r="L1086" s="2">
        <v>20</v>
      </c>
      <c r="M1086" s="2">
        <v>2.25</v>
      </c>
      <c r="N1086" s="2">
        <v>61</v>
      </c>
      <c r="O1086" s="2"/>
      <c r="P1086" s="2"/>
      <c r="Q1086" s="2" t="s">
        <v>95</v>
      </c>
      <c r="R1086" s="10" t="s">
        <v>216</v>
      </c>
      <c r="S1086" s="10" t="s">
        <v>215</v>
      </c>
      <c r="T1086" s="188">
        <v>1000</v>
      </c>
      <c r="U1086" s="8">
        <f t="shared" si="125"/>
        <v>180</v>
      </c>
      <c r="V1086" s="234">
        <f t="shared" si="132"/>
        <v>98184.155246160299</v>
      </c>
      <c r="W1086" s="15">
        <v>25</v>
      </c>
      <c r="X1086" s="8">
        <f t="shared" si="128"/>
        <v>4.5</v>
      </c>
      <c r="Y1086" s="233">
        <f t="shared" si="130"/>
        <v>4320.5</v>
      </c>
    </row>
    <row r="1087" spans="1:25">
      <c r="A1087" s="156" t="e" cm="1">
        <f t="array" aca="1" ref="A1087" ca="1">_xlfn.IFS(E1087=$AB$42,$AC$42,E1087=$AB$43,$AC$43,E1087=$AB$44,$AC$44,E1087=$AB$45,$AC$45,E1087=$AB$46,$AC$46,E1087=$AB$47,$AC$47,E1087=$AB$48,$AC$48,E1087=$AB$49,$AC$49,E1087=$AB$50,$AC$50,E1087=$AB$51,$AC$51,E1087=$AB$52,$AC$52,E1087=$AB$53,$AC$53,E1087=$AB$54,$AC$54,E1087=$AB$55,$AC$55,E1087=$AB$56,$AC$56,E1087=$AB$57,$AC$57,E1087=$AB$58,$AC$58,E1087=$AB$59,$AC$59,E1087=$AB$60,$AC$60,E1087=$AB$61,$AC$61,E1087=$AB$62,$AC$62,E1087=$AB$63,$AC$63,E1087=$AB$64,$AC$64,E1087=$AB$65,$AC$65,E1087=$AB$66,$AC$66,TRUE,"0")</f>
        <v>#NAME?</v>
      </c>
      <c r="C1087" s="161" t="str" cm="1">
        <f t="array" ref="C1087">_xlfn.IFS(E1087=$AB$42,$AF$42,E1087=$AB$43,$AF$43,E1087=$AB$44,$AF$44,E1087=$AB$45,$AF$45,E1087=$AB$46,$AF$46,E1087=$AB$47,$AF$47,E1087=$AB$48,$AF$48,E1087=$AB$49,$AF$49,E1087=$AB$50,$AF$50,E1087=$AB$51,$AF$51,E1087=$AB$52,$AF$52,E1087=$AB$53,$AF$53,E1087=$AB$54,$AF$54,E1087=$AB$55,$AF$55,E1087=$AB$56,$AF$56,E1087=$AB$57,$AF$57,E1087=$AB$58,$AF$58,E1087=$AB$59,$AF$59,E1087=$AB$60,$AF$60,E1087=$AB$61,$AF$61,E1087=$AB$62,$AF$62,E1087=$AB$63,$AF$63,E1087=$AB$64,$AF$64,E1087=$AB$65,$AF$65,E1087=$AB$66,$AF$66,TRUE,"0")</f>
        <v>10mins if  0-0, BACK over 1.5 goals X after goal OR LET RUN</v>
      </c>
      <c r="D1087" s="270" t="str" cm="1">
        <f t="array" ref="D1087">_xlfn.IFS(E1087=$AB$42,$AD$42,E1087=$AB$43,$AD$43,E1087=$AB$44,$AD$44,E1087=$AB$45,$AD$45,E1087=$AB$46,$AD$46,E1087=$AB$47,$AD$47,E1087=$AB$48,$AD$48,E1087=$AB$49,$AD$49,E1087=$AB$50,$AD$50,E1087=$AB$51,$AD$51,E1087=$AB$52,$AD$52,E1087=$AB$53,$AD$53,E1087=$AB$54,$AD$54,E1087=$AB$55,$AD$55,E1087=$AB$56,$AD$56,E1087=$AB$57,$AD$57,E1087=$AB$58,$AD$58,E1087=$AB$59,$AD$59,E1087=$AB$60,$AD$60,E1087=$AB$61,$AD$61,E1087=$AB$62,$AD$62,E1087=$AB$63,$AD$63,E1087=$AB$64,$AD$64,E1087=$AB$65,$AD$65,E1087=$AB$66,$AD$66,TRUE,"0")</f>
        <v>IP</v>
      </c>
      <c r="E1087" s="163" t="s">
        <v>498</v>
      </c>
      <c r="F1087" s="2" t="s">
        <v>77</v>
      </c>
      <c r="G1087" s="2" t="s">
        <v>234</v>
      </c>
      <c r="H1087" s="3">
        <v>45402.8125</v>
      </c>
      <c r="I1087" s="2" t="s">
        <v>247</v>
      </c>
      <c r="J1087" s="2" t="s">
        <v>235</v>
      </c>
      <c r="K1087" s="2">
        <v>67</v>
      </c>
      <c r="L1087" s="2">
        <v>90</v>
      </c>
      <c r="M1087" s="2">
        <v>1.7</v>
      </c>
      <c r="N1087" s="2">
        <v>20</v>
      </c>
      <c r="O1087" s="2"/>
      <c r="P1087" s="2"/>
      <c r="Q1087" s="2" t="s">
        <v>95</v>
      </c>
      <c r="R1087" s="10" t="s">
        <v>221</v>
      </c>
      <c r="S1087" s="10" t="s">
        <v>193</v>
      </c>
      <c r="T1087" s="188">
        <v>1000</v>
      </c>
      <c r="U1087" s="8">
        <f t="shared" si="125"/>
        <v>180</v>
      </c>
      <c r="V1087" s="234">
        <f t="shared" si="132"/>
        <v>98364.155246160299</v>
      </c>
      <c r="W1087" s="15">
        <v>25</v>
      </c>
      <c r="X1087" s="8">
        <f t="shared" si="128"/>
        <v>4.5</v>
      </c>
      <c r="Y1087" s="233">
        <f t="shared" si="130"/>
        <v>4325</v>
      </c>
    </row>
    <row r="1088" spans="1:25">
      <c r="A1088" s="156" t="e" cm="1">
        <f t="array" aca="1" ref="A1088" ca="1">_xlfn.IFS(E1088=$AB$42,$AC$42,E1088=$AB$43,$AC$43,E1088=$AB$44,$AC$44,E1088=$AB$45,$AC$45,E1088=$AB$46,$AC$46,E1088=$AB$47,$AC$47,E1088=$AB$48,$AC$48,E1088=$AB$49,$AC$49,E1088=$AB$50,$AC$50,E1088=$AB$51,$AC$51,E1088=$AB$52,$AC$52,E1088=$AB$53,$AC$53,E1088=$AB$54,$AC$54,E1088=$AB$55,$AC$55,E1088=$AB$56,$AC$56,E1088=$AB$57,$AC$57,E1088=$AB$58,$AC$58,E1088=$AB$59,$AC$59,E1088=$AB$60,$AC$60,E1088=$AB$61,$AC$61,E1088=$AB$62,$AC$62,E1088=$AB$63,$AC$63,E1088=$AB$64,$AC$64,E1088=$AB$65,$AC$65,E1088=$AB$66,$AC$66,TRUE,"0")</f>
        <v>#NAME?</v>
      </c>
      <c r="C1088" s="161" t="str" cm="1">
        <f t="array" ref="C1088">_xlfn.IFS(E1088=$AB$42,$AF$42,E1088=$AB$43,$AF$43,E1088=$AB$44,$AF$44,E1088=$AB$45,$AF$45,E1088=$AB$46,$AF$46,E1088=$AB$47,$AF$47,E1088=$AB$48,$AF$48,E1088=$AB$49,$AF$49,E1088=$AB$50,$AF$50,E1088=$AB$51,$AF$51,E1088=$AB$52,$AF$52,E1088=$AB$53,$AF$53,E1088=$AB$54,$AF$54,E1088=$AB$55,$AF$55,E1088=$AB$56,$AF$56,E1088=$AB$57,$AF$57,E1088=$AB$58,$AF$58,E1088=$AB$59,$AF$59,E1088=$AB$60,$AF$60,E1088=$AB$61,$AF$61,E1088=$AB$62,$AF$62,E1088=$AB$63,$AF$63,E1088=$AB$64,$AF$64,E1088=$AB$65,$AF$65,E1088=$AB$66,$AF$66,TRUE,"0")</f>
        <v>B4 match BACK FT +1.5 goals. X AFTER  GOAL</v>
      </c>
      <c r="D1088" s="270" t="str" cm="1">
        <f t="array" ref="D1088">_xlfn.IFS(E1088=$AB$42,$AD$42,E1088=$AB$43,$AD$43,E1088=$AB$44,$AD$44,E1088=$AB$45,$AD$45,E1088=$AB$46,$AD$46,E1088=$AB$47,$AD$47,E1088=$AB$48,$AD$48,E1088=$AB$49,$AD$49,E1088=$AB$50,$AD$50,E1088=$AB$51,$AD$51,E1088=$AB$52,$AD$52,E1088=$AB$53,$AD$53,E1088=$AB$54,$AD$54,E1088=$AB$55,$AD$55,E1088=$AB$56,$AD$56,E1088=$AB$57,$AD$57,E1088=$AB$58,$AD$58,E1088=$AB$59,$AD$59,E1088=$AB$60,$AD$60,E1088=$AB$61,$AD$61,E1088=$AB$62,$AD$62,E1088=$AB$63,$AD$63,E1088=$AB$64,$AD$64,E1088=$AB$65,$AD$65,E1088=$AB$66,$AD$66,TRUE,"0")</f>
        <v xml:space="preserve">BFM </v>
      </c>
      <c r="E1088" s="163" t="s">
        <v>531</v>
      </c>
      <c r="F1088" s="2" t="s">
        <v>6</v>
      </c>
      <c r="G1088" s="2" t="s">
        <v>62</v>
      </c>
      <c r="H1088" s="3">
        <v>45402.8125</v>
      </c>
      <c r="I1088" s="2" t="s">
        <v>64</v>
      </c>
      <c r="J1088" s="2" t="s">
        <v>73</v>
      </c>
      <c r="K1088" s="2">
        <v>5.0999999999999996</v>
      </c>
      <c r="L1088" s="2">
        <v>31</v>
      </c>
      <c r="M1088" s="2">
        <v>3.03</v>
      </c>
      <c r="N1088" s="2">
        <v>29</v>
      </c>
      <c r="O1088" s="2">
        <v>5</v>
      </c>
      <c r="P1088" s="2">
        <v>16</v>
      </c>
      <c r="Q1088" s="2" t="s">
        <v>95</v>
      </c>
      <c r="R1088" s="10" t="s">
        <v>193</v>
      </c>
      <c r="S1088" s="10" t="s">
        <v>217</v>
      </c>
      <c r="T1088" s="188">
        <v>1000</v>
      </c>
      <c r="U1088" s="8">
        <f t="shared" si="125"/>
        <v>180</v>
      </c>
      <c r="V1088" s="234">
        <f t="shared" si="132"/>
        <v>98544.155246160299</v>
      </c>
      <c r="W1088" s="15">
        <v>25</v>
      </c>
      <c r="X1088" s="8">
        <f t="shared" si="128"/>
        <v>4.5</v>
      </c>
      <c r="Y1088" s="233">
        <f t="shared" si="130"/>
        <v>4329.5</v>
      </c>
    </row>
    <row r="1089" spans="1:25">
      <c r="A1089" s="156" t="e" cm="1">
        <f t="array" aca="1" ref="A1089" ca="1">_xlfn.IFS(E1089=$AB$42,$AC$42,E1089=$AB$43,$AC$43,E1089=$AB$44,$AC$44,E1089=$AB$45,$AC$45,E1089=$AB$46,$AC$46,E1089=$AB$47,$AC$47,E1089=$AB$48,$AC$48,E1089=$AB$49,$AC$49,E1089=$AB$50,$AC$50,E1089=$AB$51,$AC$51,E1089=$AB$52,$AC$52,E1089=$AB$53,$AC$53,E1089=$AB$54,$AC$54,E1089=$AB$55,$AC$55,E1089=$AB$56,$AC$56,E1089=$AB$57,$AC$57,E1089=$AB$58,$AC$58,E1089=$AB$59,$AC$59,E1089=$AB$60,$AC$60,E1089=$AB$61,$AC$61,E1089=$AB$62,$AC$62,E1089=$AB$63,$AC$63,E1089=$AB$64,$AC$64,E1089=$AB$65,$AC$65,E1089=$AB$66,$AC$66,TRUE,"0")</f>
        <v>#NAME?</v>
      </c>
      <c r="C1089" s="161" t="str" cm="1">
        <f t="array" ref="C1089">_xlfn.IFS(E1089=$AB$42,$AF$42,E1089=$AB$43,$AF$43,E1089=$AB$44,$AF$44,E1089=$AB$45,$AF$45,E1089=$AB$46,$AF$46,E1089=$AB$47,$AF$47,E1089=$AB$48,$AF$48,E1089=$AB$49,$AF$49,E1089=$AB$50,$AF$50,E1089=$AB$51,$AF$51,E1089=$AB$52,$AF$52,E1089=$AB$53,$AF$53,E1089=$AB$54,$AF$54,E1089=$AB$55,$AF$55,E1089=$AB$56,$AF$56,E1089=$AB$57,$AF$57,E1089=$AB$58,$AF$58,E1089=$AB$59,$AF$59,E1089=$AB$60,$AF$60,E1089=$AB$61,$AF$61,E1089=$AB$62,$AF$62,E1089=$AB$63,$AF$63,E1089=$AB$64,$AF$64,E1089=$AB$65,$AF$65,E1089=$AB$66,$AF$66,TRUE,"0")</f>
        <v>10mins if  0-0, BACK over 1.5 goals X after goal OR LET RUN</v>
      </c>
      <c r="D1089" s="270" t="str" cm="1">
        <f t="array" ref="D1089">_xlfn.IFS(E1089=$AB$42,$AD$42,E1089=$AB$43,$AD$43,E1089=$AB$44,$AD$44,E1089=$AB$45,$AD$45,E1089=$AB$46,$AD$46,E1089=$AB$47,$AD$47,E1089=$AB$48,$AD$48,E1089=$AB$49,$AD$49,E1089=$AB$50,$AD$50,E1089=$AB$51,$AD$51,E1089=$AB$52,$AD$52,E1089=$AB$53,$AD$53,E1089=$AB$54,$AD$54,E1089=$AB$55,$AD$55,E1089=$AB$56,$AD$56,E1089=$AB$57,$AD$57,E1089=$AB$58,$AD$58,E1089=$AB$59,$AD$59,E1089=$AB$60,$AD$60,E1089=$AB$61,$AD$61,E1089=$AB$62,$AD$62,E1089=$AB$63,$AD$63,E1089=$AB$64,$AD$64,E1089=$AB$65,$AD$65,E1089=$AB$66,$AD$66,TRUE,"0")</f>
        <v>IP</v>
      </c>
      <c r="E1089" s="163" t="s">
        <v>498</v>
      </c>
      <c r="F1089" s="2" t="s">
        <v>20</v>
      </c>
      <c r="G1089" s="2" t="s">
        <v>21</v>
      </c>
      <c r="H1089" s="3">
        <v>45402.822916666664</v>
      </c>
      <c r="I1089" s="2" t="s">
        <v>598</v>
      </c>
      <c r="J1089" s="2" t="s">
        <v>100</v>
      </c>
      <c r="K1089" s="2">
        <v>63</v>
      </c>
      <c r="L1089" s="2">
        <v>80</v>
      </c>
      <c r="M1089" s="2">
        <v>1.1000000000000001</v>
      </c>
      <c r="N1089" s="2">
        <v>20</v>
      </c>
      <c r="O1089" s="2"/>
      <c r="P1089" s="2"/>
      <c r="Q1089" s="2" t="s">
        <v>95</v>
      </c>
      <c r="R1089" s="10" t="s">
        <v>221</v>
      </c>
      <c r="S1089" s="10" t="s">
        <v>214</v>
      </c>
      <c r="T1089" s="188">
        <v>1000</v>
      </c>
      <c r="U1089" s="8">
        <f t="shared" si="125"/>
        <v>180</v>
      </c>
      <c r="V1089" s="234">
        <f t="shared" si="132"/>
        <v>98724.155246160299</v>
      </c>
      <c r="W1089" s="15">
        <v>25</v>
      </c>
      <c r="X1089" s="8">
        <f t="shared" si="128"/>
        <v>4.5</v>
      </c>
      <c r="Y1089" s="233">
        <f t="shared" si="130"/>
        <v>4334</v>
      </c>
    </row>
    <row r="1090" spans="1:25">
      <c r="A1090" s="156" t="e" cm="1">
        <f t="array" aca="1" ref="A1090" ca="1">_xlfn.IFS(E1090=$AB$42,$AC$42,E1090=$AB$43,$AC$43,E1090=$AB$44,$AC$44,E1090=$AB$45,$AC$45,E1090=$AB$46,$AC$46,E1090=$AB$47,$AC$47,E1090=$AB$48,$AC$48,E1090=$AB$49,$AC$49,E1090=$AB$50,$AC$50,E1090=$AB$51,$AC$51,E1090=$AB$52,$AC$52,E1090=$AB$53,$AC$53,E1090=$AB$54,$AC$54,E1090=$AB$55,$AC$55,E1090=$AB$56,$AC$56,E1090=$AB$57,$AC$57,E1090=$AB$58,$AC$58,E1090=$AB$59,$AC$59,E1090=$AB$60,$AC$60,E1090=$AB$61,$AC$61,E1090=$AB$62,$AC$62,E1090=$AB$63,$AC$63,E1090=$AB$64,$AC$64,E1090=$AB$65,$AC$65,E1090=$AB$66,$AC$66,TRUE,"0")</f>
        <v>#NAME?</v>
      </c>
      <c r="C1090" s="161" t="str" cm="1">
        <f t="array" ref="C1090">_xlfn.IFS(E1090=$AB$42,$AF$42,E1090=$AB$43,$AF$43,E1090=$AB$44,$AF$44,E1090=$AB$45,$AF$45,E1090=$AB$46,$AF$46,E1090=$AB$47,$AF$47,E1090=$AB$48,$AF$48,E1090=$AB$49,$AF$49,E1090=$AB$50,$AF$50,E1090=$AB$51,$AF$51,E1090=$AB$52,$AF$52,E1090=$AB$53,$AF$53,E1090=$AB$54,$AF$54,E1090=$AB$55,$AF$55,E1090=$AB$56,$AF$56,E1090=$AB$57,$AF$57,E1090=$AB$58,$AF$58,E1090=$AB$59,$AF$59,E1090=$AB$60,$AF$60,E1090=$AB$61,$AF$61,E1090=$AB$62,$AF$62,E1090=$AB$63,$AF$63,E1090=$AB$64,$AF$64,E1090=$AB$65,$AF$65,E1090=$AB$66,$AF$66,TRUE,"0")</f>
        <v>15mins if  0-0, BACK over 1.5 goals X after goal OR LET RUN</v>
      </c>
      <c r="D1090" s="270" t="str" cm="1">
        <f t="array" ref="D1090">_xlfn.IFS(E1090=$AB$42,$AD$42,E1090=$AB$43,$AD$43,E1090=$AB$44,$AD$44,E1090=$AB$45,$AD$45,E1090=$AB$46,$AD$46,E1090=$AB$47,$AD$47,E1090=$AB$48,$AD$48,E1090=$AB$49,$AD$49,E1090=$AB$50,$AD$50,E1090=$AB$51,$AD$51,E1090=$AB$52,$AD$52,E1090=$AB$53,$AD$53,E1090=$AB$54,$AD$54,E1090=$AB$55,$AD$55,E1090=$AB$56,$AD$56,E1090=$AB$57,$AD$57,E1090=$AB$58,$AD$58,E1090=$AB$59,$AD$59,E1090=$AB$60,$AD$60,E1090=$AB$61,$AD$61,E1090=$AB$62,$AD$62,E1090=$AB$63,$AD$63,E1090=$AB$64,$AD$64,E1090=$AB$65,$AD$65,E1090=$AB$66,$AD$66,TRUE,"0")</f>
        <v>IP</v>
      </c>
      <c r="E1090" s="163" t="s">
        <v>473</v>
      </c>
      <c r="F1090" s="2" t="s">
        <v>20</v>
      </c>
      <c r="G1090" s="2" t="s">
        <v>21</v>
      </c>
      <c r="H1090" s="3">
        <v>45402.822916666664</v>
      </c>
      <c r="I1090" s="2" t="s">
        <v>598</v>
      </c>
      <c r="J1090" s="2" t="s">
        <v>100</v>
      </c>
      <c r="K1090" s="2">
        <v>69</v>
      </c>
      <c r="L1090" s="2">
        <v>80</v>
      </c>
      <c r="M1090" s="2">
        <v>20</v>
      </c>
      <c r="N1090" s="2">
        <v>2.5499999999999998</v>
      </c>
      <c r="O1090" s="2"/>
      <c r="P1090" s="2"/>
      <c r="Q1090" s="2" t="s">
        <v>95</v>
      </c>
      <c r="R1090" s="10" t="s">
        <v>221</v>
      </c>
      <c r="S1090" s="10" t="s">
        <v>214</v>
      </c>
      <c r="T1090" s="188">
        <v>1000</v>
      </c>
      <c r="U1090" s="8">
        <f t="shared" si="125"/>
        <v>180</v>
      </c>
      <c r="V1090" s="234">
        <f t="shared" si="132"/>
        <v>98904.155246160299</v>
      </c>
      <c r="W1090" s="15">
        <v>25</v>
      </c>
      <c r="X1090" s="8">
        <f t="shared" si="128"/>
        <v>4.5</v>
      </c>
      <c r="Y1090" s="233">
        <f t="shared" si="130"/>
        <v>4338.5</v>
      </c>
    </row>
    <row r="1091" spans="1:25">
      <c r="A1091" s="156" t="e" cm="1">
        <f t="array" aca="1" ref="A1091" ca="1">_xlfn.IFS(E1091=$AB$42,$AC$42,E1091=$AB$43,$AC$43,E1091=$AB$44,$AC$44,E1091=$AB$45,$AC$45,E1091=$AB$46,$AC$46,E1091=$AB$47,$AC$47,E1091=$AB$48,$AC$48,E1091=$AB$49,$AC$49,E1091=$AB$50,$AC$50,E1091=$AB$51,$AC$51,E1091=$AB$52,$AC$52,E1091=$AB$53,$AC$53,E1091=$AB$54,$AC$54,E1091=$AB$55,$AC$55,E1091=$AB$56,$AC$56,E1091=$AB$57,$AC$57,E1091=$AB$58,$AC$58,E1091=$AB$59,$AC$59,E1091=$AB$60,$AC$60,E1091=$AB$61,$AC$61,E1091=$AB$62,$AC$62,E1091=$AB$63,$AC$63,E1091=$AB$64,$AC$64,E1091=$AB$65,$AC$65,E1091=$AB$66,$AC$66,TRUE,"0")</f>
        <v>#NAME?</v>
      </c>
      <c r="C1091" s="161" t="str" cm="1">
        <f t="array" ref="C1091">_xlfn.IFS(E1091=$AB$42,$AF$42,E1091=$AB$43,$AF$43,E1091=$AB$44,$AF$44,E1091=$AB$45,$AF$45,E1091=$AB$46,$AF$46,E1091=$AB$47,$AF$47,E1091=$AB$48,$AF$48,E1091=$AB$49,$AF$49,E1091=$AB$50,$AF$50,E1091=$AB$51,$AF$51,E1091=$AB$52,$AF$52,E1091=$AB$53,$AF$53,E1091=$AB$54,$AF$54,E1091=$AB$55,$AF$55,E1091=$AB$56,$AF$56,E1091=$AB$57,$AF$57,E1091=$AB$58,$AF$58,E1091=$AB$59,$AF$59,E1091=$AB$60,$AF$60,E1091=$AB$61,$AF$61,E1091=$AB$62,$AF$62,E1091=$AB$63,$AF$63,E1091=$AB$64,$AF$64,E1091=$AB$65,$AF$65,E1091=$AB$66,$AF$66,TRUE,"0")</f>
        <v>B4 match BACK FT +1.5 goals. X AFTER  GOAL</v>
      </c>
      <c r="D1091" s="270" t="str" cm="1">
        <f t="array" ref="D1091">_xlfn.IFS(E1091=$AB$42,$AD$42,E1091=$AB$43,$AD$43,E1091=$AB$44,$AD$44,E1091=$AB$45,$AD$45,E1091=$AB$46,$AD$46,E1091=$AB$47,$AD$47,E1091=$AB$48,$AD$48,E1091=$AB$49,$AD$49,E1091=$AB$50,$AD$50,E1091=$AB$51,$AD$51,E1091=$AB$52,$AD$52,E1091=$AB$53,$AD$53,E1091=$AB$54,$AD$54,E1091=$AB$55,$AD$55,E1091=$AB$56,$AD$56,E1091=$AB$57,$AD$57,E1091=$AB$58,$AD$58,E1091=$AB$59,$AD$59,E1091=$AB$60,$AD$60,E1091=$AB$61,$AD$61,E1091=$AB$62,$AD$62,E1091=$AB$63,$AD$63,E1091=$AB$64,$AD$64,E1091=$AB$65,$AD$65,E1091=$AB$66,$AD$66,TRUE,"0")</f>
        <v xml:space="preserve">BFM </v>
      </c>
      <c r="E1091" s="163" t="s">
        <v>623</v>
      </c>
      <c r="F1091" s="2" t="s">
        <v>119</v>
      </c>
      <c r="G1091" s="2" t="s">
        <v>120</v>
      </c>
      <c r="H1091" s="3">
        <v>45402.833333333336</v>
      </c>
      <c r="I1091" s="2" t="s">
        <v>453</v>
      </c>
      <c r="J1091" s="2" t="s">
        <v>569</v>
      </c>
      <c r="K1091" s="2">
        <v>5.9</v>
      </c>
      <c r="L1091" s="2">
        <v>20</v>
      </c>
      <c r="M1091" s="2">
        <v>2.4</v>
      </c>
      <c r="N1091" s="2">
        <v>39</v>
      </c>
      <c r="O1091" s="2">
        <v>2</v>
      </c>
      <c r="P1091" s="2">
        <v>10</v>
      </c>
      <c r="Q1091" s="2" t="s">
        <v>95</v>
      </c>
      <c r="R1091" s="10" t="s">
        <v>220</v>
      </c>
      <c r="S1091" s="10" t="s">
        <v>196</v>
      </c>
      <c r="T1091" s="188">
        <v>1000</v>
      </c>
      <c r="U1091" s="8">
        <f t="shared" si="125"/>
        <v>180</v>
      </c>
      <c r="V1091" s="234">
        <f t="shared" si="132"/>
        <v>99084.155246160299</v>
      </c>
      <c r="W1091" s="15">
        <v>25</v>
      </c>
      <c r="X1091" s="8">
        <f t="shared" si="128"/>
        <v>4.5</v>
      </c>
      <c r="Y1091" s="233">
        <f t="shared" si="130"/>
        <v>4343</v>
      </c>
    </row>
    <row r="1092" spans="1:25">
      <c r="A1092" s="156" t="e" cm="1">
        <f t="array" aca="1" ref="A1092" ca="1">_xlfn.IFS(E1092=$AB$42,$AC$42,E1092=$AB$43,$AC$43,E1092=$AB$44,$AC$44,E1092=$AB$45,$AC$45,E1092=$AB$46,$AC$46,E1092=$AB$47,$AC$47,E1092=$AB$48,$AC$48,E1092=$AB$49,$AC$49,E1092=$AB$50,$AC$50,E1092=$AB$51,$AC$51,E1092=$AB$52,$AC$52,E1092=$AB$53,$AC$53,E1092=$AB$54,$AC$54,E1092=$AB$55,$AC$55,E1092=$AB$56,$AC$56,E1092=$AB$57,$AC$57,E1092=$AB$58,$AC$58,E1092=$AB$59,$AC$59,E1092=$AB$60,$AC$60,E1092=$AB$61,$AC$61,E1092=$AB$62,$AC$62,E1092=$AB$63,$AC$63,E1092=$AB$64,$AC$64,E1092=$AB$65,$AC$65,E1092=$AB$66,$AC$66,TRUE,"0")</f>
        <v>#NAME?</v>
      </c>
      <c r="C1092" s="161" t="str" cm="1">
        <f t="array" ref="C1092">_xlfn.IFS(E1092=$AB$42,$AF$42,E1092=$AB$43,$AF$43,E1092=$AB$44,$AF$44,E1092=$AB$45,$AF$45,E1092=$AB$46,$AF$46,E1092=$AB$47,$AF$47,E1092=$AB$48,$AF$48,E1092=$AB$49,$AF$49,E1092=$AB$50,$AF$50,E1092=$AB$51,$AF$51,E1092=$AB$52,$AF$52,E1092=$AB$53,$AF$53,E1092=$AB$54,$AF$54,E1092=$AB$55,$AF$55,E1092=$AB$56,$AF$56,E1092=$AB$57,$AF$57,E1092=$AB$58,$AF$58,E1092=$AB$59,$AF$59,E1092=$AB$60,$AF$60,E1092=$AB$61,$AF$61,E1092=$AB$62,$AF$62,E1092=$AB$63,$AF$63,E1092=$AB$64,$AF$64,E1092=$AB$65,$AF$65,E1092=$AB$66,$AF$66,TRUE,"0")</f>
        <v>B4 MATCH bet H1 'under 2.5goals'- X at 40 minutes</v>
      </c>
      <c r="D1092" s="270" t="str" cm="1">
        <f t="array" ref="D1092">_xlfn.IFS(E1092=$AB$42,$AD$42,E1092=$AB$43,$AD$43,E1092=$AB$44,$AD$44,E1092=$AB$45,$AD$45,E1092=$AB$46,$AD$46,E1092=$AB$47,$AD$47,E1092=$AB$48,$AD$48,E1092=$AB$49,$AD$49,E1092=$AB$50,$AD$50,E1092=$AB$51,$AD$51,E1092=$AB$52,$AD$52,E1092=$AB$53,$AD$53,E1092=$AB$54,$AD$54,E1092=$AB$55,$AD$55,E1092=$AB$56,$AD$56,E1092=$AB$57,$AD$57,E1092=$AB$58,$AD$58,E1092=$AB$59,$AD$59,E1092=$AB$60,$AD$60,E1092=$AB$61,$AD$61,E1092=$AB$62,$AD$62,E1092=$AB$63,$AD$63,E1092=$AB$64,$AD$64,E1092=$AB$65,$AD$65,E1092=$AB$66,$AD$66,TRUE,"0")</f>
        <v xml:space="preserve">BFM </v>
      </c>
      <c r="E1092" s="168" t="s">
        <v>458</v>
      </c>
      <c r="F1092" s="2" t="s">
        <v>119</v>
      </c>
      <c r="G1092" s="2" t="s">
        <v>166</v>
      </c>
      <c r="H1092" s="3">
        <v>45402.833333333336</v>
      </c>
      <c r="I1092" s="2" t="s">
        <v>606</v>
      </c>
      <c r="J1092" s="2" t="s">
        <v>637</v>
      </c>
      <c r="K1092" s="2">
        <v>20</v>
      </c>
      <c r="L1092" s="2">
        <v>80</v>
      </c>
      <c r="M1092" s="2">
        <v>95</v>
      </c>
      <c r="N1092" s="2">
        <v>37</v>
      </c>
      <c r="O1092" s="2">
        <v>1.55</v>
      </c>
      <c r="P1092" s="2"/>
      <c r="Q1092" s="2" t="s">
        <v>96</v>
      </c>
      <c r="R1092" s="10" t="s">
        <v>223</v>
      </c>
      <c r="S1092" s="10" t="s">
        <v>223</v>
      </c>
      <c r="T1092" s="188">
        <v>1000</v>
      </c>
      <c r="U1092" s="8">
        <f t="shared" si="125"/>
        <v>-1000</v>
      </c>
      <c r="V1092" s="234">
        <f t="shared" si="132"/>
        <v>98084.155246160299</v>
      </c>
      <c r="W1092" s="15">
        <v>25</v>
      </c>
      <c r="X1092" s="8">
        <f t="shared" si="128"/>
        <v>-25</v>
      </c>
      <c r="Y1092" s="233">
        <f t="shared" si="130"/>
        <v>4318</v>
      </c>
    </row>
    <row r="1093" spans="1:25">
      <c r="A1093" s="156" t="e" cm="1">
        <f t="array" aca="1" ref="A1093" ca="1">_xlfn.IFS(E1093=$AB$42,$AC$42,E1093=$AB$43,$AC$43,E1093=$AB$44,$AC$44,E1093=$AB$45,$AC$45,E1093=$AB$46,$AC$46,E1093=$AB$47,$AC$47,E1093=$AB$48,$AC$48,E1093=$AB$49,$AC$49,E1093=$AB$50,$AC$50,E1093=$AB$51,$AC$51,E1093=$AB$52,$AC$52,E1093=$AB$53,$AC$53,E1093=$AB$54,$AC$54,E1093=$AB$55,$AC$55,E1093=$AB$56,$AC$56,E1093=$AB$57,$AC$57,E1093=$AB$58,$AC$58,E1093=$AB$59,$AC$59,E1093=$AB$60,$AC$60,E1093=$AB$61,$AC$61,E1093=$AB$62,$AC$62,E1093=$AB$63,$AC$63,E1093=$AB$64,$AC$64,E1093=$AB$65,$AC$65,E1093=$AB$66,$AC$66,TRUE,"0")</f>
        <v>#NAME?</v>
      </c>
      <c r="C1093" s="161" t="str" cm="1">
        <f t="array" ref="C1093">_xlfn.IFS(E1093=$AB$42,$AF$42,E1093=$AB$43,$AF$43,E1093=$AB$44,$AF$44,E1093=$AB$45,$AF$45,E1093=$AB$46,$AF$46,E1093=$AB$47,$AF$47,E1093=$AB$48,$AF$48,E1093=$AB$49,$AF$49,E1093=$AB$50,$AF$50,E1093=$AB$51,$AF$51,E1093=$AB$52,$AF$52,E1093=$AB$53,$AF$53,E1093=$AB$54,$AF$54,E1093=$AB$55,$AF$55,E1093=$AB$56,$AF$56,E1093=$AB$57,$AF$57,E1093=$AB$58,$AF$58,E1093=$AB$59,$AF$59,E1093=$AB$60,$AF$60,E1093=$AB$61,$AF$61,E1093=$AB$62,$AF$62,E1093=$AB$63,$AF$63,E1093=$AB$64,$AF$64,E1093=$AB$65,$AF$65,E1093=$AB$66,$AF$66,TRUE,"0")</f>
        <v>B4 match BACK FT +1.5 goals. X AFTER  GOAL</v>
      </c>
      <c r="D1093" s="270" t="str" cm="1">
        <f t="array" ref="D1093">_xlfn.IFS(E1093=$AB$42,$AD$42,E1093=$AB$43,$AD$43,E1093=$AB$44,$AD$44,E1093=$AB$45,$AD$45,E1093=$AB$46,$AD$46,E1093=$AB$47,$AD$47,E1093=$AB$48,$AD$48,E1093=$AB$49,$AD$49,E1093=$AB$50,$AD$50,E1093=$AB$51,$AD$51,E1093=$AB$52,$AD$52,E1093=$AB$53,$AD$53,E1093=$AB$54,$AD$54,E1093=$AB$55,$AD$55,E1093=$AB$56,$AD$56,E1093=$AB$57,$AD$57,E1093=$AB$58,$AD$58,E1093=$AB$59,$AD$59,E1093=$AB$60,$AD$60,E1093=$AB$61,$AD$61,E1093=$AB$62,$AD$62,E1093=$AB$63,$AD$63,E1093=$AB$64,$AD$64,E1093=$AB$65,$AD$65,E1093=$AB$66,$AD$66,TRUE,"0")</f>
        <v xml:space="preserve">BFM </v>
      </c>
      <c r="E1093" s="163" t="s">
        <v>406</v>
      </c>
      <c r="F1093" s="2" t="s">
        <v>145</v>
      </c>
      <c r="G1093" s="2" t="s">
        <v>190</v>
      </c>
      <c r="H1093" s="3">
        <v>45402.833333333336</v>
      </c>
      <c r="I1093" s="2" t="s">
        <v>767</v>
      </c>
      <c r="J1093" s="2" t="s">
        <v>611</v>
      </c>
      <c r="K1093" s="2">
        <v>1.41</v>
      </c>
      <c r="L1093" s="2">
        <v>10</v>
      </c>
      <c r="M1093" s="2">
        <v>2.6</v>
      </c>
      <c r="N1093" s="2">
        <v>5.4</v>
      </c>
      <c r="O1093" s="2">
        <v>2.97</v>
      </c>
      <c r="P1093" s="2"/>
      <c r="Q1093" s="2" t="s">
        <v>95</v>
      </c>
      <c r="R1093" s="10" t="s">
        <v>214</v>
      </c>
      <c r="S1093" s="10" t="s">
        <v>214</v>
      </c>
      <c r="T1093" s="188">
        <v>1000</v>
      </c>
      <c r="U1093" s="8">
        <f t="shared" si="125"/>
        <v>180</v>
      </c>
      <c r="V1093" s="234">
        <f t="shared" si="132"/>
        <v>98264.155246160299</v>
      </c>
      <c r="W1093" s="15">
        <v>25</v>
      </c>
      <c r="X1093" s="8">
        <f t="shared" si="128"/>
        <v>4.5</v>
      </c>
      <c r="Y1093" s="233">
        <f t="shared" si="130"/>
        <v>4322.5</v>
      </c>
    </row>
    <row r="1094" spans="1:25">
      <c r="A1094" s="156" t="e" cm="1">
        <f t="array" aca="1" ref="A1094" ca="1">_xlfn.IFS(E1094=$AB$42,$AC$42,E1094=$AB$43,$AC$43,E1094=$AB$44,$AC$44,E1094=$AB$45,$AC$45,E1094=$AB$46,$AC$46,E1094=$AB$47,$AC$47,E1094=$AB$48,$AC$48,E1094=$AB$49,$AC$49,E1094=$AB$50,$AC$50,E1094=$AB$51,$AC$51,E1094=$AB$52,$AC$52,E1094=$AB$53,$AC$53,E1094=$AB$54,$AC$54,E1094=$AB$55,$AC$55,E1094=$AB$56,$AC$56,E1094=$AB$57,$AC$57,E1094=$AB$58,$AC$58,E1094=$AB$59,$AC$59,E1094=$AB$60,$AC$60,E1094=$AB$61,$AC$61,E1094=$AB$62,$AC$62,E1094=$AB$63,$AC$63,E1094=$AB$64,$AC$64,E1094=$AB$65,$AC$65,E1094=$AB$66,$AC$66,TRUE,"0")</f>
        <v>#NAME?</v>
      </c>
      <c r="C1094" s="161" t="str" cm="1">
        <f t="array" ref="C1094">_xlfn.IFS(E1094=$AB$42,$AF$42,E1094=$AB$43,$AF$43,E1094=$AB$44,$AF$44,E1094=$AB$45,$AF$45,E1094=$AB$46,$AF$46,E1094=$AB$47,$AF$47,E1094=$AB$48,$AF$48,E1094=$AB$49,$AF$49,E1094=$AB$50,$AF$50,E1094=$AB$51,$AF$51,E1094=$AB$52,$AF$52,E1094=$AB$53,$AF$53,E1094=$AB$54,$AF$54,E1094=$AB$55,$AF$55,E1094=$AB$56,$AF$56,E1094=$AB$57,$AF$57,E1094=$AB$58,$AF$58,E1094=$AB$59,$AF$59,E1094=$AB$60,$AF$60,E1094=$AB$61,$AF$61,E1094=$AB$62,$AF$62,E1094=$AB$63,$AF$63,E1094=$AB$64,$AF$64,E1094=$AB$65,$AF$65,E1094=$AB$66,$AF$66,TRUE,"0")</f>
        <v>B4 match BACK FT +1.5 goals. X AFTER  GOAL</v>
      </c>
      <c r="D1094" s="270" t="str" cm="1">
        <f t="array" ref="D1094">_xlfn.IFS(E1094=$AB$42,$AD$42,E1094=$AB$43,$AD$43,E1094=$AB$44,$AD$44,E1094=$AB$45,$AD$45,E1094=$AB$46,$AD$46,E1094=$AB$47,$AD$47,E1094=$AB$48,$AD$48,E1094=$AB$49,$AD$49,E1094=$AB$50,$AD$50,E1094=$AB$51,$AD$51,E1094=$AB$52,$AD$52,E1094=$AB$53,$AD$53,E1094=$AB$54,$AD$54,E1094=$AB$55,$AD$55,E1094=$AB$56,$AD$56,E1094=$AB$57,$AD$57,E1094=$AB$58,$AD$58,E1094=$AB$59,$AD$59,E1094=$AB$60,$AD$60,E1094=$AB$61,$AD$61,E1094=$AB$62,$AD$62,E1094=$AB$63,$AD$63,E1094=$AB$64,$AD$64,E1094=$AB$65,$AD$65,E1094=$AB$66,$AD$66,TRUE,"0")</f>
        <v xml:space="preserve">BFM </v>
      </c>
      <c r="E1094" s="163" t="s">
        <v>623</v>
      </c>
      <c r="F1094" s="2" t="s">
        <v>145</v>
      </c>
      <c r="G1094" s="2" t="s">
        <v>190</v>
      </c>
      <c r="H1094" s="3">
        <v>45402.833333333336</v>
      </c>
      <c r="I1094" s="2" t="s">
        <v>767</v>
      </c>
      <c r="J1094" s="2" t="s">
        <v>611</v>
      </c>
      <c r="K1094" s="2">
        <v>5.4</v>
      </c>
      <c r="L1094" s="2">
        <v>20</v>
      </c>
      <c r="M1094" s="2">
        <v>2.6</v>
      </c>
      <c r="N1094" s="2">
        <v>29</v>
      </c>
      <c r="O1094" s="2">
        <v>1</v>
      </c>
      <c r="P1094" s="2">
        <v>10</v>
      </c>
      <c r="Q1094" s="2" t="s">
        <v>95</v>
      </c>
      <c r="R1094" s="10" t="s">
        <v>214</v>
      </c>
      <c r="S1094" s="10" t="s">
        <v>214</v>
      </c>
      <c r="T1094" s="188">
        <v>1000</v>
      </c>
      <c r="U1094" s="8">
        <f t="shared" si="125"/>
        <v>180</v>
      </c>
      <c r="V1094" s="234">
        <f t="shared" si="132"/>
        <v>98444.155246160299</v>
      </c>
      <c r="W1094" s="15">
        <v>25</v>
      </c>
      <c r="X1094" s="8">
        <f t="shared" si="128"/>
        <v>4.5</v>
      </c>
      <c r="Y1094" s="233">
        <f t="shared" si="130"/>
        <v>4327</v>
      </c>
    </row>
    <row r="1095" spans="1:25">
      <c r="A1095" s="156" t="e" cm="1">
        <f t="array" aca="1" ref="A1095" ca="1">_xlfn.IFS(E1095=$AB$42,$AC$42,E1095=$AB$43,$AC$43,E1095=$AB$44,$AC$44,E1095=$AB$45,$AC$45,E1095=$AB$46,$AC$46,E1095=$AB$47,$AC$47,E1095=$AB$48,$AC$48,E1095=$AB$49,$AC$49,E1095=$AB$50,$AC$50,E1095=$AB$51,$AC$51,E1095=$AB$52,$AC$52,E1095=$AB$53,$AC$53,E1095=$AB$54,$AC$54,E1095=$AB$55,$AC$55,E1095=$AB$56,$AC$56,E1095=$AB$57,$AC$57,E1095=$AB$58,$AC$58,E1095=$AB$59,$AC$59,E1095=$AB$60,$AC$60,E1095=$AB$61,$AC$61,E1095=$AB$62,$AC$62,E1095=$AB$63,$AC$63,E1095=$AB$64,$AC$64,E1095=$AB$65,$AC$65,E1095=$AB$66,$AC$66,TRUE,"0")</f>
        <v>#NAME?</v>
      </c>
      <c r="C1095" s="161" t="str" cm="1">
        <f t="array" ref="C1095">_xlfn.IFS(E1095=$AB$42,$AF$42,E1095=$AB$43,$AF$43,E1095=$AB$44,$AF$44,E1095=$AB$45,$AF$45,E1095=$AB$46,$AF$46,E1095=$AB$47,$AF$47,E1095=$AB$48,$AF$48,E1095=$AB$49,$AF$49,E1095=$AB$50,$AF$50,E1095=$AB$51,$AF$51,E1095=$AB$52,$AF$52,E1095=$AB$53,$AF$53,E1095=$AB$54,$AF$54,E1095=$AB$55,$AF$55,E1095=$AB$56,$AF$56,E1095=$AB$57,$AF$57,E1095=$AB$58,$AF$58,E1095=$AB$59,$AF$59,E1095=$AB$60,$AF$60,E1095=$AB$61,$AF$61,E1095=$AB$62,$AF$62,E1095=$AB$63,$AF$63,E1095=$AB$64,$AF$64,E1095=$AB$65,$AF$65,E1095=$AB$66,$AF$66,TRUE,"0")</f>
        <v>40 mins Back ANother Goal</v>
      </c>
      <c r="D1095" s="270" t="str" cm="1">
        <f t="array" ref="D1095">_xlfn.IFS(E1095=$AB$42,$AD$42,E1095=$AB$43,$AD$43,E1095=$AB$44,$AD$44,E1095=$AB$45,$AD$45,E1095=$AB$46,$AD$46,E1095=$AB$47,$AD$47,E1095=$AB$48,$AD$48,E1095=$AB$49,$AD$49,E1095=$AB$50,$AD$50,E1095=$AB$51,$AD$51,E1095=$AB$52,$AD$52,E1095=$AB$53,$AD$53,E1095=$AB$54,$AD$54,E1095=$AB$55,$AD$55,E1095=$AB$56,$AD$56,E1095=$AB$57,$AD$57,E1095=$AB$58,$AD$58,E1095=$AB$59,$AD$59,E1095=$AB$60,$AD$60,E1095=$AB$61,$AD$61,E1095=$AB$62,$AD$62,E1095=$AB$63,$AD$63,E1095=$AB$64,$AD$64,E1095=$AB$65,$AD$65,E1095=$AB$66,$AD$66,TRUE,"0")</f>
        <v xml:space="preserve">  BANG</v>
      </c>
      <c r="E1095" s="163" t="s">
        <v>726</v>
      </c>
      <c r="F1095" s="2" t="s">
        <v>58</v>
      </c>
      <c r="G1095" s="2" t="s">
        <v>59</v>
      </c>
      <c r="H1095" s="3">
        <v>45402.854166666664</v>
      </c>
      <c r="I1095" s="2" t="s">
        <v>112</v>
      </c>
      <c r="J1095" s="2" t="s">
        <v>121</v>
      </c>
      <c r="K1095" s="2">
        <v>80</v>
      </c>
      <c r="L1095" s="2">
        <v>20</v>
      </c>
      <c r="M1095" s="2">
        <v>1.9</v>
      </c>
      <c r="N1095" s="2">
        <v>56</v>
      </c>
      <c r="O1095" s="2"/>
      <c r="P1095" s="2"/>
      <c r="Q1095" s="2" t="s">
        <v>95</v>
      </c>
      <c r="R1095" s="10" t="s">
        <v>221</v>
      </c>
      <c r="S1095" s="10" t="s">
        <v>222</v>
      </c>
      <c r="T1095" s="188">
        <v>1000</v>
      </c>
      <c r="U1095" s="8">
        <f t="shared" si="125"/>
        <v>180</v>
      </c>
      <c r="V1095" s="234">
        <f t="shared" si="132"/>
        <v>98624.155246160299</v>
      </c>
      <c r="W1095" s="15">
        <v>25</v>
      </c>
      <c r="X1095" s="8">
        <f t="shared" si="128"/>
        <v>4.5</v>
      </c>
      <c r="Y1095" s="233">
        <f t="shared" si="130"/>
        <v>4331.5</v>
      </c>
    </row>
    <row r="1096" spans="1:25">
      <c r="A1096" s="156" t="e" cm="1">
        <f t="array" aca="1" ref="A1096" ca="1">_xlfn.IFS(E1096=$AB$42,$AC$42,E1096=$AB$43,$AC$43,E1096=$AB$44,$AC$44,E1096=$AB$45,$AC$45,E1096=$AB$46,$AC$46,E1096=$AB$47,$AC$47,E1096=$AB$48,$AC$48,E1096=$AB$49,$AC$49,E1096=$AB$50,$AC$50,E1096=$AB$51,$AC$51,E1096=$AB$52,$AC$52,E1096=$AB$53,$AC$53,E1096=$AB$54,$AC$54,E1096=$AB$55,$AC$55,E1096=$AB$56,$AC$56,E1096=$AB$57,$AC$57,E1096=$AB$58,$AC$58,E1096=$AB$59,$AC$59,E1096=$AB$60,$AC$60,E1096=$AB$61,$AC$61,E1096=$AB$62,$AC$62,E1096=$AB$63,$AC$63,E1096=$AB$64,$AC$64,E1096=$AB$65,$AC$65,E1096=$AB$66,$AC$66,TRUE,"0")</f>
        <v>#NAME?</v>
      </c>
      <c r="C1096" s="161" t="str" cm="1">
        <f t="array" ref="C1096">_xlfn.IFS(E1096=$AB$42,$AF$42,E1096=$AB$43,$AF$43,E1096=$AB$44,$AF$44,E1096=$AB$45,$AF$45,E1096=$AB$46,$AF$46,E1096=$AB$47,$AF$47,E1096=$AB$48,$AF$48,E1096=$AB$49,$AF$49,E1096=$AB$50,$AF$50,E1096=$AB$51,$AF$51,E1096=$AB$52,$AF$52,E1096=$AB$53,$AF$53,E1096=$AB$54,$AF$54,E1096=$AB$55,$AF$55,E1096=$AB$56,$AF$56,E1096=$AB$57,$AF$57,E1096=$AB$58,$AF$58,E1096=$AB$59,$AF$59,E1096=$AB$60,$AF$60,E1096=$AB$61,$AF$61,E1096=$AB$62,$AF$62,E1096=$AB$63,$AF$63,E1096=$AB$64,$AF$64,E1096=$AB$65,$AF$65,E1096=$AB$66,$AF$66,TRUE,"0")</f>
        <v>AT HT IF 0-0 BACK +0.5 GOALS</v>
      </c>
      <c r="D1096" s="270" t="str" cm="1">
        <f t="array" ref="D1096">_xlfn.IFS(E1096=$AB$42,$AD$42,E1096=$AB$43,$AD$43,E1096=$AB$44,$AD$44,E1096=$AB$45,$AD$45,E1096=$AB$46,$AD$46,E1096=$AB$47,$AD$47,E1096=$AB$48,$AD$48,E1096=$AB$49,$AD$49,E1096=$AB$50,$AD$50,E1096=$AB$51,$AD$51,E1096=$AB$52,$AD$52,E1096=$AB$53,$AD$53,E1096=$AB$54,$AD$54,E1096=$AB$55,$AD$55,E1096=$AB$56,$AD$56,E1096=$AB$57,$AD$57,E1096=$AB$58,$AD$58,E1096=$AB$59,$AD$59,E1096=$AB$60,$AD$60,E1096=$AB$61,$AD$61,E1096=$AB$62,$AD$62,E1096=$AB$63,$AD$63,E1096=$AB$64,$AD$64,E1096=$AB$65,$AD$65,E1096=$AB$66,$AD$66,TRUE,"0")</f>
        <v>IP</v>
      </c>
      <c r="E1096" s="163" t="s">
        <v>514</v>
      </c>
      <c r="F1096" s="2" t="s">
        <v>58</v>
      </c>
      <c r="G1096" s="2" t="s">
        <v>59</v>
      </c>
      <c r="H1096" s="3">
        <v>45402.854166666664</v>
      </c>
      <c r="I1096" s="2" t="s">
        <v>112</v>
      </c>
      <c r="J1096" s="2" t="s">
        <v>121</v>
      </c>
      <c r="K1096" s="2">
        <v>3.75</v>
      </c>
      <c r="L1096" s="2">
        <v>0</v>
      </c>
      <c r="M1096" s="2">
        <v>0</v>
      </c>
      <c r="N1096" s="2">
        <v>20</v>
      </c>
      <c r="O1096" s="2">
        <v>20</v>
      </c>
      <c r="P1096" s="2">
        <v>29</v>
      </c>
      <c r="Q1096" s="2" t="s">
        <v>95</v>
      </c>
      <c r="R1096" s="10" t="s">
        <v>221</v>
      </c>
      <c r="S1096" s="10" t="s">
        <v>222</v>
      </c>
      <c r="T1096" s="188">
        <v>1000</v>
      </c>
      <c r="U1096" s="8">
        <f t="shared" si="125"/>
        <v>180</v>
      </c>
      <c r="V1096" s="234">
        <f t="shared" si="132"/>
        <v>98804.155246160299</v>
      </c>
      <c r="W1096" s="15">
        <v>25</v>
      </c>
      <c r="X1096" s="8">
        <f t="shared" si="128"/>
        <v>4.5</v>
      </c>
      <c r="Y1096" s="233">
        <f t="shared" si="130"/>
        <v>4336</v>
      </c>
    </row>
    <row r="1097" spans="1:25">
      <c r="A1097" s="156" t="e" cm="1">
        <f t="array" aca="1" ref="A1097" ca="1">_xlfn.IFS(E1097=$AB$42,$AC$42,E1097=$AB$43,$AC$43,E1097=$AB$44,$AC$44,E1097=$AB$45,$AC$45,E1097=$AB$46,$AC$46,E1097=$AB$47,$AC$47,E1097=$AB$48,$AC$48,E1097=$AB$49,$AC$49,E1097=$AB$50,$AC$50,E1097=$AB$51,$AC$51,E1097=$AB$52,$AC$52,E1097=$AB$53,$AC$53,E1097=$AB$54,$AC$54,E1097=$AB$55,$AC$55,E1097=$AB$56,$AC$56,E1097=$AB$57,$AC$57,E1097=$AB$58,$AC$58,E1097=$AB$59,$AC$59,E1097=$AB$60,$AC$60,E1097=$AB$61,$AC$61,E1097=$AB$62,$AC$62,E1097=$AB$63,$AC$63,E1097=$AB$64,$AC$64,E1097=$AB$65,$AC$65,E1097=$AB$66,$AC$66,TRUE,"0")</f>
        <v>#NAME?</v>
      </c>
      <c r="C1097" s="161" t="str" cm="1">
        <f t="array" ref="C1097">_xlfn.IFS(E1097=$AB$42,$AF$42,E1097=$AB$43,$AF$43,E1097=$AB$44,$AF$44,E1097=$AB$45,$AF$45,E1097=$AB$46,$AF$46,E1097=$AB$47,$AF$47,E1097=$AB$48,$AF$48,E1097=$AB$49,$AF$49,E1097=$AB$50,$AF$50,E1097=$AB$51,$AF$51,E1097=$AB$52,$AF$52,E1097=$AB$53,$AF$53,E1097=$AB$54,$AF$54,E1097=$AB$55,$AF$55,E1097=$AB$56,$AF$56,E1097=$AB$57,$AF$57,E1097=$AB$58,$AF$58,E1097=$AB$59,$AF$59,E1097=$AB$60,$AF$60,E1097=$AB$61,$AF$61,E1097=$AB$62,$AF$62,E1097=$AB$63,$AF$63,E1097=$AB$64,$AF$64,E1097=$AB$65,$AF$65,E1097=$AB$66,$AF$66,TRUE,"0")</f>
        <v>if 0-0, BACK+ 0.5 GOALS  @ 1.15+odds.  or @ 40 mins</v>
      </c>
      <c r="D1097" s="270" t="str" cm="1">
        <f t="array" ref="D1097">_xlfn.IFS(E1097=$AB$42,$AD$42,E1097=$AB$43,$AD$43,E1097=$AB$44,$AD$44,E1097=$AB$45,$AD$45,E1097=$AB$46,$AD$46,E1097=$AB$47,$AD$47,E1097=$AB$48,$AD$48,E1097=$AB$49,$AD$49,E1097=$AB$50,$AD$50,E1097=$AB$51,$AD$51,E1097=$AB$52,$AD$52,E1097=$AB$53,$AD$53,E1097=$AB$54,$AD$54,E1097=$AB$55,$AD$55,E1097=$AB$56,$AD$56,E1097=$AB$57,$AD$57,E1097=$AB$58,$AD$58,E1097=$AB$59,$AD$59,E1097=$AB$60,$AD$60,E1097=$AB$61,$AD$61,E1097=$AB$62,$AD$62,E1097=$AB$63,$AD$63,E1097=$AB$64,$AD$64,E1097=$AB$65,$AD$65,E1097=$AB$66,$AD$66,TRUE,"0")</f>
        <v>IP</v>
      </c>
      <c r="E1097" s="163" t="s">
        <v>270</v>
      </c>
      <c r="F1097" s="2" t="s">
        <v>159</v>
      </c>
      <c r="G1097" s="2" t="s">
        <v>750</v>
      </c>
      <c r="H1097" s="3">
        <v>45403.086805555555</v>
      </c>
      <c r="I1097" s="2" t="s">
        <v>757</v>
      </c>
      <c r="J1097" s="2" t="s">
        <v>758</v>
      </c>
      <c r="K1097" s="2">
        <v>65</v>
      </c>
      <c r="L1097" s="2">
        <v>0</v>
      </c>
      <c r="M1097" s="2">
        <v>20</v>
      </c>
      <c r="N1097" s="2">
        <v>35</v>
      </c>
      <c r="O1097" s="2">
        <v>2.57</v>
      </c>
      <c r="P1097" s="2"/>
      <c r="Q1097" s="2" t="s">
        <v>95</v>
      </c>
      <c r="R1097" s="10" t="s">
        <v>221</v>
      </c>
      <c r="S1097" s="10" t="s">
        <v>217</v>
      </c>
      <c r="T1097" s="188">
        <v>1000</v>
      </c>
      <c r="U1097" s="8">
        <f t="shared" si="125"/>
        <v>180</v>
      </c>
      <c r="V1097" s="234">
        <f t="shared" si="132"/>
        <v>98984.155246160299</v>
      </c>
      <c r="W1097" s="15">
        <v>25</v>
      </c>
      <c r="X1097" s="8">
        <f t="shared" si="128"/>
        <v>4.5</v>
      </c>
      <c r="Y1097" s="233">
        <f t="shared" si="130"/>
        <v>4340.5</v>
      </c>
    </row>
    <row r="1098" spans="1:25">
      <c r="A1098" s="156" t="e" cm="1">
        <f t="array" aca="1" ref="A1098" ca="1">_xlfn.IFS(E1098=$AB$42,$AC$42,E1098=$AB$43,$AC$43,E1098=$AB$44,$AC$44,E1098=$AB$45,$AC$45,E1098=$AB$46,$AC$46,E1098=$AB$47,$AC$47,E1098=$AB$48,$AC$48,E1098=$AB$49,$AC$49,E1098=$AB$50,$AC$50,E1098=$AB$51,$AC$51,E1098=$AB$52,$AC$52,E1098=$AB$53,$AC$53,E1098=$AB$54,$AC$54,E1098=$AB$55,$AC$55,E1098=$AB$56,$AC$56,E1098=$AB$57,$AC$57,E1098=$AB$58,$AC$58,E1098=$AB$59,$AC$59,E1098=$AB$60,$AC$60,E1098=$AB$61,$AC$61,E1098=$AB$62,$AC$62,E1098=$AB$63,$AC$63,E1098=$AB$64,$AC$64,E1098=$AB$65,$AC$65,E1098=$AB$66,$AC$66,TRUE,"0")</f>
        <v>#NAME?</v>
      </c>
      <c r="C1098" s="161" t="str" cm="1">
        <f t="array" ref="C1098">_xlfn.IFS(E1098=$AB$42,$AF$42,E1098=$AB$43,$AF$43,E1098=$AB$44,$AF$44,E1098=$AB$45,$AF$45,E1098=$AB$46,$AF$46,E1098=$AB$47,$AF$47,E1098=$AB$48,$AF$48,E1098=$AB$49,$AF$49,E1098=$AB$50,$AF$50,E1098=$AB$51,$AF$51,E1098=$AB$52,$AF$52,E1098=$AB$53,$AF$53,E1098=$AB$54,$AF$54,E1098=$AB$55,$AF$55,E1098=$AB$56,$AF$56,E1098=$AB$57,$AF$57,E1098=$AB$58,$AF$58,E1098=$AB$59,$AF$59,E1098=$AB$60,$AF$60,E1098=$AB$61,$AF$61,E1098=$AB$62,$AF$62,E1098=$AB$63,$AF$63,E1098=$AB$64,$AF$64,E1098=$AB$65,$AF$65,E1098=$AB$66,$AF$66,TRUE,"0")</f>
        <v>B4 MATCH bet H1 'under 2.5goals'- X at 40 minutes</v>
      </c>
      <c r="D1098" s="270" t="str" cm="1">
        <f t="array" ref="D1098">_xlfn.IFS(E1098=$AB$42,$AD$42,E1098=$AB$43,$AD$43,E1098=$AB$44,$AD$44,E1098=$AB$45,$AD$45,E1098=$AB$46,$AD$46,E1098=$AB$47,$AD$47,E1098=$AB$48,$AD$48,E1098=$AB$49,$AD$49,E1098=$AB$50,$AD$50,E1098=$AB$51,$AD$51,E1098=$AB$52,$AD$52,E1098=$AB$53,$AD$53,E1098=$AB$54,$AD$54,E1098=$AB$55,$AD$55,E1098=$AB$56,$AD$56,E1098=$AB$57,$AD$57,E1098=$AB$58,$AD$58,E1098=$AB$59,$AD$59,E1098=$AB$60,$AD$60,E1098=$AB$61,$AD$61,E1098=$AB$62,$AD$62,E1098=$AB$63,$AD$63,E1098=$AB$64,$AD$64,E1098=$AB$65,$AD$65,E1098=$AB$66,$AD$66,TRUE,"0")</f>
        <v xml:space="preserve">BFM </v>
      </c>
      <c r="E1098" s="168" t="s">
        <v>458</v>
      </c>
      <c r="F1098" s="2" t="s">
        <v>572</v>
      </c>
      <c r="G1098" s="2" t="s">
        <v>670</v>
      </c>
      <c r="H1098" s="3">
        <v>45403.291666666664</v>
      </c>
      <c r="I1098" s="2" t="s">
        <v>768</v>
      </c>
      <c r="J1098" s="2" t="s">
        <v>672</v>
      </c>
      <c r="K1098" s="2">
        <v>20</v>
      </c>
      <c r="L1098" s="2">
        <v>90</v>
      </c>
      <c r="M1098" s="2">
        <v>100</v>
      </c>
      <c r="N1098" s="2">
        <v>44</v>
      </c>
      <c r="O1098" s="2">
        <v>1.5</v>
      </c>
      <c r="P1098" s="2"/>
      <c r="Q1098" s="2" t="s">
        <v>95</v>
      </c>
      <c r="R1098" s="10" t="s">
        <v>221</v>
      </c>
      <c r="S1098" s="10" t="s">
        <v>222</v>
      </c>
      <c r="T1098" s="188">
        <v>1000</v>
      </c>
      <c r="U1098" s="8">
        <f t="shared" si="125"/>
        <v>180</v>
      </c>
      <c r="V1098" s="234">
        <f t="shared" si="132"/>
        <v>99164.155246160299</v>
      </c>
      <c r="W1098" s="15">
        <v>25</v>
      </c>
      <c r="X1098" s="8">
        <f t="shared" si="128"/>
        <v>4.5</v>
      </c>
      <c r="Y1098" s="233">
        <f t="shared" si="130"/>
        <v>4345</v>
      </c>
    </row>
    <row r="1099" spans="1:25">
      <c r="A1099" s="156" t="e" cm="1">
        <f t="array" aca="1" ref="A1099" ca="1">_xlfn.IFS(E1099=$AB$42,$AC$42,E1099=$AB$43,$AC$43,E1099=$AB$44,$AC$44,E1099=$AB$45,$AC$45,E1099=$AB$46,$AC$46,E1099=$AB$47,$AC$47,E1099=$AB$48,$AC$48,E1099=$AB$49,$AC$49,E1099=$AB$50,$AC$50,E1099=$AB$51,$AC$51,E1099=$AB$52,$AC$52,E1099=$AB$53,$AC$53,E1099=$AB$54,$AC$54,E1099=$AB$55,$AC$55,E1099=$AB$56,$AC$56,E1099=$AB$57,$AC$57,E1099=$AB$58,$AC$58,E1099=$AB$59,$AC$59,E1099=$AB$60,$AC$60,E1099=$AB$61,$AC$61,E1099=$AB$62,$AC$62,E1099=$AB$63,$AC$63,E1099=$AB$64,$AC$64,E1099=$AB$65,$AC$65,E1099=$AB$66,$AC$66,TRUE,"0")</f>
        <v>#NAME?</v>
      </c>
      <c r="C1099" s="161" t="str" cm="1">
        <f t="array" ref="C1099">_xlfn.IFS(E1099=$AB$42,$AF$42,E1099=$AB$43,$AF$43,E1099=$AB$44,$AF$44,E1099=$AB$45,$AF$45,E1099=$AB$46,$AF$46,E1099=$AB$47,$AF$47,E1099=$AB$48,$AF$48,E1099=$AB$49,$AF$49,E1099=$AB$50,$AF$50,E1099=$AB$51,$AF$51,E1099=$AB$52,$AF$52,E1099=$AB$53,$AF$53,E1099=$AB$54,$AF$54,E1099=$AB$55,$AF$55,E1099=$AB$56,$AF$56,E1099=$AB$57,$AF$57,E1099=$AB$58,$AF$58,E1099=$AB$59,$AF$59,E1099=$AB$60,$AF$60,E1099=$AB$61,$AF$61,E1099=$AB$62,$AF$62,E1099=$AB$63,$AF$63,E1099=$AB$64,$AF$64,E1099=$AB$65,$AF$65,E1099=$AB$66,$AF$66,TRUE,"0")</f>
        <v>40 mins Back ANother Goal</v>
      </c>
      <c r="D1099" s="270" t="str" cm="1">
        <f t="array" ref="D1099">_xlfn.IFS(E1099=$AB$42,$AD$42,E1099=$AB$43,$AD$43,E1099=$AB$44,$AD$44,E1099=$AB$45,$AD$45,E1099=$AB$46,$AD$46,E1099=$AB$47,$AD$47,E1099=$AB$48,$AD$48,E1099=$AB$49,$AD$49,E1099=$AB$50,$AD$50,E1099=$AB$51,$AD$51,E1099=$AB$52,$AD$52,E1099=$AB$53,$AD$53,E1099=$AB$54,$AD$54,E1099=$AB$55,$AD$55,E1099=$AB$56,$AD$56,E1099=$AB$57,$AD$57,E1099=$AB$58,$AD$58,E1099=$AB$59,$AD$59,E1099=$AB$60,$AD$60,E1099=$AB$61,$AD$61,E1099=$AB$62,$AD$62,E1099=$AB$63,$AD$63,E1099=$AB$64,$AD$64,E1099=$AB$65,$AD$65,E1099=$AB$66,$AD$66,TRUE,"0")</f>
        <v xml:space="preserve">  BANG</v>
      </c>
      <c r="E1099" s="163" t="s">
        <v>43</v>
      </c>
      <c r="F1099" s="2" t="s">
        <v>44</v>
      </c>
      <c r="G1099" s="2" t="s">
        <v>45</v>
      </c>
      <c r="H1099" s="3">
        <v>45403.333333333336</v>
      </c>
      <c r="I1099" s="2" t="s">
        <v>131</v>
      </c>
      <c r="J1099" s="2" t="s">
        <v>53</v>
      </c>
      <c r="K1099" s="2">
        <v>67</v>
      </c>
      <c r="L1099" s="2">
        <v>75</v>
      </c>
      <c r="M1099" s="2">
        <v>61</v>
      </c>
      <c r="N1099" s="2">
        <v>2.2999999999999998</v>
      </c>
      <c r="O1099" s="2">
        <v>1.66</v>
      </c>
      <c r="P1099" s="2"/>
      <c r="Q1099" s="2" t="s">
        <v>95</v>
      </c>
      <c r="R1099" s="10" t="s">
        <v>216</v>
      </c>
      <c r="S1099" s="10" t="s">
        <v>212</v>
      </c>
      <c r="T1099" s="188">
        <v>1000</v>
      </c>
      <c r="U1099" s="8">
        <f t="shared" si="125"/>
        <v>180</v>
      </c>
      <c r="V1099" s="234">
        <f t="shared" si="132"/>
        <v>99344.155246160299</v>
      </c>
      <c r="W1099" s="15">
        <v>25</v>
      </c>
      <c r="X1099" s="8">
        <f t="shared" si="128"/>
        <v>4.5</v>
      </c>
      <c r="Y1099" s="233">
        <f t="shared" si="130"/>
        <v>4349.5</v>
      </c>
    </row>
    <row r="1100" spans="1:25">
      <c r="A1100" s="156" t="e" cm="1">
        <f t="array" aca="1" ref="A1100" ca="1">_xlfn.IFS(E1100=$AB$42,$AC$42,E1100=$AB$43,$AC$43,E1100=$AB$44,$AC$44,E1100=$AB$45,$AC$45,E1100=$AB$46,$AC$46,E1100=$AB$47,$AC$47,E1100=$AB$48,$AC$48,E1100=$AB$49,$AC$49,E1100=$AB$50,$AC$50,E1100=$AB$51,$AC$51,E1100=$AB$52,$AC$52,E1100=$AB$53,$AC$53,E1100=$AB$54,$AC$54,E1100=$AB$55,$AC$55,E1100=$AB$56,$AC$56,E1100=$AB$57,$AC$57,E1100=$AB$58,$AC$58,E1100=$AB$59,$AC$59,E1100=$AB$60,$AC$60,E1100=$AB$61,$AC$61,E1100=$AB$62,$AC$62,E1100=$AB$63,$AC$63,E1100=$AB$64,$AC$64,E1100=$AB$65,$AC$65,E1100=$AB$66,$AC$66,TRUE,"0")</f>
        <v>#NAME?</v>
      </c>
      <c r="C1100" s="161" t="str" cm="1">
        <f t="array" ref="C1100">_xlfn.IFS(E1100=$AB$42,$AF$42,E1100=$AB$43,$AF$43,E1100=$AB$44,$AF$44,E1100=$AB$45,$AF$45,E1100=$AB$46,$AF$46,E1100=$AB$47,$AF$47,E1100=$AB$48,$AF$48,E1100=$AB$49,$AF$49,E1100=$AB$50,$AF$50,E1100=$AB$51,$AF$51,E1100=$AB$52,$AF$52,E1100=$AB$53,$AF$53,E1100=$AB$54,$AF$54,E1100=$AB$55,$AF$55,E1100=$AB$56,$AF$56,E1100=$AB$57,$AF$57,E1100=$AB$58,$AF$58,E1100=$AB$59,$AF$59,E1100=$AB$60,$AF$60,E1100=$AB$61,$AF$61,E1100=$AB$62,$AF$62,E1100=$AB$63,$AF$63,E1100=$AB$64,$AF$64,E1100=$AB$65,$AF$65,E1100=$AB$66,$AF$66,TRUE,"0")</f>
        <v>40 mins Back ANother Goal</v>
      </c>
      <c r="D1100" s="270" t="str" cm="1">
        <f t="array" ref="D1100">_xlfn.IFS(E1100=$AB$42,$AD$42,E1100=$AB$43,$AD$43,E1100=$AB$44,$AD$44,E1100=$AB$45,$AD$45,E1100=$AB$46,$AD$46,E1100=$AB$47,$AD$47,E1100=$AB$48,$AD$48,E1100=$AB$49,$AD$49,E1100=$AB$50,$AD$50,E1100=$AB$51,$AD$51,E1100=$AB$52,$AD$52,E1100=$AB$53,$AD$53,E1100=$AB$54,$AD$54,E1100=$AB$55,$AD$55,E1100=$AB$56,$AD$56,E1100=$AB$57,$AD$57,E1100=$AB$58,$AD$58,E1100=$AB$59,$AD$59,E1100=$AB$60,$AD$60,E1100=$AB$61,$AD$61,E1100=$AB$62,$AD$62,E1100=$AB$63,$AD$63,E1100=$AB$64,$AD$64,E1100=$AB$65,$AD$65,E1100=$AB$66,$AD$66,TRUE,"0")</f>
        <v xml:space="preserve">  BANG</v>
      </c>
      <c r="E1100" s="163" t="s">
        <v>726</v>
      </c>
      <c r="F1100" s="2" t="s">
        <v>44</v>
      </c>
      <c r="G1100" s="2" t="s">
        <v>45</v>
      </c>
      <c r="H1100" s="3">
        <v>45403.333333333336</v>
      </c>
      <c r="I1100" s="2" t="s">
        <v>131</v>
      </c>
      <c r="J1100" s="2" t="s">
        <v>53</v>
      </c>
      <c r="K1100" s="2">
        <v>90</v>
      </c>
      <c r="L1100" s="2">
        <v>20</v>
      </c>
      <c r="M1100" s="2">
        <v>2.2999999999999998</v>
      </c>
      <c r="N1100" s="2">
        <v>61</v>
      </c>
      <c r="O1100" s="2"/>
      <c r="P1100" s="2"/>
      <c r="Q1100" s="2" t="s">
        <v>95</v>
      </c>
      <c r="R1100" s="10" t="s">
        <v>216</v>
      </c>
      <c r="S1100" s="10" t="s">
        <v>212</v>
      </c>
      <c r="T1100" s="188">
        <v>1000</v>
      </c>
      <c r="U1100" s="8">
        <f t="shared" ref="U1100:U1163" si="133">IF(Q1100="won",T1100*0.18,-T1100)</f>
        <v>180</v>
      </c>
      <c r="V1100" s="234">
        <f t="shared" si="132"/>
        <v>99524.155246160299</v>
      </c>
      <c r="W1100" s="15">
        <v>25</v>
      </c>
      <c r="X1100" s="8">
        <f t="shared" si="128"/>
        <v>4.5</v>
      </c>
      <c r="Y1100" s="233">
        <f t="shared" si="130"/>
        <v>4354</v>
      </c>
    </row>
    <row r="1101" spans="1:25">
      <c r="A1101" s="156" t="e" cm="1">
        <f t="array" aca="1" ref="A1101" ca="1">_xlfn.IFS(E1101=$AB$42,$AC$42,E1101=$AB$43,$AC$43,E1101=$AB$44,$AC$44,E1101=$AB$45,$AC$45,E1101=$AB$46,$AC$46,E1101=$AB$47,$AC$47,E1101=$AB$48,$AC$48,E1101=$AB$49,$AC$49,E1101=$AB$50,$AC$50,E1101=$AB$51,$AC$51,E1101=$AB$52,$AC$52,E1101=$AB$53,$AC$53,E1101=$AB$54,$AC$54,E1101=$AB$55,$AC$55,E1101=$AB$56,$AC$56,E1101=$AB$57,$AC$57,E1101=$AB$58,$AC$58,E1101=$AB$59,$AC$59,E1101=$AB$60,$AC$60,E1101=$AB$61,$AC$61,E1101=$AB$62,$AC$62,E1101=$AB$63,$AC$63,E1101=$AB$64,$AC$64,E1101=$AB$65,$AC$65,E1101=$AB$66,$AC$66,TRUE,"0")</f>
        <v>#NAME?</v>
      </c>
      <c r="C1101" s="161" t="str" cm="1">
        <f t="array" ref="C1101">_xlfn.IFS(E1101=$AB$42,$AF$42,E1101=$AB$43,$AF$43,E1101=$AB$44,$AF$44,E1101=$AB$45,$AF$45,E1101=$AB$46,$AF$46,E1101=$AB$47,$AF$47,E1101=$AB$48,$AF$48,E1101=$AB$49,$AF$49,E1101=$AB$50,$AF$50,E1101=$AB$51,$AF$51,E1101=$AB$52,$AF$52,E1101=$AB$53,$AF$53,E1101=$AB$54,$AF$54,E1101=$AB$55,$AF$55,E1101=$AB$56,$AF$56,E1101=$AB$57,$AF$57,E1101=$AB$58,$AF$58,E1101=$AB$59,$AF$59,E1101=$AB$60,$AF$60,E1101=$AB$61,$AF$61,E1101=$AB$62,$AF$62,E1101=$AB$63,$AF$63,E1101=$AB$64,$AF$64,E1101=$AB$65,$AF$65,E1101=$AB$66,$AF$66,TRUE,"0")</f>
        <v>15mins if  0-0, BACK over 1.5 goals X after goal OR LET RUN</v>
      </c>
      <c r="D1101" s="270" t="str" cm="1">
        <f t="array" ref="D1101">_xlfn.IFS(E1101=$AB$42,$AD$42,E1101=$AB$43,$AD$43,E1101=$AB$44,$AD$44,E1101=$AB$45,$AD$45,E1101=$AB$46,$AD$46,E1101=$AB$47,$AD$47,E1101=$AB$48,$AD$48,E1101=$AB$49,$AD$49,E1101=$AB$50,$AD$50,E1101=$AB$51,$AD$51,E1101=$AB$52,$AD$52,E1101=$AB$53,$AD$53,E1101=$AB$54,$AD$54,E1101=$AB$55,$AD$55,E1101=$AB$56,$AD$56,E1101=$AB$57,$AD$57,E1101=$AB$58,$AD$58,E1101=$AB$59,$AD$59,E1101=$AB$60,$AD$60,E1101=$AB$61,$AD$61,E1101=$AB$62,$AD$62,E1101=$AB$63,$AD$63,E1101=$AB$64,$AD$64,E1101=$AB$65,$AD$65,E1101=$AB$66,$AD$66,TRUE,"0")</f>
        <v>IP</v>
      </c>
      <c r="E1101" s="163" t="s">
        <v>473</v>
      </c>
      <c r="F1101" s="2" t="s">
        <v>586</v>
      </c>
      <c r="G1101" s="2" t="s">
        <v>62</v>
      </c>
      <c r="H1101" s="3">
        <v>45403.416666666664</v>
      </c>
      <c r="I1101" s="2" t="s">
        <v>759</v>
      </c>
      <c r="J1101" s="2" t="s">
        <v>760</v>
      </c>
      <c r="K1101" s="2">
        <v>64</v>
      </c>
      <c r="L1101" s="2">
        <v>80</v>
      </c>
      <c r="M1101" s="2">
        <v>20</v>
      </c>
      <c r="N1101" s="2">
        <v>2.5499999999999998</v>
      </c>
      <c r="O1101" s="2"/>
      <c r="P1101" s="2"/>
      <c r="Q1101" s="2" t="s">
        <v>95</v>
      </c>
      <c r="R1101" s="10" t="s">
        <v>214</v>
      </c>
      <c r="S1101" s="10" t="s">
        <v>220</v>
      </c>
      <c r="T1101" s="188">
        <v>1000</v>
      </c>
      <c r="U1101" s="8">
        <f t="shared" si="133"/>
        <v>180</v>
      </c>
      <c r="V1101" s="234">
        <f t="shared" ref="V1101:V1162" si="134">SUM(V1100,U1101)</f>
        <v>99704.155246160299</v>
      </c>
      <c r="W1101" s="15">
        <v>25</v>
      </c>
      <c r="X1101" s="8">
        <f t="shared" si="128"/>
        <v>4.5</v>
      </c>
      <c r="Y1101" s="233">
        <f t="shared" si="130"/>
        <v>4358.5</v>
      </c>
    </row>
    <row r="1102" spans="1:25">
      <c r="A1102" s="156" t="e" cm="1">
        <f t="array" aca="1" ref="A1102" ca="1">_xlfn.IFS(E1102=$AB$42,$AC$42,E1102=$AB$43,$AC$43,E1102=$AB$44,$AC$44,E1102=$AB$45,$AC$45,E1102=$AB$46,$AC$46,E1102=$AB$47,$AC$47,E1102=$AB$48,$AC$48,E1102=$AB$49,$AC$49,E1102=$AB$50,$AC$50,E1102=$AB$51,$AC$51,E1102=$AB$52,$AC$52,E1102=$AB$53,$AC$53,E1102=$AB$54,$AC$54,E1102=$AB$55,$AC$55,E1102=$AB$56,$AC$56,E1102=$AB$57,$AC$57,E1102=$AB$58,$AC$58,E1102=$AB$59,$AC$59,E1102=$AB$60,$AC$60,E1102=$AB$61,$AC$61,E1102=$AB$62,$AC$62,E1102=$AB$63,$AC$63,E1102=$AB$64,$AC$64,E1102=$AB$65,$AC$65,E1102=$AB$66,$AC$66,TRUE,"0")</f>
        <v>#NAME?</v>
      </c>
      <c r="C1102" s="161" t="str" cm="1">
        <f t="array" ref="C1102">_xlfn.IFS(E1102=$AB$42,$AF$42,E1102=$AB$43,$AF$43,E1102=$AB$44,$AF$44,E1102=$AB$45,$AF$45,E1102=$AB$46,$AF$46,E1102=$AB$47,$AF$47,E1102=$AB$48,$AF$48,E1102=$AB$49,$AF$49,E1102=$AB$50,$AF$50,E1102=$AB$51,$AF$51,E1102=$AB$52,$AF$52,E1102=$AB$53,$AF$53,E1102=$AB$54,$AF$54,E1102=$AB$55,$AF$55,E1102=$AB$56,$AF$56,E1102=$AB$57,$AF$57,E1102=$AB$58,$AF$58,E1102=$AB$59,$AF$59,E1102=$AB$60,$AF$60,E1102=$AB$61,$AF$61,E1102=$AB$62,$AF$62,E1102=$AB$63,$AF$63,E1102=$AB$64,$AF$64,E1102=$AB$65,$AF$65,E1102=$AB$66,$AF$66,TRUE,"0")</f>
        <v>40 mins Back ANother Goal</v>
      </c>
      <c r="D1102" s="270" t="str" cm="1">
        <f t="array" ref="D1102">_xlfn.IFS(E1102=$AB$42,$AD$42,E1102=$AB$43,$AD$43,E1102=$AB$44,$AD$44,E1102=$AB$45,$AD$45,E1102=$AB$46,$AD$46,E1102=$AB$47,$AD$47,E1102=$AB$48,$AD$48,E1102=$AB$49,$AD$49,E1102=$AB$50,$AD$50,E1102=$AB$51,$AD$51,E1102=$AB$52,$AD$52,E1102=$AB$53,$AD$53,E1102=$AB$54,$AD$54,E1102=$AB$55,$AD$55,E1102=$AB$56,$AD$56,E1102=$AB$57,$AD$57,E1102=$AB$58,$AD$58,E1102=$AB$59,$AD$59,E1102=$AB$60,$AD$60,E1102=$AB$61,$AD$61,E1102=$AB$62,$AD$62,E1102=$AB$63,$AD$63,E1102=$AB$64,$AD$64,E1102=$AB$65,$AD$65,E1102=$AB$66,$AD$66,TRUE,"0")</f>
        <v xml:space="preserve">  BANG</v>
      </c>
      <c r="E1102" s="163" t="s">
        <v>726</v>
      </c>
      <c r="F1102" s="2" t="s">
        <v>77</v>
      </c>
      <c r="G1102" s="2" t="s">
        <v>234</v>
      </c>
      <c r="H1102" s="3">
        <v>45403.520833333336</v>
      </c>
      <c r="I1102" s="2" t="s">
        <v>729</v>
      </c>
      <c r="J1102" s="2" t="s">
        <v>475</v>
      </c>
      <c r="K1102" s="2">
        <v>90</v>
      </c>
      <c r="L1102" s="2">
        <v>20</v>
      </c>
      <c r="M1102" s="2">
        <v>2.0499999999999998</v>
      </c>
      <c r="N1102" s="2">
        <v>59</v>
      </c>
      <c r="O1102" s="2"/>
      <c r="P1102" s="2"/>
      <c r="Q1102" s="2" t="s">
        <v>95</v>
      </c>
      <c r="R1102" s="10" t="s">
        <v>222</v>
      </c>
      <c r="S1102" s="10" t="s">
        <v>209</v>
      </c>
      <c r="T1102" s="188">
        <v>1000</v>
      </c>
      <c r="U1102" s="8">
        <f t="shared" si="133"/>
        <v>180</v>
      </c>
      <c r="V1102" s="234">
        <f t="shared" si="134"/>
        <v>99884.155246160299</v>
      </c>
      <c r="W1102" s="15">
        <v>25</v>
      </c>
      <c r="X1102" s="8">
        <f t="shared" si="128"/>
        <v>4.5</v>
      </c>
      <c r="Y1102" s="233">
        <f t="shared" si="130"/>
        <v>4363</v>
      </c>
    </row>
    <row r="1103" spans="1:25">
      <c r="A1103" s="156" t="e" cm="1">
        <f t="array" aca="1" ref="A1103" ca="1">_xlfn.IFS(E1103=$AB$42,$AC$42,E1103=$AB$43,$AC$43,E1103=$AB$44,$AC$44,E1103=$AB$45,$AC$45,E1103=$AB$46,$AC$46,E1103=$AB$47,$AC$47,E1103=$AB$48,$AC$48,E1103=$AB$49,$AC$49,E1103=$AB$50,$AC$50,E1103=$AB$51,$AC$51,E1103=$AB$52,$AC$52,E1103=$AB$53,$AC$53,E1103=$AB$54,$AC$54,E1103=$AB$55,$AC$55,E1103=$AB$56,$AC$56,E1103=$AB$57,$AC$57,E1103=$AB$58,$AC$58,E1103=$AB$59,$AC$59,E1103=$AB$60,$AC$60,E1103=$AB$61,$AC$61,E1103=$AB$62,$AC$62,E1103=$AB$63,$AC$63,E1103=$AB$64,$AC$64,E1103=$AB$65,$AC$65,E1103=$AB$66,$AC$66,TRUE,"0")</f>
        <v>#NAME?</v>
      </c>
      <c r="C1103" s="161" t="str" cm="1">
        <f t="array" ref="C1103">_xlfn.IFS(E1103=$AB$42,$AF$42,E1103=$AB$43,$AF$43,E1103=$AB$44,$AF$44,E1103=$AB$45,$AF$45,E1103=$AB$46,$AF$46,E1103=$AB$47,$AF$47,E1103=$AB$48,$AF$48,E1103=$AB$49,$AF$49,E1103=$AB$50,$AF$50,E1103=$AB$51,$AF$51,E1103=$AB$52,$AF$52,E1103=$AB$53,$AF$53,E1103=$AB$54,$AF$54,E1103=$AB$55,$AF$55,E1103=$AB$56,$AF$56,E1103=$AB$57,$AF$57,E1103=$AB$58,$AF$58,E1103=$AB$59,$AF$59,E1103=$AB$60,$AF$60,E1103=$AB$61,$AF$61,E1103=$AB$62,$AF$62,E1103=$AB$63,$AF$63,E1103=$AB$64,$AF$64,E1103=$AB$65,$AF$65,E1103=$AB$66,$AF$66,TRUE,"0")</f>
        <v>20mins if  0-0, BACK over 1.5 goals X after goal OR LET RUN</v>
      </c>
      <c r="D1103" s="270" t="str" cm="1">
        <f t="array" ref="D1103">_xlfn.IFS(E1103=$AB$42,$AD$42,E1103=$AB$43,$AD$43,E1103=$AB$44,$AD$44,E1103=$AB$45,$AD$45,E1103=$AB$46,$AD$46,E1103=$AB$47,$AD$47,E1103=$AB$48,$AD$48,E1103=$AB$49,$AD$49,E1103=$AB$50,$AD$50,E1103=$AB$51,$AD$51,E1103=$AB$52,$AD$52,E1103=$AB$53,$AD$53,E1103=$AB$54,$AD$54,E1103=$AB$55,$AD$55,E1103=$AB$56,$AD$56,E1103=$AB$57,$AD$57,E1103=$AB$58,$AD$58,E1103=$AB$59,$AD$59,E1103=$AB$60,$AD$60,E1103=$AB$61,$AD$61,E1103=$AB$62,$AD$62,E1103=$AB$63,$AD$63,E1103=$AB$64,$AD$64,E1103=$AB$65,$AD$65,E1103=$AB$66,$AD$66,TRUE,"0")</f>
        <v>IP</v>
      </c>
      <c r="E1103" s="163" t="s">
        <v>474</v>
      </c>
      <c r="F1103" s="2" t="s">
        <v>77</v>
      </c>
      <c r="G1103" s="2" t="s">
        <v>251</v>
      </c>
      <c r="H1103" s="3">
        <v>45403.520833333336</v>
      </c>
      <c r="I1103" s="2" t="s">
        <v>259</v>
      </c>
      <c r="J1103" s="2" t="s">
        <v>294</v>
      </c>
      <c r="K1103" s="2">
        <v>52</v>
      </c>
      <c r="L1103" s="2">
        <v>2.9</v>
      </c>
      <c r="M1103" s="2">
        <v>20</v>
      </c>
      <c r="N1103" s="2">
        <v>60</v>
      </c>
      <c r="O1103" s="2">
        <v>90</v>
      </c>
      <c r="P1103" s="2"/>
      <c r="Q1103" s="2" t="s">
        <v>95</v>
      </c>
      <c r="R1103" s="10" t="s">
        <v>193</v>
      </c>
      <c r="S1103" s="10" t="s">
        <v>217</v>
      </c>
      <c r="T1103" s="188">
        <v>1000</v>
      </c>
      <c r="U1103" s="8">
        <f t="shared" si="133"/>
        <v>180</v>
      </c>
      <c r="V1103" s="234">
        <f t="shared" si="134"/>
        <v>100064.1552461603</v>
      </c>
      <c r="W1103" s="15">
        <v>25</v>
      </c>
      <c r="X1103" s="8">
        <f t="shared" si="128"/>
        <v>4.5</v>
      </c>
      <c r="Y1103" s="233">
        <f t="shared" si="130"/>
        <v>4367.5</v>
      </c>
    </row>
    <row r="1104" spans="1:25">
      <c r="A1104" s="156" t="e" cm="1">
        <f t="array" aca="1" ref="A1104" ca="1">_xlfn.IFS(E1104=$AB$42,$AC$42,E1104=$AB$43,$AC$43,E1104=$AB$44,$AC$44,E1104=$AB$45,$AC$45,E1104=$AB$46,$AC$46,E1104=$AB$47,$AC$47,E1104=$AB$48,$AC$48,E1104=$AB$49,$AC$49,E1104=$AB$50,$AC$50,E1104=$AB$51,$AC$51,E1104=$AB$52,$AC$52,E1104=$AB$53,$AC$53,E1104=$AB$54,$AC$54,E1104=$AB$55,$AC$55,E1104=$AB$56,$AC$56,E1104=$AB$57,$AC$57,E1104=$AB$58,$AC$58,E1104=$AB$59,$AC$59,E1104=$AB$60,$AC$60,E1104=$AB$61,$AC$61,E1104=$AB$62,$AC$62,E1104=$AB$63,$AC$63,E1104=$AB$64,$AC$64,E1104=$AB$65,$AC$65,E1104=$AB$66,$AC$66,TRUE,"0")</f>
        <v>#NAME?</v>
      </c>
      <c r="C1104" s="161" t="str" cm="1">
        <f t="array" ref="C1104">_xlfn.IFS(E1104=$AB$42,$AF$42,E1104=$AB$43,$AF$43,E1104=$AB$44,$AF$44,E1104=$AB$45,$AF$45,E1104=$AB$46,$AF$46,E1104=$AB$47,$AF$47,E1104=$AB$48,$AF$48,E1104=$AB$49,$AF$49,E1104=$AB$50,$AF$50,E1104=$AB$51,$AF$51,E1104=$AB$52,$AF$52,E1104=$AB$53,$AF$53,E1104=$AB$54,$AF$54,E1104=$AB$55,$AF$55,E1104=$AB$56,$AF$56,E1104=$AB$57,$AF$57,E1104=$AB$58,$AF$58,E1104=$AB$59,$AF$59,E1104=$AB$60,$AF$60,E1104=$AB$61,$AF$61,E1104=$AB$62,$AF$62,E1104=$AB$63,$AF$63,E1104=$AB$64,$AF$64,E1104=$AB$65,$AF$65,E1104=$AB$66,$AF$66,TRUE,"0")</f>
        <v>40 mins Back ANother Goal</v>
      </c>
      <c r="D1104" s="270" t="str" cm="1">
        <f t="array" ref="D1104">_xlfn.IFS(E1104=$AB$42,$AD$42,E1104=$AB$43,$AD$43,E1104=$AB$44,$AD$44,E1104=$AB$45,$AD$45,E1104=$AB$46,$AD$46,E1104=$AB$47,$AD$47,E1104=$AB$48,$AD$48,E1104=$AB$49,$AD$49,E1104=$AB$50,$AD$50,E1104=$AB$51,$AD$51,E1104=$AB$52,$AD$52,E1104=$AB$53,$AD$53,E1104=$AB$54,$AD$54,E1104=$AB$55,$AD$55,E1104=$AB$56,$AD$56,E1104=$AB$57,$AD$57,E1104=$AB$58,$AD$58,E1104=$AB$59,$AD$59,E1104=$AB$60,$AD$60,E1104=$AB$61,$AD$61,E1104=$AB$62,$AD$62,E1104=$AB$63,$AD$63,E1104=$AB$64,$AD$64,E1104=$AB$65,$AD$65,E1104=$AB$66,$AD$66,TRUE,"0")</f>
        <v xml:space="preserve">  BANG</v>
      </c>
      <c r="E1104" s="163" t="s">
        <v>726</v>
      </c>
      <c r="F1104" s="2" t="s">
        <v>89</v>
      </c>
      <c r="G1104" s="2" t="s">
        <v>90</v>
      </c>
      <c r="H1104" s="3">
        <v>45403.59375</v>
      </c>
      <c r="I1104" s="2" t="s">
        <v>92</v>
      </c>
      <c r="J1104" s="2" t="s">
        <v>711</v>
      </c>
      <c r="K1104" s="2">
        <v>80</v>
      </c>
      <c r="L1104" s="2">
        <v>20</v>
      </c>
      <c r="M1104" s="2">
        <v>1.95</v>
      </c>
      <c r="N1104" s="2">
        <v>62</v>
      </c>
      <c r="O1104" s="2"/>
      <c r="P1104" s="2"/>
      <c r="Q1104" s="2" t="s">
        <v>95</v>
      </c>
      <c r="R1104" s="10" t="s">
        <v>216</v>
      </c>
      <c r="S1104" s="10" t="s">
        <v>210</v>
      </c>
      <c r="T1104" s="188">
        <v>1000</v>
      </c>
      <c r="U1104" s="8">
        <f t="shared" si="133"/>
        <v>180</v>
      </c>
      <c r="V1104" s="234">
        <f t="shared" si="134"/>
        <v>100244.1552461603</v>
      </c>
      <c r="W1104" s="15">
        <v>25</v>
      </c>
      <c r="X1104" s="8">
        <f t="shared" si="128"/>
        <v>4.5</v>
      </c>
      <c r="Y1104" s="233">
        <f t="shared" si="130"/>
        <v>4372</v>
      </c>
    </row>
    <row r="1105" spans="1:25">
      <c r="A1105" s="156" t="e" cm="1">
        <f t="array" aca="1" ref="A1105" ca="1">_xlfn.IFS(E1105=$AB$42,$AC$42,E1105=$AB$43,$AC$43,E1105=$AB$44,$AC$44,E1105=$AB$45,$AC$45,E1105=$AB$46,$AC$46,E1105=$AB$47,$AC$47,E1105=$AB$48,$AC$48,E1105=$AB$49,$AC$49,E1105=$AB$50,$AC$50,E1105=$AB$51,$AC$51,E1105=$AB$52,$AC$52,E1105=$AB$53,$AC$53,E1105=$AB$54,$AC$54,E1105=$AB$55,$AC$55,E1105=$AB$56,$AC$56,E1105=$AB$57,$AC$57,E1105=$AB$58,$AC$58,E1105=$AB$59,$AC$59,E1105=$AB$60,$AC$60,E1105=$AB$61,$AC$61,E1105=$AB$62,$AC$62,E1105=$AB$63,$AC$63,E1105=$AB$64,$AC$64,E1105=$AB$65,$AC$65,E1105=$AB$66,$AC$66,TRUE,"0")</f>
        <v>#NAME?</v>
      </c>
      <c r="C1105" s="161" t="str" cm="1">
        <f t="array" ref="C1105">_xlfn.IFS(E1105=$AB$42,$AF$42,E1105=$AB$43,$AF$43,E1105=$AB$44,$AF$44,E1105=$AB$45,$AF$45,E1105=$AB$46,$AF$46,E1105=$AB$47,$AF$47,E1105=$AB$48,$AF$48,E1105=$AB$49,$AF$49,E1105=$AB$50,$AF$50,E1105=$AB$51,$AF$51,E1105=$AB$52,$AF$52,E1105=$AB$53,$AF$53,E1105=$AB$54,$AF$54,E1105=$AB$55,$AF$55,E1105=$AB$56,$AF$56,E1105=$AB$57,$AF$57,E1105=$AB$58,$AF$58,E1105=$AB$59,$AF$59,E1105=$AB$60,$AF$60,E1105=$AB$61,$AF$61,E1105=$AB$62,$AF$62,E1105=$AB$63,$AF$63,E1105=$AB$64,$AF$64,E1105=$AB$65,$AF$65,E1105=$AB$66,$AF$66,TRUE,"0")</f>
        <v>40 mins Back ANother Goal</v>
      </c>
      <c r="D1105" s="270" t="str" cm="1">
        <f t="array" ref="D1105">_xlfn.IFS(E1105=$AB$42,$AD$42,E1105=$AB$43,$AD$43,E1105=$AB$44,$AD$44,E1105=$AB$45,$AD$45,E1105=$AB$46,$AD$46,E1105=$AB$47,$AD$47,E1105=$AB$48,$AD$48,E1105=$AB$49,$AD$49,E1105=$AB$50,$AD$50,E1105=$AB$51,$AD$51,E1105=$AB$52,$AD$52,E1105=$AB$53,$AD$53,E1105=$AB$54,$AD$54,E1105=$AB$55,$AD$55,E1105=$AB$56,$AD$56,E1105=$AB$57,$AD$57,E1105=$AB$58,$AD$58,E1105=$AB$59,$AD$59,E1105=$AB$60,$AD$60,E1105=$AB$61,$AD$61,E1105=$AB$62,$AD$62,E1105=$AB$63,$AD$63,E1105=$AB$64,$AD$64,E1105=$AB$65,$AD$65,E1105=$AB$66,$AD$66,TRUE,"0")</f>
        <v xml:space="preserve">  BANG</v>
      </c>
      <c r="E1105" s="163" t="s">
        <v>726</v>
      </c>
      <c r="F1105" s="2" t="s">
        <v>89</v>
      </c>
      <c r="G1105" s="2" t="s">
        <v>90</v>
      </c>
      <c r="H1105" s="3">
        <v>45403.59375</v>
      </c>
      <c r="I1105" s="2" t="s">
        <v>483</v>
      </c>
      <c r="J1105" s="2" t="s">
        <v>478</v>
      </c>
      <c r="K1105" s="2">
        <v>85</v>
      </c>
      <c r="L1105" s="2">
        <v>20</v>
      </c>
      <c r="M1105" s="2">
        <v>2</v>
      </c>
      <c r="N1105" s="2">
        <v>59</v>
      </c>
      <c r="O1105" s="2"/>
      <c r="P1105" s="2"/>
      <c r="Q1105" s="2" t="s">
        <v>95</v>
      </c>
      <c r="R1105" s="10" t="s">
        <v>217</v>
      </c>
      <c r="S1105" s="10" t="s">
        <v>211</v>
      </c>
      <c r="T1105" s="188">
        <v>1000</v>
      </c>
      <c r="U1105" s="8">
        <f t="shared" si="133"/>
        <v>180</v>
      </c>
      <c r="V1105" s="234">
        <f t="shared" si="134"/>
        <v>100424.1552461603</v>
      </c>
      <c r="W1105" s="15">
        <v>25</v>
      </c>
      <c r="X1105" s="8">
        <f t="shared" si="128"/>
        <v>4.5</v>
      </c>
      <c r="Y1105" s="233">
        <f t="shared" si="130"/>
        <v>4376.5</v>
      </c>
    </row>
    <row r="1106" spans="1:25">
      <c r="A1106" s="156" t="e" cm="1">
        <f t="array" aca="1" ref="A1106" ca="1">_xlfn.IFS(E1106=$AB$42,$AC$42,E1106=$AB$43,$AC$43,E1106=$AB$44,$AC$44,E1106=$AB$45,$AC$45,E1106=$AB$46,$AC$46,E1106=$AB$47,$AC$47,E1106=$AB$48,$AC$48,E1106=$AB$49,$AC$49,E1106=$AB$50,$AC$50,E1106=$AB$51,$AC$51,E1106=$AB$52,$AC$52,E1106=$AB$53,$AC$53,E1106=$AB$54,$AC$54,E1106=$AB$55,$AC$55,E1106=$AB$56,$AC$56,E1106=$AB$57,$AC$57,E1106=$AB$58,$AC$58,E1106=$AB$59,$AC$59,E1106=$AB$60,$AC$60,E1106=$AB$61,$AC$61,E1106=$AB$62,$AC$62,E1106=$AB$63,$AC$63,E1106=$AB$64,$AC$64,E1106=$AB$65,$AC$65,E1106=$AB$66,$AC$66,TRUE,"0")</f>
        <v>#NAME?</v>
      </c>
      <c r="C1106" s="161" t="str" cm="1">
        <f t="array" ref="C1106">_xlfn.IFS(E1106=$AB$42,$AF$42,E1106=$AB$43,$AF$43,E1106=$AB$44,$AF$44,E1106=$AB$45,$AF$45,E1106=$AB$46,$AF$46,E1106=$AB$47,$AF$47,E1106=$AB$48,$AF$48,E1106=$AB$49,$AF$49,E1106=$AB$50,$AF$50,E1106=$AB$51,$AF$51,E1106=$AB$52,$AF$52,E1106=$AB$53,$AF$53,E1106=$AB$54,$AF$54,E1106=$AB$55,$AF$55,E1106=$AB$56,$AF$56,E1106=$AB$57,$AF$57,E1106=$AB$58,$AF$58,E1106=$AB$59,$AF$59,E1106=$AB$60,$AF$60,E1106=$AB$61,$AF$61,E1106=$AB$62,$AF$62,E1106=$AB$63,$AF$63,E1106=$AB$64,$AF$64,E1106=$AB$65,$AF$65,E1106=$AB$66,$AF$66,TRUE,"0")</f>
        <v>40 mins Back ANother Goal</v>
      </c>
      <c r="D1106" s="270" t="str" cm="1">
        <f t="array" ref="D1106">_xlfn.IFS(E1106=$AB$42,$AD$42,E1106=$AB$43,$AD$43,E1106=$AB$44,$AD$44,E1106=$AB$45,$AD$45,E1106=$AB$46,$AD$46,E1106=$AB$47,$AD$47,E1106=$AB$48,$AD$48,E1106=$AB$49,$AD$49,E1106=$AB$50,$AD$50,E1106=$AB$51,$AD$51,E1106=$AB$52,$AD$52,E1106=$AB$53,$AD$53,E1106=$AB$54,$AD$54,E1106=$AB$55,$AD$55,E1106=$AB$56,$AD$56,E1106=$AB$57,$AD$57,E1106=$AB$58,$AD$58,E1106=$AB$59,$AD$59,E1106=$AB$60,$AD$60,E1106=$AB$61,$AD$61,E1106=$AB$62,$AD$62,E1106=$AB$63,$AD$63,E1106=$AB$64,$AD$64,E1106=$AB$65,$AD$65,E1106=$AB$66,$AD$66,TRUE,"0")</f>
        <v xml:space="preserve">  BANG</v>
      </c>
      <c r="E1106" s="163" t="s">
        <v>726</v>
      </c>
      <c r="F1106" s="2" t="s">
        <v>89</v>
      </c>
      <c r="G1106" s="2" t="s">
        <v>90</v>
      </c>
      <c r="H1106" s="3">
        <v>45403.59375</v>
      </c>
      <c r="I1106" s="2" t="s">
        <v>713</v>
      </c>
      <c r="J1106" s="2" t="s">
        <v>714</v>
      </c>
      <c r="K1106" s="2">
        <v>80</v>
      </c>
      <c r="L1106" s="2">
        <v>20</v>
      </c>
      <c r="M1106" s="2">
        <v>2.15</v>
      </c>
      <c r="N1106" s="2">
        <v>58</v>
      </c>
      <c r="O1106" s="2"/>
      <c r="P1106" s="2"/>
      <c r="Q1106" s="2" t="s">
        <v>95</v>
      </c>
      <c r="R1106" s="10" t="s">
        <v>221</v>
      </c>
      <c r="S1106" s="10" t="s">
        <v>214</v>
      </c>
      <c r="T1106" s="188">
        <v>1000</v>
      </c>
      <c r="U1106" s="8">
        <f t="shared" si="133"/>
        <v>180</v>
      </c>
      <c r="V1106" s="234">
        <f t="shared" si="134"/>
        <v>100604.1552461603</v>
      </c>
      <c r="W1106" s="15">
        <v>25</v>
      </c>
      <c r="X1106" s="8">
        <f t="shared" si="128"/>
        <v>4.5</v>
      </c>
      <c r="Y1106" s="233">
        <f t="shared" si="130"/>
        <v>4381</v>
      </c>
    </row>
    <row r="1107" spans="1:25">
      <c r="A1107" s="156" t="e" cm="1">
        <f t="array" aca="1" ref="A1107" ca="1">_xlfn.IFS(E1107=$AB$42,$AC$42,E1107=$AB$43,$AC$43,E1107=$AB$44,$AC$44,E1107=$AB$45,$AC$45,E1107=$AB$46,$AC$46,E1107=$AB$47,$AC$47,E1107=$AB$48,$AC$48,E1107=$AB$49,$AC$49,E1107=$AB$50,$AC$50,E1107=$AB$51,$AC$51,E1107=$AB$52,$AC$52,E1107=$AB$53,$AC$53,E1107=$AB$54,$AC$54,E1107=$AB$55,$AC$55,E1107=$AB$56,$AC$56,E1107=$AB$57,$AC$57,E1107=$AB$58,$AC$58,E1107=$AB$59,$AC$59,E1107=$AB$60,$AC$60,E1107=$AB$61,$AC$61,E1107=$AB$62,$AC$62,E1107=$AB$63,$AC$63,E1107=$AB$64,$AC$64,E1107=$AB$65,$AC$65,E1107=$AB$66,$AC$66,TRUE,"0")</f>
        <v>#NAME?</v>
      </c>
      <c r="C1107" s="161" t="str" cm="1">
        <f t="array" ref="C1107">_xlfn.IFS(E1107=$AB$42,$AF$42,E1107=$AB$43,$AF$43,E1107=$AB$44,$AF$44,E1107=$AB$45,$AF$45,E1107=$AB$46,$AF$46,E1107=$AB$47,$AF$47,E1107=$AB$48,$AF$48,E1107=$AB$49,$AF$49,E1107=$AB$50,$AF$50,E1107=$AB$51,$AF$51,E1107=$AB$52,$AF$52,E1107=$AB$53,$AF$53,E1107=$AB$54,$AF$54,E1107=$AB$55,$AF$55,E1107=$AB$56,$AF$56,E1107=$AB$57,$AF$57,E1107=$AB$58,$AF$58,E1107=$AB$59,$AF$59,E1107=$AB$60,$AF$60,E1107=$AB$61,$AF$61,E1107=$AB$62,$AF$62,E1107=$AB$63,$AF$63,E1107=$AB$64,$AF$64,E1107=$AB$65,$AF$65,E1107=$AB$66,$AF$66,TRUE,"0")</f>
        <v>B4 MATCH bet H1 'under 2.5goals'- X at 40 minutes</v>
      </c>
      <c r="D1107" s="270" t="str" cm="1">
        <f t="array" ref="D1107">_xlfn.IFS(E1107=$AB$42,$AD$42,E1107=$AB$43,$AD$43,E1107=$AB$44,$AD$44,E1107=$AB$45,$AD$45,E1107=$AB$46,$AD$46,E1107=$AB$47,$AD$47,E1107=$AB$48,$AD$48,E1107=$AB$49,$AD$49,E1107=$AB$50,$AD$50,E1107=$AB$51,$AD$51,E1107=$AB$52,$AD$52,E1107=$AB$53,$AD$53,E1107=$AB$54,$AD$54,E1107=$AB$55,$AD$55,E1107=$AB$56,$AD$56,E1107=$AB$57,$AD$57,E1107=$AB$58,$AD$58,E1107=$AB$59,$AD$59,E1107=$AB$60,$AD$60,E1107=$AB$61,$AD$61,E1107=$AB$62,$AD$62,E1107=$AB$63,$AD$63,E1107=$AB$64,$AD$64,E1107=$AB$65,$AD$65,E1107=$AB$66,$AD$66,TRUE,"0")</f>
        <v xml:space="preserve">BFM </v>
      </c>
      <c r="E1107" s="168" t="s">
        <v>458</v>
      </c>
      <c r="F1107" s="2" t="s">
        <v>89</v>
      </c>
      <c r="G1107" s="2" t="s">
        <v>90</v>
      </c>
      <c r="H1107" s="3">
        <v>45403.59375</v>
      </c>
      <c r="I1107" s="2" t="s">
        <v>769</v>
      </c>
      <c r="J1107" s="2" t="s">
        <v>712</v>
      </c>
      <c r="K1107" s="2">
        <v>20</v>
      </c>
      <c r="L1107" s="2">
        <v>80</v>
      </c>
      <c r="M1107" s="2">
        <v>95</v>
      </c>
      <c r="N1107" s="2">
        <v>39</v>
      </c>
      <c r="O1107" s="2">
        <v>2.0499999999999998</v>
      </c>
      <c r="P1107" s="2"/>
      <c r="Q1107" s="2" t="s">
        <v>95</v>
      </c>
      <c r="R1107" s="10" t="s">
        <v>214</v>
      </c>
      <c r="S1107" s="10" t="s">
        <v>214</v>
      </c>
      <c r="T1107" s="188">
        <v>1000</v>
      </c>
      <c r="U1107" s="8">
        <f t="shared" si="133"/>
        <v>180</v>
      </c>
      <c r="V1107" s="234">
        <f t="shared" si="134"/>
        <v>100784.1552461603</v>
      </c>
      <c r="W1107" s="15">
        <v>25</v>
      </c>
      <c r="X1107" s="8">
        <f t="shared" si="128"/>
        <v>4.5</v>
      </c>
      <c r="Y1107" s="233">
        <f t="shared" si="130"/>
        <v>4385.5</v>
      </c>
    </row>
    <row r="1108" spans="1:25">
      <c r="A1108" s="156" t="e" cm="1">
        <f t="array" aca="1" ref="A1108" ca="1">_xlfn.IFS(E1108=$AB$42,$AC$42,E1108=$AB$43,$AC$43,E1108=$AB$44,$AC$44,E1108=$AB$45,$AC$45,E1108=$AB$46,$AC$46,E1108=$AB$47,$AC$47,E1108=$AB$48,$AC$48,E1108=$AB$49,$AC$49,E1108=$AB$50,$AC$50,E1108=$AB$51,$AC$51,E1108=$AB$52,$AC$52,E1108=$AB$53,$AC$53,E1108=$AB$54,$AC$54,E1108=$AB$55,$AC$55,E1108=$AB$56,$AC$56,E1108=$AB$57,$AC$57,E1108=$AB$58,$AC$58,E1108=$AB$59,$AC$59,E1108=$AB$60,$AC$60,E1108=$AB$61,$AC$61,E1108=$AB$62,$AC$62,E1108=$AB$63,$AC$63,E1108=$AB$64,$AC$64,E1108=$AB$65,$AC$65,E1108=$AB$66,$AC$66,TRUE,"0")</f>
        <v>#NAME?</v>
      </c>
      <c r="C1108" s="161" t="str" cm="1">
        <f t="array" ref="C1108">_xlfn.IFS(E1108=$AB$42,$AF$42,E1108=$AB$43,$AF$43,E1108=$AB$44,$AF$44,E1108=$AB$45,$AF$45,E1108=$AB$46,$AF$46,E1108=$AB$47,$AF$47,E1108=$AB$48,$AF$48,E1108=$AB$49,$AF$49,E1108=$AB$50,$AF$50,E1108=$AB$51,$AF$51,E1108=$AB$52,$AF$52,E1108=$AB$53,$AF$53,E1108=$AB$54,$AF$54,E1108=$AB$55,$AF$55,E1108=$AB$56,$AF$56,E1108=$AB$57,$AF$57,E1108=$AB$58,$AF$58,E1108=$AB$59,$AF$59,E1108=$AB$60,$AF$60,E1108=$AB$61,$AF$61,E1108=$AB$62,$AF$62,E1108=$AB$63,$AF$63,E1108=$AB$64,$AF$64,E1108=$AB$65,$AF$65,E1108=$AB$66,$AF$66,TRUE,"0")</f>
        <v>20mins if  0-0, BACK over 1.5 goals X after goal OR LET RUN</v>
      </c>
      <c r="D1108" s="270" t="str" cm="1">
        <f t="array" ref="D1108">_xlfn.IFS(E1108=$AB$42,$AD$42,E1108=$AB$43,$AD$43,E1108=$AB$44,$AD$44,E1108=$AB$45,$AD$45,E1108=$AB$46,$AD$46,E1108=$AB$47,$AD$47,E1108=$AB$48,$AD$48,E1108=$AB$49,$AD$49,E1108=$AB$50,$AD$50,E1108=$AB$51,$AD$51,E1108=$AB$52,$AD$52,E1108=$AB$53,$AD$53,E1108=$AB$54,$AD$54,E1108=$AB$55,$AD$55,E1108=$AB$56,$AD$56,E1108=$AB$57,$AD$57,E1108=$AB$58,$AD$58,E1108=$AB$59,$AD$59,E1108=$AB$60,$AD$60,E1108=$AB$61,$AD$61,E1108=$AB$62,$AD$62,E1108=$AB$63,$AD$63,E1108=$AB$64,$AD$64,E1108=$AB$65,$AD$65,E1108=$AB$66,$AD$66,TRUE,"0")</f>
        <v>IP</v>
      </c>
      <c r="E1108" s="163" t="s">
        <v>474</v>
      </c>
      <c r="F1108" s="2" t="s">
        <v>89</v>
      </c>
      <c r="G1108" s="2" t="s">
        <v>90</v>
      </c>
      <c r="H1108" s="3">
        <v>45403.59375</v>
      </c>
      <c r="I1108" s="2" t="s">
        <v>91</v>
      </c>
      <c r="J1108" s="2" t="s">
        <v>679</v>
      </c>
      <c r="K1108" s="2">
        <v>50</v>
      </c>
      <c r="L1108" s="2">
        <v>3.85</v>
      </c>
      <c r="M1108" s="2">
        <v>20</v>
      </c>
      <c r="N1108" s="2">
        <v>80</v>
      </c>
      <c r="O1108" s="2">
        <v>90</v>
      </c>
      <c r="P1108" s="2"/>
      <c r="Q1108" s="2" t="s">
        <v>95</v>
      </c>
      <c r="R1108" s="10" t="s">
        <v>221</v>
      </c>
      <c r="S1108" s="10" t="s">
        <v>220</v>
      </c>
      <c r="T1108" s="188">
        <v>1000</v>
      </c>
      <c r="U1108" s="8">
        <f t="shared" si="133"/>
        <v>180</v>
      </c>
      <c r="V1108" s="234">
        <f t="shared" si="134"/>
        <v>100964.1552461603</v>
      </c>
      <c r="W1108" s="15">
        <v>25</v>
      </c>
      <c r="X1108" s="8">
        <f t="shared" si="128"/>
        <v>4.5</v>
      </c>
      <c r="Y1108" s="233">
        <f t="shared" si="130"/>
        <v>4390</v>
      </c>
    </row>
    <row r="1109" spans="1:25">
      <c r="A1109" s="156" t="e" cm="1">
        <f t="array" aca="1" ref="A1109" ca="1">_xlfn.IFS(E1109=$AB$42,$AC$42,E1109=$AB$43,$AC$43,E1109=$AB$44,$AC$44,E1109=$AB$45,$AC$45,E1109=$AB$46,$AC$46,E1109=$AB$47,$AC$47,E1109=$AB$48,$AC$48,E1109=$AB$49,$AC$49,E1109=$AB$50,$AC$50,E1109=$AB$51,$AC$51,E1109=$AB$52,$AC$52,E1109=$AB$53,$AC$53,E1109=$AB$54,$AC$54,E1109=$AB$55,$AC$55,E1109=$AB$56,$AC$56,E1109=$AB$57,$AC$57,E1109=$AB$58,$AC$58,E1109=$AB$59,$AC$59,E1109=$AB$60,$AC$60,E1109=$AB$61,$AC$61,E1109=$AB$62,$AC$62,E1109=$AB$63,$AC$63,E1109=$AB$64,$AC$64,E1109=$AB$65,$AC$65,E1109=$AB$66,$AC$66,TRUE,"0")</f>
        <v>#NAME?</v>
      </c>
      <c r="C1109" s="161" t="str" cm="1">
        <f t="array" ref="C1109">_xlfn.IFS(E1109=$AB$42,$AF$42,E1109=$AB$43,$AF$43,E1109=$AB$44,$AF$44,E1109=$AB$45,$AF$45,E1109=$AB$46,$AF$46,E1109=$AB$47,$AF$47,E1109=$AB$48,$AF$48,E1109=$AB$49,$AF$49,E1109=$AB$50,$AF$50,E1109=$AB$51,$AF$51,E1109=$AB$52,$AF$52,E1109=$AB$53,$AF$53,E1109=$AB$54,$AF$54,E1109=$AB$55,$AF$55,E1109=$AB$56,$AF$56,E1109=$AB$57,$AF$57,E1109=$AB$58,$AF$58,E1109=$AB$59,$AF$59,E1109=$AB$60,$AF$60,E1109=$AB$61,$AF$61,E1109=$AB$62,$AF$62,E1109=$AB$63,$AF$63,E1109=$AB$64,$AF$64,E1109=$AB$65,$AF$65,E1109=$AB$66,$AF$66,TRUE,"0")</f>
        <v>B4 match BACK FT +1.5 goals. X AFTER  GOAL</v>
      </c>
      <c r="D1109" s="270" t="str" cm="1">
        <f t="array" ref="D1109">_xlfn.IFS(E1109=$AB$42,$AD$42,E1109=$AB$43,$AD$43,E1109=$AB$44,$AD$44,E1109=$AB$45,$AD$45,E1109=$AB$46,$AD$46,E1109=$AB$47,$AD$47,E1109=$AB$48,$AD$48,E1109=$AB$49,$AD$49,E1109=$AB$50,$AD$50,E1109=$AB$51,$AD$51,E1109=$AB$52,$AD$52,E1109=$AB$53,$AD$53,E1109=$AB$54,$AD$54,E1109=$AB$55,$AD$55,E1109=$AB$56,$AD$56,E1109=$AB$57,$AD$57,E1109=$AB$58,$AD$58,E1109=$AB$59,$AD$59,E1109=$AB$60,$AD$60,E1109=$AB$61,$AD$61,E1109=$AB$62,$AD$62,E1109=$AB$63,$AD$63,E1109=$AB$64,$AD$64,E1109=$AB$65,$AD$65,E1109=$AB$66,$AD$66,TRUE,"0")</f>
        <v xml:space="preserve">BFM </v>
      </c>
      <c r="E1109" s="163" t="s">
        <v>531</v>
      </c>
      <c r="F1109" s="2" t="s">
        <v>77</v>
      </c>
      <c r="G1109" s="2" t="s">
        <v>156</v>
      </c>
      <c r="H1109" s="3">
        <v>45403.604166666664</v>
      </c>
      <c r="I1109" s="2" t="s">
        <v>254</v>
      </c>
      <c r="J1109" s="2" t="s">
        <v>168</v>
      </c>
      <c r="K1109" s="2">
        <v>6.2</v>
      </c>
      <c r="L1109" s="2">
        <v>28</v>
      </c>
      <c r="M1109" s="2">
        <v>3.11</v>
      </c>
      <c r="N1109" s="2">
        <v>26</v>
      </c>
      <c r="O1109" s="2">
        <v>1</v>
      </c>
      <c r="P1109" s="2">
        <v>14</v>
      </c>
      <c r="Q1109" s="2" t="s">
        <v>95</v>
      </c>
      <c r="R1109" s="10" t="s">
        <v>214</v>
      </c>
      <c r="S1109" s="10" t="s">
        <v>222</v>
      </c>
      <c r="T1109" s="188">
        <v>1000</v>
      </c>
      <c r="U1109" s="8">
        <f t="shared" si="133"/>
        <v>180</v>
      </c>
      <c r="V1109" s="234">
        <f t="shared" si="134"/>
        <v>101144.1552461603</v>
      </c>
      <c r="W1109" s="15">
        <v>25</v>
      </c>
      <c r="X1109" s="8">
        <f t="shared" si="128"/>
        <v>4.5</v>
      </c>
      <c r="Y1109" s="233">
        <f t="shared" si="130"/>
        <v>4394.5</v>
      </c>
    </row>
    <row r="1110" spans="1:25">
      <c r="A1110" s="156" t="e" cm="1">
        <f t="array" aca="1" ref="A1110" ca="1">_xlfn.IFS(E1110=$AB$42,$AC$42,E1110=$AB$43,$AC$43,E1110=$AB$44,$AC$44,E1110=$AB$45,$AC$45,E1110=$AB$46,$AC$46,E1110=$AB$47,$AC$47,E1110=$AB$48,$AC$48,E1110=$AB$49,$AC$49,E1110=$AB$50,$AC$50,E1110=$AB$51,$AC$51,E1110=$AB$52,$AC$52,E1110=$AB$53,$AC$53,E1110=$AB$54,$AC$54,E1110=$AB$55,$AC$55,E1110=$AB$56,$AC$56,E1110=$AB$57,$AC$57,E1110=$AB$58,$AC$58,E1110=$AB$59,$AC$59,E1110=$AB$60,$AC$60,E1110=$AB$61,$AC$61,E1110=$AB$62,$AC$62,E1110=$AB$63,$AC$63,E1110=$AB$64,$AC$64,E1110=$AB$65,$AC$65,E1110=$AB$66,$AC$66,TRUE,"0")</f>
        <v>#NAME?</v>
      </c>
      <c r="C1110" s="161" t="str" cm="1">
        <f t="array" ref="C1110">_xlfn.IFS(E1110=$AB$42,$AF$42,E1110=$AB$43,$AF$43,E1110=$AB$44,$AF$44,E1110=$AB$45,$AF$45,E1110=$AB$46,$AF$46,E1110=$AB$47,$AF$47,E1110=$AB$48,$AF$48,E1110=$AB$49,$AF$49,E1110=$AB$50,$AF$50,E1110=$AB$51,$AF$51,E1110=$AB$52,$AF$52,E1110=$AB$53,$AF$53,E1110=$AB$54,$AF$54,E1110=$AB$55,$AF$55,E1110=$AB$56,$AF$56,E1110=$AB$57,$AF$57,E1110=$AB$58,$AF$58,E1110=$AB$59,$AF$59,E1110=$AB$60,$AF$60,E1110=$AB$61,$AF$61,E1110=$AB$62,$AF$62,E1110=$AB$63,$AF$63,E1110=$AB$64,$AF$64,E1110=$AB$65,$AF$65,E1110=$AB$66,$AF$66,TRUE,"0")</f>
        <v>40 mins Back ANother Goal</v>
      </c>
      <c r="D1110" s="270" t="str" cm="1">
        <f t="array" ref="D1110">_xlfn.IFS(E1110=$AB$42,$AD$42,E1110=$AB$43,$AD$43,E1110=$AB$44,$AD$44,E1110=$AB$45,$AD$45,E1110=$AB$46,$AD$46,E1110=$AB$47,$AD$47,E1110=$AB$48,$AD$48,E1110=$AB$49,$AD$49,E1110=$AB$50,$AD$50,E1110=$AB$51,$AD$51,E1110=$AB$52,$AD$52,E1110=$AB$53,$AD$53,E1110=$AB$54,$AD$54,E1110=$AB$55,$AD$55,E1110=$AB$56,$AD$56,E1110=$AB$57,$AD$57,E1110=$AB$58,$AD$58,E1110=$AB$59,$AD$59,E1110=$AB$60,$AD$60,E1110=$AB$61,$AD$61,E1110=$AB$62,$AD$62,E1110=$AB$63,$AD$63,E1110=$AB$64,$AD$64,E1110=$AB$65,$AD$65,E1110=$AB$66,$AD$66,TRUE,"0")</f>
        <v xml:space="preserve">  BANG</v>
      </c>
      <c r="E1110" s="163" t="s">
        <v>726</v>
      </c>
      <c r="F1110" s="2" t="s">
        <v>6</v>
      </c>
      <c r="G1110" s="2" t="s">
        <v>62</v>
      </c>
      <c r="H1110" s="3">
        <v>45403.625</v>
      </c>
      <c r="I1110" s="2" t="s">
        <v>102</v>
      </c>
      <c r="J1110" s="2" t="s">
        <v>117</v>
      </c>
      <c r="K1110" s="2">
        <v>95</v>
      </c>
      <c r="L1110" s="2">
        <v>20</v>
      </c>
      <c r="M1110" s="2">
        <v>2.25</v>
      </c>
      <c r="N1110" s="2">
        <v>63</v>
      </c>
      <c r="O1110" s="2"/>
      <c r="P1110" s="2"/>
      <c r="Q1110" s="2" t="s">
        <v>95</v>
      </c>
      <c r="R1110" s="10" t="s">
        <v>216</v>
      </c>
      <c r="S1110" s="10" t="s">
        <v>215</v>
      </c>
      <c r="T1110" s="188">
        <v>1000</v>
      </c>
      <c r="U1110" s="8">
        <f t="shared" si="133"/>
        <v>180</v>
      </c>
      <c r="V1110" s="234">
        <f t="shared" si="134"/>
        <v>101324.1552461603</v>
      </c>
      <c r="W1110" s="15">
        <v>25</v>
      </c>
      <c r="X1110" s="8">
        <f t="shared" si="128"/>
        <v>4.5</v>
      </c>
      <c r="Y1110" s="233">
        <f t="shared" si="130"/>
        <v>4399</v>
      </c>
    </row>
    <row r="1111" spans="1:25">
      <c r="A1111" s="156" t="e" cm="1">
        <f t="array" aca="1" ref="A1111" ca="1">_xlfn.IFS(E1111=$AB$42,$AC$42,E1111=$AB$43,$AC$43,E1111=$AB$44,$AC$44,E1111=$AB$45,$AC$45,E1111=$AB$46,$AC$46,E1111=$AB$47,$AC$47,E1111=$AB$48,$AC$48,E1111=$AB$49,$AC$49,E1111=$AB$50,$AC$50,E1111=$AB$51,$AC$51,E1111=$AB$52,$AC$52,E1111=$AB$53,$AC$53,E1111=$AB$54,$AC$54,E1111=$AB$55,$AC$55,E1111=$AB$56,$AC$56,E1111=$AB$57,$AC$57,E1111=$AB$58,$AC$58,E1111=$AB$59,$AC$59,E1111=$AB$60,$AC$60,E1111=$AB$61,$AC$61,E1111=$AB$62,$AC$62,E1111=$AB$63,$AC$63,E1111=$AB$64,$AC$64,E1111=$AB$65,$AC$65,E1111=$AB$66,$AC$66,TRUE,"0")</f>
        <v>#NAME?</v>
      </c>
      <c r="C1111" s="161" t="str" cm="1">
        <f t="array" ref="C1111">_xlfn.IFS(E1111=$AB$42,$AF$42,E1111=$AB$43,$AF$43,E1111=$AB$44,$AF$44,E1111=$AB$45,$AF$45,E1111=$AB$46,$AF$46,E1111=$AB$47,$AF$47,E1111=$AB$48,$AF$48,E1111=$AB$49,$AF$49,E1111=$AB$50,$AF$50,E1111=$AB$51,$AF$51,E1111=$AB$52,$AF$52,E1111=$AB$53,$AF$53,E1111=$AB$54,$AF$54,E1111=$AB$55,$AF$55,E1111=$AB$56,$AF$56,E1111=$AB$57,$AF$57,E1111=$AB$58,$AF$58,E1111=$AB$59,$AF$59,E1111=$AB$60,$AF$60,E1111=$AB$61,$AF$61,E1111=$AB$62,$AF$62,E1111=$AB$63,$AF$63,E1111=$AB$64,$AF$64,E1111=$AB$65,$AF$65,E1111=$AB$66,$AF$66,TRUE,"0")</f>
        <v>if 0-0, BACK+ 0.5 GOALS  @ 1.15+odds.  or @ 40 mins</v>
      </c>
      <c r="D1111" s="270" t="str" cm="1">
        <f t="array" ref="D1111">_xlfn.IFS(E1111=$AB$42,$AD$42,E1111=$AB$43,$AD$43,E1111=$AB$44,$AD$44,E1111=$AB$45,$AD$45,E1111=$AB$46,$AD$46,E1111=$AB$47,$AD$47,E1111=$AB$48,$AD$48,E1111=$AB$49,$AD$49,E1111=$AB$50,$AD$50,E1111=$AB$51,$AD$51,E1111=$AB$52,$AD$52,E1111=$AB$53,$AD$53,E1111=$AB$54,$AD$54,E1111=$AB$55,$AD$55,E1111=$AB$56,$AD$56,E1111=$AB$57,$AD$57,E1111=$AB$58,$AD$58,E1111=$AB$59,$AD$59,E1111=$AB$60,$AD$60,E1111=$AB$61,$AD$61,E1111=$AB$62,$AD$62,E1111=$AB$63,$AD$63,E1111=$AB$64,$AD$64,E1111=$AB$65,$AD$65,E1111=$AB$66,$AD$66,TRUE,"0")</f>
        <v>IP</v>
      </c>
      <c r="E1111" s="163" t="s">
        <v>270</v>
      </c>
      <c r="F1111" s="2" t="s">
        <v>6</v>
      </c>
      <c r="G1111" s="2" t="s">
        <v>62</v>
      </c>
      <c r="H1111" s="3">
        <v>45403.625</v>
      </c>
      <c r="I1111" s="2" t="s">
        <v>102</v>
      </c>
      <c r="J1111" s="2" t="s">
        <v>117</v>
      </c>
      <c r="K1111" s="2">
        <v>67</v>
      </c>
      <c r="L1111" s="2">
        <v>0</v>
      </c>
      <c r="M1111" s="2">
        <v>20</v>
      </c>
      <c r="N1111" s="2">
        <v>30</v>
      </c>
      <c r="O1111" s="2">
        <v>3.04</v>
      </c>
      <c r="P1111" s="2"/>
      <c r="Q1111" s="2" t="s">
        <v>95</v>
      </c>
      <c r="R1111" s="10" t="s">
        <v>216</v>
      </c>
      <c r="S1111" s="10" t="s">
        <v>215</v>
      </c>
      <c r="T1111" s="188">
        <v>1000</v>
      </c>
      <c r="U1111" s="8">
        <f t="shared" si="133"/>
        <v>180</v>
      </c>
      <c r="V1111" s="234">
        <f t="shared" si="134"/>
        <v>101504.1552461603</v>
      </c>
      <c r="W1111" s="15">
        <v>25</v>
      </c>
      <c r="X1111" s="8">
        <f t="shared" si="128"/>
        <v>4.5</v>
      </c>
      <c r="Y1111" s="233">
        <f t="shared" si="130"/>
        <v>4403.5</v>
      </c>
    </row>
    <row r="1112" spans="1:25">
      <c r="A1112" s="156" t="e" cm="1">
        <f t="array" aca="1" ref="A1112" ca="1">_xlfn.IFS(E1112=$AB$42,$AC$42,E1112=$AB$43,$AC$43,E1112=$AB$44,$AC$44,E1112=$AB$45,$AC$45,E1112=$AB$46,$AC$46,E1112=$AB$47,$AC$47,E1112=$AB$48,$AC$48,E1112=$AB$49,$AC$49,E1112=$AB$50,$AC$50,E1112=$AB$51,$AC$51,E1112=$AB$52,$AC$52,E1112=$AB$53,$AC$53,E1112=$AB$54,$AC$54,E1112=$AB$55,$AC$55,E1112=$AB$56,$AC$56,E1112=$AB$57,$AC$57,E1112=$AB$58,$AC$58,E1112=$AB$59,$AC$59,E1112=$AB$60,$AC$60,E1112=$AB$61,$AC$61,E1112=$AB$62,$AC$62,E1112=$AB$63,$AC$63,E1112=$AB$64,$AC$64,E1112=$AB$65,$AC$65,E1112=$AB$66,$AC$66,TRUE,"0")</f>
        <v>#NAME?</v>
      </c>
      <c r="C1112" s="161" t="str" cm="1">
        <f t="array" ref="C1112">_xlfn.IFS(E1112=$AB$42,$AF$42,E1112=$AB$43,$AF$43,E1112=$AB$44,$AF$44,E1112=$AB$45,$AF$45,E1112=$AB$46,$AF$46,E1112=$AB$47,$AF$47,E1112=$AB$48,$AF$48,E1112=$AB$49,$AF$49,E1112=$AB$50,$AF$50,E1112=$AB$51,$AF$51,E1112=$AB$52,$AF$52,E1112=$AB$53,$AF$53,E1112=$AB$54,$AF$54,E1112=$AB$55,$AF$55,E1112=$AB$56,$AF$56,E1112=$AB$57,$AF$57,E1112=$AB$58,$AF$58,E1112=$AB$59,$AF$59,E1112=$AB$60,$AF$60,E1112=$AB$61,$AF$61,E1112=$AB$62,$AF$62,E1112=$AB$63,$AF$63,E1112=$AB$64,$AF$64,E1112=$AB$65,$AF$65,E1112=$AB$66,$AF$66,TRUE,"0")</f>
        <v>40 mins Back ANother Goal</v>
      </c>
      <c r="D1112" s="270" t="str" cm="1">
        <f t="array" ref="D1112">_xlfn.IFS(E1112=$AB$42,$AD$42,E1112=$AB$43,$AD$43,E1112=$AB$44,$AD$44,E1112=$AB$45,$AD$45,E1112=$AB$46,$AD$46,E1112=$AB$47,$AD$47,E1112=$AB$48,$AD$48,E1112=$AB$49,$AD$49,E1112=$AB$50,$AD$50,E1112=$AB$51,$AD$51,E1112=$AB$52,$AD$52,E1112=$AB$53,$AD$53,E1112=$AB$54,$AD$54,E1112=$AB$55,$AD$55,E1112=$AB$56,$AD$56,E1112=$AB$57,$AD$57,E1112=$AB$58,$AD$58,E1112=$AB$59,$AD$59,E1112=$AB$60,$AD$60,E1112=$AB$61,$AD$61,E1112=$AB$62,$AD$62,E1112=$AB$63,$AD$63,E1112=$AB$64,$AD$64,E1112=$AB$65,$AD$65,E1112=$AB$66,$AD$66,TRUE,"0")</f>
        <v xml:space="preserve">  BANG</v>
      </c>
      <c r="E1112" s="163" t="s">
        <v>726</v>
      </c>
      <c r="F1112" s="2" t="s">
        <v>6</v>
      </c>
      <c r="G1112" s="2" t="s">
        <v>62</v>
      </c>
      <c r="H1112" s="3">
        <v>45403.625</v>
      </c>
      <c r="I1112" s="2" t="s">
        <v>66</v>
      </c>
      <c r="J1112" s="2" t="s">
        <v>74</v>
      </c>
      <c r="K1112" s="2">
        <v>100</v>
      </c>
      <c r="L1112" s="2">
        <v>20</v>
      </c>
      <c r="M1112" s="2">
        <v>2.2000000000000002</v>
      </c>
      <c r="N1112" s="2">
        <v>63</v>
      </c>
      <c r="O1112" s="2"/>
      <c r="P1112" s="2"/>
      <c r="Q1112" s="2" t="s">
        <v>95</v>
      </c>
      <c r="R1112" s="10" t="s">
        <v>196</v>
      </c>
      <c r="S1112" s="10" t="s">
        <v>208</v>
      </c>
      <c r="T1112" s="188">
        <v>1000</v>
      </c>
      <c r="U1112" s="8">
        <f t="shared" si="133"/>
        <v>180</v>
      </c>
      <c r="V1112" s="234">
        <f t="shared" si="134"/>
        <v>101684.1552461603</v>
      </c>
      <c r="W1112" s="15">
        <v>25</v>
      </c>
      <c r="X1112" s="8">
        <f t="shared" si="128"/>
        <v>4.5</v>
      </c>
      <c r="Y1112" s="233">
        <f t="shared" si="130"/>
        <v>4408</v>
      </c>
    </row>
    <row r="1113" spans="1:25">
      <c r="A1113" s="156" t="e" cm="1">
        <f t="array" aca="1" ref="A1113" ca="1">_xlfn.IFS(E1113=$AB$42,$AC$42,E1113=$AB$43,$AC$43,E1113=$AB$44,$AC$44,E1113=$AB$45,$AC$45,E1113=$AB$46,$AC$46,E1113=$AB$47,$AC$47,E1113=$AB$48,$AC$48,E1113=$AB$49,$AC$49,E1113=$AB$50,$AC$50,E1113=$AB$51,$AC$51,E1113=$AB$52,$AC$52,E1113=$AB$53,$AC$53,E1113=$AB$54,$AC$54,E1113=$AB$55,$AC$55,E1113=$AB$56,$AC$56,E1113=$AB$57,$AC$57,E1113=$AB$58,$AC$58,E1113=$AB$59,$AC$59,E1113=$AB$60,$AC$60,E1113=$AB$61,$AC$61,E1113=$AB$62,$AC$62,E1113=$AB$63,$AC$63,E1113=$AB$64,$AC$64,E1113=$AB$65,$AC$65,E1113=$AB$66,$AC$66,TRUE,"0")</f>
        <v>#NAME?</v>
      </c>
      <c r="C1113" s="161" t="str" cm="1">
        <f t="array" ref="C1113">_xlfn.IFS(E1113=$AB$42,$AF$42,E1113=$AB$43,$AF$43,E1113=$AB$44,$AF$44,E1113=$AB$45,$AF$45,E1113=$AB$46,$AF$46,E1113=$AB$47,$AF$47,E1113=$AB$48,$AF$48,E1113=$AB$49,$AF$49,E1113=$AB$50,$AF$50,E1113=$AB$51,$AF$51,E1113=$AB$52,$AF$52,E1113=$AB$53,$AF$53,E1113=$AB$54,$AF$54,E1113=$AB$55,$AF$55,E1113=$AB$56,$AF$56,E1113=$AB$57,$AF$57,E1113=$AB$58,$AF$58,E1113=$AB$59,$AF$59,E1113=$AB$60,$AF$60,E1113=$AB$61,$AF$61,E1113=$AB$62,$AF$62,E1113=$AB$63,$AF$63,E1113=$AB$64,$AF$64,E1113=$AB$65,$AF$65,E1113=$AB$66,$AF$66,TRUE,"0")</f>
        <v>if 0-0, BACK+ 0.5 GOALS  @ 1.15+odds.  or @ 40 mins</v>
      </c>
      <c r="D1113" s="270" t="str" cm="1">
        <f t="array" ref="D1113">_xlfn.IFS(E1113=$AB$42,$AD$42,E1113=$AB$43,$AD$43,E1113=$AB$44,$AD$44,E1113=$AB$45,$AD$45,E1113=$AB$46,$AD$46,E1113=$AB$47,$AD$47,E1113=$AB$48,$AD$48,E1113=$AB$49,$AD$49,E1113=$AB$50,$AD$50,E1113=$AB$51,$AD$51,E1113=$AB$52,$AD$52,E1113=$AB$53,$AD$53,E1113=$AB$54,$AD$54,E1113=$AB$55,$AD$55,E1113=$AB$56,$AD$56,E1113=$AB$57,$AD$57,E1113=$AB$58,$AD$58,E1113=$AB$59,$AD$59,E1113=$AB$60,$AD$60,E1113=$AB$61,$AD$61,E1113=$AB$62,$AD$62,E1113=$AB$63,$AD$63,E1113=$AB$64,$AD$64,E1113=$AB$65,$AD$65,E1113=$AB$66,$AD$66,TRUE,"0")</f>
        <v>IP</v>
      </c>
      <c r="E1113" s="163" t="s">
        <v>270</v>
      </c>
      <c r="F1113" s="2" t="s">
        <v>6</v>
      </c>
      <c r="G1113" s="2" t="s">
        <v>62</v>
      </c>
      <c r="H1113" s="3">
        <v>45403.625</v>
      </c>
      <c r="I1113" s="2" t="s">
        <v>66</v>
      </c>
      <c r="J1113" s="2" t="s">
        <v>74</v>
      </c>
      <c r="K1113" s="2">
        <v>61</v>
      </c>
      <c r="L1113" s="2">
        <v>0</v>
      </c>
      <c r="M1113" s="2">
        <v>20</v>
      </c>
      <c r="N1113" s="2">
        <v>26</v>
      </c>
      <c r="O1113" s="2">
        <v>3.17</v>
      </c>
      <c r="P1113" s="2"/>
      <c r="Q1113" s="2" t="s">
        <v>95</v>
      </c>
      <c r="R1113" s="10" t="s">
        <v>196</v>
      </c>
      <c r="S1113" s="10" t="s">
        <v>208</v>
      </c>
      <c r="T1113" s="188">
        <v>1000</v>
      </c>
      <c r="U1113" s="8">
        <f t="shared" si="133"/>
        <v>180</v>
      </c>
      <c r="V1113" s="234">
        <f t="shared" si="134"/>
        <v>101864.1552461603</v>
      </c>
      <c r="W1113" s="15">
        <v>25</v>
      </c>
      <c r="X1113" s="8">
        <f t="shared" si="128"/>
        <v>4.5</v>
      </c>
      <c r="Y1113" s="233">
        <f t="shared" si="130"/>
        <v>4412.5</v>
      </c>
    </row>
    <row r="1114" spans="1:25">
      <c r="A1114" s="156" t="e" cm="1">
        <f t="array" aca="1" ref="A1114" ca="1">_xlfn.IFS(E1114=$AB$42,$AC$42,E1114=$AB$43,$AC$43,E1114=$AB$44,$AC$44,E1114=$AB$45,$AC$45,E1114=$AB$46,$AC$46,E1114=$AB$47,$AC$47,E1114=$AB$48,$AC$48,E1114=$AB$49,$AC$49,E1114=$AB$50,$AC$50,E1114=$AB$51,$AC$51,E1114=$AB$52,$AC$52,E1114=$AB$53,$AC$53,E1114=$AB$54,$AC$54,E1114=$AB$55,$AC$55,E1114=$AB$56,$AC$56,E1114=$AB$57,$AC$57,E1114=$AB$58,$AC$58,E1114=$AB$59,$AC$59,E1114=$AB$60,$AC$60,E1114=$AB$61,$AC$61,E1114=$AB$62,$AC$62,E1114=$AB$63,$AC$63,E1114=$AB$64,$AC$64,E1114=$AB$65,$AC$65,E1114=$AB$66,$AC$66,TRUE,"0")</f>
        <v>#NAME?</v>
      </c>
      <c r="C1114" s="161" t="str" cm="1">
        <f t="array" ref="C1114">_xlfn.IFS(E1114=$AB$42,$AF$42,E1114=$AB$43,$AF$43,E1114=$AB$44,$AF$44,E1114=$AB$45,$AF$45,E1114=$AB$46,$AF$46,E1114=$AB$47,$AF$47,E1114=$AB$48,$AF$48,E1114=$AB$49,$AF$49,E1114=$AB$50,$AF$50,E1114=$AB$51,$AF$51,E1114=$AB$52,$AF$52,E1114=$AB$53,$AF$53,E1114=$AB$54,$AF$54,E1114=$AB$55,$AF$55,E1114=$AB$56,$AF$56,E1114=$AB$57,$AF$57,E1114=$AB$58,$AF$58,E1114=$AB$59,$AF$59,E1114=$AB$60,$AF$60,E1114=$AB$61,$AF$61,E1114=$AB$62,$AF$62,E1114=$AB$63,$AF$63,E1114=$AB$64,$AF$64,E1114=$AB$65,$AF$65,E1114=$AB$66,$AF$66,TRUE,"0")</f>
        <v>if 0-0, BACK+ 0.5 GOALS  @ 1.15+odds.  or @ 40 mins</v>
      </c>
      <c r="D1114" s="270" t="str" cm="1">
        <f t="array" ref="D1114">_xlfn.IFS(E1114=$AB$42,$AD$42,E1114=$AB$43,$AD$43,E1114=$AB$44,$AD$44,E1114=$AB$45,$AD$45,E1114=$AB$46,$AD$46,E1114=$AB$47,$AD$47,E1114=$AB$48,$AD$48,E1114=$AB$49,$AD$49,E1114=$AB$50,$AD$50,E1114=$AB$51,$AD$51,E1114=$AB$52,$AD$52,E1114=$AB$53,$AD$53,E1114=$AB$54,$AD$54,E1114=$AB$55,$AD$55,E1114=$AB$56,$AD$56,E1114=$AB$57,$AD$57,E1114=$AB$58,$AD$58,E1114=$AB$59,$AD$59,E1114=$AB$60,$AD$60,E1114=$AB$61,$AD$61,E1114=$AB$62,$AD$62,E1114=$AB$63,$AD$63,E1114=$AB$64,$AD$64,E1114=$AB$65,$AD$65,E1114=$AB$66,$AD$66,TRUE,"0")</f>
        <v>IP</v>
      </c>
      <c r="E1114" s="163" t="s">
        <v>270</v>
      </c>
      <c r="F1114" s="2" t="s">
        <v>626</v>
      </c>
      <c r="G1114" s="2" t="s">
        <v>627</v>
      </c>
      <c r="H1114" s="3">
        <v>45403.625</v>
      </c>
      <c r="I1114" s="2" t="s">
        <v>724</v>
      </c>
      <c r="J1114" s="2" t="s">
        <v>725</v>
      </c>
      <c r="K1114" s="2">
        <v>73</v>
      </c>
      <c r="L1114" s="2">
        <v>0</v>
      </c>
      <c r="M1114" s="2">
        <v>20</v>
      </c>
      <c r="N1114" s="2">
        <v>46</v>
      </c>
      <c r="O1114" s="2">
        <v>0</v>
      </c>
      <c r="P1114" s="2"/>
      <c r="Q1114" s="2" t="s">
        <v>95</v>
      </c>
      <c r="R1114" s="10" t="s">
        <v>221</v>
      </c>
      <c r="S1114" s="10" t="s">
        <v>214</v>
      </c>
      <c r="T1114" s="188">
        <v>1000</v>
      </c>
      <c r="U1114" s="8">
        <f t="shared" si="133"/>
        <v>180</v>
      </c>
      <c r="V1114" s="234">
        <f t="shared" si="134"/>
        <v>102044.1552461603</v>
      </c>
      <c r="W1114" s="15">
        <v>25</v>
      </c>
      <c r="X1114" s="8">
        <f t="shared" si="128"/>
        <v>4.5</v>
      </c>
      <c r="Y1114" s="233">
        <f t="shared" si="130"/>
        <v>4417</v>
      </c>
    </row>
    <row r="1115" spans="1:25">
      <c r="A1115" s="156" t="e" cm="1">
        <f t="array" aca="1" ref="A1115" ca="1">_xlfn.IFS(E1115=$AB$42,$AC$42,E1115=$AB$43,$AC$43,E1115=$AB$44,$AC$44,E1115=$AB$45,$AC$45,E1115=$AB$46,$AC$46,E1115=$AB$47,$AC$47,E1115=$AB$48,$AC$48,E1115=$AB$49,$AC$49,E1115=$AB$50,$AC$50,E1115=$AB$51,$AC$51,E1115=$AB$52,$AC$52,E1115=$AB$53,$AC$53,E1115=$AB$54,$AC$54,E1115=$AB$55,$AC$55,E1115=$AB$56,$AC$56,E1115=$AB$57,$AC$57,E1115=$AB$58,$AC$58,E1115=$AB$59,$AC$59,E1115=$AB$60,$AC$60,E1115=$AB$61,$AC$61,E1115=$AB$62,$AC$62,E1115=$AB$63,$AC$63,E1115=$AB$64,$AC$64,E1115=$AB$65,$AC$65,E1115=$AB$66,$AC$66,TRUE,"0")</f>
        <v>#NAME?</v>
      </c>
      <c r="C1115" s="161" t="str" cm="1">
        <f t="array" ref="C1115">_xlfn.IFS(E1115=$AB$42,$AF$42,E1115=$AB$43,$AF$43,E1115=$AB$44,$AF$44,E1115=$AB$45,$AF$45,E1115=$AB$46,$AF$46,E1115=$AB$47,$AF$47,E1115=$AB$48,$AF$48,E1115=$AB$49,$AF$49,E1115=$AB$50,$AF$50,E1115=$AB$51,$AF$51,E1115=$AB$52,$AF$52,E1115=$AB$53,$AF$53,E1115=$AB$54,$AF$54,E1115=$AB$55,$AF$55,E1115=$AB$56,$AF$56,E1115=$AB$57,$AF$57,E1115=$AB$58,$AF$58,E1115=$AB$59,$AF$59,E1115=$AB$60,$AF$60,E1115=$AB$61,$AF$61,E1115=$AB$62,$AF$62,E1115=$AB$63,$AF$63,E1115=$AB$64,$AF$64,E1115=$AB$65,$AF$65,E1115=$AB$66,$AF$66,TRUE,"0")</f>
        <v>40 mins Back ANother Goal</v>
      </c>
      <c r="D1115" s="270" t="str" cm="1">
        <f t="array" ref="D1115">_xlfn.IFS(E1115=$AB$42,$AD$42,E1115=$AB$43,$AD$43,E1115=$AB$44,$AD$44,E1115=$AB$45,$AD$45,E1115=$AB$46,$AD$46,E1115=$AB$47,$AD$47,E1115=$AB$48,$AD$48,E1115=$AB$49,$AD$49,E1115=$AB$50,$AD$50,E1115=$AB$51,$AD$51,E1115=$AB$52,$AD$52,E1115=$AB$53,$AD$53,E1115=$AB$54,$AD$54,E1115=$AB$55,$AD$55,E1115=$AB$56,$AD$56,E1115=$AB$57,$AD$57,E1115=$AB$58,$AD$58,E1115=$AB$59,$AD$59,E1115=$AB$60,$AD$60,E1115=$AB$61,$AD$61,E1115=$AB$62,$AD$62,E1115=$AB$63,$AD$63,E1115=$AB$64,$AD$64,E1115=$AB$65,$AD$65,E1115=$AB$66,$AD$66,TRUE,"0")</f>
        <v xml:space="preserve">  BANG</v>
      </c>
      <c r="E1115" s="163" t="s">
        <v>515</v>
      </c>
      <c r="F1115" s="2" t="s">
        <v>626</v>
      </c>
      <c r="G1115" s="2" t="s">
        <v>627</v>
      </c>
      <c r="H1115" s="3">
        <v>45403.625</v>
      </c>
      <c r="I1115" s="2" t="s">
        <v>724</v>
      </c>
      <c r="J1115" s="2" t="s">
        <v>725</v>
      </c>
      <c r="K1115" s="2">
        <v>20</v>
      </c>
      <c r="L1115" s="2">
        <v>73</v>
      </c>
      <c r="M1115" s="2">
        <v>1.8</v>
      </c>
      <c r="N1115" s="2"/>
      <c r="O1115" s="2"/>
      <c r="P1115" s="2"/>
      <c r="Q1115" s="2" t="s">
        <v>95</v>
      </c>
      <c r="R1115" s="10" t="s">
        <v>221</v>
      </c>
      <c r="S1115" s="10" t="s">
        <v>214</v>
      </c>
      <c r="T1115" s="188">
        <v>1000</v>
      </c>
      <c r="U1115" s="8">
        <f t="shared" si="133"/>
        <v>180</v>
      </c>
      <c r="V1115" s="234">
        <f t="shared" si="134"/>
        <v>102224.1552461603</v>
      </c>
      <c r="W1115" s="15">
        <v>25</v>
      </c>
      <c r="X1115" s="8">
        <f t="shared" si="128"/>
        <v>4.5</v>
      </c>
      <c r="Y1115" s="233">
        <f t="shared" si="130"/>
        <v>4421.5</v>
      </c>
    </row>
    <row r="1116" spans="1:25">
      <c r="A1116" s="156" t="e" cm="1">
        <f t="array" aca="1" ref="A1116" ca="1">_xlfn.IFS(E1116=$AB$42,$AC$42,E1116=$AB$43,$AC$43,E1116=$AB$44,$AC$44,E1116=$AB$45,$AC$45,E1116=$AB$46,$AC$46,E1116=$AB$47,$AC$47,E1116=$AB$48,$AC$48,E1116=$AB$49,$AC$49,E1116=$AB$50,$AC$50,E1116=$AB$51,$AC$51,E1116=$AB$52,$AC$52,E1116=$AB$53,$AC$53,E1116=$AB$54,$AC$54,E1116=$AB$55,$AC$55,E1116=$AB$56,$AC$56,E1116=$AB$57,$AC$57,E1116=$AB$58,$AC$58,E1116=$AB$59,$AC$59,E1116=$AB$60,$AC$60,E1116=$AB$61,$AC$61,E1116=$AB$62,$AC$62,E1116=$AB$63,$AC$63,E1116=$AB$64,$AC$64,E1116=$AB$65,$AC$65,E1116=$AB$66,$AC$66,TRUE,"0")</f>
        <v>#NAME?</v>
      </c>
      <c r="C1116" s="161" t="str" cm="1">
        <f t="array" ref="C1116">_xlfn.IFS(E1116=$AB$42,$AF$42,E1116=$AB$43,$AF$43,E1116=$AB$44,$AF$44,E1116=$AB$45,$AF$45,E1116=$AB$46,$AF$46,E1116=$AB$47,$AF$47,E1116=$AB$48,$AF$48,E1116=$AB$49,$AF$49,E1116=$AB$50,$AF$50,E1116=$AB$51,$AF$51,E1116=$AB$52,$AF$52,E1116=$AB$53,$AF$53,E1116=$AB$54,$AF$54,E1116=$AB$55,$AF$55,E1116=$AB$56,$AF$56,E1116=$AB$57,$AF$57,E1116=$AB$58,$AF$58,E1116=$AB$59,$AF$59,E1116=$AB$60,$AF$60,E1116=$AB$61,$AF$61,E1116=$AB$62,$AF$62,E1116=$AB$63,$AF$63,E1116=$AB$64,$AF$64,E1116=$AB$65,$AF$65,E1116=$AB$66,$AF$66,TRUE,"0")</f>
        <v>40 mins Back ANother Goal</v>
      </c>
      <c r="D1116" s="270" t="str" cm="1">
        <f t="array" ref="D1116">_xlfn.IFS(E1116=$AB$42,$AD$42,E1116=$AB$43,$AD$43,E1116=$AB$44,$AD$44,E1116=$AB$45,$AD$45,E1116=$AB$46,$AD$46,E1116=$AB$47,$AD$47,E1116=$AB$48,$AD$48,E1116=$AB$49,$AD$49,E1116=$AB$50,$AD$50,E1116=$AB$51,$AD$51,E1116=$AB$52,$AD$52,E1116=$AB$53,$AD$53,E1116=$AB$54,$AD$54,E1116=$AB$55,$AD$55,E1116=$AB$56,$AD$56,E1116=$AB$57,$AD$57,E1116=$AB$58,$AD$58,E1116=$AB$59,$AD$59,E1116=$AB$60,$AD$60,E1116=$AB$61,$AD$61,E1116=$AB$62,$AD$62,E1116=$AB$63,$AD$63,E1116=$AB$64,$AD$64,E1116=$AB$65,$AD$65,E1116=$AB$66,$AD$66,TRUE,"0")</f>
        <v xml:space="preserve">  BANG</v>
      </c>
      <c r="E1116" s="163" t="s">
        <v>43</v>
      </c>
      <c r="F1116" s="2" t="s">
        <v>119</v>
      </c>
      <c r="G1116" s="2" t="s">
        <v>120</v>
      </c>
      <c r="H1116" s="3">
        <v>45403.635416666664</v>
      </c>
      <c r="I1116" s="2" t="s">
        <v>480</v>
      </c>
      <c r="J1116" s="2" t="s">
        <v>362</v>
      </c>
      <c r="K1116" s="2">
        <v>67</v>
      </c>
      <c r="L1116" s="2">
        <v>71</v>
      </c>
      <c r="M1116" s="2">
        <v>61</v>
      </c>
      <c r="N1116" s="2">
        <v>1.95</v>
      </c>
      <c r="O1116" s="2">
        <v>1.53</v>
      </c>
      <c r="P1116" s="2"/>
      <c r="Q1116" s="2" t="s">
        <v>95</v>
      </c>
      <c r="R1116" s="10" t="s">
        <v>216</v>
      </c>
      <c r="S1116" s="10" t="s">
        <v>223</v>
      </c>
      <c r="T1116" s="188">
        <v>1000</v>
      </c>
      <c r="U1116" s="8">
        <f t="shared" si="133"/>
        <v>180</v>
      </c>
      <c r="V1116" s="234">
        <f t="shared" si="134"/>
        <v>102404.1552461603</v>
      </c>
      <c r="W1116" s="15">
        <v>25</v>
      </c>
      <c r="X1116" s="8">
        <f t="shared" si="128"/>
        <v>4.5</v>
      </c>
      <c r="Y1116" s="233">
        <f t="shared" si="130"/>
        <v>4426</v>
      </c>
    </row>
    <row r="1117" spans="1:25">
      <c r="A1117" s="156" t="e" cm="1">
        <f t="array" aca="1" ref="A1117" ca="1">_xlfn.IFS(E1117=$AB$42,$AC$42,E1117=$AB$43,$AC$43,E1117=$AB$44,$AC$44,E1117=$AB$45,$AC$45,E1117=$AB$46,$AC$46,E1117=$AB$47,$AC$47,E1117=$AB$48,$AC$48,E1117=$AB$49,$AC$49,E1117=$AB$50,$AC$50,E1117=$AB$51,$AC$51,E1117=$AB$52,$AC$52,E1117=$AB$53,$AC$53,E1117=$AB$54,$AC$54,E1117=$AB$55,$AC$55,E1117=$AB$56,$AC$56,E1117=$AB$57,$AC$57,E1117=$AB$58,$AC$58,E1117=$AB$59,$AC$59,E1117=$AB$60,$AC$60,E1117=$AB$61,$AC$61,E1117=$AB$62,$AC$62,E1117=$AB$63,$AC$63,E1117=$AB$64,$AC$64,E1117=$AB$65,$AC$65,E1117=$AB$66,$AC$66,TRUE,"0")</f>
        <v>#NAME?</v>
      </c>
      <c r="C1117" s="161" t="str" cm="1">
        <f t="array" ref="C1117">_xlfn.IFS(E1117=$AB$42,$AF$42,E1117=$AB$43,$AF$43,E1117=$AB$44,$AF$44,E1117=$AB$45,$AF$45,E1117=$AB$46,$AF$46,E1117=$AB$47,$AF$47,E1117=$AB$48,$AF$48,E1117=$AB$49,$AF$49,E1117=$AB$50,$AF$50,E1117=$AB$51,$AF$51,E1117=$AB$52,$AF$52,E1117=$AB$53,$AF$53,E1117=$AB$54,$AF$54,E1117=$AB$55,$AF$55,E1117=$AB$56,$AF$56,E1117=$AB$57,$AF$57,E1117=$AB$58,$AF$58,E1117=$AB$59,$AF$59,E1117=$AB$60,$AF$60,E1117=$AB$61,$AF$61,E1117=$AB$62,$AF$62,E1117=$AB$63,$AF$63,E1117=$AB$64,$AF$64,E1117=$AB$65,$AF$65,E1117=$AB$66,$AF$66,TRUE,"0")</f>
        <v>10mins if  0-0, BACK over 1.5 goals X after goal OR LET RUN</v>
      </c>
      <c r="D1117" s="270" t="str" cm="1">
        <f t="array" ref="D1117">_xlfn.IFS(E1117=$AB$42,$AD$42,E1117=$AB$43,$AD$43,E1117=$AB$44,$AD$44,E1117=$AB$45,$AD$45,E1117=$AB$46,$AD$46,E1117=$AB$47,$AD$47,E1117=$AB$48,$AD$48,E1117=$AB$49,$AD$49,E1117=$AB$50,$AD$50,E1117=$AB$51,$AD$51,E1117=$AB$52,$AD$52,E1117=$AB$53,$AD$53,E1117=$AB$54,$AD$54,E1117=$AB$55,$AD$55,E1117=$AB$56,$AD$56,E1117=$AB$57,$AD$57,E1117=$AB$58,$AD$58,E1117=$AB$59,$AD$59,E1117=$AB$60,$AD$60,E1117=$AB$61,$AD$61,E1117=$AB$62,$AD$62,E1117=$AB$63,$AD$63,E1117=$AB$64,$AD$64,E1117=$AB$65,$AD$65,E1117=$AB$66,$AD$66,TRUE,"0")</f>
        <v>IP</v>
      </c>
      <c r="E1117" s="163" t="s">
        <v>498</v>
      </c>
      <c r="F1117" s="2" t="s">
        <v>58</v>
      </c>
      <c r="G1117" s="2" t="s">
        <v>59</v>
      </c>
      <c r="H1117" s="3">
        <v>45403.645833333336</v>
      </c>
      <c r="I1117" s="2" t="s">
        <v>165</v>
      </c>
      <c r="J1117" s="2" t="s">
        <v>105</v>
      </c>
      <c r="K1117" s="2">
        <v>68</v>
      </c>
      <c r="L1117" s="2">
        <v>80</v>
      </c>
      <c r="M1117" s="2">
        <v>1.45</v>
      </c>
      <c r="N1117" s="2">
        <v>20</v>
      </c>
      <c r="O1117" s="2"/>
      <c r="P1117" s="2"/>
      <c r="Q1117" s="2" t="s">
        <v>95</v>
      </c>
      <c r="R1117" s="10" t="s">
        <v>214</v>
      </c>
      <c r="S1117" s="10" t="s">
        <v>210</v>
      </c>
      <c r="T1117" s="188">
        <v>1000</v>
      </c>
      <c r="U1117" s="8">
        <f t="shared" si="133"/>
        <v>180</v>
      </c>
      <c r="V1117" s="234">
        <f t="shared" si="134"/>
        <v>102584.1552461603</v>
      </c>
      <c r="W1117" s="15">
        <v>25</v>
      </c>
      <c r="X1117" s="8">
        <f t="shared" si="128"/>
        <v>4.5</v>
      </c>
      <c r="Y1117" s="233">
        <f t="shared" si="130"/>
        <v>4430.5</v>
      </c>
    </row>
    <row r="1118" spans="1:25">
      <c r="A1118" s="156" t="e" cm="1">
        <f t="array" aca="1" ref="A1118" ca="1">_xlfn.IFS(E1118=$AB$42,$AC$42,E1118=$AB$43,$AC$43,E1118=$AB$44,$AC$44,E1118=$AB$45,$AC$45,E1118=$AB$46,$AC$46,E1118=$AB$47,$AC$47,E1118=$AB$48,$AC$48,E1118=$AB$49,$AC$49,E1118=$AB$50,$AC$50,E1118=$AB$51,$AC$51,E1118=$AB$52,$AC$52,E1118=$AB$53,$AC$53,E1118=$AB$54,$AC$54,E1118=$AB$55,$AC$55,E1118=$AB$56,$AC$56,E1118=$AB$57,$AC$57,E1118=$AB$58,$AC$58,E1118=$AB$59,$AC$59,E1118=$AB$60,$AC$60,E1118=$AB$61,$AC$61,E1118=$AB$62,$AC$62,E1118=$AB$63,$AC$63,E1118=$AB$64,$AC$64,E1118=$AB$65,$AC$65,E1118=$AB$66,$AC$66,TRUE,"0")</f>
        <v>#NAME?</v>
      </c>
      <c r="C1118" s="161" t="str" cm="1">
        <f t="array" ref="C1118">_xlfn.IFS(E1118=$AB$42,$AF$42,E1118=$AB$43,$AF$43,E1118=$AB$44,$AF$44,E1118=$AB$45,$AF$45,E1118=$AB$46,$AF$46,E1118=$AB$47,$AF$47,E1118=$AB$48,$AF$48,E1118=$AB$49,$AF$49,E1118=$AB$50,$AF$50,E1118=$AB$51,$AF$51,E1118=$AB$52,$AF$52,E1118=$AB$53,$AF$53,E1118=$AB$54,$AF$54,E1118=$AB$55,$AF$55,E1118=$AB$56,$AF$56,E1118=$AB$57,$AF$57,E1118=$AB$58,$AF$58,E1118=$AB$59,$AF$59,E1118=$AB$60,$AF$60,E1118=$AB$61,$AF$61,E1118=$AB$62,$AF$62,E1118=$AB$63,$AF$63,E1118=$AB$64,$AF$64,E1118=$AB$65,$AF$65,E1118=$AB$66,$AF$66,TRUE,"0")</f>
        <v>B4 match BACK FT +1.5 goals. X AFTER  GOAL</v>
      </c>
      <c r="D1118" s="270" t="str" cm="1">
        <f t="array" ref="D1118">_xlfn.IFS(E1118=$AB$42,$AD$42,E1118=$AB$43,$AD$43,E1118=$AB$44,$AD$44,E1118=$AB$45,$AD$45,E1118=$AB$46,$AD$46,E1118=$AB$47,$AD$47,E1118=$AB$48,$AD$48,E1118=$AB$49,$AD$49,E1118=$AB$50,$AD$50,E1118=$AB$51,$AD$51,E1118=$AB$52,$AD$52,E1118=$AB$53,$AD$53,E1118=$AB$54,$AD$54,E1118=$AB$55,$AD$55,E1118=$AB$56,$AD$56,E1118=$AB$57,$AD$57,E1118=$AB$58,$AD$58,E1118=$AB$59,$AD$59,E1118=$AB$60,$AD$60,E1118=$AB$61,$AD$61,E1118=$AB$62,$AD$62,E1118=$AB$63,$AD$63,E1118=$AB$64,$AD$64,E1118=$AB$65,$AD$65,E1118=$AB$66,$AD$66,TRUE,"0")</f>
        <v xml:space="preserve">BFM </v>
      </c>
      <c r="E1118" s="163" t="s">
        <v>406</v>
      </c>
      <c r="F1118" s="2" t="s">
        <v>412</v>
      </c>
      <c r="G1118" s="2" t="s">
        <v>156</v>
      </c>
      <c r="H1118" s="3">
        <v>45403.666666666664</v>
      </c>
      <c r="I1118" s="2" t="s">
        <v>500</v>
      </c>
      <c r="J1118" s="2" t="s">
        <v>462</v>
      </c>
      <c r="K1118" s="2">
        <v>1.27</v>
      </c>
      <c r="L1118" s="2">
        <v>15</v>
      </c>
      <c r="M1118" s="2">
        <v>2.6</v>
      </c>
      <c r="N1118" s="2">
        <v>4.3</v>
      </c>
      <c r="O1118" s="2">
        <v>2.34</v>
      </c>
      <c r="P1118" s="2"/>
      <c r="Q1118" s="2" t="s">
        <v>95</v>
      </c>
      <c r="R1118" s="10" t="s">
        <v>216</v>
      </c>
      <c r="S1118" s="10" t="s">
        <v>277</v>
      </c>
      <c r="T1118" s="188">
        <v>1000</v>
      </c>
      <c r="U1118" s="8">
        <f t="shared" si="133"/>
        <v>180</v>
      </c>
      <c r="V1118" s="234">
        <f t="shared" si="134"/>
        <v>102764.1552461603</v>
      </c>
      <c r="W1118" s="15">
        <v>25</v>
      </c>
      <c r="X1118" s="8">
        <f t="shared" si="128"/>
        <v>4.5</v>
      </c>
      <c r="Y1118" s="233">
        <f t="shared" si="130"/>
        <v>4435</v>
      </c>
    </row>
    <row r="1119" spans="1:25">
      <c r="A1119" s="156" t="e" cm="1">
        <f t="array" aca="1" ref="A1119" ca="1">_xlfn.IFS(E1119=$AB$42,$AC$42,E1119=$AB$43,$AC$43,E1119=$AB$44,$AC$44,E1119=$AB$45,$AC$45,E1119=$AB$46,$AC$46,E1119=$AB$47,$AC$47,E1119=$AB$48,$AC$48,E1119=$AB$49,$AC$49,E1119=$AB$50,$AC$50,E1119=$AB$51,$AC$51,E1119=$AB$52,$AC$52,E1119=$AB$53,$AC$53,E1119=$AB$54,$AC$54,E1119=$AB$55,$AC$55,E1119=$AB$56,$AC$56,E1119=$AB$57,$AC$57,E1119=$AB$58,$AC$58,E1119=$AB$59,$AC$59,E1119=$AB$60,$AC$60,E1119=$AB$61,$AC$61,E1119=$AB$62,$AC$62,E1119=$AB$63,$AC$63,E1119=$AB$64,$AC$64,E1119=$AB$65,$AC$65,E1119=$AB$66,$AC$66,TRUE,"0")</f>
        <v>#NAME?</v>
      </c>
      <c r="C1119" s="161" t="str" cm="1">
        <f t="array" ref="C1119">_xlfn.IFS(E1119=$AB$42,$AF$42,E1119=$AB$43,$AF$43,E1119=$AB$44,$AF$44,E1119=$AB$45,$AF$45,E1119=$AB$46,$AF$46,E1119=$AB$47,$AF$47,E1119=$AB$48,$AF$48,E1119=$AB$49,$AF$49,E1119=$AB$50,$AF$50,E1119=$AB$51,$AF$51,E1119=$AB$52,$AF$52,E1119=$AB$53,$AF$53,E1119=$AB$54,$AF$54,E1119=$AB$55,$AF$55,E1119=$AB$56,$AF$56,E1119=$AB$57,$AF$57,E1119=$AB$58,$AF$58,E1119=$AB$59,$AF$59,E1119=$AB$60,$AF$60,E1119=$AB$61,$AF$61,E1119=$AB$62,$AF$62,E1119=$AB$63,$AF$63,E1119=$AB$64,$AF$64,E1119=$AB$65,$AF$65,E1119=$AB$66,$AF$66,TRUE,"0")</f>
        <v>B4 match BACK FT +1.5 goals. X AFTER  GOAL</v>
      </c>
      <c r="D1119" s="270" t="str" cm="1">
        <f t="array" ref="D1119">_xlfn.IFS(E1119=$AB$42,$AD$42,E1119=$AB$43,$AD$43,E1119=$AB$44,$AD$44,E1119=$AB$45,$AD$45,E1119=$AB$46,$AD$46,E1119=$AB$47,$AD$47,E1119=$AB$48,$AD$48,E1119=$AB$49,$AD$49,E1119=$AB$50,$AD$50,E1119=$AB$51,$AD$51,E1119=$AB$52,$AD$52,E1119=$AB$53,$AD$53,E1119=$AB$54,$AD$54,E1119=$AB$55,$AD$55,E1119=$AB$56,$AD$56,E1119=$AB$57,$AD$57,E1119=$AB$58,$AD$58,E1119=$AB$59,$AD$59,E1119=$AB$60,$AD$60,E1119=$AB$61,$AD$61,E1119=$AB$62,$AD$62,E1119=$AB$63,$AD$63,E1119=$AB$64,$AD$64,E1119=$AB$65,$AD$65,E1119=$AB$66,$AD$66,TRUE,"0")</f>
        <v xml:space="preserve">BFM </v>
      </c>
      <c r="E1119" s="163" t="s">
        <v>623</v>
      </c>
      <c r="F1119" s="2" t="s">
        <v>412</v>
      </c>
      <c r="G1119" s="2" t="s">
        <v>156</v>
      </c>
      <c r="H1119" s="3">
        <v>45403.666666666664</v>
      </c>
      <c r="I1119" s="2" t="s">
        <v>500</v>
      </c>
      <c r="J1119" s="2" t="s">
        <v>462</v>
      </c>
      <c r="K1119" s="2">
        <v>4.3</v>
      </c>
      <c r="L1119" s="2">
        <v>20</v>
      </c>
      <c r="M1119" s="2">
        <v>2.6</v>
      </c>
      <c r="N1119" s="2">
        <v>35</v>
      </c>
      <c r="O1119" s="2">
        <v>2</v>
      </c>
      <c r="P1119" s="2">
        <v>10</v>
      </c>
      <c r="Q1119" s="2" t="s">
        <v>95</v>
      </c>
      <c r="R1119" s="10" t="s">
        <v>216</v>
      </c>
      <c r="S1119" s="10" t="s">
        <v>277</v>
      </c>
      <c r="T1119" s="188">
        <v>1000</v>
      </c>
      <c r="U1119" s="8">
        <f t="shared" si="133"/>
        <v>180</v>
      </c>
      <c r="V1119" s="234">
        <f t="shared" si="134"/>
        <v>102944.1552461603</v>
      </c>
      <c r="W1119" s="15">
        <v>25</v>
      </c>
      <c r="X1119" s="8">
        <f t="shared" si="128"/>
        <v>4.5</v>
      </c>
      <c r="Y1119" s="233">
        <f t="shared" si="130"/>
        <v>4439.5</v>
      </c>
    </row>
    <row r="1120" spans="1:25">
      <c r="A1120" s="156" t="e" cm="1">
        <f t="array" aca="1" ref="A1120" ca="1">_xlfn.IFS(E1120=$AB$42,$AC$42,E1120=$AB$43,$AC$43,E1120=$AB$44,$AC$44,E1120=$AB$45,$AC$45,E1120=$AB$46,$AC$46,E1120=$AB$47,$AC$47,E1120=$AB$48,$AC$48,E1120=$AB$49,$AC$49,E1120=$AB$50,$AC$50,E1120=$AB$51,$AC$51,E1120=$AB$52,$AC$52,E1120=$AB$53,$AC$53,E1120=$AB$54,$AC$54,E1120=$AB$55,$AC$55,E1120=$AB$56,$AC$56,E1120=$AB$57,$AC$57,E1120=$AB$58,$AC$58,E1120=$AB$59,$AC$59,E1120=$AB$60,$AC$60,E1120=$AB$61,$AC$61,E1120=$AB$62,$AC$62,E1120=$AB$63,$AC$63,E1120=$AB$64,$AC$64,E1120=$AB$65,$AC$65,E1120=$AB$66,$AC$66,TRUE,"0")</f>
        <v>#NAME?</v>
      </c>
      <c r="C1120" s="161" t="str" cm="1">
        <f t="array" ref="C1120">_xlfn.IFS(E1120=$AB$42,$AF$42,E1120=$AB$43,$AF$43,E1120=$AB$44,$AF$44,E1120=$AB$45,$AF$45,E1120=$AB$46,$AF$46,E1120=$AB$47,$AF$47,E1120=$AB$48,$AF$48,E1120=$AB$49,$AF$49,E1120=$AB$50,$AF$50,E1120=$AB$51,$AF$51,E1120=$AB$52,$AF$52,E1120=$AB$53,$AF$53,E1120=$AB$54,$AF$54,E1120=$AB$55,$AF$55,E1120=$AB$56,$AF$56,E1120=$AB$57,$AF$57,E1120=$AB$58,$AF$58,E1120=$AB$59,$AF$59,E1120=$AB$60,$AF$60,E1120=$AB$61,$AF$61,E1120=$AB$62,$AF$62,E1120=$AB$63,$AF$63,E1120=$AB$64,$AF$64,E1120=$AB$65,$AF$65,E1120=$AB$66,$AF$66,TRUE,"0")</f>
        <v>B4 Match, lay HT 0-0 or BACK H1 +0.5 GOALS</v>
      </c>
      <c r="D1120" s="270" t="str" cm="1">
        <f t="array" ref="D1120">_xlfn.IFS(E1120=$AB$42,$AD$42,E1120=$AB$43,$AD$43,E1120=$AB$44,$AD$44,E1120=$AB$45,$AD$45,E1120=$AB$46,$AD$46,E1120=$AB$47,$AD$47,E1120=$AB$48,$AD$48,E1120=$AB$49,$AD$49,E1120=$AB$50,$AD$50,E1120=$AB$51,$AD$51,E1120=$AB$52,$AD$52,E1120=$AB$53,$AD$53,E1120=$AB$54,$AD$54,E1120=$AB$55,$AD$55,E1120=$AB$56,$AD$56,E1120=$AB$57,$AD$57,E1120=$AB$58,$AD$58,E1120=$AB$59,$AD$59,E1120=$AB$60,$AD$60,E1120=$AB$61,$AD$61,E1120=$AB$62,$AD$62,E1120=$AB$63,$AD$63,E1120=$AB$64,$AD$64,E1120=$AB$65,$AD$65,E1120=$AB$66,$AD$66,TRUE,"0")</f>
        <v xml:space="preserve">BFM </v>
      </c>
      <c r="E1120" s="163" t="s">
        <v>432</v>
      </c>
      <c r="F1120" s="2" t="s">
        <v>640</v>
      </c>
      <c r="G1120" s="2" t="s">
        <v>641</v>
      </c>
      <c r="H1120" s="3">
        <v>45403.666666666664</v>
      </c>
      <c r="I1120" s="2" t="s">
        <v>691</v>
      </c>
      <c r="J1120" s="2" t="s">
        <v>762</v>
      </c>
      <c r="K1120" s="2">
        <v>5</v>
      </c>
      <c r="L1120" s="2">
        <v>20</v>
      </c>
      <c r="M1120" s="2">
        <v>16</v>
      </c>
      <c r="N1120" s="2">
        <v>14</v>
      </c>
      <c r="O1120" s="2">
        <v>21</v>
      </c>
      <c r="P1120" s="2">
        <v>1.65</v>
      </c>
      <c r="Q1120" s="2" t="s">
        <v>95</v>
      </c>
      <c r="R1120" s="10" t="s">
        <v>217</v>
      </c>
      <c r="S1120" s="10" t="s">
        <v>217</v>
      </c>
      <c r="T1120" s="188">
        <v>1000</v>
      </c>
      <c r="U1120" s="8">
        <f t="shared" si="133"/>
        <v>180</v>
      </c>
      <c r="V1120" s="234">
        <f t="shared" si="134"/>
        <v>103124.1552461603</v>
      </c>
      <c r="W1120" s="15">
        <v>25</v>
      </c>
      <c r="X1120" s="8">
        <f t="shared" si="128"/>
        <v>4.5</v>
      </c>
      <c r="Y1120" s="233">
        <f t="shared" si="130"/>
        <v>4444</v>
      </c>
    </row>
    <row r="1121" spans="1:25">
      <c r="A1121" s="156" t="e" cm="1">
        <f t="array" aca="1" ref="A1121" ca="1">_xlfn.IFS(E1121=$AB$42,$AC$42,E1121=$AB$43,$AC$43,E1121=$AB$44,$AC$44,E1121=$AB$45,$AC$45,E1121=$AB$46,$AC$46,E1121=$AB$47,$AC$47,E1121=$AB$48,$AC$48,E1121=$AB$49,$AC$49,E1121=$AB$50,$AC$50,E1121=$AB$51,$AC$51,E1121=$AB$52,$AC$52,E1121=$AB$53,$AC$53,E1121=$AB$54,$AC$54,E1121=$AB$55,$AC$55,E1121=$AB$56,$AC$56,E1121=$AB$57,$AC$57,E1121=$AB$58,$AC$58,E1121=$AB$59,$AC$59,E1121=$AB$60,$AC$60,E1121=$AB$61,$AC$61,E1121=$AB$62,$AC$62,E1121=$AB$63,$AC$63,E1121=$AB$64,$AC$64,E1121=$AB$65,$AC$65,E1121=$AB$66,$AC$66,TRUE,"0")</f>
        <v>#NAME?</v>
      </c>
      <c r="C1121" s="161" t="str" cm="1">
        <f t="array" ref="C1121">_xlfn.IFS(E1121=$AB$42,$AF$42,E1121=$AB$43,$AF$43,E1121=$AB$44,$AF$44,E1121=$AB$45,$AF$45,E1121=$AB$46,$AF$46,E1121=$AB$47,$AF$47,E1121=$AB$48,$AF$48,E1121=$AB$49,$AF$49,E1121=$AB$50,$AF$50,E1121=$AB$51,$AF$51,E1121=$AB$52,$AF$52,E1121=$AB$53,$AF$53,E1121=$AB$54,$AF$54,E1121=$AB$55,$AF$55,E1121=$AB$56,$AF$56,E1121=$AB$57,$AF$57,E1121=$AB$58,$AF$58,E1121=$AB$59,$AF$59,E1121=$AB$60,$AF$60,E1121=$AB$61,$AF$61,E1121=$AB$62,$AF$62,E1121=$AB$63,$AF$63,E1121=$AB$64,$AF$64,E1121=$AB$65,$AF$65,E1121=$AB$66,$AF$66,TRUE,"0")</f>
        <v>B4 match BACK FT +1.5 goals. X AFTER  GOAL</v>
      </c>
      <c r="D1121" s="270" t="str" cm="1">
        <f t="array" ref="D1121">_xlfn.IFS(E1121=$AB$42,$AD$42,E1121=$AB$43,$AD$43,E1121=$AB$44,$AD$44,E1121=$AB$45,$AD$45,E1121=$AB$46,$AD$46,E1121=$AB$47,$AD$47,E1121=$AB$48,$AD$48,E1121=$AB$49,$AD$49,E1121=$AB$50,$AD$50,E1121=$AB$51,$AD$51,E1121=$AB$52,$AD$52,E1121=$AB$53,$AD$53,E1121=$AB$54,$AD$54,E1121=$AB$55,$AD$55,E1121=$AB$56,$AD$56,E1121=$AB$57,$AD$57,E1121=$AB$58,$AD$58,E1121=$AB$59,$AD$59,E1121=$AB$60,$AD$60,E1121=$AB$61,$AD$61,E1121=$AB$62,$AD$62,E1121=$AB$63,$AD$63,E1121=$AB$64,$AD$64,E1121=$AB$65,$AD$65,E1121=$AB$66,$AD$66,TRUE,"0")</f>
        <v xml:space="preserve">BFM </v>
      </c>
      <c r="E1121" s="163" t="s">
        <v>531</v>
      </c>
      <c r="F1121" s="2" t="s">
        <v>6</v>
      </c>
      <c r="G1121" s="2" t="s">
        <v>62</v>
      </c>
      <c r="H1121" s="3">
        <v>45403.6875</v>
      </c>
      <c r="I1121" s="2" t="s">
        <v>115</v>
      </c>
      <c r="J1121" s="2" t="s">
        <v>285</v>
      </c>
      <c r="K1121" s="2">
        <v>5.9</v>
      </c>
      <c r="L1121" s="2">
        <v>31</v>
      </c>
      <c r="M1121" s="2">
        <v>2.9</v>
      </c>
      <c r="N1121" s="2">
        <v>36</v>
      </c>
      <c r="O1121" s="2">
        <v>2</v>
      </c>
      <c r="P1121" s="2">
        <v>15</v>
      </c>
      <c r="Q1121" s="2" t="s">
        <v>95</v>
      </c>
      <c r="R1121" s="10" t="s">
        <v>216</v>
      </c>
      <c r="S1121" s="10" t="s">
        <v>211</v>
      </c>
      <c r="T1121" s="188">
        <v>1000</v>
      </c>
      <c r="U1121" s="8">
        <f t="shared" si="133"/>
        <v>180</v>
      </c>
      <c r="V1121" s="234">
        <f t="shared" si="134"/>
        <v>103304.1552461603</v>
      </c>
      <c r="W1121" s="15">
        <v>25</v>
      </c>
      <c r="X1121" s="8">
        <f t="shared" ref="X1121:X1184" si="135">IF(Q1121="won",W1121*0.18,-W1121)</f>
        <v>4.5</v>
      </c>
      <c r="Y1121" s="233">
        <f t="shared" si="130"/>
        <v>4448.5</v>
      </c>
    </row>
    <row r="1122" spans="1:25">
      <c r="A1122" s="156" t="e" cm="1">
        <f t="array" aca="1" ref="A1122" ca="1">_xlfn.IFS(E1122=$AB$42,$AC$42,E1122=$AB$43,$AC$43,E1122=$AB$44,$AC$44,E1122=$AB$45,$AC$45,E1122=$AB$46,$AC$46,E1122=$AB$47,$AC$47,E1122=$AB$48,$AC$48,E1122=$AB$49,$AC$49,E1122=$AB$50,$AC$50,E1122=$AB$51,$AC$51,E1122=$AB$52,$AC$52,E1122=$AB$53,$AC$53,E1122=$AB$54,$AC$54,E1122=$AB$55,$AC$55,E1122=$AB$56,$AC$56,E1122=$AB$57,$AC$57,E1122=$AB$58,$AC$58,E1122=$AB$59,$AC$59,E1122=$AB$60,$AC$60,E1122=$AB$61,$AC$61,E1122=$AB$62,$AC$62,E1122=$AB$63,$AC$63,E1122=$AB$64,$AC$64,E1122=$AB$65,$AC$65,E1122=$AB$66,$AC$66,TRUE,"0")</f>
        <v>#NAME?</v>
      </c>
      <c r="C1122" s="161" t="str" cm="1">
        <f t="array" ref="C1122">_xlfn.IFS(E1122=$AB$42,$AF$42,E1122=$AB$43,$AF$43,E1122=$AB$44,$AF$44,E1122=$AB$45,$AF$45,E1122=$AB$46,$AF$46,E1122=$AB$47,$AF$47,E1122=$AB$48,$AF$48,E1122=$AB$49,$AF$49,E1122=$AB$50,$AF$50,E1122=$AB$51,$AF$51,E1122=$AB$52,$AF$52,E1122=$AB$53,$AF$53,E1122=$AB$54,$AF$54,E1122=$AB$55,$AF$55,E1122=$AB$56,$AF$56,E1122=$AB$57,$AF$57,E1122=$AB$58,$AF$58,E1122=$AB$59,$AF$59,E1122=$AB$60,$AF$60,E1122=$AB$61,$AF$61,E1122=$AB$62,$AF$62,E1122=$AB$63,$AF$63,E1122=$AB$64,$AF$64,E1122=$AB$65,$AF$65,E1122=$AB$66,$AF$66,TRUE,"0")</f>
        <v>B4 match BACK FT +1.5 goals. X AFTER  GOAL</v>
      </c>
      <c r="D1122" s="270" t="str" cm="1">
        <f t="array" ref="D1122">_xlfn.IFS(E1122=$AB$42,$AD$42,E1122=$AB$43,$AD$43,E1122=$AB$44,$AD$44,E1122=$AB$45,$AD$45,E1122=$AB$46,$AD$46,E1122=$AB$47,$AD$47,E1122=$AB$48,$AD$48,E1122=$AB$49,$AD$49,E1122=$AB$50,$AD$50,E1122=$AB$51,$AD$51,E1122=$AB$52,$AD$52,E1122=$AB$53,$AD$53,E1122=$AB$54,$AD$54,E1122=$AB$55,$AD$55,E1122=$AB$56,$AD$56,E1122=$AB$57,$AD$57,E1122=$AB$58,$AD$58,E1122=$AB$59,$AD$59,E1122=$AB$60,$AD$60,E1122=$AB$61,$AD$61,E1122=$AB$62,$AD$62,E1122=$AB$63,$AD$63,E1122=$AB$64,$AD$64,E1122=$AB$65,$AD$65,E1122=$AB$66,$AD$66,TRUE,"0")</f>
        <v xml:space="preserve">BFM </v>
      </c>
      <c r="E1122" s="163" t="s">
        <v>623</v>
      </c>
      <c r="F1122" s="2" t="s">
        <v>80</v>
      </c>
      <c r="G1122" s="2" t="s">
        <v>81</v>
      </c>
      <c r="H1122" s="3">
        <v>45403.708333333336</v>
      </c>
      <c r="I1122" s="2" t="s">
        <v>144</v>
      </c>
      <c r="J1122" s="2" t="s">
        <v>243</v>
      </c>
      <c r="K1122" s="2">
        <v>2.72</v>
      </c>
      <c r="L1122" s="2">
        <v>20</v>
      </c>
      <c r="M1122" s="2">
        <v>3.25</v>
      </c>
      <c r="N1122" s="2">
        <v>30</v>
      </c>
      <c r="O1122" s="2">
        <v>1</v>
      </c>
      <c r="P1122" s="2">
        <v>10</v>
      </c>
      <c r="Q1122" s="2" t="s">
        <v>95</v>
      </c>
      <c r="R1122" s="10" t="s">
        <v>220</v>
      </c>
      <c r="S1122" s="10" t="s">
        <v>196</v>
      </c>
      <c r="T1122" s="188">
        <v>1000</v>
      </c>
      <c r="U1122" s="8">
        <f t="shared" si="133"/>
        <v>180</v>
      </c>
      <c r="V1122" s="234">
        <f t="shared" si="134"/>
        <v>103484.1552461603</v>
      </c>
      <c r="W1122" s="15">
        <v>25</v>
      </c>
      <c r="X1122" s="8">
        <f t="shared" si="135"/>
        <v>4.5</v>
      </c>
      <c r="Y1122" s="233">
        <f t="shared" si="130"/>
        <v>4453</v>
      </c>
    </row>
    <row r="1123" spans="1:25">
      <c r="A1123" s="156" t="e" cm="1">
        <f t="array" aca="1" ref="A1123" ca="1">_xlfn.IFS(E1123=$AB$42,$AC$42,E1123=$AB$43,$AC$43,E1123=$AB$44,$AC$44,E1123=$AB$45,$AC$45,E1123=$AB$46,$AC$46,E1123=$AB$47,$AC$47,E1123=$AB$48,$AC$48,E1123=$AB$49,$AC$49,E1123=$AB$50,$AC$50,E1123=$AB$51,$AC$51,E1123=$AB$52,$AC$52,E1123=$AB$53,$AC$53,E1123=$AB$54,$AC$54,E1123=$AB$55,$AC$55,E1123=$AB$56,$AC$56,E1123=$AB$57,$AC$57,E1123=$AB$58,$AC$58,E1123=$AB$59,$AC$59,E1123=$AB$60,$AC$60,E1123=$AB$61,$AC$61,E1123=$AB$62,$AC$62,E1123=$AB$63,$AC$63,E1123=$AB$64,$AC$64,E1123=$AB$65,$AC$65,E1123=$AB$66,$AC$66,TRUE,"0")</f>
        <v>#NAME?</v>
      </c>
      <c r="C1123" s="161" t="str" cm="1">
        <f t="array" ref="C1123">_xlfn.IFS(E1123=$AB$42,$AF$42,E1123=$AB$43,$AF$43,E1123=$AB$44,$AF$44,E1123=$AB$45,$AF$45,E1123=$AB$46,$AF$46,E1123=$AB$47,$AF$47,E1123=$AB$48,$AF$48,E1123=$AB$49,$AF$49,E1123=$AB$50,$AF$50,E1123=$AB$51,$AF$51,E1123=$AB$52,$AF$52,E1123=$AB$53,$AF$53,E1123=$AB$54,$AF$54,E1123=$AB$55,$AF$55,E1123=$AB$56,$AF$56,E1123=$AB$57,$AF$57,E1123=$AB$58,$AF$58,E1123=$AB$59,$AF$59,E1123=$AB$60,$AF$60,E1123=$AB$61,$AF$61,E1123=$AB$62,$AF$62,E1123=$AB$63,$AF$63,E1123=$AB$64,$AF$64,E1123=$AB$65,$AF$65,E1123=$AB$66,$AF$66,TRUE,"0")</f>
        <v>40 mins Back ANother Goal</v>
      </c>
      <c r="D1123" s="270" t="str" cm="1">
        <f t="array" ref="D1123">_xlfn.IFS(E1123=$AB$42,$AD$42,E1123=$AB$43,$AD$43,E1123=$AB$44,$AD$44,E1123=$AB$45,$AD$45,E1123=$AB$46,$AD$46,E1123=$AB$47,$AD$47,E1123=$AB$48,$AD$48,E1123=$AB$49,$AD$49,E1123=$AB$50,$AD$50,E1123=$AB$51,$AD$51,E1123=$AB$52,$AD$52,E1123=$AB$53,$AD$53,E1123=$AB$54,$AD$54,E1123=$AB$55,$AD$55,E1123=$AB$56,$AD$56,E1123=$AB$57,$AD$57,E1123=$AB$58,$AD$58,E1123=$AB$59,$AD$59,E1123=$AB$60,$AD$60,E1123=$AB$61,$AD$61,E1123=$AB$62,$AD$62,E1123=$AB$63,$AD$63,E1123=$AB$64,$AD$64,E1123=$AB$65,$AD$65,E1123=$AB$66,$AD$66,TRUE,"0")</f>
        <v xml:space="preserve">  BANG</v>
      </c>
      <c r="E1123" s="163" t="s">
        <v>726</v>
      </c>
      <c r="F1123" s="2" t="s">
        <v>133</v>
      </c>
      <c r="G1123" s="2" t="s">
        <v>78</v>
      </c>
      <c r="H1123" s="3">
        <v>45403.729166666664</v>
      </c>
      <c r="I1123" s="2" t="s">
        <v>136</v>
      </c>
      <c r="J1123" s="2" t="s">
        <v>447</v>
      </c>
      <c r="K1123" s="2">
        <v>80</v>
      </c>
      <c r="L1123" s="2">
        <v>20</v>
      </c>
      <c r="M1123" s="2">
        <v>1.85</v>
      </c>
      <c r="N1123" s="2">
        <v>63</v>
      </c>
      <c r="O1123" s="2"/>
      <c r="P1123" s="2"/>
      <c r="Q1123" s="2" t="s">
        <v>95</v>
      </c>
      <c r="R1123" s="10" t="s">
        <v>214</v>
      </c>
      <c r="S1123" s="10" t="s">
        <v>223</v>
      </c>
      <c r="T1123" s="188">
        <v>1000</v>
      </c>
      <c r="U1123" s="8">
        <f t="shared" si="133"/>
        <v>180</v>
      </c>
      <c r="V1123" s="234">
        <f t="shared" si="134"/>
        <v>103664.1552461603</v>
      </c>
      <c r="W1123" s="15">
        <v>25</v>
      </c>
      <c r="X1123" s="8">
        <f t="shared" si="135"/>
        <v>4.5</v>
      </c>
      <c r="Y1123" s="233">
        <f t="shared" si="130"/>
        <v>4457.5</v>
      </c>
    </row>
    <row r="1124" spans="1:25">
      <c r="A1124" s="156" t="e" cm="1">
        <f t="array" aca="1" ref="A1124" ca="1">_xlfn.IFS(E1124=$AB$42,$AC$42,E1124=$AB$43,$AC$43,E1124=$AB$44,$AC$44,E1124=$AB$45,$AC$45,E1124=$AB$46,$AC$46,E1124=$AB$47,$AC$47,E1124=$AB$48,$AC$48,E1124=$AB$49,$AC$49,E1124=$AB$50,$AC$50,E1124=$AB$51,$AC$51,E1124=$AB$52,$AC$52,E1124=$AB$53,$AC$53,E1124=$AB$54,$AC$54,E1124=$AB$55,$AC$55,E1124=$AB$56,$AC$56,E1124=$AB$57,$AC$57,E1124=$AB$58,$AC$58,E1124=$AB$59,$AC$59,E1124=$AB$60,$AC$60,E1124=$AB$61,$AC$61,E1124=$AB$62,$AC$62,E1124=$AB$63,$AC$63,E1124=$AB$64,$AC$64,E1124=$AB$65,$AC$65,E1124=$AB$66,$AC$66,TRUE,"0")</f>
        <v>#NAME?</v>
      </c>
      <c r="C1124" s="161" t="str" cm="1">
        <f t="array" ref="C1124">_xlfn.IFS(E1124=$AB$42,$AF$42,E1124=$AB$43,$AF$43,E1124=$AB$44,$AF$44,E1124=$AB$45,$AF$45,E1124=$AB$46,$AF$46,E1124=$AB$47,$AF$47,E1124=$AB$48,$AF$48,E1124=$AB$49,$AF$49,E1124=$AB$50,$AF$50,E1124=$AB$51,$AF$51,E1124=$AB$52,$AF$52,E1124=$AB$53,$AF$53,E1124=$AB$54,$AF$54,E1124=$AB$55,$AF$55,E1124=$AB$56,$AF$56,E1124=$AB$57,$AF$57,E1124=$AB$58,$AF$58,E1124=$AB$59,$AF$59,E1124=$AB$60,$AF$60,E1124=$AB$61,$AF$61,E1124=$AB$62,$AF$62,E1124=$AB$63,$AF$63,E1124=$AB$64,$AF$64,E1124=$AB$65,$AF$65,E1124=$AB$66,$AF$66,TRUE,"0")</f>
        <v>20mins if  0-0, BACK over 1.5 goals X after goal OR LET RUN</v>
      </c>
      <c r="D1124" s="270" t="str" cm="1">
        <f t="array" ref="D1124">_xlfn.IFS(E1124=$AB$42,$AD$42,E1124=$AB$43,$AD$43,E1124=$AB$44,$AD$44,E1124=$AB$45,$AD$45,E1124=$AB$46,$AD$46,E1124=$AB$47,$AD$47,E1124=$AB$48,$AD$48,E1124=$AB$49,$AD$49,E1124=$AB$50,$AD$50,E1124=$AB$51,$AD$51,E1124=$AB$52,$AD$52,E1124=$AB$53,$AD$53,E1124=$AB$54,$AD$54,E1124=$AB$55,$AD$55,E1124=$AB$56,$AD$56,E1124=$AB$57,$AD$57,E1124=$AB$58,$AD$58,E1124=$AB$59,$AD$59,E1124=$AB$60,$AD$60,E1124=$AB$61,$AD$61,E1124=$AB$62,$AD$62,E1124=$AB$63,$AD$63,E1124=$AB$64,$AD$64,E1124=$AB$65,$AD$65,E1124=$AB$66,$AD$66,TRUE,"0")</f>
        <v>IP</v>
      </c>
      <c r="E1124" s="163" t="s">
        <v>474</v>
      </c>
      <c r="F1124" s="2" t="s">
        <v>133</v>
      </c>
      <c r="G1124" s="2" t="s">
        <v>78</v>
      </c>
      <c r="H1124" s="3">
        <v>45403.729166666664</v>
      </c>
      <c r="I1124" s="2" t="s">
        <v>136</v>
      </c>
      <c r="J1124" s="2" t="s">
        <v>447</v>
      </c>
      <c r="K1124" s="2">
        <v>57</v>
      </c>
      <c r="L1124" s="2">
        <v>3.35</v>
      </c>
      <c r="M1124" s="2">
        <v>20</v>
      </c>
      <c r="N1124" s="2">
        <v>70</v>
      </c>
      <c r="O1124" s="2">
        <v>90</v>
      </c>
      <c r="P1124" s="2"/>
      <c r="Q1124" s="2" t="s">
        <v>95</v>
      </c>
      <c r="R1124" s="10" t="s">
        <v>214</v>
      </c>
      <c r="S1124" s="10" t="s">
        <v>223</v>
      </c>
      <c r="T1124" s="188">
        <v>1000</v>
      </c>
      <c r="U1124" s="8">
        <f t="shared" si="133"/>
        <v>180</v>
      </c>
      <c r="V1124" s="234">
        <f t="shared" si="134"/>
        <v>103844.1552461603</v>
      </c>
      <c r="W1124" s="15">
        <v>25</v>
      </c>
      <c r="X1124" s="8">
        <f t="shared" si="135"/>
        <v>4.5</v>
      </c>
      <c r="Y1124" s="233">
        <f t="shared" si="130"/>
        <v>4462</v>
      </c>
    </row>
    <row r="1125" spans="1:25">
      <c r="A1125" s="156" t="e" cm="1">
        <f t="array" aca="1" ref="A1125" ca="1">_xlfn.IFS(E1125=$AB$42,$AC$42,E1125=$AB$43,$AC$43,E1125=$AB$44,$AC$44,E1125=$AB$45,$AC$45,E1125=$AB$46,$AC$46,E1125=$AB$47,$AC$47,E1125=$AB$48,$AC$48,E1125=$AB$49,$AC$49,E1125=$AB$50,$AC$50,E1125=$AB$51,$AC$51,E1125=$AB$52,$AC$52,E1125=$AB$53,$AC$53,E1125=$AB$54,$AC$54,E1125=$AB$55,$AC$55,E1125=$AB$56,$AC$56,E1125=$AB$57,$AC$57,E1125=$AB$58,$AC$58,E1125=$AB$59,$AC$59,E1125=$AB$60,$AC$60,E1125=$AB$61,$AC$61,E1125=$AB$62,$AC$62,E1125=$AB$63,$AC$63,E1125=$AB$64,$AC$64,E1125=$AB$65,$AC$65,E1125=$AB$66,$AC$66,TRUE,"0")</f>
        <v>#NAME?</v>
      </c>
      <c r="C1125" s="161" t="str" cm="1">
        <f t="array" ref="C1125">_xlfn.IFS(E1125=$AB$42,$AF$42,E1125=$AB$43,$AF$43,E1125=$AB$44,$AF$44,E1125=$AB$45,$AF$45,E1125=$AB$46,$AF$46,E1125=$AB$47,$AF$47,E1125=$AB$48,$AF$48,E1125=$AB$49,$AF$49,E1125=$AB$50,$AF$50,E1125=$AB$51,$AF$51,E1125=$AB$52,$AF$52,E1125=$AB$53,$AF$53,E1125=$AB$54,$AF$54,E1125=$AB$55,$AF$55,E1125=$AB$56,$AF$56,E1125=$AB$57,$AF$57,E1125=$AB$58,$AF$58,E1125=$AB$59,$AF$59,E1125=$AB$60,$AF$60,E1125=$AB$61,$AF$61,E1125=$AB$62,$AF$62,E1125=$AB$63,$AF$63,E1125=$AB$64,$AF$64,E1125=$AB$65,$AF$65,E1125=$AB$66,$AF$66,TRUE,"0")</f>
        <v>20mins if  0-0, BACK over 1.5 goals X after goal OR LET RUN</v>
      </c>
      <c r="D1125" s="270" t="str" cm="1">
        <f t="array" ref="D1125">_xlfn.IFS(E1125=$AB$42,$AD$42,E1125=$AB$43,$AD$43,E1125=$AB$44,$AD$44,E1125=$AB$45,$AD$45,E1125=$AB$46,$AD$46,E1125=$AB$47,$AD$47,E1125=$AB$48,$AD$48,E1125=$AB$49,$AD$49,E1125=$AB$50,$AD$50,E1125=$AB$51,$AD$51,E1125=$AB$52,$AD$52,E1125=$AB$53,$AD$53,E1125=$AB$54,$AD$54,E1125=$AB$55,$AD$55,E1125=$AB$56,$AD$56,E1125=$AB$57,$AD$57,E1125=$AB$58,$AD$58,E1125=$AB$59,$AD$59,E1125=$AB$60,$AD$60,E1125=$AB$61,$AD$61,E1125=$AB$62,$AD$62,E1125=$AB$63,$AD$63,E1125=$AB$64,$AD$64,E1125=$AB$65,$AD$65,E1125=$AB$66,$AD$66,TRUE,"0")</f>
        <v>IP</v>
      </c>
      <c r="E1125" s="163" t="s">
        <v>474</v>
      </c>
      <c r="F1125" s="2" t="s">
        <v>67</v>
      </c>
      <c r="G1125" s="2" t="s">
        <v>68</v>
      </c>
      <c r="H1125" s="3">
        <v>45403.729166666664</v>
      </c>
      <c r="I1125" s="2" t="s">
        <v>465</v>
      </c>
      <c r="J1125" s="2" t="s">
        <v>265</v>
      </c>
      <c r="K1125" s="2">
        <v>52</v>
      </c>
      <c r="L1125" s="2">
        <v>3.05</v>
      </c>
      <c r="M1125" s="2">
        <v>20</v>
      </c>
      <c r="N1125" s="2">
        <v>70</v>
      </c>
      <c r="O1125" s="2">
        <v>85</v>
      </c>
      <c r="P1125" s="2"/>
      <c r="Q1125" s="2" t="s">
        <v>95</v>
      </c>
      <c r="R1125" s="10" t="s">
        <v>221</v>
      </c>
      <c r="S1125" s="10" t="s">
        <v>223</v>
      </c>
      <c r="T1125" s="188">
        <v>1000</v>
      </c>
      <c r="U1125" s="8">
        <f t="shared" si="133"/>
        <v>180</v>
      </c>
      <c r="V1125" s="234">
        <f t="shared" si="134"/>
        <v>104024.1552461603</v>
      </c>
      <c r="W1125" s="15">
        <v>25</v>
      </c>
      <c r="X1125" s="8">
        <f t="shared" si="135"/>
        <v>4.5</v>
      </c>
      <c r="Y1125" s="233">
        <f t="shared" ref="Y1125:Y1188" si="136">SUM(Y1124,X1125)</f>
        <v>4466.5</v>
      </c>
    </row>
    <row r="1126" spans="1:25">
      <c r="A1126" s="156" t="e" cm="1">
        <f t="array" aca="1" ref="A1126" ca="1">_xlfn.IFS(E1126=$AB$42,$AC$42,E1126=$AB$43,$AC$43,E1126=$AB$44,$AC$44,E1126=$AB$45,$AC$45,E1126=$AB$46,$AC$46,E1126=$AB$47,$AC$47,E1126=$AB$48,$AC$48,E1126=$AB$49,$AC$49,E1126=$AB$50,$AC$50,E1126=$AB$51,$AC$51,E1126=$AB$52,$AC$52,E1126=$AB$53,$AC$53,E1126=$AB$54,$AC$54,E1126=$AB$55,$AC$55,E1126=$AB$56,$AC$56,E1126=$AB$57,$AC$57,E1126=$AB$58,$AC$58,E1126=$AB$59,$AC$59,E1126=$AB$60,$AC$60,E1126=$AB$61,$AC$61,E1126=$AB$62,$AC$62,E1126=$AB$63,$AC$63,E1126=$AB$64,$AC$64,E1126=$AB$65,$AC$65,E1126=$AB$66,$AC$66,TRUE,"0")</f>
        <v>#NAME?</v>
      </c>
      <c r="C1126" s="161" t="str" cm="1">
        <f t="array" ref="C1126">_xlfn.IFS(E1126=$AB$42,$AF$42,E1126=$AB$43,$AF$43,E1126=$AB$44,$AF$44,E1126=$AB$45,$AF$45,E1126=$AB$46,$AF$46,E1126=$AB$47,$AF$47,E1126=$AB$48,$AF$48,E1126=$AB$49,$AF$49,E1126=$AB$50,$AF$50,E1126=$AB$51,$AF$51,E1126=$AB$52,$AF$52,E1126=$AB$53,$AF$53,E1126=$AB$54,$AF$54,E1126=$AB$55,$AF$55,E1126=$AB$56,$AF$56,E1126=$AB$57,$AF$57,E1126=$AB$58,$AF$58,E1126=$AB$59,$AF$59,E1126=$AB$60,$AF$60,E1126=$AB$61,$AF$61,E1126=$AB$62,$AF$62,E1126=$AB$63,$AF$63,E1126=$AB$64,$AF$64,E1126=$AB$65,$AF$65,E1126=$AB$66,$AF$66,TRUE,"0")</f>
        <v>B4 match BACK FT +1.5 goals. X AFTER  GOAL</v>
      </c>
      <c r="D1126" s="270" t="str" cm="1">
        <f t="array" ref="D1126">_xlfn.IFS(E1126=$AB$42,$AD$42,E1126=$AB$43,$AD$43,E1126=$AB$44,$AD$44,E1126=$AB$45,$AD$45,E1126=$AB$46,$AD$46,E1126=$AB$47,$AD$47,E1126=$AB$48,$AD$48,E1126=$AB$49,$AD$49,E1126=$AB$50,$AD$50,E1126=$AB$51,$AD$51,E1126=$AB$52,$AD$52,E1126=$AB$53,$AD$53,E1126=$AB$54,$AD$54,E1126=$AB$55,$AD$55,E1126=$AB$56,$AD$56,E1126=$AB$57,$AD$57,E1126=$AB$58,$AD$58,E1126=$AB$59,$AD$59,E1126=$AB$60,$AD$60,E1126=$AB$61,$AD$61,E1126=$AB$62,$AD$62,E1126=$AB$63,$AD$63,E1126=$AB$64,$AD$64,E1126=$AB$65,$AD$65,E1126=$AB$66,$AD$66,TRUE,"0")</f>
        <v xml:space="preserve">BFM </v>
      </c>
      <c r="E1126" s="163" t="s">
        <v>531</v>
      </c>
      <c r="F1126" s="2" t="s">
        <v>58</v>
      </c>
      <c r="G1126" s="2" t="s">
        <v>59</v>
      </c>
      <c r="H1126" s="3">
        <v>45403.75</v>
      </c>
      <c r="I1126" s="2" t="s">
        <v>111</v>
      </c>
      <c r="J1126" s="2" t="s">
        <v>172</v>
      </c>
      <c r="K1126" s="2">
        <v>6</v>
      </c>
      <c r="L1126" s="2">
        <v>28</v>
      </c>
      <c r="M1126" s="2">
        <v>1.96</v>
      </c>
      <c r="N1126" s="2">
        <v>39</v>
      </c>
      <c r="O1126" s="2">
        <v>0</v>
      </c>
      <c r="P1126" s="2">
        <v>14</v>
      </c>
      <c r="Q1126" s="2" t="s">
        <v>95</v>
      </c>
      <c r="R1126" s="10" t="s">
        <v>216</v>
      </c>
      <c r="S1126" s="10" t="s">
        <v>223</v>
      </c>
      <c r="T1126" s="188">
        <v>1000</v>
      </c>
      <c r="U1126" s="8">
        <f t="shared" si="133"/>
        <v>180</v>
      </c>
      <c r="V1126" s="234">
        <f t="shared" si="134"/>
        <v>104204.1552461603</v>
      </c>
      <c r="W1126" s="15">
        <v>25</v>
      </c>
      <c r="X1126" s="8">
        <f t="shared" si="135"/>
        <v>4.5</v>
      </c>
      <c r="Y1126" s="233">
        <f t="shared" si="136"/>
        <v>4471</v>
      </c>
    </row>
    <row r="1127" spans="1:25">
      <c r="A1127" s="156" t="e" cm="1">
        <f t="array" aca="1" ref="A1127" ca="1">_xlfn.IFS(E1127=$AB$42,$AC$42,E1127=$AB$43,$AC$43,E1127=$AB$44,$AC$44,E1127=$AB$45,$AC$45,E1127=$AB$46,$AC$46,E1127=$AB$47,$AC$47,E1127=$AB$48,$AC$48,E1127=$AB$49,$AC$49,E1127=$AB$50,$AC$50,E1127=$AB$51,$AC$51,E1127=$AB$52,$AC$52,E1127=$AB$53,$AC$53,E1127=$AB$54,$AC$54,E1127=$AB$55,$AC$55,E1127=$AB$56,$AC$56,E1127=$AB$57,$AC$57,E1127=$AB$58,$AC$58,E1127=$AB$59,$AC$59,E1127=$AB$60,$AC$60,E1127=$AB$61,$AC$61,E1127=$AB$62,$AC$62,E1127=$AB$63,$AC$63,E1127=$AB$64,$AC$64,E1127=$AB$65,$AC$65,E1127=$AB$66,$AC$66,TRUE,"0")</f>
        <v>#NAME?</v>
      </c>
      <c r="C1127" s="161" t="str" cm="1">
        <f t="array" ref="C1127">_xlfn.IFS(E1127=$AB$42,$AF$42,E1127=$AB$43,$AF$43,E1127=$AB$44,$AF$44,E1127=$AB$45,$AF$45,E1127=$AB$46,$AF$46,E1127=$AB$47,$AF$47,E1127=$AB$48,$AF$48,E1127=$AB$49,$AF$49,E1127=$AB$50,$AF$50,E1127=$AB$51,$AF$51,E1127=$AB$52,$AF$52,E1127=$AB$53,$AF$53,E1127=$AB$54,$AF$54,E1127=$AB$55,$AF$55,E1127=$AB$56,$AF$56,E1127=$AB$57,$AF$57,E1127=$AB$58,$AF$58,E1127=$AB$59,$AF$59,E1127=$AB$60,$AF$60,E1127=$AB$61,$AF$61,E1127=$AB$62,$AF$62,E1127=$AB$63,$AF$63,E1127=$AB$64,$AF$64,E1127=$AB$65,$AF$65,E1127=$AB$66,$AF$66,TRUE,"0")</f>
        <v>if 0-0, BACK+ 0.5 GOALS  @ 1.15+odds.  or @ 40 mins</v>
      </c>
      <c r="D1127" s="270" t="str" cm="1">
        <f t="array" ref="D1127">_xlfn.IFS(E1127=$AB$42,$AD$42,E1127=$AB$43,$AD$43,E1127=$AB$44,$AD$44,E1127=$AB$45,$AD$45,E1127=$AB$46,$AD$46,E1127=$AB$47,$AD$47,E1127=$AB$48,$AD$48,E1127=$AB$49,$AD$49,E1127=$AB$50,$AD$50,E1127=$AB$51,$AD$51,E1127=$AB$52,$AD$52,E1127=$AB$53,$AD$53,E1127=$AB$54,$AD$54,E1127=$AB$55,$AD$55,E1127=$AB$56,$AD$56,E1127=$AB$57,$AD$57,E1127=$AB$58,$AD$58,E1127=$AB$59,$AD$59,E1127=$AB$60,$AD$60,E1127=$AB$61,$AD$61,E1127=$AB$62,$AD$62,E1127=$AB$63,$AD$63,E1127=$AB$64,$AD$64,E1127=$AB$65,$AD$65,E1127=$AB$66,$AD$66,TRUE,"0")</f>
        <v>IP</v>
      </c>
      <c r="E1127" s="163" t="s">
        <v>270</v>
      </c>
      <c r="F1127" s="2" t="s">
        <v>133</v>
      </c>
      <c r="G1127" s="2" t="s">
        <v>78</v>
      </c>
      <c r="H1127" s="3">
        <v>45403.770833333336</v>
      </c>
      <c r="I1127" s="2" t="s">
        <v>488</v>
      </c>
      <c r="J1127" s="2" t="s">
        <v>137</v>
      </c>
      <c r="K1127" s="2">
        <v>60</v>
      </c>
      <c r="L1127" s="2">
        <v>0</v>
      </c>
      <c r="M1127" s="2">
        <v>20</v>
      </c>
      <c r="N1127" s="2">
        <v>32</v>
      </c>
      <c r="O1127" s="2">
        <v>2.69</v>
      </c>
      <c r="P1127" s="2"/>
      <c r="Q1127" s="2" t="s">
        <v>95</v>
      </c>
      <c r="R1127" s="10" t="s">
        <v>214</v>
      </c>
      <c r="S1127" s="10" t="s">
        <v>222</v>
      </c>
      <c r="T1127" s="188">
        <v>1000</v>
      </c>
      <c r="U1127" s="8">
        <f t="shared" si="133"/>
        <v>180</v>
      </c>
      <c r="V1127" s="234">
        <f t="shared" si="134"/>
        <v>104384.1552461603</v>
      </c>
      <c r="W1127" s="15">
        <v>25</v>
      </c>
      <c r="X1127" s="8">
        <f t="shared" si="135"/>
        <v>4.5</v>
      </c>
      <c r="Y1127" s="233">
        <f t="shared" si="136"/>
        <v>4475.5</v>
      </c>
    </row>
    <row r="1128" spans="1:25">
      <c r="A1128" s="156" t="e" cm="1">
        <f t="array" aca="1" ref="A1128" ca="1">_xlfn.IFS(E1128=$AB$42,$AC$42,E1128=$AB$43,$AC$43,E1128=$AB$44,$AC$44,E1128=$AB$45,$AC$45,E1128=$AB$46,$AC$46,E1128=$AB$47,$AC$47,E1128=$AB$48,$AC$48,E1128=$AB$49,$AC$49,E1128=$AB$50,$AC$50,E1128=$AB$51,$AC$51,E1128=$AB$52,$AC$52,E1128=$AB$53,$AC$53,E1128=$AB$54,$AC$54,E1128=$AB$55,$AC$55,E1128=$AB$56,$AC$56,E1128=$AB$57,$AC$57,E1128=$AB$58,$AC$58,E1128=$AB$59,$AC$59,E1128=$AB$60,$AC$60,E1128=$AB$61,$AC$61,E1128=$AB$62,$AC$62,E1128=$AB$63,$AC$63,E1128=$AB$64,$AC$64,E1128=$AB$65,$AC$65,E1128=$AB$66,$AC$66,TRUE,"0")</f>
        <v>#NAME?</v>
      </c>
      <c r="C1128" s="161" t="str" cm="1">
        <f t="array" ref="C1128">_xlfn.IFS(E1128=$AB$42,$AF$42,E1128=$AB$43,$AF$43,E1128=$AB$44,$AF$44,E1128=$AB$45,$AF$45,E1128=$AB$46,$AF$46,E1128=$AB$47,$AF$47,E1128=$AB$48,$AF$48,E1128=$AB$49,$AF$49,E1128=$AB$50,$AF$50,E1128=$AB$51,$AF$51,E1128=$AB$52,$AF$52,E1128=$AB$53,$AF$53,E1128=$AB$54,$AF$54,E1128=$AB$55,$AF$55,E1128=$AB$56,$AF$56,E1128=$AB$57,$AF$57,E1128=$AB$58,$AF$58,E1128=$AB$59,$AF$59,E1128=$AB$60,$AF$60,E1128=$AB$61,$AF$61,E1128=$AB$62,$AF$62,E1128=$AB$63,$AF$63,E1128=$AB$64,$AF$64,E1128=$AB$65,$AF$65,E1128=$AB$66,$AF$66,TRUE,"0")</f>
        <v>B4 match BACK FT +1.5 goals. X AFTER  GOAL</v>
      </c>
      <c r="D1128" s="270" t="str" cm="1">
        <f t="array" ref="D1128">_xlfn.IFS(E1128=$AB$42,$AD$42,E1128=$AB$43,$AD$43,E1128=$AB$44,$AD$44,E1128=$AB$45,$AD$45,E1128=$AB$46,$AD$46,E1128=$AB$47,$AD$47,E1128=$AB$48,$AD$48,E1128=$AB$49,$AD$49,E1128=$AB$50,$AD$50,E1128=$AB$51,$AD$51,E1128=$AB$52,$AD$52,E1128=$AB$53,$AD$53,E1128=$AB$54,$AD$54,E1128=$AB$55,$AD$55,E1128=$AB$56,$AD$56,E1128=$AB$57,$AD$57,E1128=$AB$58,$AD$58,E1128=$AB$59,$AD$59,E1128=$AB$60,$AD$60,E1128=$AB$61,$AD$61,E1128=$AB$62,$AD$62,E1128=$AB$63,$AD$63,E1128=$AB$64,$AD$64,E1128=$AB$65,$AD$65,E1128=$AB$66,$AD$66,TRUE,"0")</f>
        <v xml:space="preserve">BFM </v>
      </c>
      <c r="E1128" s="163" t="s">
        <v>623</v>
      </c>
      <c r="F1128" s="2" t="s">
        <v>145</v>
      </c>
      <c r="G1128" s="2" t="s">
        <v>190</v>
      </c>
      <c r="H1128" s="3">
        <v>45403.833333333336</v>
      </c>
      <c r="I1128" s="2" t="s">
        <v>553</v>
      </c>
      <c r="J1128" s="2" t="s">
        <v>571</v>
      </c>
      <c r="K1128" s="2">
        <v>5</v>
      </c>
      <c r="L1128" s="2">
        <v>20</v>
      </c>
      <c r="M1128" s="2">
        <v>3.35</v>
      </c>
      <c r="N1128" s="2">
        <v>29</v>
      </c>
      <c r="O1128" s="2">
        <v>1</v>
      </c>
      <c r="P1128" s="2">
        <v>10</v>
      </c>
      <c r="Q1128" s="2" t="s">
        <v>95</v>
      </c>
      <c r="R1128" s="10" t="s">
        <v>196</v>
      </c>
      <c r="S1128" s="10" t="s">
        <v>196</v>
      </c>
      <c r="T1128" s="188">
        <v>1000</v>
      </c>
      <c r="U1128" s="8">
        <f t="shared" si="133"/>
        <v>180</v>
      </c>
      <c r="V1128" s="234">
        <f t="shared" si="134"/>
        <v>104564.1552461603</v>
      </c>
      <c r="W1128" s="15">
        <v>25</v>
      </c>
      <c r="X1128" s="8">
        <f t="shared" si="135"/>
        <v>4.5</v>
      </c>
      <c r="Y1128" s="233">
        <f t="shared" si="136"/>
        <v>4480</v>
      </c>
    </row>
    <row r="1129" spans="1:25">
      <c r="A1129" s="156" t="e" cm="1">
        <f t="array" aca="1" ref="A1129" ca="1">_xlfn.IFS(E1129=$AB$42,$AC$42,E1129=$AB$43,$AC$43,E1129=$AB$44,$AC$44,E1129=$AB$45,$AC$45,E1129=$AB$46,$AC$46,E1129=$AB$47,$AC$47,E1129=$AB$48,$AC$48,E1129=$AB$49,$AC$49,E1129=$AB$50,$AC$50,E1129=$AB$51,$AC$51,E1129=$AB$52,$AC$52,E1129=$AB$53,$AC$53,E1129=$AB$54,$AC$54,E1129=$AB$55,$AC$55,E1129=$AB$56,$AC$56,E1129=$AB$57,$AC$57,E1129=$AB$58,$AC$58,E1129=$AB$59,$AC$59,E1129=$AB$60,$AC$60,E1129=$AB$61,$AC$61,E1129=$AB$62,$AC$62,E1129=$AB$63,$AC$63,E1129=$AB$64,$AC$64,E1129=$AB$65,$AC$65,E1129=$AB$66,$AC$66,TRUE,"0")</f>
        <v>#NAME?</v>
      </c>
      <c r="C1129" s="161" t="str" cm="1">
        <f t="array" ref="C1129">_xlfn.IFS(E1129=$AB$42,$AF$42,E1129=$AB$43,$AF$43,E1129=$AB$44,$AF$44,E1129=$AB$45,$AF$45,E1129=$AB$46,$AF$46,E1129=$AB$47,$AF$47,E1129=$AB$48,$AF$48,E1129=$AB$49,$AF$49,E1129=$AB$50,$AF$50,E1129=$AB$51,$AF$51,E1129=$AB$52,$AF$52,E1129=$AB$53,$AF$53,E1129=$AB$54,$AF$54,E1129=$AB$55,$AF$55,E1129=$AB$56,$AF$56,E1129=$AB$57,$AF$57,E1129=$AB$58,$AF$58,E1129=$AB$59,$AF$59,E1129=$AB$60,$AF$60,E1129=$AB$61,$AF$61,E1129=$AB$62,$AF$62,E1129=$AB$63,$AF$63,E1129=$AB$64,$AF$64,E1129=$AB$65,$AF$65,E1129=$AB$66,$AF$66,TRUE,"0")</f>
        <v>40 mins Back ANother Goal</v>
      </c>
      <c r="D1129" s="270" t="str" cm="1">
        <f t="array" ref="D1129">_xlfn.IFS(E1129=$AB$42,$AD$42,E1129=$AB$43,$AD$43,E1129=$AB$44,$AD$44,E1129=$AB$45,$AD$45,E1129=$AB$46,$AD$46,E1129=$AB$47,$AD$47,E1129=$AB$48,$AD$48,E1129=$AB$49,$AD$49,E1129=$AB$50,$AD$50,E1129=$AB$51,$AD$51,E1129=$AB$52,$AD$52,E1129=$AB$53,$AD$53,E1129=$AB$54,$AD$54,E1129=$AB$55,$AD$55,E1129=$AB$56,$AD$56,E1129=$AB$57,$AD$57,E1129=$AB$58,$AD$58,E1129=$AB$59,$AD$59,E1129=$AB$60,$AD$60,E1129=$AB$61,$AD$61,E1129=$AB$62,$AD$62,E1129=$AB$63,$AD$63,E1129=$AB$64,$AD$64,E1129=$AB$65,$AD$65,E1129=$AB$66,$AD$66,TRUE,"0")</f>
        <v xml:space="preserve">  BANG</v>
      </c>
      <c r="E1129" s="163" t="s">
        <v>726</v>
      </c>
      <c r="F1129" s="2" t="s">
        <v>119</v>
      </c>
      <c r="G1129" s="2" t="s">
        <v>120</v>
      </c>
      <c r="H1129" s="3">
        <v>45403.833333333336</v>
      </c>
      <c r="I1129" s="2" t="s">
        <v>122</v>
      </c>
      <c r="J1129" s="2" t="s">
        <v>361</v>
      </c>
      <c r="K1129" s="2">
        <v>90</v>
      </c>
      <c r="L1129" s="2">
        <v>20</v>
      </c>
      <c r="M1129" s="2">
        <v>1.9</v>
      </c>
      <c r="N1129" s="2">
        <v>64</v>
      </c>
      <c r="O1129" s="2"/>
      <c r="P1129" s="2"/>
      <c r="Q1129" s="2" t="s">
        <v>95</v>
      </c>
      <c r="R1129" s="10" t="s">
        <v>216</v>
      </c>
      <c r="S1129" s="10" t="s">
        <v>209</v>
      </c>
      <c r="T1129" s="188">
        <v>1000</v>
      </c>
      <c r="U1129" s="8">
        <f t="shared" si="133"/>
        <v>180</v>
      </c>
      <c r="V1129" s="234">
        <f t="shared" si="134"/>
        <v>104744.1552461603</v>
      </c>
      <c r="W1129" s="15">
        <v>25</v>
      </c>
      <c r="X1129" s="8">
        <f t="shared" si="135"/>
        <v>4.5</v>
      </c>
      <c r="Y1129" s="233">
        <f t="shared" si="136"/>
        <v>4484.5</v>
      </c>
    </row>
    <row r="1130" spans="1:25">
      <c r="A1130" s="156" t="e" cm="1">
        <f t="array" aca="1" ref="A1130" ca="1">_xlfn.IFS(E1130=$AB$42,$AC$42,E1130=$AB$43,$AC$43,E1130=$AB$44,$AC$44,E1130=$AB$45,$AC$45,E1130=$AB$46,$AC$46,E1130=$AB$47,$AC$47,E1130=$AB$48,$AC$48,E1130=$AB$49,$AC$49,E1130=$AB$50,$AC$50,E1130=$AB$51,$AC$51,E1130=$AB$52,$AC$52,E1130=$AB$53,$AC$53,E1130=$AB$54,$AC$54,E1130=$AB$55,$AC$55,E1130=$AB$56,$AC$56,E1130=$AB$57,$AC$57,E1130=$AB$58,$AC$58,E1130=$AB$59,$AC$59,E1130=$AB$60,$AC$60,E1130=$AB$61,$AC$61,E1130=$AB$62,$AC$62,E1130=$AB$63,$AC$63,E1130=$AB$64,$AC$64,E1130=$AB$65,$AC$65,E1130=$AB$66,$AC$66,TRUE,"0")</f>
        <v>#NAME?</v>
      </c>
      <c r="C1130" s="161" t="str" cm="1">
        <f t="array" ref="C1130">_xlfn.IFS(E1130=$AB$42,$AF$42,E1130=$AB$43,$AF$43,E1130=$AB$44,$AF$44,E1130=$AB$45,$AF$45,E1130=$AB$46,$AF$46,E1130=$AB$47,$AF$47,E1130=$AB$48,$AF$48,E1130=$AB$49,$AF$49,E1130=$AB$50,$AF$50,E1130=$AB$51,$AF$51,E1130=$AB$52,$AF$52,E1130=$AB$53,$AF$53,E1130=$AB$54,$AF$54,E1130=$AB$55,$AF$55,E1130=$AB$56,$AF$56,E1130=$AB$57,$AF$57,E1130=$AB$58,$AF$58,E1130=$AB$59,$AF$59,E1130=$AB$60,$AF$60,E1130=$AB$61,$AF$61,E1130=$AB$62,$AF$62,E1130=$AB$63,$AF$63,E1130=$AB$64,$AF$64,E1130=$AB$65,$AF$65,E1130=$AB$66,$AF$66,TRUE,"0")</f>
        <v>if 0-0, BACK+ 0.5 GOALS  @ 1.15+odds.  or @ 40 mins</v>
      </c>
      <c r="D1130" s="270" t="str" cm="1">
        <f t="array" ref="D1130">_xlfn.IFS(E1130=$AB$42,$AD$42,E1130=$AB$43,$AD$43,E1130=$AB$44,$AD$44,E1130=$AB$45,$AD$45,E1130=$AB$46,$AD$46,E1130=$AB$47,$AD$47,E1130=$AB$48,$AD$48,E1130=$AB$49,$AD$49,E1130=$AB$50,$AD$50,E1130=$AB$51,$AD$51,E1130=$AB$52,$AD$52,E1130=$AB$53,$AD$53,E1130=$AB$54,$AD$54,E1130=$AB$55,$AD$55,E1130=$AB$56,$AD$56,E1130=$AB$57,$AD$57,E1130=$AB$58,$AD$58,E1130=$AB$59,$AD$59,E1130=$AB$60,$AD$60,E1130=$AB$61,$AD$61,E1130=$AB$62,$AD$62,E1130=$AB$63,$AD$63,E1130=$AB$64,$AD$64,E1130=$AB$65,$AD$65,E1130=$AB$66,$AD$66,TRUE,"0")</f>
        <v>IP</v>
      </c>
      <c r="E1130" s="163" t="s">
        <v>270</v>
      </c>
      <c r="F1130" s="2" t="s">
        <v>626</v>
      </c>
      <c r="G1130" s="2" t="s">
        <v>627</v>
      </c>
      <c r="H1130" s="3">
        <v>45404.625</v>
      </c>
      <c r="I1130" s="2" t="s">
        <v>756</v>
      </c>
      <c r="J1130" s="2" t="s">
        <v>629</v>
      </c>
      <c r="K1130" s="2">
        <v>67</v>
      </c>
      <c r="L1130" s="2">
        <v>0</v>
      </c>
      <c r="M1130" s="2">
        <v>20</v>
      </c>
      <c r="N1130" s="2">
        <v>43</v>
      </c>
      <c r="O1130" s="2">
        <v>0</v>
      </c>
      <c r="P1130" s="2"/>
      <c r="Q1130" s="2" t="s">
        <v>96</v>
      </c>
      <c r="R1130" s="10" t="s">
        <v>221</v>
      </c>
      <c r="S1130" s="10" t="s">
        <v>221</v>
      </c>
      <c r="T1130" s="188">
        <v>1000</v>
      </c>
      <c r="U1130" s="8">
        <f t="shared" si="133"/>
        <v>-1000</v>
      </c>
      <c r="V1130" s="234">
        <f t="shared" si="134"/>
        <v>103744.1552461603</v>
      </c>
      <c r="W1130" s="15">
        <v>25</v>
      </c>
      <c r="X1130" s="8">
        <f t="shared" si="135"/>
        <v>-25</v>
      </c>
      <c r="Y1130" s="233">
        <f t="shared" si="136"/>
        <v>4459.5</v>
      </c>
    </row>
    <row r="1131" spans="1:25">
      <c r="A1131" s="156" t="e" cm="1">
        <f t="array" aca="1" ref="A1131" ca="1">_xlfn.IFS(E1131=$AB$42,$AC$42,E1131=$AB$43,$AC$43,E1131=$AB$44,$AC$44,E1131=$AB$45,$AC$45,E1131=$AB$46,$AC$46,E1131=$AB$47,$AC$47,E1131=$AB$48,$AC$48,E1131=$AB$49,$AC$49,E1131=$AB$50,$AC$50,E1131=$AB$51,$AC$51,E1131=$AB$52,$AC$52,E1131=$AB$53,$AC$53,E1131=$AB$54,$AC$54,E1131=$AB$55,$AC$55,E1131=$AB$56,$AC$56,E1131=$AB$57,$AC$57,E1131=$AB$58,$AC$58,E1131=$AB$59,$AC$59,E1131=$AB$60,$AC$60,E1131=$AB$61,$AC$61,E1131=$AB$62,$AC$62,E1131=$AB$63,$AC$63,E1131=$AB$64,$AC$64,E1131=$AB$65,$AC$65,E1131=$AB$66,$AC$66,TRUE,"0")</f>
        <v>#NAME?</v>
      </c>
      <c r="C1131" s="161" t="str" cm="1">
        <f t="array" ref="C1131">_xlfn.IFS(E1131=$AB$42,$AF$42,E1131=$AB$43,$AF$43,E1131=$AB$44,$AF$44,E1131=$AB$45,$AF$45,E1131=$AB$46,$AF$46,E1131=$AB$47,$AF$47,E1131=$AB$48,$AF$48,E1131=$AB$49,$AF$49,E1131=$AB$50,$AF$50,E1131=$AB$51,$AF$51,E1131=$AB$52,$AF$52,E1131=$AB$53,$AF$53,E1131=$AB$54,$AF$54,E1131=$AB$55,$AF$55,E1131=$AB$56,$AF$56,E1131=$AB$57,$AF$57,E1131=$AB$58,$AF$58,E1131=$AB$59,$AF$59,E1131=$AB$60,$AF$60,E1131=$AB$61,$AF$61,E1131=$AB$62,$AF$62,E1131=$AB$63,$AF$63,E1131=$AB$64,$AF$64,E1131=$AB$65,$AF$65,E1131=$AB$66,$AF$66,TRUE,"0")</f>
        <v>B4 Match, lay HT 0-0 or BACK H1 +0.5 GOALS</v>
      </c>
      <c r="D1131" s="270" t="str" cm="1">
        <f t="array" ref="D1131">_xlfn.IFS(E1131=$AB$42,$AD$42,E1131=$AB$43,$AD$43,E1131=$AB$44,$AD$44,E1131=$AB$45,$AD$45,E1131=$AB$46,$AD$46,E1131=$AB$47,$AD$47,E1131=$AB$48,$AD$48,E1131=$AB$49,$AD$49,E1131=$AB$50,$AD$50,E1131=$AB$51,$AD$51,E1131=$AB$52,$AD$52,E1131=$AB$53,$AD$53,E1131=$AB$54,$AD$54,E1131=$AB$55,$AD$55,E1131=$AB$56,$AD$56,E1131=$AB$57,$AD$57,E1131=$AB$58,$AD$58,E1131=$AB$59,$AD$59,E1131=$AB$60,$AD$60,E1131=$AB$61,$AD$61,E1131=$AB$62,$AD$62,E1131=$AB$63,$AD$63,E1131=$AB$64,$AD$64,E1131=$AB$65,$AD$65,E1131=$AB$66,$AD$66,TRUE,"0")</f>
        <v xml:space="preserve">BFM </v>
      </c>
      <c r="E1131" s="163" t="s">
        <v>432</v>
      </c>
      <c r="F1131" s="2" t="s">
        <v>58</v>
      </c>
      <c r="G1131" s="2" t="s">
        <v>289</v>
      </c>
      <c r="H1131" s="3">
        <v>45404.75</v>
      </c>
      <c r="I1131" s="2" t="s">
        <v>416</v>
      </c>
      <c r="J1131" s="2" t="s">
        <v>716</v>
      </c>
      <c r="K1131" s="2">
        <v>5</v>
      </c>
      <c r="L1131" s="2">
        <v>20</v>
      </c>
      <c r="M1131" s="2">
        <v>19</v>
      </c>
      <c r="N1131" s="2">
        <v>17</v>
      </c>
      <c r="O1131" s="2">
        <v>19</v>
      </c>
      <c r="P1131" s="2">
        <v>1.8</v>
      </c>
      <c r="Q1131" s="2" t="s">
        <v>95</v>
      </c>
      <c r="R1131" s="10" t="s">
        <v>220</v>
      </c>
      <c r="S1131" s="10" t="s">
        <v>215</v>
      </c>
      <c r="T1131" s="188">
        <v>1000</v>
      </c>
      <c r="U1131" s="8">
        <f t="shared" si="133"/>
        <v>180</v>
      </c>
      <c r="V1131" s="234">
        <f t="shared" si="134"/>
        <v>103924.1552461603</v>
      </c>
      <c r="W1131" s="15">
        <v>25</v>
      </c>
      <c r="X1131" s="8">
        <f t="shared" si="135"/>
        <v>4.5</v>
      </c>
      <c r="Y1131" s="233">
        <f t="shared" si="136"/>
        <v>4464</v>
      </c>
    </row>
    <row r="1132" spans="1:25">
      <c r="A1132" s="156" t="e" cm="1">
        <f t="array" aca="1" ref="A1132" ca="1">_xlfn.IFS(E1132=$AB$42,$AC$42,E1132=$AB$43,$AC$43,E1132=$AB$44,$AC$44,E1132=$AB$45,$AC$45,E1132=$AB$46,$AC$46,E1132=$AB$47,$AC$47,E1132=$AB$48,$AC$48,E1132=$AB$49,$AC$49,E1132=$AB$50,$AC$50,E1132=$AB$51,$AC$51,E1132=$AB$52,$AC$52,E1132=$AB$53,$AC$53,E1132=$AB$54,$AC$54,E1132=$AB$55,$AC$55,E1132=$AB$56,$AC$56,E1132=$AB$57,$AC$57,E1132=$AB$58,$AC$58,E1132=$AB$59,$AC$59,E1132=$AB$60,$AC$60,E1132=$AB$61,$AC$61,E1132=$AB$62,$AC$62,E1132=$AB$63,$AC$63,E1132=$AB$64,$AC$64,E1132=$AB$65,$AC$65,E1132=$AB$66,$AC$66,TRUE,"0")</f>
        <v>#NAME?</v>
      </c>
      <c r="C1132" s="161" t="str" cm="1">
        <f t="array" ref="C1132">_xlfn.IFS(E1132=$AB$42,$AF$42,E1132=$AB$43,$AF$43,E1132=$AB$44,$AF$44,E1132=$AB$45,$AF$45,E1132=$AB$46,$AF$46,E1132=$AB$47,$AF$47,E1132=$AB$48,$AF$48,E1132=$AB$49,$AF$49,E1132=$AB$50,$AF$50,E1132=$AB$51,$AF$51,E1132=$AB$52,$AF$52,E1132=$AB$53,$AF$53,E1132=$AB$54,$AF$54,E1132=$AB$55,$AF$55,E1132=$AB$56,$AF$56,E1132=$AB$57,$AF$57,E1132=$AB$58,$AF$58,E1132=$AB$59,$AF$59,E1132=$AB$60,$AF$60,E1132=$AB$61,$AF$61,E1132=$AB$62,$AF$62,E1132=$AB$63,$AF$63,E1132=$AB$64,$AF$64,E1132=$AB$65,$AF$65,E1132=$AB$66,$AF$66,TRUE,"0")</f>
        <v>B4 Match, lay HT 0-0 or BACK H1 +0.5 GOALS</v>
      </c>
      <c r="D1132" s="270" t="str" cm="1">
        <f t="array" ref="D1132">_xlfn.IFS(E1132=$AB$42,$AD$42,E1132=$AB$43,$AD$43,E1132=$AB$44,$AD$44,E1132=$AB$45,$AD$45,E1132=$AB$46,$AD$46,E1132=$AB$47,$AD$47,E1132=$AB$48,$AD$48,E1132=$AB$49,$AD$49,E1132=$AB$50,$AD$50,E1132=$AB$51,$AD$51,E1132=$AB$52,$AD$52,E1132=$AB$53,$AD$53,E1132=$AB$54,$AD$54,E1132=$AB$55,$AD$55,E1132=$AB$56,$AD$56,E1132=$AB$57,$AD$57,E1132=$AB$58,$AD$58,E1132=$AB$59,$AD$59,E1132=$AB$60,$AD$60,E1132=$AB$61,$AD$61,E1132=$AB$62,$AD$62,E1132=$AB$63,$AD$63,E1132=$AB$64,$AD$64,E1132=$AB$65,$AD$65,E1132=$AB$66,$AD$66,TRUE,"0")</f>
        <v xml:space="preserve">BFM </v>
      </c>
      <c r="E1132" s="163" t="s">
        <v>448</v>
      </c>
      <c r="F1132" s="2" t="s">
        <v>58</v>
      </c>
      <c r="G1132" s="2" t="s">
        <v>289</v>
      </c>
      <c r="H1132" s="3">
        <v>45404.75</v>
      </c>
      <c r="I1132" s="2" t="s">
        <v>416</v>
      </c>
      <c r="J1132" s="2" t="s">
        <v>716</v>
      </c>
      <c r="K1132" s="2">
        <v>20</v>
      </c>
      <c r="L1132" s="2">
        <v>5</v>
      </c>
      <c r="M1132" s="2">
        <v>36</v>
      </c>
      <c r="N1132" s="2">
        <v>4</v>
      </c>
      <c r="O1132" s="2">
        <v>10</v>
      </c>
      <c r="P1132" s="2">
        <v>9</v>
      </c>
      <c r="Q1132" s="2" t="s">
        <v>95</v>
      </c>
      <c r="R1132" s="10" t="s">
        <v>220</v>
      </c>
      <c r="S1132" s="10" t="s">
        <v>215</v>
      </c>
      <c r="T1132" s="188">
        <v>1000</v>
      </c>
      <c r="U1132" s="8">
        <f t="shared" si="133"/>
        <v>180</v>
      </c>
      <c r="V1132" s="234">
        <f t="shared" si="134"/>
        <v>104104.1552461603</v>
      </c>
      <c r="W1132" s="15">
        <v>25</v>
      </c>
      <c r="X1132" s="8">
        <f t="shared" si="135"/>
        <v>4.5</v>
      </c>
      <c r="Y1132" s="233">
        <f t="shared" si="136"/>
        <v>4468.5</v>
      </c>
    </row>
    <row r="1133" spans="1:25">
      <c r="A1133" s="156" t="e" cm="1">
        <f t="array" aca="1" ref="A1133" ca="1">_xlfn.IFS(E1133=$AB$42,$AC$42,E1133=$AB$43,$AC$43,E1133=$AB$44,$AC$44,E1133=$AB$45,$AC$45,E1133=$AB$46,$AC$46,E1133=$AB$47,$AC$47,E1133=$AB$48,$AC$48,E1133=$AB$49,$AC$49,E1133=$AB$50,$AC$50,E1133=$AB$51,$AC$51,E1133=$AB$52,$AC$52,E1133=$AB$53,$AC$53,E1133=$AB$54,$AC$54,E1133=$AB$55,$AC$55,E1133=$AB$56,$AC$56,E1133=$AB$57,$AC$57,E1133=$AB$58,$AC$58,E1133=$AB$59,$AC$59,E1133=$AB$60,$AC$60,E1133=$AB$61,$AC$61,E1133=$AB$62,$AC$62,E1133=$AB$63,$AC$63,E1133=$AB$64,$AC$64,E1133=$AB$65,$AC$65,E1133=$AB$66,$AC$66,TRUE,"0")</f>
        <v>#NAME?</v>
      </c>
      <c r="C1133" s="161" t="str" cm="1">
        <f t="array" ref="C1133">_xlfn.IFS(E1133=$AB$42,$AF$42,E1133=$AB$43,$AF$43,E1133=$AB$44,$AF$44,E1133=$AB$45,$AF$45,E1133=$AB$46,$AF$46,E1133=$AB$47,$AF$47,E1133=$AB$48,$AF$48,E1133=$AB$49,$AF$49,E1133=$AB$50,$AF$50,E1133=$AB$51,$AF$51,E1133=$AB$52,$AF$52,E1133=$AB$53,$AF$53,E1133=$AB$54,$AF$54,E1133=$AB$55,$AF$55,E1133=$AB$56,$AF$56,E1133=$AB$57,$AF$57,E1133=$AB$58,$AF$58,E1133=$AB$59,$AF$59,E1133=$AB$60,$AF$60,E1133=$AB$61,$AF$61,E1133=$AB$62,$AF$62,E1133=$AB$63,$AF$63,E1133=$AB$64,$AF$64,E1133=$AB$65,$AF$65,E1133=$AB$66,$AF$66,TRUE,"0")</f>
        <v>10mins if  0-0, BACK over 1.5 goals X after goal OR LET RUN</v>
      </c>
      <c r="D1133" s="270" t="str" cm="1">
        <f t="array" ref="D1133">_xlfn.IFS(E1133=$AB$42,$AD$42,E1133=$AB$43,$AD$43,E1133=$AB$44,$AD$44,E1133=$AB$45,$AD$45,E1133=$AB$46,$AD$46,E1133=$AB$47,$AD$47,E1133=$AB$48,$AD$48,E1133=$AB$49,$AD$49,E1133=$AB$50,$AD$50,E1133=$AB$51,$AD$51,E1133=$AB$52,$AD$52,E1133=$AB$53,$AD$53,E1133=$AB$54,$AD$54,E1133=$AB$55,$AD$55,E1133=$AB$56,$AD$56,E1133=$AB$57,$AD$57,E1133=$AB$58,$AD$58,E1133=$AB$59,$AD$59,E1133=$AB$60,$AD$60,E1133=$AB$61,$AD$61,E1133=$AB$62,$AD$62,E1133=$AB$63,$AD$63,E1133=$AB$64,$AD$64,E1133=$AB$65,$AD$65,E1133=$AB$66,$AD$66,TRUE,"0")</f>
        <v>IP</v>
      </c>
      <c r="E1133" s="163" t="s">
        <v>498</v>
      </c>
      <c r="F1133" s="2" t="s">
        <v>58</v>
      </c>
      <c r="G1133" s="2" t="s">
        <v>289</v>
      </c>
      <c r="H1133" s="3">
        <v>45404.75</v>
      </c>
      <c r="I1133" s="2" t="s">
        <v>416</v>
      </c>
      <c r="J1133" s="2" t="s">
        <v>716</v>
      </c>
      <c r="K1133" s="2">
        <v>69</v>
      </c>
      <c r="L1133" s="2">
        <v>85</v>
      </c>
      <c r="M1133" s="2">
        <v>1.8</v>
      </c>
      <c r="N1133" s="2">
        <v>20</v>
      </c>
      <c r="O1133" s="2"/>
      <c r="P1133" s="2"/>
      <c r="Q1133" s="2" t="s">
        <v>95</v>
      </c>
      <c r="R1133" s="10" t="s">
        <v>220</v>
      </c>
      <c r="S1133" s="10" t="s">
        <v>215</v>
      </c>
      <c r="T1133" s="188">
        <v>1000</v>
      </c>
      <c r="U1133" s="8">
        <f t="shared" si="133"/>
        <v>180</v>
      </c>
      <c r="V1133" s="234">
        <f t="shared" si="134"/>
        <v>104284.1552461603</v>
      </c>
      <c r="W1133" s="15">
        <v>25</v>
      </c>
      <c r="X1133" s="8">
        <f t="shared" si="135"/>
        <v>4.5</v>
      </c>
      <c r="Y1133" s="233">
        <f t="shared" si="136"/>
        <v>4473</v>
      </c>
    </row>
    <row r="1134" spans="1:25">
      <c r="A1134" s="156" t="e" cm="1">
        <f t="array" aca="1" ref="A1134" ca="1">_xlfn.IFS(E1134=$AB$42,$AC$42,E1134=$AB$43,$AC$43,E1134=$AB$44,$AC$44,E1134=$AB$45,$AC$45,E1134=$AB$46,$AC$46,E1134=$AB$47,$AC$47,E1134=$AB$48,$AC$48,E1134=$AB$49,$AC$49,E1134=$AB$50,$AC$50,E1134=$AB$51,$AC$51,E1134=$AB$52,$AC$52,E1134=$AB$53,$AC$53,E1134=$AB$54,$AC$54,E1134=$AB$55,$AC$55,E1134=$AB$56,$AC$56,E1134=$AB$57,$AC$57,E1134=$AB$58,$AC$58,E1134=$AB$59,$AC$59,E1134=$AB$60,$AC$60,E1134=$AB$61,$AC$61,E1134=$AB$62,$AC$62,E1134=$AB$63,$AC$63,E1134=$AB$64,$AC$64,E1134=$AB$65,$AC$65,E1134=$AB$66,$AC$66,TRUE,"0")</f>
        <v>#NAME?</v>
      </c>
      <c r="C1134" s="161" t="str" cm="1">
        <f t="array" ref="C1134">_xlfn.IFS(E1134=$AB$42,$AF$42,E1134=$AB$43,$AF$43,E1134=$AB$44,$AF$44,E1134=$AB$45,$AF$45,E1134=$AB$46,$AF$46,E1134=$AB$47,$AF$47,E1134=$AB$48,$AF$48,E1134=$AB$49,$AF$49,E1134=$AB$50,$AF$50,E1134=$AB$51,$AF$51,E1134=$AB$52,$AF$52,E1134=$AB$53,$AF$53,E1134=$AB$54,$AF$54,E1134=$AB$55,$AF$55,E1134=$AB$56,$AF$56,E1134=$AB$57,$AF$57,E1134=$AB$58,$AF$58,E1134=$AB$59,$AF$59,E1134=$AB$60,$AF$60,E1134=$AB$61,$AF$61,E1134=$AB$62,$AF$62,E1134=$AB$63,$AF$63,E1134=$AB$64,$AF$64,E1134=$AB$65,$AF$65,E1134=$AB$66,$AF$66,TRUE,"0")</f>
        <v>B4 match BACK FT +1.5 goals. X AFTER  GOAL</v>
      </c>
      <c r="D1134" s="270" t="str" cm="1">
        <f t="array" ref="D1134">_xlfn.IFS(E1134=$AB$42,$AD$42,E1134=$AB$43,$AD$43,E1134=$AB$44,$AD$44,E1134=$AB$45,$AD$45,E1134=$AB$46,$AD$46,E1134=$AB$47,$AD$47,E1134=$AB$48,$AD$48,E1134=$AB$49,$AD$49,E1134=$AB$50,$AD$50,E1134=$AB$51,$AD$51,E1134=$AB$52,$AD$52,E1134=$AB$53,$AD$53,E1134=$AB$54,$AD$54,E1134=$AB$55,$AD$55,E1134=$AB$56,$AD$56,E1134=$AB$57,$AD$57,E1134=$AB$58,$AD$58,E1134=$AB$59,$AD$59,E1134=$AB$60,$AD$60,E1134=$AB$61,$AD$61,E1134=$AB$62,$AD$62,E1134=$AB$63,$AD$63,E1134=$AB$64,$AD$64,E1134=$AB$65,$AD$65,E1134=$AB$66,$AD$66,TRUE,"0")</f>
        <v xml:space="preserve">BFM </v>
      </c>
      <c r="E1134" s="163" t="s">
        <v>531</v>
      </c>
      <c r="F1134" s="2" t="s">
        <v>80</v>
      </c>
      <c r="G1134" s="2" t="s">
        <v>81</v>
      </c>
      <c r="H1134" s="3">
        <v>45404.75</v>
      </c>
      <c r="I1134" s="2" t="s">
        <v>771</v>
      </c>
      <c r="J1134" s="2" t="s">
        <v>314</v>
      </c>
      <c r="K1134" s="2">
        <v>5.4</v>
      </c>
      <c r="L1134" s="2">
        <v>31</v>
      </c>
      <c r="M1134" s="2">
        <v>2.61</v>
      </c>
      <c r="N1134" s="2">
        <v>34</v>
      </c>
      <c r="O1134" s="2">
        <v>3</v>
      </c>
      <c r="P1134" s="2">
        <v>16</v>
      </c>
      <c r="Q1134" s="2" t="s">
        <v>95</v>
      </c>
      <c r="R1134" s="10" t="s">
        <v>193</v>
      </c>
      <c r="S1134" s="10" t="s">
        <v>210</v>
      </c>
      <c r="T1134" s="188">
        <v>1000</v>
      </c>
      <c r="U1134" s="8">
        <f t="shared" si="133"/>
        <v>180</v>
      </c>
      <c r="V1134" s="234">
        <f t="shared" si="134"/>
        <v>104464.1552461603</v>
      </c>
      <c r="W1134" s="15">
        <v>25</v>
      </c>
      <c r="X1134" s="8">
        <f t="shared" si="135"/>
        <v>4.5</v>
      </c>
      <c r="Y1134" s="233">
        <f t="shared" si="136"/>
        <v>4477.5</v>
      </c>
    </row>
    <row r="1135" spans="1:25">
      <c r="A1135" s="156" t="e" cm="1">
        <f t="array" aca="1" ref="A1135" ca="1">_xlfn.IFS(E1135=$AB$42,$AC$42,E1135=$AB$43,$AC$43,E1135=$AB$44,$AC$44,E1135=$AB$45,$AC$45,E1135=$AB$46,$AC$46,E1135=$AB$47,$AC$47,E1135=$AB$48,$AC$48,E1135=$AB$49,$AC$49,E1135=$AB$50,$AC$50,E1135=$AB$51,$AC$51,E1135=$AB$52,$AC$52,E1135=$AB$53,$AC$53,E1135=$AB$54,$AC$54,E1135=$AB$55,$AC$55,E1135=$AB$56,$AC$56,E1135=$AB$57,$AC$57,E1135=$AB$58,$AC$58,E1135=$AB$59,$AC$59,E1135=$AB$60,$AC$60,E1135=$AB$61,$AC$61,E1135=$AB$62,$AC$62,E1135=$AB$63,$AC$63,E1135=$AB$64,$AC$64,E1135=$AB$65,$AC$65,E1135=$AB$66,$AC$66,TRUE,"0")</f>
        <v>#NAME?</v>
      </c>
      <c r="C1135" s="161" t="str" cm="1">
        <f t="array" ref="C1135">_xlfn.IFS(E1135=$AB$42,$AF$42,E1135=$AB$43,$AF$43,E1135=$AB$44,$AF$44,E1135=$AB$45,$AF$45,E1135=$AB$46,$AF$46,E1135=$AB$47,$AF$47,E1135=$AB$48,$AF$48,E1135=$AB$49,$AF$49,E1135=$AB$50,$AF$50,E1135=$AB$51,$AF$51,E1135=$AB$52,$AF$52,E1135=$AB$53,$AF$53,E1135=$AB$54,$AF$54,E1135=$AB$55,$AF$55,E1135=$AB$56,$AF$56,E1135=$AB$57,$AF$57,E1135=$AB$58,$AF$58,E1135=$AB$59,$AF$59,E1135=$AB$60,$AF$60,E1135=$AB$61,$AF$61,E1135=$AB$62,$AF$62,E1135=$AB$63,$AF$63,E1135=$AB$64,$AF$64,E1135=$AB$65,$AF$65,E1135=$AB$66,$AF$66,TRUE,"0")</f>
        <v>40 mins Back ANother Goal</v>
      </c>
      <c r="D1135" s="270" t="str" cm="1">
        <f t="array" ref="D1135">_xlfn.IFS(E1135=$AB$42,$AD$42,E1135=$AB$43,$AD$43,E1135=$AB$44,$AD$44,E1135=$AB$45,$AD$45,E1135=$AB$46,$AD$46,E1135=$AB$47,$AD$47,E1135=$AB$48,$AD$48,E1135=$AB$49,$AD$49,E1135=$AB$50,$AD$50,E1135=$AB$51,$AD$51,E1135=$AB$52,$AD$52,E1135=$AB$53,$AD$53,E1135=$AB$54,$AD$54,E1135=$AB$55,$AD$55,E1135=$AB$56,$AD$56,E1135=$AB$57,$AD$57,E1135=$AB$58,$AD$58,E1135=$AB$59,$AD$59,E1135=$AB$60,$AD$60,E1135=$AB$61,$AD$61,E1135=$AB$62,$AD$62,E1135=$AB$63,$AD$63,E1135=$AB$64,$AD$64,E1135=$AB$65,$AD$65,E1135=$AB$66,$AD$66,TRUE,"0")</f>
        <v xml:space="preserve">  BANG</v>
      </c>
      <c r="E1135" s="163" t="s">
        <v>726</v>
      </c>
      <c r="F1135" s="2" t="s">
        <v>149</v>
      </c>
      <c r="G1135" s="2" t="s">
        <v>150</v>
      </c>
      <c r="H1135" s="3">
        <v>45404.791666666664</v>
      </c>
      <c r="I1135" s="2" t="s">
        <v>493</v>
      </c>
      <c r="J1135" s="2" t="s">
        <v>256</v>
      </c>
      <c r="K1135" s="2">
        <v>95</v>
      </c>
      <c r="L1135" s="2">
        <v>20</v>
      </c>
      <c r="M1135" s="2">
        <v>2.25</v>
      </c>
      <c r="N1135" s="2">
        <v>62</v>
      </c>
      <c r="O1135" s="2"/>
      <c r="P1135" s="2"/>
      <c r="Q1135" s="2" t="s">
        <v>95</v>
      </c>
      <c r="R1135" s="10" t="s">
        <v>214</v>
      </c>
      <c r="S1135" s="10" t="s">
        <v>220</v>
      </c>
      <c r="T1135" s="188">
        <v>1000</v>
      </c>
      <c r="U1135" s="8">
        <f t="shared" si="133"/>
        <v>180</v>
      </c>
      <c r="V1135" s="234">
        <f t="shared" si="134"/>
        <v>104644.1552461603</v>
      </c>
      <c r="W1135" s="15">
        <v>25</v>
      </c>
      <c r="X1135" s="8">
        <f t="shared" si="135"/>
        <v>4.5</v>
      </c>
      <c r="Y1135" s="233">
        <f t="shared" si="136"/>
        <v>4482</v>
      </c>
    </row>
    <row r="1136" spans="1:25">
      <c r="A1136" s="156" t="e" cm="1">
        <f t="array" aca="1" ref="A1136" ca="1">_xlfn.IFS(E1136=$AB$42,$AC$42,E1136=$AB$43,$AC$43,E1136=$AB$44,$AC$44,E1136=$AB$45,$AC$45,E1136=$AB$46,$AC$46,E1136=$AB$47,$AC$47,E1136=$AB$48,$AC$48,E1136=$AB$49,$AC$49,E1136=$AB$50,$AC$50,E1136=$AB$51,$AC$51,E1136=$AB$52,$AC$52,E1136=$AB$53,$AC$53,E1136=$AB$54,$AC$54,E1136=$AB$55,$AC$55,E1136=$AB$56,$AC$56,E1136=$AB$57,$AC$57,E1136=$AB$58,$AC$58,E1136=$AB$59,$AC$59,E1136=$AB$60,$AC$60,E1136=$AB$61,$AC$61,E1136=$AB$62,$AC$62,E1136=$AB$63,$AC$63,E1136=$AB$64,$AC$64,E1136=$AB$65,$AC$65,E1136=$AB$66,$AC$66,TRUE,"0")</f>
        <v>#NAME?</v>
      </c>
      <c r="C1136" s="161" t="str" cm="1">
        <f t="array" ref="C1136">_xlfn.IFS(E1136=$AB$42,$AF$42,E1136=$AB$43,$AF$43,E1136=$AB$44,$AF$44,E1136=$AB$45,$AF$45,E1136=$AB$46,$AF$46,E1136=$AB$47,$AF$47,E1136=$AB$48,$AF$48,E1136=$AB$49,$AF$49,E1136=$AB$50,$AF$50,E1136=$AB$51,$AF$51,E1136=$AB$52,$AF$52,E1136=$AB$53,$AF$53,E1136=$AB$54,$AF$54,E1136=$AB$55,$AF$55,E1136=$AB$56,$AF$56,E1136=$AB$57,$AF$57,E1136=$AB$58,$AF$58,E1136=$AB$59,$AF$59,E1136=$AB$60,$AF$60,E1136=$AB$61,$AF$61,E1136=$AB$62,$AF$62,E1136=$AB$63,$AF$63,E1136=$AB$64,$AF$64,E1136=$AB$65,$AF$65,E1136=$AB$66,$AF$66,TRUE,"0")</f>
        <v>40 mins Back ANother Goal</v>
      </c>
      <c r="D1136" s="270" t="str" cm="1">
        <f t="array" ref="D1136">_xlfn.IFS(E1136=$AB$42,$AD$42,E1136=$AB$43,$AD$43,E1136=$AB$44,$AD$44,E1136=$AB$45,$AD$45,E1136=$AB$46,$AD$46,E1136=$AB$47,$AD$47,E1136=$AB$48,$AD$48,E1136=$AB$49,$AD$49,E1136=$AB$50,$AD$50,E1136=$AB$51,$AD$51,E1136=$AB$52,$AD$52,E1136=$AB$53,$AD$53,E1136=$AB$54,$AD$54,E1136=$AB$55,$AD$55,E1136=$AB$56,$AD$56,E1136=$AB$57,$AD$57,E1136=$AB$58,$AD$58,E1136=$AB$59,$AD$59,E1136=$AB$60,$AD$60,E1136=$AB$61,$AD$61,E1136=$AB$62,$AD$62,E1136=$AB$63,$AD$63,E1136=$AB$64,$AD$64,E1136=$AB$65,$AD$65,E1136=$AB$66,$AD$66,TRUE,"0")</f>
        <v xml:space="preserve">  BANG</v>
      </c>
      <c r="E1136" s="163" t="s">
        <v>515</v>
      </c>
      <c r="F1136" s="2" t="s">
        <v>564</v>
      </c>
      <c r="G1136" s="2" t="s">
        <v>565</v>
      </c>
      <c r="H1136" s="3">
        <v>45404.822916666664</v>
      </c>
      <c r="I1136" s="2" t="s">
        <v>743</v>
      </c>
      <c r="J1136" s="2" t="s">
        <v>566</v>
      </c>
      <c r="K1136" s="2">
        <v>20</v>
      </c>
      <c r="L1136" s="2">
        <v>71</v>
      </c>
      <c r="M1136" s="2">
        <v>1.7</v>
      </c>
      <c r="N1136" s="2"/>
      <c r="O1136" s="2"/>
      <c r="P1136" s="2"/>
      <c r="Q1136" s="2" t="s">
        <v>95</v>
      </c>
      <c r="R1136" s="10" t="s">
        <v>214</v>
      </c>
      <c r="S1136" s="10" t="s">
        <v>215</v>
      </c>
      <c r="T1136" s="188">
        <v>1000</v>
      </c>
      <c r="U1136" s="8">
        <f t="shared" si="133"/>
        <v>180</v>
      </c>
      <c r="V1136" s="234">
        <f t="shared" si="134"/>
        <v>104824.1552461603</v>
      </c>
      <c r="W1136" s="15">
        <v>25</v>
      </c>
      <c r="X1136" s="8">
        <f t="shared" si="135"/>
        <v>4.5</v>
      </c>
      <c r="Y1136" s="233">
        <f t="shared" si="136"/>
        <v>4486.5</v>
      </c>
    </row>
    <row r="1137" spans="1:25">
      <c r="A1137" s="156" t="e" cm="1">
        <f t="array" aca="1" ref="A1137" ca="1">_xlfn.IFS(E1137=$AB$42,$AC$42,E1137=$AB$43,$AC$43,E1137=$AB$44,$AC$44,E1137=$AB$45,$AC$45,E1137=$AB$46,$AC$46,E1137=$AB$47,$AC$47,E1137=$AB$48,$AC$48,E1137=$AB$49,$AC$49,E1137=$AB$50,$AC$50,E1137=$AB$51,$AC$51,E1137=$AB$52,$AC$52,E1137=$AB$53,$AC$53,E1137=$AB$54,$AC$54,E1137=$AB$55,$AC$55,E1137=$AB$56,$AC$56,E1137=$AB$57,$AC$57,E1137=$AB$58,$AC$58,E1137=$AB$59,$AC$59,E1137=$AB$60,$AC$60,E1137=$AB$61,$AC$61,E1137=$AB$62,$AC$62,E1137=$AB$63,$AC$63,E1137=$AB$64,$AC$64,E1137=$AB$65,$AC$65,E1137=$AB$66,$AC$66,TRUE,"0")</f>
        <v>#NAME?</v>
      </c>
      <c r="C1137" s="161" t="str" cm="1">
        <f t="array" ref="C1137">_xlfn.IFS(E1137=$AB$42,$AF$42,E1137=$AB$43,$AF$43,E1137=$AB$44,$AF$44,E1137=$AB$45,$AF$45,E1137=$AB$46,$AF$46,E1137=$AB$47,$AF$47,E1137=$AB$48,$AF$48,E1137=$AB$49,$AF$49,E1137=$AB$50,$AF$50,E1137=$AB$51,$AF$51,E1137=$AB$52,$AF$52,E1137=$AB$53,$AF$53,E1137=$AB$54,$AF$54,E1137=$AB$55,$AF$55,E1137=$AB$56,$AF$56,E1137=$AB$57,$AF$57,E1137=$AB$58,$AF$58,E1137=$AB$59,$AF$59,E1137=$AB$60,$AF$60,E1137=$AB$61,$AF$61,E1137=$AB$62,$AF$62,E1137=$AB$63,$AF$63,E1137=$AB$64,$AF$64,E1137=$AB$65,$AF$65,E1137=$AB$66,$AF$66,TRUE,"0")</f>
        <v>B4 match BACK FT +1.5 goals. X AFTER  GOAL</v>
      </c>
      <c r="D1137" s="270" t="str" cm="1">
        <f t="array" ref="D1137">_xlfn.IFS(E1137=$AB$42,$AD$42,E1137=$AB$43,$AD$43,E1137=$AB$44,$AD$44,E1137=$AB$45,$AD$45,E1137=$AB$46,$AD$46,E1137=$AB$47,$AD$47,E1137=$AB$48,$AD$48,E1137=$AB$49,$AD$49,E1137=$AB$50,$AD$50,E1137=$AB$51,$AD$51,E1137=$AB$52,$AD$52,E1137=$AB$53,$AD$53,E1137=$AB$54,$AD$54,E1137=$AB$55,$AD$55,E1137=$AB$56,$AD$56,E1137=$AB$57,$AD$57,E1137=$AB$58,$AD$58,E1137=$AB$59,$AD$59,E1137=$AB$60,$AD$60,E1137=$AB$61,$AD$61,E1137=$AB$62,$AD$62,E1137=$AB$63,$AD$63,E1137=$AB$64,$AD$64,E1137=$AB$65,$AD$65,E1137=$AB$66,$AD$66,TRUE,"0")</f>
        <v xml:space="preserve">BFM </v>
      </c>
      <c r="E1137" s="163" t="s">
        <v>531</v>
      </c>
      <c r="F1137" s="2" t="s">
        <v>58</v>
      </c>
      <c r="G1137" s="2" t="s">
        <v>59</v>
      </c>
      <c r="H1137" s="3">
        <v>45404.84375</v>
      </c>
      <c r="I1137" s="2" t="s">
        <v>106</v>
      </c>
      <c r="J1137" s="2" t="s">
        <v>60</v>
      </c>
      <c r="K1137" s="2">
        <v>5</v>
      </c>
      <c r="L1137" s="2">
        <v>28</v>
      </c>
      <c r="M1137" s="2">
        <v>2.71</v>
      </c>
      <c r="N1137" s="2">
        <v>30</v>
      </c>
      <c r="O1137" s="2">
        <v>2</v>
      </c>
      <c r="P1137" s="2">
        <v>14</v>
      </c>
      <c r="Q1137" s="2" t="s">
        <v>95</v>
      </c>
      <c r="R1137" s="10" t="s">
        <v>223</v>
      </c>
      <c r="S1137" s="10" t="s">
        <v>211</v>
      </c>
      <c r="T1137" s="188">
        <v>1000</v>
      </c>
      <c r="U1137" s="8">
        <f t="shared" si="133"/>
        <v>180</v>
      </c>
      <c r="V1137" s="234">
        <f t="shared" si="134"/>
        <v>105004.1552461603</v>
      </c>
      <c r="W1137" s="15">
        <v>25</v>
      </c>
      <c r="X1137" s="8">
        <f t="shared" si="135"/>
        <v>4.5</v>
      </c>
      <c r="Y1137" s="233">
        <f t="shared" si="136"/>
        <v>4491</v>
      </c>
    </row>
    <row r="1138" spans="1:25">
      <c r="A1138" s="156" t="e" cm="1">
        <f t="array" aca="1" ref="A1138" ca="1">_xlfn.IFS(E1138=$AB$42,$AC$42,E1138=$AB$43,$AC$43,E1138=$AB$44,$AC$44,E1138=$AB$45,$AC$45,E1138=$AB$46,$AC$46,E1138=$AB$47,$AC$47,E1138=$AB$48,$AC$48,E1138=$AB$49,$AC$49,E1138=$AB$50,$AC$50,E1138=$AB$51,$AC$51,E1138=$AB$52,$AC$52,E1138=$AB$53,$AC$53,E1138=$AB$54,$AC$54,E1138=$AB$55,$AC$55,E1138=$AB$56,$AC$56,E1138=$AB$57,$AC$57,E1138=$AB$58,$AC$58,E1138=$AB$59,$AC$59,E1138=$AB$60,$AC$60,E1138=$AB$61,$AC$61,E1138=$AB$62,$AC$62,E1138=$AB$63,$AC$63,E1138=$AB$64,$AC$64,E1138=$AB$65,$AC$65,E1138=$AB$66,$AC$66,TRUE,"0")</f>
        <v>#NAME?</v>
      </c>
      <c r="C1138" s="161" t="str" cm="1">
        <f t="array" ref="C1138">_xlfn.IFS(E1138=$AB$42,$AF$42,E1138=$AB$43,$AF$43,E1138=$AB$44,$AF$44,E1138=$AB$45,$AF$45,E1138=$AB$46,$AF$46,E1138=$AB$47,$AF$47,E1138=$AB$48,$AF$48,E1138=$AB$49,$AF$49,E1138=$AB$50,$AF$50,E1138=$AB$51,$AF$51,E1138=$AB$52,$AF$52,E1138=$AB$53,$AF$53,E1138=$AB$54,$AF$54,E1138=$AB$55,$AF$55,E1138=$AB$56,$AF$56,E1138=$AB$57,$AF$57,E1138=$AB$58,$AF$58,E1138=$AB$59,$AF$59,E1138=$AB$60,$AF$60,E1138=$AB$61,$AF$61,E1138=$AB$62,$AF$62,E1138=$AB$63,$AF$63,E1138=$AB$64,$AF$64,E1138=$AB$65,$AF$65,E1138=$AB$66,$AF$66,TRUE,"0")</f>
        <v>10mins if  0-0, BACK over 1.5 goals X after goal OR LET RUN</v>
      </c>
      <c r="D1138" s="270" t="str" cm="1">
        <f t="array" ref="D1138">_xlfn.IFS(E1138=$AB$42,$AD$42,E1138=$AB$43,$AD$43,E1138=$AB$44,$AD$44,E1138=$AB$45,$AD$45,E1138=$AB$46,$AD$46,E1138=$AB$47,$AD$47,E1138=$AB$48,$AD$48,E1138=$AB$49,$AD$49,E1138=$AB$50,$AD$50,E1138=$AB$51,$AD$51,E1138=$AB$52,$AD$52,E1138=$AB$53,$AD$53,E1138=$AB$54,$AD$54,E1138=$AB$55,$AD$55,E1138=$AB$56,$AD$56,E1138=$AB$57,$AD$57,E1138=$AB$58,$AD$58,E1138=$AB$59,$AD$59,E1138=$AB$60,$AD$60,E1138=$AB$61,$AD$61,E1138=$AB$62,$AD$62,E1138=$AB$63,$AD$63,E1138=$AB$64,$AD$64,E1138=$AB$65,$AD$65,E1138=$AB$66,$AD$66,TRUE,"0")</f>
        <v>IP</v>
      </c>
      <c r="E1138" s="163" t="s">
        <v>498</v>
      </c>
      <c r="F1138" s="2" t="s">
        <v>296</v>
      </c>
      <c r="G1138" s="2" t="s">
        <v>525</v>
      </c>
      <c r="H1138" s="3">
        <v>45405.770833333336</v>
      </c>
      <c r="I1138" s="2" t="s">
        <v>528</v>
      </c>
      <c r="J1138" s="2" t="s">
        <v>684</v>
      </c>
      <c r="K1138" s="2">
        <v>63</v>
      </c>
      <c r="L1138" s="2">
        <v>85</v>
      </c>
      <c r="M1138" s="2">
        <v>1.1000000000000001</v>
      </c>
      <c r="N1138" s="2">
        <v>20</v>
      </c>
      <c r="O1138" s="2"/>
      <c r="P1138" s="2"/>
      <c r="Q1138" s="2" t="s">
        <v>95</v>
      </c>
      <c r="R1138" s="10" t="s">
        <v>193</v>
      </c>
      <c r="S1138" s="10" t="s">
        <v>210</v>
      </c>
      <c r="T1138" s="188">
        <v>1000</v>
      </c>
      <c r="U1138" s="8">
        <f t="shared" si="133"/>
        <v>180</v>
      </c>
      <c r="V1138" s="234">
        <f t="shared" si="134"/>
        <v>105184.1552461603</v>
      </c>
      <c r="W1138" s="15">
        <v>25</v>
      </c>
      <c r="X1138" s="8">
        <f t="shared" si="135"/>
        <v>4.5</v>
      </c>
      <c r="Y1138" s="233">
        <f t="shared" si="136"/>
        <v>4495.5</v>
      </c>
    </row>
    <row r="1139" spans="1:25">
      <c r="A1139" s="156" t="e" cm="1">
        <f t="array" aca="1" ref="A1139" ca="1">_xlfn.IFS(E1139=$AB$42,$AC$42,E1139=$AB$43,$AC$43,E1139=$AB$44,$AC$44,E1139=$AB$45,$AC$45,E1139=$AB$46,$AC$46,E1139=$AB$47,$AC$47,E1139=$AB$48,$AC$48,E1139=$AB$49,$AC$49,E1139=$AB$50,$AC$50,E1139=$AB$51,$AC$51,E1139=$AB$52,$AC$52,E1139=$AB$53,$AC$53,E1139=$AB$54,$AC$54,E1139=$AB$55,$AC$55,E1139=$AB$56,$AC$56,E1139=$AB$57,$AC$57,E1139=$AB$58,$AC$58,E1139=$AB$59,$AC$59,E1139=$AB$60,$AC$60,E1139=$AB$61,$AC$61,E1139=$AB$62,$AC$62,E1139=$AB$63,$AC$63,E1139=$AB$64,$AC$64,E1139=$AB$65,$AC$65,E1139=$AB$66,$AC$66,TRUE,"0")</f>
        <v>#NAME?</v>
      </c>
      <c r="C1139" s="161" t="str" cm="1">
        <f t="array" ref="C1139">_xlfn.IFS(E1139=$AB$42,$AF$42,E1139=$AB$43,$AF$43,E1139=$AB$44,$AF$44,E1139=$AB$45,$AF$45,E1139=$AB$46,$AF$46,E1139=$AB$47,$AF$47,E1139=$AB$48,$AF$48,E1139=$AB$49,$AF$49,E1139=$AB$50,$AF$50,E1139=$AB$51,$AF$51,E1139=$AB$52,$AF$52,E1139=$AB$53,$AF$53,E1139=$AB$54,$AF$54,E1139=$AB$55,$AF$55,E1139=$AB$56,$AF$56,E1139=$AB$57,$AF$57,E1139=$AB$58,$AF$58,E1139=$AB$59,$AF$59,E1139=$AB$60,$AF$60,E1139=$AB$61,$AF$61,E1139=$AB$62,$AF$62,E1139=$AB$63,$AF$63,E1139=$AB$64,$AF$64,E1139=$AB$65,$AF$65,E1139=$AB$66,$AF$66,TRUE,"0")</f>
        <v>10mins if  0-0, BACK over 1.5 goals X after goal OR LET RUN</v>
      </c>
      <c r="D1139" s="270" t="str" cm="1">
        <f t="array" ref="D1139">_xlfn.IFS(E1139=$AB$42,$AD$42,E1139=$AB$43,$AD$43,E1139=$AB$44,$AD$44,E1139=$AB$45,$AD$45,E1139=$AB$46,$AD$46,E1139=$AB$47,$AD$47,E1139=$AB$48,$AD$48,E1139=$AB$49,$AD$49,E1139=$AB$50,$AD$50,E1139=$AB$51,$AD$51,E1139=$AB$52,$AD$52,E1139=$AB$53,$AD$53,E1139=$AB$54,$AD$54,E1139=$AB$55,$AD$55,E1139=$AB$56,$AD$56,E1139=$AB$57,$AD$57,E1139=$AB$58,$AD$58,E1139=$AB$59,$AD$59,E1139=$AB$60,$AD$60,E1139=$AB$61,$AD$61,E1139=$AB$62,$AD$62,E1139=$AB$63,$AD$63,E1139=$AB$64,$AD$64,E1139=$AB$65,$AD$65,E1139=$AB$66,$AD$66,TRUE,"0")</f>
        <v>IP</v>
      </c>
      <c r="E1139" s="163" t="s">
        <v>498</v>
      </c>
      <c r="F1139" s="2" t="s">
        <v>296</v>
      </c>
      <c r="G1139" s="2" t="s">
        <v>525</v>
      </c>
      <c r="H1139" s="3">
        <v>45405.802083333336</v>
      </c>
      <c r="I1139" s="2" t="s">
        <v>589</v>
      </c>
      <c r="J1139" s="2" t="s">
        <v>527</v>
      </c>
      <c r="K1139" s="2">
        <v>64</v>
      </c>
      <c r="L1139" s="2">
        <v>90</v>
      </c>
      <c r="M1139" s="2">
        <v>1.45</v>
      </c>
      <c r="N1139" s="2">
        <v>20</v>
      </c>
      <c r="O1139" s="2"/>
      <c r="P1139" s="2"/>
      <c r="Q1139" s="2" t="s">
        <v>95</v>
      </c>
      <c r="R1139" s="10" t="s">
        <v>221</v>
      </c>
      <c r="S1139" s="10" t="s">
        <v>193</v>
      </c>
      <c r="T1139" s="188">
        <v>1000</v>
      </c>
      <c r="U1139" s="8">
        <f t="shared" si="133"/>
        <v>180</v>
      </c>
      <c r="V1139" s="234">
        <f t="shared" si="134"/>
        <v>105364.1552461603</v>
      </c>
      <c r="W1139" s="15">
        <v>25</v>
      </c>
      <c r="X1139" s="8">
        <f t="shared" si="135"/>
        <v>4.5</v>
      </c>
      <c r="Y1139" s="233">
        <f t="shared" si="136"/>
        <v>4500</v>
      </c>
    </row>
    <row r="1140" spans="1:25">
      <c r="A1140" s="156" t="e" cm="1">
        <f t="array" aca="1" ref="A1140" ca="1">_xlfn.IFS(E1140=$AB$42,$AC$42,E1140=$AB$43,$AC$43,E1140=$AB$44,$AC$44,E1140=$AB$45,$AC$45,E1140=$AB$46,$AC$46,E1140=$AB$47,$AC$47,E1140=$AB$48,$AC$48,E1140=$AB$49,$AC$49,E1140=$AB$50,$AC$50,E1140=$AB$51,$AC$51,E1140=$AB$52,$AC$52,E1140=$AB$53,$AC$53,E1140=$AB$54,$AC$54,E1140=$AB$55,$AC$55,E1140=$AB$56,$AC$56,E1140=$AB$57,$AC$57,E1140=$AB$58,$AC$58,E1140=$AB$59,$AC$59,E1140=$AB$60,$AC$60,E1140=$AB$61,$AC$61,E1140=$AB$62,$AC$62,E1140=$AB$63,$AC$63,E1140=$AB$64,$AC$64,E1140=$AB$65,$AC$65,E1140=$AB$66,$AC$66,TRUE,"0")</f>
        <v>#NAME?</v>
      </c>
      <c r="C1140" s="161" t="str" cm="1">
        <f t="array" ref="C1140">_xlfn.IFS(E1140=$AB$42,$AF$42,E1140=$AB$43,$AF$43,E1140=$AB$44,$AF$44,E1140=$AB$45,$AF$45,E1140=$AB$46,$AF$46,E1140=$AB$47,$AF$47,E1140=$AB$48,$AF$48,E1140=$AB$49,$AF$49,E1140=$AB$50,$AF$50,E1140=$AB$51,$AF$51,E1140=$AB$52,$AF$52,E1140=$AB$53,$AF$53,E1140=$AB$54,$AF$54,E1140=$AB$55,$AF$55,E1140=$AB$56,$AF$56,E1140=$AB$57,$AF$57,E1140=$AB$58,$AF$58,E1140=$AB$59,$AF$59,E1140=$AB$60,$AF$60,E1140=$AB$61,$AF$61,E1140=$AB$62,$AF$62,E1140=$AB$63,$AF$63,E1140=$AB$64,$AF$64,E1140=$AB$65,$AF$65,E1140=$AB$66,$AF$66,TRUE,"0")</f>
        <v>15mins if  0-0, BACK over 1.5 goals X after goal OR LET RUN</v>
      </c>
      <c r="D1140" s="270" t="str" cm="1">
        <f t="array" ref="D1140">_xlfn.IFS(E1140=$AB$42,$AD$42,E1140=$AB$43,$AD$43,E1140=$AB$44,$AD$44,E1140=$AB$45,$AD$45,E1140=$AB$46,$AD$46,E1140=$AB$47,$AD$47,E1140=$AB$48,$AD$48,E1140=$AB$49,$AD$49,E1140=$AB$50,$AD$50,E1140=$AB$51,$AD$51,E1140=$AB$52,$AD$52,E1140=$AB$53,$AD$53,E1140=$AB$54,$AD$54,E1140=$AB$55,$AD$55,E1140=$AB$56,$AD$56,E1140=$AB$57,$AD$57,E1140=$AB$58,$AD$58,E1140=$AB$59,$AD$59,E1140=$AB$60,$AD$60,E1140=$AB$61,$AD$61,E1140=$AB$62,$AD$62,E1140=$AB$63,$AD$63,E1140=$AB$64,$AD$64,E1140=$AB$65,$AD$65,E1140=$AB$66,$AD$66,TRUE,"0")</f>
        <v>IP</v>
      </c>
      <c r="E1140" s="163" t="s">
        <v>473</v>
      </c>
      <c r="F1140" s="2" t="s">
        <v>296</v>
      </c>
      <c r="G1140" s="2" t="s">
        <v>525</v>
      </c>
      <c r="H1140" s="3">
        <v>45405.802083333336</v>
      </c>
      <c r="I1140" s="2" t="s">
        <v>589</v>
      </c>
      <c r="J1140" s="2" t="s">
        <v>527</v>
      </c>
      <c r="K1140" s="2">
        <v>64</v>
      </c>
      <c r="L1140" s="2">
        <v>90</v>
      </c>
      <c r="M1140" s="2">
        <v>20</v>
      </c>
      <c r="N1140" s="2">
        <v>3.1</v>
      </c>
      <c r="O1140" s="2"/>
      <c r="P1140" s="2"/>
      <c r="Q1140" s="2" t="s">
        <v>95</v>
      </c>
      <c r="R1140" s="10" t="s">
        <v>221</v>
      </c>
      <c r="S1140" s="10" t="s">
        <v>193</v>
      </c>
      <c r="T1140" s="188">
        <v>1000</v>
      </c>
      <c r="U1140" s="8">
        <f t="shared" si="133"/>
        <v>180</v>
      </c>
      <c r="V1140" s="234">
        <f t="shared" si="134"/>
        <v>105544.1552461603</v>
      </c>
      <c r="W1140" s="15">
        <v>25</v>
      </c>
      <c r="X1140" s="8">
        <f t="shared" si="135"/>
        <v>4.5</v>
      </c>
      <c r="Y1140" s="233">
        <f t="shared" si="136"/>
        <v>4504.5</v>
      </c>
    </row>
    <row r="1141" spans="1:25">
      <c r="A1141" s="156" t="e" cm="1">
        <f t="array" aca="1" ref="A1141" ca="1">_xlfn.IFS(E1141=$AB$42,$AC$42,E1141=$AB$43,$AC$43,E1141=$AB$44,$AC$44,E1141=$AB$45,$AC$45,E1141=$AB$46,$AC$46,E1141=$AB$47,$AC$47,E1141=$AB$48,$AC$48,E1141=$AB$49,$AC$49,E1141=$AB$50,$AC$50,E1141=$AB$51,$AC$51,E1141=$AB$52,$AC$52,E1141=$AB$53,$AC$53,E1141=$AB$54,$AC$54,E1141=$AB$55,$AC$55,E1141=$AB$56,$AC$56,E1141=$AB$57,$AC$57,E1141=$AB$58,$AC$58,E1141=$AB$59,$AC$59,E1141=$AB$60,$AC$60,E1141=$AB$61,$AC$61,E1141=$AB$62,$AC$62,E1141=$AB$63,$AC$63,E1141=$AB$64,$AC$64,E1141=$AB$65,$AC$65,E1141=$AB$66,$AC$66,TRUE,"0")</f>
        <v>#NAME?</v>
      </c>
      <c r="C1141" s="161" t="str" cm="1">
        <f t="array" ref="C1141">_xlfn.IFS(E1141=$AB$42,$AF$42,E1141=$AB$43,$AF$43,E1141=$AB$44,$AF$44,E1141=$AB$45,$AF$45,E1141=$AB$46,$AF$46,E1141=$AB$47,$AF$47,E1141=$AB$48,$AF$48,E1141=$AB$49,$AF$49,E1141=$AB$50,$AF$50,E1141=$AB$51,$AF$51,E1141=$AB$52,$AF$52,E1141=$AB$53,$AF$53,E1141=$AB$54,$AF$54,E1141=$AB$55,$AF$55,E1141=$AB$56,$AF$56,E1141=$AB$57,$AF$57,E1141=$AB$58,$AF$58,E1141=$AB$59,$AF$59,E1141=$AB$60,$AF$60,E1141=$AB$61,$AF$61,E1141=$AB$62,$AF$62,E1141=$AB$63,$AF$63,E1141=$AB$64,$AF$64,E1141=$AB$65,$AF$65,E1141=$AB$66,$AF$66,TRUE,"0")</f>
        <v>20mins if  0-0, BACK over 1.5 goals X after goal OR LET RUN</v>
      </c>
      <c r="D1141" s="270" t="str" cm="1">
        <f t="array" ref="D1141">_xlfn.IFS(E1141=$AB$42,$AD$42,E1141=$AB$43,$AD$43,E1141=$AB$44,$AD$44,E1141=$AB$45,$AD$45,E1141=$AB$46,$AD$46,E1141=$AB$47,$AD$47,E1141=$AB$48,$AD$48,E1141=$AB$49,$AD$49,E1141=$AB$50,$AD$50,E1141=$AB$51,$AD$51,E1141=$AB$52,$AD$52,E1141=$AB$53,$AD$53,E1141=$AB$54,$AD$54,E1141=$AB$55,$AD$55,E1141=$AB$56,$AD$56,E1141=$AB$57,$AD$57,E1141=$AB$58,$AD$58,E1141=$AB$59,$AD$59,E1141=$AB$60,$AD$60,E1141=$AB$61,$AD$61,E1141=$AB$62,$AD$62,E1141=$AB$63,$AD$63,E1141=$AB$64,$AD$64,E1141=$AB$65,$AD$65,E1141=$AB$66,$AD$66,TRUE,"0")</f>
        <v>IP</v>
      </c>
      <c r="E1141" s="163" t="s">
        <v>474</v>
      </c>
      <c r="F1141" s="2" t="s">
        <v>296</v>
      </c>
      <c r="G1141" s="2" t="s">
        <v>525</v>
      </c>
      <c r="H1141" s="3">
        <v>45405.802083333336</v>
      </c>
      <c r="I1141" s="2" t="s">
        <v>589</v>
      </c>
      <c r="J1141" s="2" t="s">
        <v>527</v>
      </c>
      <c r="K1141" s="2">
        <v>58</v>
      </c>
      <c r="L1141" s="2">
        <v>3.1</v>
      </c>
      <c r="M1141" s="2">
        <v>20</v>
      </c>
      <c r="N1141" s="2">
        <v>65</v>
      </c>
      <c r="O1141" s="2">
        <v>90</v>
      </c>
      <c r="P1141" s="2"/>
      <c r="Q1141" s="2" t="s">
        <v>95</v>
      </c>
      <c r="R1141" s="10" t="s">
        <v>221</v>
      </c>
      <c r="S1141" s="10" t="s">
        <v>193</v>
      </c>
      <c r="T1141" s="188">
        <v>1000</v>
      </c>
      <c r="U1141" s="8">
        <f t="shared" si="133"/>
        <v>180</v>
      </c>
      <c r="V1141" s="234">
        <f t="shared" si="134"/>
        <v>105724.1552461603</v>
      </c>
      <c r="W1141" s="15">
        <v>25</v>
      </c>
      <c r="X1141" s="8">
        <f t="shared" si="135"/>
        <v>4.5</v>
      </c>
      <c r="Y1141" s="233">
        <f t="shared" si="136"/>
        <v>4509</v>
      </c>
    </row>
    <row r="1142" spans="1:25">
      <c r="A1142" s="156" t="e" cm="1">
        <f t="array" aca="1" ref="A1142" ca="1">_xlfn.IFS(E1142=$AB$42,$AC$42,E1142=$AB$43,$AC$43,E1142=$AB$44,$AC$44,E1142=$AB$45,$AC$45,E1142=$AB$46,$AC$46,E1142=$AB$47,$AC$47,E1142=$AB$48,$AC$48,E1142=$AB$49,$AC$49,E1142=$AB$50,$AC$50,E1142=$AB$51,$AC$51,E1142=$AB$52,$AC$52,E1142=$AB$53,$AC$53,E1142=$AB$54,$AC$54,E1142=$AB$55,$AC$55,E1142=$AB$56,$AC$56,E1142=$AB$57,$AC$57,E1142=$AB$58,$AC$58,E1142=$AB$59,$AC$59,E1142=$AB$60,$AC$60,E1142=$AB$61,$AC$61,E1142=$AB$62,$AC$62,E1142=$AB$63,$AC$63,E1142=$AB$64,$AC$64,E1142=$AB$65,$AC$65,E1142=$AB$66,$AC$66,TRUE,"0")</f>
        <v>#NAME?</v>
      </c>
      <c r="C1142" s="161" t="str" cm="1">
        <f t="array" ref="C1142">_xlfn.IFS(E1142=$AB$42,$AF$42,E1142=$AB$43,$AF$43,E1142=$AB$44,$AF$44,E1142=$AB$45,$AF$45,E1142=$AB$46,$AF$46,E1142=$AB$47,$AF$47,E1142=$AB$48,$AF$48,E1142=$AB$49,$AF$49,E1142=$AB$50,$AF$50,E1142=$AB$51,$AF$51,E1142=$AB$52,$AF$52,E1142=$AB$53,$AF$53,E1142=$AB$54,$AF$54,E1142=$AB$55,$AF$55,E1142=$AB$56,$AF$56,E1142=$AB$57,$AF$57,E1142=$AB$58,$AF$58,E1142=$AB$59,$AF$59,E1142=$AB$60,$AF$60,E1142=$AB$61,$AF$61,E1142=$AB$62,$AF$62,E1142=$AB$63,$AF$63,E1142=$AB$64,$AF$64,E1142=$AB$65,$AF$65,E1142=$AB$66,$AF$66,TRUE,"0")</f>
        <v>if 0-0, BACK+ 0.5 GOALS  @ 1.15+odds.  or @ 40 mins</v>
      </c>
      <c r="D1142" s="270" t="str" cm="1">
        <f t="array" ref="D1142">_xlfn.IFS(E1142=$AB$42,$AD$42,E1142=$AB$43,$AD$43,E1142=$AB$44,$AD$44,E1142=$AB$45,$AD$45,E1142=$AB$46,$AD$46,E1142=$AB$47,$AD$47,E1142=$AB$48,$AD$48,E1142=$AB$49,$AD$49,E1142=$AB$50,$AD$50,E1142=$AB$51,$AD$51,E1142=$AB$52,$AD$52,E1142=$AB$53,$AD$53,E1142=$AB$54,$AD$54,E1142=$AB$55,$AD$55,E1142=$AB$56,$AD$56,E1142=$AB$57,$AD$57,E1142=$AB$58,$AD$58,E1142=$AB$59,$AD$59,E1142=$AB$60,$AD$60,E1142=$AB$61,$AD$61,E1142=$AB$62,$AD$62,E1142=$AB$63,$AD$63,E1142=$AB$64,$AD$64,E1142=$AB$65,$AD$65,E1142=$AB$66,$AD$66,TRUE,"0")</f>
        <v>IP</v>
      </c>
      <c r="E1142" s="163" t="s">
        <v>270</v>
      </c>
      <c r="F1142" s="2" t="s">
        <v>6</v>
      </c>
      <c r="G1142" s="2" t="s">
        <v>7</v>
      </c>
      <c r="H1142" s="3">
        <v>45405.822916666664</v>
      </c>
      <c r="I1142" s="2" t="s">
        <v>27</v>
      </c>
      <c r="J1142" s="2" t="s">
        <v>705</v>
      </c>
      <c r="K1142" s="2">
        <v>59</v>
      </c>
      <c r="L1142" s="2">
        <v>0</v>
      </c>
      <c r="M1142" s="2">
        <v>20</v>
      </c>
      <c r="N1142" s="2">
        <v>31</v>
      </c>
      <c r="O1142" s="2">
        <v>2.33</v>
      </c>
      <c r="P1142" s="2"/>
      <c r="Q1142" s="2" t="s">
        <v>95</v>
      </c>
      <c r="R1142" s="10" t="s">
        <v>223</v>
      </c>
      <c r="S1142" s="10" t="s">
        <v>225</v>
      </c>
      <c r="T1142" s="188">
        <v>1000</v>
      </c>
      <c r="U1142" s="8">
        <f t="shared" si="133"/>
        <v>180</v>
      </c>
      <c r="V1142" s="234">
        <f t="shared" si="134"/>
        <v>105904.1552461603</v>
      </c>
      <c r="W1142" s="15">
        <v>25</v>
      </c>
      <c r="X1142" s="8">
        <f t="shared" si="135"/>
        <v>4.5</v>
      </c>
      <c r="Y1142" s="233">
        <f t="shared" si="136"/>
        <v>4513.5</v>
      </c>
    </row>
    <row r="1143" spans="1:25">
      <c r="A1143" s="156" t="e" cm="1">
        <f t="array" aca="1" ref="A1143" ca="1">_xlfn.IFS(E1143=$AB$42,$AC$42,E1143=$AB$43,$AC$43,E1143=$AB$44,$AC$44,E1143=$AB$45,$AC$45,E1143=$AB$46,$AC$46,E1143=$AB$47,$AC$47,E1143=$AB$48,$AC$48,E1143=$AB$49,$AC$49,E1143=$AB$50,$AC$50,E1143=$AB$51,$AC$51,E1143=$AB$52,$AC$52,E1143=$AB$53,$AC$53,E1143=$AB$54,$AC$54,E1143=$AB$55,$AC$55,E1143=$AB$56,$AC$56,E1143=$AB$57,$AC$57,E1143=$AB$58,$AC$58,E1143=$AB$59,$AC$59,E1143=$AB$60,$AC$60,E1143=$AB$61,$AC$61,E1143=$AB$62,$AC$62,E1143=$AB$63,$AC$63,E1143=$AB$64,$AC$64,E1143=$AB$65,$AC$65,E1143=$AB$66,$AC$66,TRUE,"0")</f>
        <v>#NAME?</v>
      </c>
      <c r="C1143" s="161" t="str" cm="1">
        <f t="array" ref="C1143">_xlfn.IFS(E1143=$AB$42,$AF$42,E1143=$AB$43,$AF$43,E1143=$AB$44,$AF$44,E1143=$AB$45,$AF$45,E1143=$AB$46,$AF$46,E1143=$AB$47,$AF$47,E1143=$AB$48,$AF$48,E1143=$AB$49,$AF$49,E1143=$AB$50,$AF$50,E1143=$AB$51,$AF$51,E1143=$AB$52,$AF$52,E1143=$AB$53,$AF$53,E1143=$AB$54,$AF$54,E1143=$AB$55,$AF$55,E1143=$AB$56,$AF$56,E1143=$AB$57,$AF$57,E1143=$AB$58,$AF$58,E1143=$AB$59,$AF$59,E1143=$AB$60,$AF$60,E1143=$AB$61,$AF$61,E1143=$AB$62,$AF$62,E1143=$AB$63,$AF$63,E1143=$AB$64,$AF$64,E1143=$AB$65,$AF$65,E1143=$AB$66,$AF$66,TRUE,"0")</f>
        <v>40 mins Back ANother Goal</v>
      </c>
      <c r="D1143" s="270" t="str" cm="1">
        <f t="array" ref="D1143">_xlfn.IFS(E1143=$AB$42,$AD$42,E1143=$AB$43,$AD$43,E1143=$AB$44,$AD$44,E1143=$AB$45,$AD$45,E1143=$AB$46,$AD$46,E1143=$AB$47,$AD$47,E1143=$AB$48,$AD$48,E1143=$AB$49,$AD$49,E1143=$AB$50,$AD$50,E1143=$AB$51,$AD$51,E1143=$AB$52,$AD$52,E1143=$AB$53,$AD$53,E1143=$AB$54,$AD$54,E1143=$AB$55,$AD$55,E1143=$AB$56,$AD$56,E1143=$AB$57,$AD$57,E1143=$AB$58,$AD$58,E1143=$AB$59,$AD$59,E1143=$AB$60,$AD$60,E1143=$AB$61,$AD$61,E1143=$AB$62,$AD$62,E1143=$AB$63,$AD$63,E1143=$AB$64,$AD$64,E1143=$AB$65,$AD$65,E1143=$AB$66,$AD$66,TRUE,"0")</f>
        <v xml:space="preserve">  BANG</v>
      </c>
      <c r="E1143" s="163" t="s">
        <v>726</v>
      </c>
      <c r="F1143" s="2" t="s">
        <v>6</v>
      </c>
      <c r="G1143" s="2" t="s">
        <v>62</v>
      </c>
      <c r="H1143" s="3">
        <v>45405.833333333336</v>
      </c>
      <c r="I1143" s="2" t="s">
        <v>73</v>
      </c>
      <c r="J1143" s="2" t="s">
        <v>65</v>
      </c>
      <c r="K1143" s="2">
        <v>95</v>
      </c>
      <c r="L1143" s="2">
        <v>20</v>
      </c>
      <c r="M1143" s="2">
        <v>2.1</v>
      </c>
      <c r="N1143" s="2">
        <v>64</v>
      </c>
      <c r="O1143" s="2"/>
      <c r="P1143" s="2"/>
      <c r="Q1143" s="2" t="s">
        <v>95</v>
      </c>
      <c r="R1143" s="10" t="s">
        <v>214</v>
      </c>
      <c r="S1143" s="10" t="s">
        <v>195</v>
      </c>
      <c r="T1143" s="188">
        <v>1000</v>
      </c>
      <c r="U1143" s="8">
        <f t="shared" si="133"/>
        <v>180</v>
      </c>
      <c r="V1143" s="234">
        <f t="shared" si="134"/>
        <v>106084.1552461603</v>
      </c>
      <c r="W1143" s="15">
        <v>25</v>
      </c>
      <c r="X1143" s="8">
        <f t="shared" si="135"/>
        <v>4.5</v>
      </c>
      <c r="Y1143" s="233">
        <f t="shared" si="136"/>
        <v>4518</v>
      </c>
    </row>
    <row r="1144" spans="1:25">
      <c r="A1144" s="156" t="e" cm="1">
        <f t="array" aca="1" ref="A1144" ca="1">_xlfn.IFS(E1144=$AB$42,$AC$42,E1144=$AB$43,$AC$43,E1144=$AB$44,$AC$44,E1144=$AB$45,$AC$45,E1144=$AB$46,$AC$46,E1144=$AB$47,$AC$47,E1144=$AB$48,$AC$48,E1144=$AB$49,$AC$49,E1144=$AB$50,$AC$50,E1144=$AB$51,$AC$51,E1144=$AB$52,$AC$52,E1144=$AB$53,$AC$53,E1144=$AB$54,$AC$54,E1144=$AB$55,$AC$55,E1144=$AB$56,$AC$56,E1144=$AB$57,$AC$57,E1144=$AB$58,$AC$58,E1144=$AB$59,$AC$59,E1144=$AB$60,$AC$60,E1144=$AB$61,$AC$61,E1144=$AB$62,$AC$62,E1144=$AB$63,$AC$63,E1144=$AB$64,$AC$64,E1144=$AB$65,$AC$65,E1144=$AB$66,$AC$66,TRUE,"0")</f>
        <v>#NAME?</v>
      </c>
      <c r="C1144" s="161" t="str" cm="1">
        <f t="array" ref="C1144">_xlfn.IFS(E1144=$AB$42,$AF$42,E1144=$AB$43,$AF$43,E1144=$AB$44,$AF$44,E1144=$AB$45,$AF$45,E1144=$AB$46,$AF$46,E1144=$AB$47,$AF$47,E1144=$AB$48,$AF$48,E1144=$AB$49,$AF$49,E1144=$AB$50,$AF$50,E1144=$AB$51,$AF$51,E1144=$AB$52,$AF$52,E1144=$AB$53,$AF$53,E1144=$AB$54,$AF$54,E1144=$AB$55,$AF$55,E1144=$AB$56,$AF$56,E1144=$AB$57,$AF$57,E1144=$AB$58,$AF$58,E1144=$AB$59,$AF$59,E1144=$AB$60,$AF$60,E1144=$AB$61,$AF$61,E1144=$AB$62,$AF$62,E1144=$AB$63,$AF$63,E1144=$AB$64,$AF$64,E1144=$AB$65,$AF$65,E1144=$AB$66,$AF$66,TRUE,"0")</f>
        <v>B4 match BACK FT +1.5 goals. X AFTER  GOAL</v>
      </c>
      <c r="D1144" s="270" t="str" cm="1">
        <f t="array" ref="D1144">_xlfn.IFS(E1144=$AB$42,$AD$42,E1144=$AB$43,$AD$43,E1144=$AB$44,$AD$44,E1144=$AB$45,$AD$45,E1144=$AB$46,$AD$46,E1144=$AB$47,$AD$47,E1144=$AB$48,$AD$48,E1144=$AB$49,$AD$49,E1144=$AB$50,$AD$50,E1144=$AB$51,$AD$51,E1144=$AB$52,$AD$52,E1144=$AB$53,$AD$53,E1144=$AB$54,$AD$54,E1144=$AB$55,$AD$55,E1144=$AB$56,$AD$56,E1144=$AB$57,$AD$57,E1144=$AB$58,$AD$58,E1144=$AB$59,$AD$59,E1144=$AB$60,$AD$60,E1144=$AB$61,$AD$61,E1144=$AB$62,$AD$62,E1144=$AB$63,$AD$63,E1144=$AB$64,$AD$64,E1144=$AB$65,$AD$65,E1144=$AB$66,$AD$66,TRUE,"0")</f>
        <v xml:space="preserve">BFM </v>
      </c>
      <c r="E1144" s="163" t="s">
        <v>623</v>
      </c>
      <c r="F1144" s="2" t="s">
        <v>6</v>
      </c>
      <c r="G1144" s="2" t="s">
        <v>62</v>
      </c>
      <c r="H1144" s="3">
        <v>45405.833333333336</v>
      </c>
      <c r="I1144" s="2" t="s">
        <v>73</v>
      </c>
      <c r="J1144" s="2" t="s">
        <v>65</v>
      </c>
      <c r="K1144" s="2">
        <v>5.4</v>
      </c>
      <c r="L1144" s="2">
        <v>20</v>
      </c>
      <c r="M1144" s="2">
        <v>3.45</v>
      </c>
      <c r="N1144" s="2">
        <v>29</v>
      </c>
      <c r="O1144" s="2">
        <v>2</v>
      </c>
      <c r="P1144" s="2">
        <v>10</v>
      </c>
      <c r="Q1144" s="2" t="s">
        <v>95</v>
      </c>
      <c r="R1144" s="10" t="s">
        <v>214</v>
      </c>
      <c r="S1144" s="10" t="s">
        <v>195</v>
      </c>
      <c r="T1144" s="188">
        <v>1000</v>
      </c>
      <c r="U1144" s="8">
        <f t="shared" si="133"/>
        <v>180</v>
      </c>
      <c r="V1144" s="234">
        <f t="shared" si="134"/>
        <v>106264.1552461603</v>
      </c>
      <c r="W1144" s="15">
        <v>25</v>
      </c>
      <c r="X1144" s="8">
        <f t="shared" si="135"/>
        <v>4.5</v>
      </c>
      <c r="Y1144" s="233">
        <f t="shared" si="136"/>
        <v>4522.5</v>
      </c>
    </row>
    <row r="1145" spans="1:25">
      <c r="A1145" s="156" t="e" cm="1">
        <f t="array" aca="1" ref="A1145" ca="1">_xlfn.IFS(E1145=$AB$42,$AC$42,E1145=$AB$43,$AC$43,E1145=$AB$44,$AC$44,E1145=$AB$45,$AC$45,E1145=$AB$46,$AC$46,E1145=$AB$47,$AC$47,E1145=$AB$48,$AC$48,E1145=$AB$49,$AC$49,E1145=$AB$50,$AC$50,E1145=$AB$51,$AC$51,E1145=$AB$52,$AC$52,E1145=$AB$53,$AC$53,E1145=$AB$54,$AC$54,E1145=$AB$55,$AC$55,E1145=$AB$56,$AC$56,E1145=$AB$57,$AC$57,E1145=$AB$58,$AC$58,E1145=$AB$59,$AC$59,E1145=$AB$60,$AC$60,E1145=$AB$61,$AC$61,E1145=$AB$62,$AC$62,E1145=$AB$63,$AC$63,E1145=$AB$64,$AC$64,E1145=$AB$65,$AC$65,E1145=$AB$66,$AC$66,TRUE,"0")</f>
        <v>#NAME?</v>
      </c>
      <c r="C1145" s="161" t="str" cm="1">
        <f t="array" ref="C1145">_xlfn.IFS(E1145=$AB$42,$AF$42,E1145=$AB$43,$AF$43,E1145=$AB$44,$AF$44,E1145=$AB$45,$AF$45,E1145=$AB$46,$AF$46,E1145=$AB$47,$AF$47,E1145=$AB$48,$AF$48,E1145=$AB$49,$AF$49,E1145=$AB$50,$AF$50,E1145=$AB$51,$AF$51,E1145=$AB$52,$AF$52,E1145=$AB$53,$AF$53,E1145=$AB$54,$AF$54,E1145=$AB$55,$AF$55,E1145=$AB$56,$AF$56,E1145=$AB$57,$AF$57,E1145=$AB$58,$AF$58,E1145=$AB$59,$AF$59,E1145=$AB$60,$AF$60,E1145=$AB$61,$AF$61,E1145=$AB$62,$AF$62,E1145=$AB$63,$AF$63,E1145=$AB$64,$AF$64,E1145=$AB$65,$AF$65,E1145=$AB$66,$AF$66,TRUE,"0")</f>
        <v>if 0-0, BACK+ 0.5 GOALS  @ 1.15+odds.  or @ 40 mins</v>
      </c>
      <c r="D1145" s="270" t="str" cm="1">
        <f t="array" ref="D1145">_xlfn.IFS(E1145=$AB$42,$AD$42,E1145=$AB$43,$AD$43,E1145=$AB$44,$AD$44,E1145=$AB$45,$AD$45,E1145=$AB$46,$AD$46,E1145=$AB$47,$AD$47,E1145=$AB$48,$AD$48,E1145=$AB$49,$AD$49,E1145=$AB$50,$AD$50,E1145=$AB$51,$AD$51,E1145=$AB$52,$AD$52,E1145=$AB$53,$AD$53,E1145=$AB$54,$AD$54,E1145=$AB$55,$AD$55,E1145=$AB$56,$AD$56,E1145=$AB$57,$AD$57,E1145=$AB$58,$AD$58,E1145=$AB$59,$AD$59,E1145=$AB$60,$AD$60,E1145=$AB$61,$AD$61,E1145=$AB$62,$AD$62,E1145=$AB$63,$AD$63,E1145=$AB$64,$AD$64,E1145=$AB$65,$AD$65,E1145=$AB$66,$AD$66,TRUE,"0")</f>
        <v>IP</v>
      </c>
      <c r="E1145" s="163" t="s">
        <v>270</v>
      </c>
      <c r="F1145" s="2" t="s">
        <v>6</v>
      </c>
      <c r="G1145" s="2" t="s">
        <v>62</v>
      </c>
      <c r="H1145" s="3">
        <v>45405.833333333336</v>
      </c>
      <c r="I1145" s="2" t="s">
        <v>73</v>
      </c>
      <c r="J1145" s="2" t="s">
        <v>65</v>
      </c>
      <c r="K1145" s="2">
        <v>61</v>
      </c>
      <c r="L1145" s="2">
        <v>0</v>
      </c>
      <c r="M1145" s="2">
        <v>20</v>
      </c>
      <c r="N1145" s="2">
        <v>29</v>
      </c>
      <c r="O1145" s="2">
        <v>3.16</v>
      </c>
      <c r="P1145" s="2"/>
      <c r="Q1145" s="2" t="s">
        <v>95</v>
      </c>
      <c r="R1145" s="10" t="s">
        <v>214</v>
      </c>
      <c r="S1145" s="10" t="s">
        <v>195</v>
      </c>
      <c r="T1145" s="188">
        <v>1000</v>
      </c>
      <c r="U1145" s="8">
        <f t="shared" si="133"/>
        <v>180</v>
      </c>
      <c r="V1145" s="234">
        <f t="shared" si="134"/>
        <v>106444.1552461603</v>
      </c>
      <c r="W1145" s="15">
        <v>25</v>
      </c>
      <c r="X1145" s="8">
        <f t="shared" si="135"/>
        <v>4.5</v>
      </c>
      <c r="Y1145" s="233">
        <f t="shared" si="136"/>
        <v>4527</v>
      </c>
    </row>
    <row r="1146" spans="1:25">
      <c r="A1146" s="156" t="e" cm="1">
        <f t="array" aca="1" ref="A1146" ca="1">_xlfn.IFS(E1146=$AB$42,$AC$42,E1146=$AB$43,$AC$43,E1146=$AB$44,$AC$44,E1146=$AB$45,$AC$45,E1146=$AB$46,$AC$46,E1146=$AB$47,$AC$47,E1146=$AB$48,$AC$48,E1146=$AB$49,$AC$49,E1146=$AB$50,$AC$50,E1146=$AB$51,$AC$51,E1146=$AB$52,$AC$52,E1146=$AB$53,$AC$53,E1146=$AB$54,$AC$54,E1146=$AB$55,$AC$55,E1146=$AB$56,$AC$56,E1146=$AB$57,$AC$57,E1146=$AB$58,$AC$58,E1146=$AB$59,$AC$59,E1146=$AB$60,$AC$60,E1146=$AB$61,$AC$61,E1146=$AB$62,$AC$62,E1146=$AB$63,$AC$63,E1146=$AB$64,$AC$64,E1146=$AB$65,$AC$65,E1146=$AB$66,$AC$66,TRUE,"0")</f>
        <v>#NAME?</v>
      </c>
      <c r="C1146" s="161" t="str" cm="1">
        <f t="array" ref="C1146">_xlfn.IFS(E1146=$AB$42,$AF$42,E1146=$AB$43,$AF$43,E1146=$AB$44,$AF$44,E1146=$AB$45,$AF$45,E1146=$AB$46,$AF$46,E1146=$AB$47,$AF$47,E1146=$AB$48,$AF$48,E1146=$AB$49,$AF$49,E1146=$AB$50,$AF$50,E1146=$AB$51,$AF$51,E1146=$AB$52,$AF$52,E1146=$AB$53,$AF$53,E1146=$AB$54,$AF$54,E1146=$AB$55,$AF$55,E1146=$AB$56,$AF$56,E1146=$AB$57,$AF$57,E1146=$AB$58,$AF$58,E1146=$AB$59,$AF$59,E1146=$AB$60,$AF$60,E1146=$AB$61,$AF$61,E1146=$AB$62,$AF$62,E1146=$AB$63,$AF$63,E1146=$AB$64,$AF$64,E1146=$AB$65,$AF$65,E1146=$AB$66,$AF$66,TRUE,"0")</f>
        <v>B4 match BACK FT +1.5 goals. X AFTER  GOAL</v>
      </c>
      <c r="D1146" s="270" t="str" cm="1">
        <f t="array" ref="D1146">_xlfn.IFS(E1146=$AB$42,$AD$42,E1146=$AB$43,$AD$43,E1146=$AB$44,$AD$44,E1146=$AB$45,$AD$45,E1146=$AB$46,$AD$46,E1146=$AB$47,$AD$47,E1146=$AB$48,$AD$48,E1146=$AB$49,$AD$49,E1146=$AB$50,$AD$50,E1146=$AB$51,$AD$51,E1146=$AB$52,$AD$52,E1146=$AB$53,$AD$53,E1146=$AB$54,$AD$54,E1146=$AB$55,$AD$55,E1146=$AB$56,$AD$56,E1146=$AB$57,$AD$57,E1146=$AB$58,$AD$58,E1146=$AB$59,$AD$59,E1146=$AB$60,$AD$60,E1146=$AB$61,$AD$61,E1146=$AB$62,$AD$62,E1146=$AB$63,$AD$63,E1146=$AB$64,$AD$64,E1146=$AB$65,$AD$65,E1146=$AB$66,$AD$66,TRUE,"0")</f>
        <v xml:space="preserve">BFM </v>
      </c>
      <c r="E1146" s="163" t="s">
        <v>531</v>
      </c>
      <c r="F1146" s="2" t="s">
        <v>133</v>
      </c>
      <c r="G1146" s="2" t="s">
        <v>78</v>
      </c>
      <c r="H1146" s="3">
        <v>45406.625</v>
      </c>
      <c r="I1146" s="2" t="s">
        <v>394</v>
      </c>
      <c r="J1146" s="2" t="s">
        <v>137</v>
      </c>
      <c r="K1146" s="2">
        <v>4.2</v>
      </c>
      <c r="L1146" s="2">
        <v>32</v>
      </c>
      <c r="M1146" s="2">
        <v>3.5</v>
      </c>
      <c r="N1146" s="2">
        <v>29</v>
      </c>
      <c r="O1146" s="2">
        <v>4</v>
      </c>
      <c r="P1146" s="2">
        <v>16</v>
      </c>
      <c r="Q1146" s="2" t="s">
        <v>95</v>
      </c>
      <c r="R1146" s="10" t="s">
        <v>214</v>
      </c>
      <c r="S1146" s="10" t="s">
        <v>216</v>
      </c>
      <c r="T1146" s="188">
        <v>1000</v>
      </c>
      <c r="U1146" s="8">
        <f t="shared" si="133"/>
        <v>180</v>
      </c>
      <c r="V1146" s="234">
        <f t="shared" si="134"/>
        <v>106624.1552461603</v>
      </c>
      <c r="W1146" s="15">
        <v>25</v>
      </c>
      <c r="X1146" s="8">
        <f t="shared" si="135"/>
        <v>4.5</v>
      </c>
      <c r="Y1146" s="233">
        <f t="shared" si="136"/>
        <v>4531.5</v>
      </c>
    </row>
    <row r="1147" spans="1:25">
      <c r="A1147" s="156" t="e" cm="1">
        <f t="array" aca="1" ref="A1147" ca="1">_xlfn.IFS(E1147=$AB$42,$AC$42,E1147=$AB$43,$AC$43,E1147=$AB$44,$AC$44,E1147=$AB$45,$AC$45,E1147=$AB$46,$AC$46,E1147=$AB$47,$AC$47,E1147=$AB$48,$AC$48,E1147=$AB$49,$AC$49,E1147=$AB$50,$AC$50,E1147=$AB$51,$AC$51,E1147=$AB$52,$AC$52,E1147=$AB$53,$AC$53,E1147=$AB$54,$AC$54,E1147=$AB$55,$AC$55,E1147=$AB$56,$AC$56,E1147=$AB$57,$AC$57,E1147=$AB$58,$AC$58,E1147=$AB$59,$AC$59,E1147=$AB$60,$AC$60,E1147=$AB$61,$AC$61,E1147=$AB$62,$AC$62,E1147=$AB$63,$AC$63,E1147=$AB$64,$AC$64,E1147=$AB$65,$AC$65,E1147=$AB$66,$AC$66,TRUE,"0")</f>
        <v>#NAME?</v>
      </c>
      <c r="C1147" s="161" t="str" cm="1">
        <f t="array" ref="C1147">_xlfn.IFS(E1147=$AB$42,$AF$42,E1147=$AB$43,$AF$43,E1147=$AB$44,$AF$44,E1147=$AB$45,$AF$45,E1147=$AB$46,$AF$46,E1147=$AB$47,$AF$47,E1147=$AB$48,$AF$48,E1147=$AB$49,$AF$49,E1147=$AB$50,$AF$50,E1147=$AB$51,$AF$51,E1147=$AB$52,$AF$52,E1147=$AB$53,$AF$53,E1147=$AB$54,$AF$54,E1147=$AB$55,$AF$55,E1147=$AB$56,$AF$56,E1147=$AB$57,$AF$57,E1147=$AB$58,$AF$58,E1147=$AB$59,$AF$59,E1147=$AB$60,$AF$60,E1147=$AB$61,$AF$61,E1147=$AB$62,$AF$62,E1147=$AB$63,$AF$63,E1147=$AB$64,$AF$64,E1147=$AB$65,$AF$65,E1147=$AB$66,$AF$66,TRUE,"0")</f>
        <v>if 0-0, BACK+ 0.5 GOALS  @ 1.15+odds.  or @ 40 mins</v>
      </c>
      <c r="D1147" s="270" t="str" cm="1">
        <f t="array" ref="D1147">_xlfn.IFS(E1147=$AB$42,$AD$42,E1147=$AB$43,$AD$43,E1147=$AB$44,$AD$44,E1147=$AB$45,$AD$45,E1147=$AB$46,$AD$46,E1147=$AB$47,$AD$47,E1147=$AB$48,$AD$48,E1147=$AB$49,$AD$49,E1147=$AB$50,$AD$50,E1147=$AB$51,$AD$51,E1147=$AB$52,$AD$52,E1147=$AB$53,$AD$53,E1147=$AB$54,$AD$54,E1147=$AB$55,$AD$55,E1147=$AB$56,$AD$56,E1147=$AB$57,$AD$57,E1147=$AB$58,$AD$58,E1147=$AB$59,$AD$59,E1147=$AB$60,$AD$60,E1147=$AB$61,$AD$61,E1147=$AB$62,$AD$62,E1147=$AB$63,$AD$63,E1147=$AB$64,$AD$64,E1147=$AB$65,$AD$65,E1147=$AB$66,$AD$66,TRUE,"0")</f>
        <v>IP</v>
      </c>
      <c r="E1147" s="163" t="s">
        <v>270</v>
      </c>
      <c r="F1147" s="2" t="s">
        <v>133</v>
      </c>
      <c r="G1147" s="2" t="s">
        <v>78</v>
      </c>
      <c r="H1147" s="3">
        <v>45406.625</v>
      </c>
      <c r="I1147" s="2" t="s">
        <v>394</v>
      </c>
      <c r="J1147" s="2" t="s">
        <v>137</v>
      </c>
      <c r="K1147" s="2">
        <v>64</v>
      </c>
      <c r="L1147" s="2">
        <v>0</v>
      </c>
      <c r="M1147" s="2">
        <v>20</v>
      </c>
      <c r="N1147" s="2">
        <v>31</v>
      </c>
      <c r="O1147" s="2">
        <v>2.2599999999999998</v>
      </c>
      <c r="P1147" s="2"/>
      <c r="Q1147" s="2" t="s">
        <v>95</v>
      </c>
      <c r="R1147" s="10" t="s">
        <v>214</v>
      </c>
      <c r="S1147" s="10" t="s">
        <v>216</v>
      </c>
      <c r="T1147" s="188">
        <v>1000</v>
      </c>
      <c r="U1147" s="8">
        <f t="shared" si="133"/>
        <v>180</v>
      </c>
      <c r="V1147" s="234">
        <f t="shared" si="134"/>
        <v>106804.1552461603</v>
      </c>
      <c r="W1147" s="15">
        <v>25</v>
      </c>
      <c r="X1147" s="8">
        <f t="shared" si="135"/>
        <v>4.5</v>
      </c>
      <c r="Y1147" s="233">
        <f t="shared" si="136"/>
        <v>4536</v>
      </c>
    </row>
    <row r="1148" spans="1:25">
      <c r="A1148" s="156" t="e" cm="1">
        <f t="array" aca="1" ref="A1148" ca="1">_xlfn.IFS(E1148=$AB$42,$AC$42,E1148=$AB$43,$AC$43,E1148=$AB$44,$AC$44,E1148=$AB$45,$AC$45,E1148=$AB$46,$AC$46,E1148=$AB$47,$AC$47,E1148=$AB$48,$AC$48,E1148=$AB$49,$AC$49,E1148=$AB$50,$AC$50,E1148=$AB$51,$AC$51,E1148=$AB$52,$AC$52,E1148=$AB$53,$AC$53,E1148=$AB$54,$AC$54,E1148=$AB$55,$AC$55,E1148=$AB$56,$AC$56,E1148=$AB$57,$AC$57,E1148=$AB$58,$AC$58,E1148=$AB$59,$AC$59,E1148=$AB$60,$AC$60,E1148=$AB$61,$AC$61,E1148=$AB$62,$AC$62,E1148=$AB$63,$AC$63,E1148=$AB$64,$AC$64,E1148=$AB$65,$AC$65,E1148=$AB$66,$AC$66,TRUE,"0")</f>
        <v>#NAME?</v>
      </c>
      <c r="C1148" s="161" t="str" cm="1">
        <f t="array" ref="C1148">_xlfn.IFS(E1148=$AB$42,$AF$42,E1148=$AB$43,$AF$43,E1148=$AB$44,$AF$44,E1148=$AB$45,$AF$45,E1148=$AB$46,$AF$46,E1148=$AB$47,$AF$47,E1148=$AB$48,$AF$48,E1148=$AB$49,$AF$49,E1148=$AB$50,$AF$50,E1148=$AB$51,$AF$51,E1148=$AB$52,$AF$52,E1148=$AB$53,$AF$53,E1148=$AB$54,$AF$54,E1148=$AB$55,$AF$55,E1148=$AB$56,$AF$56,E1148=$AB$57,$AF$57,E1148=$AB$58,$AF$58,E1148=$AB$59,$AF$59,E1148=$AB$60,$AF$60,E1148=$AB$61,$AF$61,E1148=$AB$62,$AF$62,E1148=$AB$63,$AF$63,E1148=$AB$64,$AF$64,E1148=$AB$65,$AF$65,E1148=$AB$66,$AF$66,TRUE,"0")</f>
        <v>B4 match BACK FT +1.5 goals. X AFTER  GOAL</v>
      </c>
      <c r="D1148" s="270" t="str" cm="1">
        <f t="array" ref="D1148">_xlfn.IFS(E1148=$AB$42,$AD$42,E1148=$AB$43,$AD$43,E1148=$AB$44,$AD$44,E1148=$AB$45,$AD$45,E1148=$AB$46,$AD$46,E1148=$AB$47,$AD$47,E1148=$AB$48,$AD$48,E1148=$AB$49,$AD$49,E1148=$AB$50,$AD$50,E1148=$AB$51,$AD$51,E1148=$AB$52,$AD$52,E1148=$AB$53,$AD$53,E1148=$AB$54,$AD$54,E1148=$AB$55,$AD$55,E1148=$AB$56,$AD$56,E1148=$AB$57,$AD$57,E1148=$AB$58,$AD$58,E1148=$AB$59,$AD$59,E1148=$AB$60,$AD$60,E1148=$AB$61,$AD$61,E1148=$AB$62,$AD$62,E1148=$AB$63,$AD$63,E1148=$AB$64,$AD$64,E1148=$AB$65,$AD$65,E1148=$AB$66,$AD$66,TRUE,"0")</f>
        <v xml:space="preserve">BFM </v>
      </c>
      <c r="E1148" s="163" t="s">
        <v>531</v>
      </c>
      <c r="F1148" s="2" t="s">
        <v>412</v>
      </c>
      <c r="G1148" s="2" t="s">
        <v>156</v>
      </c>
      <c r="H1148" s="3">
        <v>45406.729166666664</v>
      </c>
      <c r="I1148" s="2" t="s">
        <v>462</v>
      </c>
      <c r="J1148" s="2" t="s">
        <v>500</v>
      </c>
      <c r="K1148" s="2">
        <v>6.2</v>
      </c>
      <c r="L1148" s="2">
        <v>26</v>
      </c>
      <c r="M1148" s="2">
        <v>2.73</v>
      </c>
      <c r="N1148" s="2">
        <v>28</v>
      </c>
      <c r="O1148" s="2">
        <v>2</v>
      </c>
      <c r="P1148" s="2">
        <v>13</v>
      </c>
      <c r="Q1148" s="2" t="s">
        <v>95</v>
      </c>
      <c r="R1148" s="10" t="s">
        <v>217</v>
      </c>
      <c r="S1148" s="10" t="s">
        <v>212</v>
      </c>
      <c r="T1148" s="188">
        <v>1000</v>
      </c>
      <c r="U1148" s="8">
        <f t="shared" si="133"/>
        <v>180</v>
      </c>
      <c r="V1148" s="234">
        <f t="shared" si="134"/>
        <v>106984.1552461603</v>
      </c>
      <c r="W1148" s="15">
        <v>25</v>
      </c>
      <c r="X1148" s="8">
        <f t="shared" si="135"/>
        <v>4.5</v>
      </c>
      <c r="Y1148" s="233">
        <f t="shared" si="136"/>
        <v>4540.5</v>
      </c>
    </row>
    <row r="1149" spans="1:25">
      <c r="A1149" s="156" t="e" cm="1">
        <f t="array" aca="1" ref="A1149" ca="1">_xlfn.IFS(E1149=$AB$42,$AC$42,E1149=$AB$43,$AC$43,E1149=$AB$44,$AC$44,E1149=$AB$45,$AC$45,E1149=$AB$46,$AC$46,E1149=$AB$47,$AC$47,E1149=$AB$48,$AC$48,E1149=$AB$49,$AC$49,E1149=$AB$50,$AC$50,E1149=$AB$51,$AC$51,E1149=$AB$52,$AC$52,E1149=$AB$53,$AC$53,E1149=$AB$54,$AC$54,E1149=$AB$55,$AC$55,E1149=$AB$56,$AC$56,E1149=$AB$57,$AC$57,E1149=$AB$58,$AC$58,E1149=$AB$59,$AC$59,E1149=$AB$60,$AC$60,E1149=$AB$61,$AC$61,E1149=$AB$62,$AC$62,E1149=$AB$63,$AC$63,E1149=$AB$64,$AC$64,E1149=$AB$65,$AC$65,E1149=$AB$66,$AC$66,TRUE,"0")</f>
        <v>#NAME?</v>
      </c>
      <c r="C1149" s="161" t="str" cm="1">
        <f t="array" ref="C1149">_xlfn.IFS(E1149=$AB$42,$AF$42,E1149=$AB$43,$AF$43,E1149=$AB$44,$AF$44,E1149=$AB$45,$AF$45,E1149=$AB$46,$AF$46,E1149=$AB$47,$AF$47,E1149=$AB$48,$AF$48,E1149=$AB$49,$AF$49,E1149=$AB$50,$AF$50,E1149=$AB$51,$AF$51,E1149=$AB$52,$AF$52,E1149=$AB$53,$AF$53,E1149=$AB$54,$AF$54,E1149=$AB$55,$AF$55,E1149=$AB$56,$AF$56,E1149=$AB$57,$AF$57,E1149=$AB$58,$AF$58,E1149=$AB$59,$AF$59,E1149=$AB$60,$AF$60,E1149=$AB$61,$AF$61,E1149=$AB$62,$AF$62,E1149=$AB$63,$AF$63,E1149=$AB$64,$AF$64,E1149=$AB$65,$AF$65,E1149=$AB$66,$AF$66,TRUE,"0")</f>
        <v>B4 match BACK FT +1.5 goals. X AFTER  GOAL</v>
      </c>
      <c r="D1149" s="270" t="str" cm="1">
        <f t="array" ref="D1149">_xlfn.IFS(E1149=$AB$42,$AD$42,E1149=$AB$43,$AD$43,E1149=$AB$44,$AD$44,E1149=$AB$45,$AD$45,E1149=$AB$46,$AD$46,E1149=$AB$47,$AD$47,E1149=$AB$48,$AD$48,E1149=$AB$49,$AD$49,E1149=$AB$50,$AD$50,E1149=$AB$51,$AD$51,E1149=$AB$52,$AD$52,E1149=$AB$53,$AD$53,E1149=$AB$54,$AD$54,E1149=$AB$55,$AD$55,E1149=$AB$56,$AD$56,E1149=$AB$57,$AD$57,E1149=$AB$58,$AD$58,E1149=$AB$59,$AD$59,E1149=$AB$60,$AD$60,E1149=$AB$61,$AD$61,E1149=$AB$62,$AD$62,E1149=$AB$63,$AD$63,E1149=$AB$64,$AD$64,E1149=$AB$65,$AD$65,E1149=$AB$66,$AD$66,TRUE,"0")</f>
        <v xml:space="preserve">BFM </v>
      </c>
      <c r="E1149" s="163" t="s">
        <v>623</v>
      </c>
      <c r="F1149" s="2" t="s">
        <v>149</v>
      </c>
      <c r="G1149" s="2" t="s">
        <v>153</v>
      </c>
      <c r="H1149" s="3">
        <v>45406.739583333336</v>
      </c>
      <c r="I1149" s="2" t="s">
        <v>242</v>
      </c>
      <c r="J1149" s="2" t="s">
        <v>248</v>
      </c>
      <c r="K1149" s="2">
        <v>4.7</v>
      </c>
      <c r="L1149" s="2">
        <v>20</v>
      </c>
      <c r="M1149" s="2">
        <v>2.7</v>
      </c>
      <c r="N1149" s="2">
        <v>26</v>
      </c>
      <c r="O1149" s="2">
        <v>1</v>
      </c>
      <c r="P1149" s="2">
        <v>10</v>
      </c>
      <c r="Q1149" s="2" t="s">
        <v>95</v>
      </c>
      <c r="R1149" s="10" t="s">
        <v>214</v>
      </c>
      <c r="S1149" s="10" t="s">
        <v>196</v>
      </c>
      <c r="T1149" s="188">
        <v>1000</v>
      </c>
      <c r="U1149" s="8">
        <f t="shared" si="133"/>
        <v>180</v>
      </c>
      <c r="V1149" s="234">
        <f t="shared" si="134"/>
        <v>107164.1552461603</v>
      </c>
      <c r="W1149" s="15">
        <v>25</v>
      </c>
      <c r="X1149" s="8">
        <f t="shared" si="135"/>
        <v>4.5</v>
      </c>
      <c r="Y1149" s="233">
        <f t="shared" si="136"/>
        <v>4545</v>
      </c>
    </row>
    <row r="1150" spans="1:25">
      <c r="A1150" s="156" t="e" cm="1">
        <f t="array" aca="1" ref="A1150" ca="1">_xlfn.IFS(E1150=$AB$42,$AC$42,E1150=$AB$43,$AC$43,E1150=$AB$44,$AC$44,E1150=$AB$45,$AC$45,E1150=$AB$46,$AC$46,E1150=$AB$47,$AC$47,E1150=$AB$48,$AC$48,E1150=$AB$49,$AC$49,E1150=$AB$50,$AC$50,E1150=$AB$51,$AC$51,E1150=$AB$52,$AC$52,E1150=$AB$53,$AC$53,E1150=$AB$54,$AC$54,E1150=$AB$55,$AC$55,E1150=$AB$56,$AC$56,E1150=$AB$57,$AC$57,E1150=$AB$58,$AC$58,E1150=$AB$59,$AC$59,E1150=$AB$60,$AC$60,E1150=$AB$61,$AC$61,E1150=$AB$62,$AC$62,E1150=$AB$63,$AC$63,E1150=$AB$64,$AC$64,E1150=$AB$65,$AC$65,E1150=$AB$66,$AC$66,TRUE,"0")</f>
        <v>#NAME?</v>
      </c>
      <c r="C1150" s="161" t="str" cm="1">
        <f t="array" ref="C1150">_xlfn.IFS(E1150=$AB$42,$AF$42,E1150=$AB$43,$AF$43,E1150=$AB$44,$AF$44,E1150=$AB$45,$AF$45,E1150=$AB$46,$AF$46,E1150=$AB$47,$AF$47,E1150=$AB$48,$AF$48,E1150=$AB$49,$AF$49,E1150=$AB$50,$AF$50,E1150=$AB$51,$AF$51,E1150=$AB$52,$AF$52,E1150=$AB$53,$AF$53,E1150=$AB$54,$AF$54,E1150=$AB$55,$AF$55,E1150=$AB$56,$AF$56,E1150=$AB$57,$AF$57,E1150=$AB$58,$AF$58,E1150=$AB$59,$AF$59,E1150=$AB$60,$AF$60,E1150=$AB$61,$AF$61,E1150=$AB$62,$AF$62,E1150=$AB$63,$AF$63,E1150=$AB$64,$AF$64,E1150=$AB$65,$AF$65,E1150=$AB$66,$AF$66,TRUE,"0")</f>
        <v>B4 match BACK FT +1.5 goals. X AFTER  GOAL</v>
      </c>
      <c r="D1150" s="270" t="str" cm="1">
        <f t="array" ref="D1150">_xlfn.IFS(E1150=$AB$42,$AD$42,E1150=$AB$43,$AD$43,E1150=$AB$44,$AD$44,E1150=$AB$45,$AD$45,E1150=$AB$46,$AD$46,E1150=$AB$47,$AD$47,E1150=$AB$48,$AD$48,E1150=$AB$49,$AD$49,E1150=$AB$50,$AD$50,E1150=$AB$51,$AD$51,E1150=$AB$52,$AD$52,E1150=$AB$53,$AD$53,E1150=$AB$54,$AD$54,E1150=$AB$55,$AD$55,E1150=$AB$56,$AD$56,E1150=$AB$57,$AD$57,E1150=$AB$58,$AD$58,E1150=$AB$59,$AD$59,E1150=$AB$60,$AD$60,E1150=$AB$61,$AD$61,E1150=$AB$62,$AD$62,E1150=$AB$63,$AD$63,E1150=$AB$64,$AD$64,E1150=$AB$65,$AD$65,E1150=$AB$66,$AD$66,TRUE,"0")</f>
        <v xml:space="preserve">BFM </v>
      </c>
      <c r="E1150" s="163" t="s">
        <v>531</v>
      </c>
      <c r="F1150" s="2" t="s">
        <v>145</v>
      </c>
      <c r="G1150" s="2" t="s">
        <v>190</v>
      </c>
      <c r="H1150" s="3">
        <v>45406.75</v>
      </c>
      <c r="I1150" s="2" t="s">
        <v>227</v>
      </c>
      <c r="J1150" s="2" t="s">
        <v>553</v>
      </c>
      <c r="K1150" s="2">
        <v>4.7</v>
      </c>
      <c r="L1150" s="2">
        <v>28</v>
      </c>
      <c r="M1150" s="2">
        <v>2.96</v>
      </c>
      <c r="N1150" s="2">
        <v>32</v>
      </c>
      <c r="O1150" s="2">
        <v>2</v>
      </c>
      <c r="P1150" s="2">
        <v>14</v>
      </c>
      <c r="Q1150" s="2" t="s">
        <v>95</v>
      </c>
      <c r="R1150" s="10" t="s">
        <v>217</v>
      </c>
      <c r="S1150" s="10" t="s">
        <v>225</v>
      </c>
      <c r="T1150" s="188">
        <v>1000</v>
      </c>
      <c r="U1150" s="8">
        <f t="shared" si="133"/>
        <v>180</v>
      </c>
      <c r="V1150" s="234">
        <f t="shared" si="134"/>
        <v>107344.1552461603</v>
      </c>
      <c r="W1150" s="15">
        <v>25</v>
      </c>
      <c r="X1150" s="8">
        <f t="shared" si="135"/>
        <v>4.5</v>
      </c>
      <c r="Y1150" s="233">
        <f t="shared" si="136"/>
        <v>4549.5</v>
      </c>
    </row>
    <row r="1151" spans="1:25">
      <c r="A1151" s="156" t="e" cm="1">
        <f t="array" aca="1" ref="A1151" ca="1">_xlfn.IFS(E1151=$AB$42,$AC$42,E1151=$AB$43,$AC$43,E1151=$AB$44,$AC$44,E1151=$AB$45,$AC$45,E1151=$AB$46,$AC$46,E1151=$AB$47,$AC$47,E1151=$AB$48,$AC$48,E1151=$AB$49,$AC$49,E1151=$AB$50,$AC$50,E1151=$AB$51,$AC$51,E1151=$AB$52,$AC$52,E1151=$AB$53,$AC$53,E1151=$AB$54,$AC$54,E1151=$AB$55,$AC$55,E1151=$AB$56,$AC$56,E1151=$AB$57,$AC$57,E1151=$AB$58,$AC$58,E1151=$AB$59,$AC$59,E1151=$AB$60,$AC$60,E1151=$AB$61,$AC$61,E1151=$AB$62,$AC$62,E1151=$AB$63,$AC$63,E1151=$AB$64,$AC$64,E1151=$AB$65,$AC$65,E1151=$AB$66,$AC$66,TRUE,"0")</f>
        <v>#NAME?</v>
      </c>
      <c r="C1151" s="161" t="str" cm="1">
        <f t="array" ref="C1151">_xlfn.IFS(E1151=$AB$42,$AF$42,E1151=$AB$43,$AF$43,E1151=$AB$44,$AF$44,E1151=$AB$45,$AF$45,E1151=$AB$46,$AF$46,E1151=$AB$47,$AF$47,E1151=$AB$48,$AF$48,E1151=$AB$49,$AF$49,E1151=$AB$50,$AF$50,E1151=$AB$51,$AF$51,E1151=$AB$52,$AF$52,E1151=$AB$53,$AF$53,E1151=$AB$54,$AF$54,E1151=$AB$55,$AF$55,E1151=$AB$56,$AF$56,E1151=$AB$57,$AF$57,E1151=$AB$58,$AF$58,E1151=$AB$59,$AF$59,E1151=$AB$60,$AF$60,E1151=$AB$61,$AF$61,E1151=$AB$62,$AF$62,E1151=$AB$63,$AF$63,E1151=$AB$64,$AF$64,E1151=$AB$65,$AF$65,E1151=$AB$66,$AF$66,TRUE,"0")</f>
        <v>if 0-0, BACK+ 0.5 GOALS  @ 1.15+odds.  or @ 40 mins</v>
      </c>
      <c r="D1151" s="270" t="str" cm="1">
        <f t="array" ref="D1151">_xlfn.IFS(E1151=$AB$42,$AD$42,E1151=$AB$43,$AD$43,E1151=$AB$44,$AD$44,E1151=$AB$45,$AD$45,E1151=$AB$46,$AD$46,E1151=$AB$47,$AD$47,E1151=$AB$48,$AD$48,E1151=$AB$49,$AD$49,E1151=$AB$50,$AD$50,E1151=$AB$51,$AD$51,E1151=$AB$52,$AD$52,E1151=$AB$53,$AD$53,E1151=$AB$54,$AD$54,E1151=$AB$55,$AD$55,E1151=$AB$56,$AD$56,E1151=$AB$57,$AD$57,E1151=$AB$58,$AD$58,E1151=$AB$59,$AD$59,E1151=$AB$60,$AD$60,E1151=$AB$61,$AD$61,E1151=$AB$62,$AD$62,E1151=$AB$63,$AD$63,E1151=$AB$64,$AD$64,E1151=$AB$65,$AD$65,E1151=$AB$66,$AD$66,TRUE,"0")</f>
        <v>IP</v>
      </c>
      <c r="E1151" s="163" t="s">
        <v>270</v>
      </c>
      <c r="F1151" s="2" t="s">
        <v>296</v>
      </c>
      <c r="G1151" s="2" t="s">
        <v>525</v>
      </c>
      <c r="H1151" s="3">
        <v>45406.770833333336</v>
      </c>
      <c r="I1151" s="2" t="s">
        <v>597</v>
      </c>
      <c r="J1151" s="2" t="s">
        <v>596</v>
      </c>
      <c r="K1151" s="2">
        <v>61</v>
      </c>
      <c r="L1151" s="2">
        <v>0</v>
      </c>
      <c r="M1151" s="2">
        <v>20</v>
      </c>
      <c r="N1151" s="2">
        <v>30</v>
      </c>
      <c r="O1151" s="2">
        <v>0</v>
      </c>
      <c r="P1151" s="2"/>
      <c r="Q1151" s="2" t="s">
        <v>95</v>
      </c>
      <c r="R1151" s="10" t="s">
        <v>217</v>
      </c>
      <c r="S1151" s="10" t="s">
        <v>217</v>
      </c>
      <c r="T1151" s="188">
        <v>1000</v>
      </c>
      <c r="U1151" s="8">
        <f t="shared" si="133"/>
        <v>180</v>
      </c>
      <c r="V1151" s="234">
        <f t="shared" si="134"/>
        <v>107524.1552461603</v>
      </c>
      <c r="W1151" s="15">
        <v>25</v>
      </c>
      <c r="X1151" s="8">
        <f t="shared" si="135"/>
        <v>4.5</v>
      </c>
      <c r="Y1151" s="233">
        <f t="shared" si="136"/>
        <v>4554</v>
      </c>
    </row>
    <row r="1152" spans="1:25">
      <c r="A1152" s="156" t="e" cm="1">
        <f t="array" aca="1" ref="A1152" ca="1">_xlfn.IFS(E1152=$AB$42,$AC$42,E1152=$AB$43,$AC$43,E1152=$AB$44,$AC$44,E1152=$AB$45,$AC$45,E1152=$AB$46,$AC$46,E1152=$AB$47,$AC$47,E1152=$AB$48,$AC$48,E1152=$AB$49,$AC$49,E1152=$AB$50,$AC$50,E1152=$AB$51,$AC$51,E1152=$AB$52,$AC$52,E1152=$AB$53,$AC$53,E1152=$AB$54,$AC$54,E1152=$AB$55,$AC$55,E1152=$AB$56,$AC$56,E1152=$AB$57,$AC$57,E1152=$AB$58,$AC$58,E1152=$AB$59,$AC$59,E1152=$AB$60,$AC$60,E1152=$AB$61,$AC$61,E1152=$AB$62,$AC$62,E1152=$AB$63,$AC$63,E1152=$AB$64,$AC$64,E1152=$AB$65,$AC$65,E1152=$AB$66,$AC$66,TRUE,"0")</f>
        <v>#NAME?</v>
      </c>
      <c r="C1152" s="161" t="str" cm="1">
        <f t="array" ref="C1152">_xlfn.IFS(E1152=$AB$42,$AF$42,E1152=$AB$43,$AF$43,E1152=$AB$44,$AF$44,E1152=$AB$45,$AF$45,E1152=$AB$46,$AF$46,E1152=$AB$47,$AF$47,E1152=$AB$48,$AF$48,E1152=$AB$49,$AF$49,E1152=$AB$50,$AF$50,E1152=$AB$51,$AF$51,E1152=$AB$52,$AF$52,E1152=$AB$53,$AF$53,E1152=$AB$54,$AF$54,E1152=$AB$55,$AF$55,E1152=$AB$56,$AF$56,E1152=$AB$57,$AF$57,E1152=$AB$58,$AF$58,E1152=$AB$59,$AF$59,E1152=$AB$60,$AF$60,E1152=$AB$61,$AF$61,E1152=$AB$62,$AF$62,E1152=$AB$63,$AF$63,E1152=$AB$64,$AF$64,E1152=$AB$65,$AF$65,E1152=$AB$66,$AF$66,TRUE,"0")</f>
        <v>if 0-0, BACK+ 0.5 GOALS  @ 1.15+odds.  or @ 40 mins</v>
      </c>
      <c r="D1152" s="270" t="str" cm="1">
        <f t="array" ref="D1152">_xlfn.IFS(E1152=$AB$42,$AD$42,E1152=$AB$43,$AD$43,E1152=$AB$44,$AD$44,E1152=$AB$45,$AD$45,E1152=$AB$46,$AD$46,E1152=$AB$47,$AD$47,E1152=$AB$48,$AD$48,E1152=$AB$49,$AD$49,E1152=$AB$50,$AD$50,E1152=$AB$51,$AD$51,E1152=$AB$52,$AD$52,E1152=$AB$53,$AD$53,E1152=$AB$54,$AD$54,E1152=$AB$55,$AD$55,E1152=$AB$56,$AD$56,E1152=$AB$57,$AD$57,E1152=$AB$58,$AD$58,E1152=$AB$59,$AD$59,E1152=$AB$60,$AD$60,E1152=$AB$61,$AD$61,E1152=$AB$62,$AD$62,E1152=$AB$63,$AD$63,E1152=$AB$64,$AD$64,E1152=$AB$65,$AD$65,E1152=$AB$66,$AD$66,TRUE,"0")</f>
        <v>IP</v>
      </c>
      <c r="E1152" s="163" t="s">
        <v>270</v>
      </c>
      <c r="F1152" s="2" t="s">
        <v>67</v>
      </c>
      <c r="G1152" s="2" t="s">
        <v>68</v>
      </c>
      <c r="H1152" s="3">
        <v>45406.8125</v>
      </c>
      <c r="I1152" s="2" t="s">
        <v>265</v>
      </c>
      <c r="J1152" s="2" t="s">
        <v>343</v>
      </c>
      <c r="K1152" s="2">
        <v>61</v>
      </c>
      <c r="L1152" s="2">
        <v>0</v>
      </c>
      <c r="M1152" s="2">
        <v>20</v>
      </c>
      <c r="N1152" s="2">
        <v>34</v>
      </c>
      <c r="O1152" s="2">
        <v>2.5499999999999998</v>
      </c>
      <c r="P1152" s="2"/>
      <c r="Q1152" s="2" t="s">
        <v>95</v>
      </c>
      <c r="R1152" s="10" t="s">
        <v>214</v>
      </c>
      <c r="S1152" s="10" t="s">
        <v>194</v>
      </c>
      <c r="T1152" s="188">
        <v>1000</v>
      </c>
      <c r="U1152" s="8">
        <f t="shared" si="133"/>
        <v>180</v>
      </c>
      <c r="V1152" s="234">
        <f t="shared" si="134"/>
        <v>107704.1552461603</v>
      </c>
      <c r="W1152" s="15">
        <v>25</v>
      </c>
      <c r="X1152" s="8">
        <f t="shared" si="135"/>
        <v>4.5</v>
      </c>
      <c r="Y1152" s="233">
        <f t="shared" si="136"/>
        <v>4558.5</v>
      </c>
    </row>
    <row r="1153" spans="1:25">
      <c r="A1153" s="156" t="e" cm="1">
        <f t="array" aca="1" ref="A1153" ca="1">_xlfn.IFS(E1153=$AB$42,$AC$42,E1153=$AB$43,$AC$43,E1153=$AB$44,$AC$44,E1153=$AB$45,$AC$45,E1153=$AB$46,$AC$46,E1153=$AB$47,$AC$47,E1153=$AB$48,$AC$48,E1153=$AB$49,$AC$49,E1153=$AB$50,$AC$50,E1153=$AB$51,$AC$51,E1153=$AB$52,$AC$52,E1153=$AB$53,$AC$53,E1153=$AB$54,$AC$54,E1153=$AB$55,$AC$55,E1153=$AB$56,$AC$56,E1153=$AB$57,$AC$57,E1153=$AB$58,$AC$58,E1153=$AB$59,$AC$59,E1153=$AB$60,$AC$60,E1153=$AB$61,$AC$61,E1153=$AB$62,$AC$62,E1153=$AB$63,$AC$63,E1153=$AB$64,$AC$64,E1153=$AB$65,$AC$65,E1153=$AB$66,$AC$66,TRUE,"0")</f>
        <v>#NAME?</v>
      </c>
      <c r="C1153" s="161" t="str" cm="1">
        <f t="array" ref="C1153">_xlfn.IFS(E1153=$AB$42,$AF$42,E1153=$AB$43,$AF$43,E1153=$AB$44,$AF$44,E1153=$AB$45,$AF$45,E1153=$AB$46,$AF$46,E1153=$AB$47,$AF$47,E1153=$AB$48,$AF$48,E1153=$AB$49,$AF$49,E1153=$AB$50,$AF$50,E1153=$AB$51,$AF$51,E1153=$AB$52,$AF$52,E1153=$AB$53,$AF$53,E1153=$AB$54,$AF$54,E1153=$AB$55,$AF$55,E1153=$AB$56,$AF$56,E1153=$AB$57,$AF$57,E1153=$AB$58,$AF$58,E1153=$AB$59,$AF$59,E1153=$AB$60,$AF$60,E1153=$AB$61,$AF$61,E1153=$AB$62,$AF$62,E1153=$AB$63,$AF$63,E1153=$AB$64,$AF$64,E1153=$AB$65,$AF$65,E1153=$AB$66,$AF$66,TRUE,"0")</f>
        <v>if 0-0, BACK+ 0.5 GOALS  @ 1.15+odds.  or @ 40 mins</v>
      </c>
      <c r="D1153" s="270" t="str" cm="1">
        <f t="array" ref="D1153">_xlfn.IFS(E1153=$AB$42,$AD$42,E1153=$AB$43,$AD$43,E1153=$AB$44,$AD$44,E1153=$AB$45,$AD$45,E1153=$AB$46,$AD$46,E1153=$AB$47,$AD$47,E1153=$AB$48,$AD$48,E1153=$AB$49,$AD$49,E1153=$AB$50,$AD$50,E1153=$AB$51,$AD$51,E1153=$AB$52,$AD$52,E1153=$AB$53,$AD$53,E1153=$AB$54,$AD$54,E1153=$AB$55,$AD$55,E1153=$AB$56,$AD$56,E1153=$AB$57,$AD$57,E1153=$AB$58,$AD$58,E1153=$AB$59,$AD$59,E1153=$AB$60,$AD$60,E1153=$AB$61,$AD$61,E1153=$AB$62,$AD$62,E1153=$AB$63,$AD$63,E1153=$AB$64,$AD$64,E1153=$AB$65,$AD$65,E1153=$AB$66,$AD$66,TRUE,"0")</f>
        <v>IP</v>
      </c>
      <c r="E1153" s="163" t="s">
        <v>270</v>
      </c>
      <c r="F1153" s="2" t="s">
        <v>6</v>
      </c>
      <c r="G1153" s="2" t="s">
        <v>62</v>
      </c>
      <c r="H1153" s="3">
        <v>45406.822916666664</v>
      </c>
      <c r="I1153" s="2" t="s">
        <v>64</v>
      </c>
      <c r="J1153" s="2" t="s">
        <v>117</v>
      </c>
      <c r="K1153" s="2">
        <v>68</v>
      </c>
      <c r="L1153" s="2">
        <v>0</v>
      </c>
      <c r="M1153" s="2">
        <v>20</v>
      </c>
      <c r="N1153" s="2">
        <v>29</v>
      </c>
      <c r="O1153" s="2">
        <v>2.76</v>
      </c>
      <c r="P1153" s="2"/>
      <c r="Q1153" s="2" t="s">
        <v>95</v>
      </c>
      <c r="R1153" s="10" t="s">
        <v>193</v>
      </c>
      <c r="S1153" s="10" t="s">
        <v>193</v>
      </c>
      <c r="T1153" s="188">
        <v>1000</v>
      </c>
      <c r="U1153" s="8">
        <f t="shared" si="133"/>
        <v>180</v>
      </c>
      <c r="V1153" s="234">
        <f t="shared" si="134"/>
        <v>107884.1552461603</v>
      </c>
      <c r="W1153" s="15">
        <v>25</v>
      </c>
      <c r="X1153" s="8">
        <f t="shared" si="135"/>
        <v>4.5</v>
      </c>
      <c r="Y1153" s="233">
        <f t="shared" si="136"/>
        <v>4563</v>
      </c>
    </row>
    <row r="1154" spans="1:25">
      <c r="A1154" s="156" t="e" cm="1">
        <f t="array" aca="1" ref="A1154" ca="1">_xlfn.IFS(E1154=$AB$42,$AC$42,E1154=$AB$43,$AC$43,E1154=$AB$44,$AC$44,E1154=$AB$45,$AC$45,E1154=$AB$46,$AC$46,E1154=$AB$47,$AC$47,E1154=$AB$48,$AC$48,E1154=$AB$49,$AC$49,E1154=$AB$50,$AC$50,E1154=$AB$51,$AC$51,E1154=$AB$52,$AC$52,E1154=$AB$53,$AC$53,E1154=$AB$54,$AC$54,E1154=$AB$55,$AC$55,E1154=$AB$56,$AC$56,E1154=$AB$57,$AC$57,E1154=$AB$58,$AC$58,E1154=$AB$59,$AC$59,E1154=$AB$60,$AC$60,E1154=$AB$61,$AC$61,E1154=$AB$62,$AC$62,E1154=$AB$63,$AC$63,E1154=$AB$64,$AC$64,E1154=$AB$65,$AC$65,E1154=$AB$66,$AC$66,TRUE,"0")</f>
        <v>#NAME?</v>
      </c>
      <c r="C1154" s="161" t="str" cm="1">
        <f t="array" ref="C1154">_xlfn.IFS(E1154=$AB$42,$AF$42,E1154=$AB$43,$AF$43,E1154=$AB$44,$AF$44,E1154=$AB$45,$AF$45,E1154=$AB$46,$AF$46,E1154=$AB$47,$AF$47,E1154=$AB$48,$AF$48,E1154=$AB$49,$AF$49,E1154=$AB$50,$AF$50,E1154=$AB$51,$AF$51,E1154=$AB$52,$AF$52,E1154=$AB$53,$AF$53,E1154=$AB$54,$AF$54,E1154=$AB$55,$AF$55,E1154=$AB$56,$AF$56,E1154=$AB$57,$AF$57,E1154=$AB$58,$AF$58,E1154=$AB$59,$AF$59,E1154=$AB$60,$AF$60,E1154=$AB$61,$AF$61,E1154=$AB$62,$AF$62,E1154=$AB$63,$AF$63,E1154=$AB$64,$AF$64,E1154=$AB$65,$AF$65,E1154=$AB$66,$AF$66,TRUE,"0")</f>
        <v>40 mins Back ANother Goal</v>
      </c>
      <c r="D1154" s="270" t="str" cm="1">
        <f t="array" ref="D1154">_xlfn.IFS(E1154=$AB$42,$AD$42,E1154=$AB$43,$AD$43,E1154=$AB$44,$AD$44,E1154=$AB$45,$AD$45,E1154=$AB$46,$AD$46,E1154=$AB$47,$AD$47,E1154=$AB$48,$AD$48,E1154=$AB$49,$AD$49,E1154=$AB$50,$AD$50,E1154=$AB$51,$AD$51,E1154=$AB$52,$AD$52,E1154=$AB$53,$AD$53,E1154=$AB$54,$AD$54,E1154=$AB$55,$AD$55,E1154=$AB$56,$AD$56,E1154=$AB$57,$AD$57,E1154=$AB$58,$AD$58,E1154=$AB$59,$AD$59,E1154=$AB$60,$AD$60,E1154=$AB$61,$AD$61,E1154=$AB$62,$AD$62,E1154=$AB$63,$AD$63,E1154=$AB$64,$AD$64,E1154=$AB$65,$AD$65,E1154=$AB$66,$AD$66,TRUE,"0")</f>
        <v xml:space="preserve">  BANG</v>
      </c>
      <c r="E1154" s="163" t="s">
        <v>726</v>
      </c>
      <c r="F1154" s="2" t="s">
        <v>149</v>
      </c>
      <c r="G1154" s="2" t="s">
        <v>153</v>
      </c>
      <c r="H1154" s="3">
        <v>45406.833333333336</v>
      </c>
      <c r="I1154" s="2" t="s">
        <v>363</v>
      </c>
      <c r="J1154" s="2" t="s">
        <v>647</v>
      </c>
      <c r="K1154" s="2">
        <v>95</v>
      </c>
      <c r="L1154" s="2">
        <v>20</v>
      </c>
      <c r="M1154" s="2">
        <v>2.1</v>
      </c>
      <c r="N1154" s="2">
        <v>64</v>
      </c>
      <c r="O1154" s="2"/>
      <c r="P1154" s="2"/>
      <c r="Q1154" s="2" t="s">
        <v>95</v>
      </c>
      <c r="R1154" s="10" t="s">
        <v>216</v>
      </c>
      <c r="S1154" s="10" t="s">
        <v>210</v>
      </c>
      <c r="T1154" s="188">
        <v>1000</v>
      </c>
      <c r="U1154" s="8">
        <f t="shared" si="133"/>
        <v>180</v>
      </c>
      <c r="V1154" s="234">
        <f t="shared" si="134"/>
        <v>108064.1552461603</v>
      </c>
      <c r="W1154" s="15">
        <v>25</v>
      </c>
      <c r="X1154" s="8">
        <f t="shared" si="135"/>
        <v>4.5</v>
      </c>
      <c r="Y1154" s="233">
        <f t="shared" si="136"/>
        <v>4567.5</v>
      </c>
    </row>
    <row r="1155" spans="1:25">
      <c r="A1155" s="156" t="e" cm="1">
        <f t="array" aca="1" ref="A1155" ca="1">_xlfn.IFS(E1155=$AB$42,$AC$42,E1155=$AB$43,$AC$43,E1155=$AB$44,$AC$44,E1155=$AB$45,$AC$45,E1155=$AB$46,$AC$46,E1155=$AB$47,$AC$47,E1155=$AB$48,$AC$48,E1155=$AB$49,$AC$49,E1155=$AB$50,$AC$50,E1155=$AB$51,$AC$51,E1155=$AB$52,$AC$52,E1155=$AB$53,$AC$53,E1155=$AB$54,$AC$54,E1155=$AB$55,$AC$55,E1155=$AB$56,$AC$56,E1155=$AB$57,$AC$57,E1155=$AB$58,$AC$58,E1155=$AB$59,$AC$59,E1155=$AB$60,$AC$60,E1155=$AB$61,$AC$61,E1155=$AB$62,$AC$62,E1155=$AB$63,$AC$63,E1155=$AB$64,$AC$64,E1155=$AB$65,$AC$65,E1155=$AB$66,$AC$66,TRUE,"0")</f>
        <v>#NAME?</v>
      </c>
      <c r="C1155" s="161" t="str" cm="1">
        <f t="array" ref="C1155">_xlfn.IFS(E1155=$AB$42,$AF$42,E1155=$AB$43,$AF$43,E1155=$AB$44,$AF$44,E1155=$AB$45,$AF$45,E1155=$AB$46,$AF$46,E1155=$AB$47,$AF$47,E1155=$AB$48,$AF$48,E1155=$AB$49,$AF$49,E1155=$AB$50,$AF$50,E1155=$AB$51,$AF$51,E1155=$AB$52,$AF$52,E1155=$AB$53,$AF$53,E1155=$AB$54,$AF$54,E1155=$AB$55,$AF$55,E1155=$AB$56,$AF$56,E1155=$AB$57,$AF$57,E1155=$AB$58,$AF$58,E1155=$AB$59,$AF$59,E1155=$AB$60,$AF$60,E1155=$AB$61,$AF$61,E1155=$AB$62,$AF$62,E1155=$AB$63,$AF$63,E1155=$AB$64,$AF$64,E1155=$AB$65,$AF$65,E1155=$AB$66,$AF$66,TRUE,"0")</f>
        <v>B4 Match, lay HT 0-0 or BACK H1 +0.5 GOALS</v>
      </c>
      <c r="D1155" s="270" t="str" cm="1">
        <f t="array" ref="D1155">_xlfn.IFS(E1155=$AB$42,$AD$42,E1155=$AB$43,$AD$43,E1155=$AB$44,$AD$44,E1155=$AB$45,$AD$45,E1155=$AB$46,$AD$46,E1155=$AB$47,$AD$47,E1155=$AB$48,$AD$48,E1155=$AB$49,$AD$49,E1155=$AB$50,$AD$50,E1155=$AB$51,$AD$51,E1155=$AB$52,$AD$52,E1155=$AB$53,$AD$53,E1155=$AB$54,$AD$54,E1155=$AB$55,$AD$55,E1155=$AB$56,$AD$56,E1155=$AB$57,$AD$57,E1155=$AB$58,$AD$58,E1155=$AB$59,$AD$59,E1155=$AB$60,$AD$60,E1155=$AB$61,$AD$61,E1155=$AB$62,$AD$62,E1155=$AB$63,$AD$63,E1155=$AB$64,$AD$64,E1155=$AB$65,$AD$65,E1155=$AB$66,$AD$66,TRUE,"0")</f>
        <v xml:space="preserve">BFM </v>
      </c>
      <c r="E1155" s="163" t="s">
        <v>432</v>
      </c>
      <c r="F1155" s="2" t="s">
        <v>149</v>
      </c>
      <c r="G1155" s="2" t="s">
        <v>153</v>
      </c>
      <c r="H1155" s="3">
        <v>45406.833333333336</v>
      </c>
      <c r="I1155" s="2" t="s">
        <v>363</v>
      </c>
      <c r="J1155" s="2" t="s">
        <v>647</v>
      </c>
      <c r="K1155" s="2">
        <v>5</v>
      </c>
      <c r="L1155" s="2">
        <v>20</v>
      </c>
      <c r="M1155" s="2">
        <v>15</v>
      </c>
      <c r="N1155" s="2">
        <v>21</v>
      </c>
      <c r="O1155" s="2">
        <v>20</v>
      </c>
      <c r="P1155" s="2">
        <v>1.8</v>
      </c>
      <c r="Q1155" s="2" t="s">
        <v>95</v>
      </c>
      <c r="R1155" s="10" t="s">
        <v>216</v>
      </c>
      <c r="S1155" s="10" t="s">
        <v>210</v>
      </c>
      <c r="T1155" s="188">
        <v>1000</v>
      </c>
      <c r="U1155" s="8">
        <f t="shared" si="133"/>
        <v>180</v>
      </c>
      <c r="V1155" s="234">
        <f t="shared" si="134"/>
        <v>108244.1552461603</v>
      </c>
      <c r="W1155" s="15">
        <v>25</v>
      </c>
      <c r="X1155" s="8">
        <f t="shared" si="135"/>
        <v>4.5</v>
      </c>
      <c r="Y1155" s="233">
        <f t="shared" si="136"/>
        <v>4572</v>
      </c>
    </row>
    <row r="1156" spans="1:25">
      <c r="A1156" s="156" t="e" cm="1">
        <f t="array" aca="1" ref="A1156" ca="1">_xlfn.IFS(E1156=$AB$42,$AC$42,E1156=$AB$43,$AC$43,E1156=$AB$44,$AC$44,E1156=$AB$45,$AC$45,E1156=$AB$46,$AC$46,E1156=$AB$47,$AC$47,E1156=$AB$48,$AC$48,E1156=$AB$49,$AC$49,E1156=$AB$50,$AC$50,E1156=$AB$51,$AC$51,E1156=$AB$52,$AC$52,E1156=$AB$53,$AC$53,E1156=$AB$54,$AC$54,E1156=$AB$55,$AC$55,E1156=$AB$56,$AC$56,E1156=$AB$57,$AC$57,E1156=$AB$58,$AC$58,E1156=$AB$59,$AC$59,E1156=$AB$60,$AC$60,E1156=$AB$61,$AC$61,E1156=$AB$62,$AC$62,E1156=$AB$63,$AC$63,E1156=$AB$64,$AC$64,E1156=$AB$65,$AC$65,E1156=$AB$66,$AC$66,TRUE,"0")</f>
        <v>#NAME?</v>
      </c>
      <c r="C1156" s="161" t="str" cm="1">
        <f t="array" ref="C1156">_xlfn.IFS(E1156=$AB$42,$AF$42,E1156=$AB$43,$AF$43,E1156=$AB$44,$AF$44,E1156=$AB$45,$AF$45,E1156=$AB$46,$AF$46,E1156=$AB$47,$AF$47,E1156=$AB$48,$AF$48,E1156=$AB$49,$AF$49,E1156=$AB$50,$AF$50,E1156=$AB$51,$AF$51,E1156=$AB$52,$AF$52,E1156=$AB$53,$AF$53,E1156=$AB$54,$AF$54,E1156=$AB$55,$AF$55,E1156=$AB$56,$AF$56,E1156=$AB$57,$AF$57,E1156=$AB$58,$AF$58,E1156=$AB$59,$AF$59,E1156=$AB$60,$AF$60,E1156=$AB$61,$AF$61,E1156=$AB$62,$AF$62,E1156=$AB$63,$AF$63,E1156=$AB$64,$AF$64,E1156=$AB$65,$AF$65,E1156=$AB$66,$AF$66,TRUE,"0")</f>
        <v>if 0-0, BACK+ 0.5 GOALS  @ 1.15+odds.  or @ 40 mins</v>
      </c>
      <c r="D1156" s="270" t="str" cm="1">
        <f t="array" ref="D1156">_xlfn.IFS(E1156=$AB$42,$AD$42,E1156=$AB$43,$AD$43,E1156=$AB$44,$AD$44,E1156=$AB$45,$AD$45,E1156=$AB$46,$AD$46,E1156=$AB$47,$AD$47,E1156=$AB$48,$AD$48,E1156=$AB$49,$AD$49,E1156=$AB$50,$AD$50,E1156=$AB$51,$AD$51,E1156=$AB$52,$AD$52,E1156=$AB$53,$AD$53,E1156=$AB$54,$AD$54,E1156=$AB$55,$AD$55,E1156=$AB$56,$AD$56,E1156=$AB$57,$AD$57,E1156=$AB$58,$AD$58,E1156=$AB$59,$AD$59,E1156=$AB$60,$AD$60,E1156=$AB$61,$AD$61,E1156=$AB$62,$AD$62,E1156=$AB$63,$AD$63,E1156=$AB$64,$AD$64,E1156=$AB$65,$AD$65,E1156=$AB$66,$AD$66,TRUE,"0")</f>
        <v>IP</v>
      </c>
      <c r="E1156" s="163" t="s">
        <v>270</v>
      </c>
      <c r="F1156" s="2" t="s">
        <v>6</v>
      </c>
      <c r="G1156" s="2" t="s">
        <v>62</v>
      </c>
      <c r="H1156" s="3">
        <v>45406.833333333336</v>
      </c>
      <c r="I1156" s="2" t="s">
        <v>66</v>
      </c>
      <c r="J1156" s="2" t="s">
        <v>164</v>
      </c>
      <c r="K1156" s="2">
        <v>59</v>
      </c>
      <c r="L1156" s="2">
        <v>0</v>
      </c>
      <c r="M1156" s="2">
        <v>20</v>
      </c>
      <c r="N1156" s="2">
        <v>32</v>
      </c>
      <c r="O1156" s="2">
        <v>3.14</v>
      </c>
      <c r="P1156" s="2"/>
      <c r="Q1156" s="2" t="s">
        <v>95</v>
      </c>
      <c r="R1156" s="10" t="s">
        <v>221</v>
      </c>
      <c r="S1156" s="10" t="s">
        <v>220</v>
      </c>
      <c r="T1156" s="188">
        <v>1000</v>
      </c>
      <c r="U1156" s="8">
        <f t="shared" si="133"/>
        <v>180</v>
      </c>
      <c r="V1156" s="234">
        <f t="shared" si="134"/>
        <v>108424.1552461603</v>
      </c>
      <c r="W1156" s="15">
        <v>25</v>
      </c>
      <c r="X1156" s="8">
        <f t="shared" si="135"/>
        <v>4.5</v>
      </c>
      <c r="Y1156" s="233">
        <f t="shared" si="136"/>
        <v>4576.5</v>
      </c>
    </row>
    <row r="1157" spans="1:25">
      <c r="A1157" s="156" t="e" cm="1">
        <f t="array" aca="1" ref="A1157" ca="1">_xlfn.IFS(E1157=$AB$42,$AC$42,E1157=$AB$43,$AC$43,E1157=$AB$44,$AC$44,E1157=$AB$45,$AC$45,E1157=$AB$46,$AC$46,E1157=$AB$47,$AC$47,E1157=$AB$48,$AC$48,E1157=$AB$49,$AC$49,E1157=$AB$50,$AC$50,E1157=$AB$51,$AC$51,E1157=$AB$52,$AC$52,E1157=$AB$53,$AC$53,E1157=$AB$54,$AC$54,E1157=$AB$55,$AC$55,E1157=$AB$56,$AC$56,E1157=$AB$57,$AC$57,E1157=$AB$58,$AC$58,E1157=$AB$59,$AC$59,E1157=$AB$60,$AC$60,E1157=$AB$61,$AC$61,E1157=$AB$62,$AC$62,E1157=$AB$63,$AC$63,E1157=$AB$64,$AC$64,E1157=$AB$65,$AC$65,E1157=$AB$66,$AC$66,TRUE,"0")</f>
        <v>#NAME?</v>
      </c>
      <c r="C1157" s="161" t="str" cm="1">
        <f t="array" ref="C1157">_xlfn.IFS(E1157=$AB$42,$AF$42,E1157=$AB$43,$AF$43,E1157=$AB$44,$AF$44,E1157=$AB$45,$AF$45,E1157=$AB$46,$AF$46,E1157=$AB$47,$AF$47,E1157=$AB$48,$AF$48,E1157=$AB$49,$AF$49,E1157=$AB$50,$AF$50,E1157=$AB$51,$AF$51,E1157=$AB$52,$AF$52,E1157=$AB$53,$AF$53,E1157=$AB$54,$AF$54,E1157=$AB$55,$AF$55,E1157=$AB$56,$AF$56,E1157=$AB$57,$AF$57,E1157=$AB$58,$AF$58,E1157=$AB$59,$AF$59,E1157=$AB$60,$AF$60,E1157=$AB$61,$AF$61,E1157=$AB$62,$AF$62,E1157=$AB$63,$AF$63,E1157=$AB$64,$AF$64,E1157=$AB$65,$AF$65,E1157=$AB$66,$AF$66,TRUE,"0")</f>
        <v>B4 match BACK FT +1.5 goals. X AFTER  GOAL</v>
      </c>
      <c r="D1157" s="270" t="str" cm="1">
        <f t="array" ref="D1157">_xlfn.IFS(E1157=$AB$42,$AD$42,E1157=$AB$43,$AD$43,E1157=$AB$44,$AD$44,E1157=$AB$45,$AD$45,E1157=$AB$46,$AD$46,E1157=$AB$47,$AD$47,E1157=$AB$48,$AD$48,E1157=$AB$49,$AD$49,E1157=$AB$50,$AD$50,E1157=$AB$51,$AD$51,E1157=$AB$52,$AD$52,E1157=$AB$53,$AD$53,E1157=$AB$54,$AD$54,E1157=$AB$55,$AD$55,E1157=$AB$56,$AD$56,E1157=$AB$57,$AD$57,E1157=$AB$58,$AD$58,E1157=$AB$59,$AD$59,E1157=$AB$60,$AD$60,E1157=$AB$61,$AD$61,E1157=$AB$62,$AD$62,E1157=$AB$63,$AD$63,E1157=$AB$64,$AD$64,E1157=$AB$65,$AD$65,E1157=$AB$66,$AD$66,TRUE,"0")</f>
        <v xml:space="preserve">BFM </v>
      </c>
      <c r="E1157" s="163" t="s">
        <v>531</v>
      </c>
      <c r="F1157" s="2" t="s">
        <v>6</v>
      </c>
      <c r="G1157" s="2" t="s">
        <v>62</v>
      </c>
      <c r="H1157" s="3">
        <v>45406.833333333336</v>
      </c>
      <c r="I1157" s="2" t="s">
        <v>71</v>
      </c>
      <c r="J1157" s="2" t="s">
        <v>285</v>
      </c>
      <c r="K1157" s="2">
        <v>5.0999999999999996</v>
      </c>
      <c r="L1157" s="2">
        <v>32</v>
      </c>
      <c r="M1157" s="2">
        <v>2.66</v>
      </c>
      <c r="N1157" s="2">
        <v>38</v>
      </c>
      <c r="O1157" s="2">
        <v>2</v>
      </c>
      <c r="P1157" s="2">
        <v>16</v>
      </c>
      <c r="Q1157" s="2" t="s">
        <v>95</v>
      </c>
      <c r="R1157" s="10" t="s">
        <v>214</v>
      </c>
      <c r="S1157" s="10" t="s">
        <v>220</v>
      </c>
      <c r="T1157" s="188">
        <v>1000</v>
      </c>
      <c r="U1157" s="8">
        <f t="shared" si="133"/>
        <v>180</v>
      </c>
      <c r="V1157" s="234">
        <f t="shared" si="134"/>
        <v>108604.1552461603</v>
      </c>
      <c r="W1157" s="15">
        <v>25</v>
      </c>
      <c r="X1157" s="8">
        <f t="shared" si="135"/>
        <v>4.5</v>
      </c>
      <c r="Y1157" s="233">
        <f t="shared" si="136"/>
        <v>4581</v>
      </c>
    </row>
    <row r="1158" spans="1:25">
      <c r="A1158" s="156" t="e" cm="1">
        <f t="array" aca="1" ref="A1158" ca="1">_xlfn.IFS(E1158=$AB$42,$AC$42,E1158=$AB$43,$AC$43,E1158=$AB$44,$AC$44,E1158=$AB$45,$AC$45,E1158=$AB$46,$AC$46,E1158=$AB$47,$AC$47,E1158=$AB$48,$AC$48,E1158=$AB$49,$AC$49,E1158=$AB$50,$AC$50,E1158=$AB$51,$AC$51,E1158=$AB$52,$AC$52,E1158=$AB$53,$AC$53,E1158=$AB$54,$AC$54,E1158=$AB$55,$AC$55,E1158=$AB$56,$AC$56,E1158=$AB$57,$AC$57,E1158=$AB$58,$AC$58,E1158=$AB$59,$AC$59,E1158=$AB$60,$AC$60,E1158=$AB$61,$AC$61,E1158=$AB$62,$AC$62,E1158=$AB$63,$AC$63,E1158=$AB$64,$AC$64,E1158=$AB$65,$AC$65,E1158=$AB$66,$AC$66,TRUE,"0")</f>
        <v>#NAME?</v>
      </c>
      <c r="C1158" s="161" t="str" cm="1">
        <f t="array" ref="C1158">_xlfn.IFS(E1158=$AB$42,$AF$42,E1158=$AB$43,$AF$43,E1158=$AB$44,$AF$44,E1158=$AB$45,$AF$45,E1158=$AB$46,$AF$46,E1158=$AB$47,$AF$47,E1158=$AB$48,$AF$48,E1158=$AB$49,$AF$49,E1158=$AB$50,$AF$50,E1158=$AB$51,$AF$51,E1158=$AB$52,$AF$52,E1158=$AB$53,$AF$53,E1158=$AB$54,$AF$54,E1158=$AB$55,$AF$55,E1158=$AB$56,$AF$56,E1158=$AB$57,$AF$57,E1158=$AB$58,$AF$58,E1158=$AB$59,$AF$59,E1158=$AB$60,$AF$60,E1158=$AB$61,$AF$61,E1158=$AB$62,$AF$62,E1158=$AB$63,$AF$63,E1158=$AB$64,$AF$64,E1158=$AB$65,$AF$65,E1158=$AB$66,$AF$66,TRUE,"0")</f>
        <v>40 mins Back ANother Goal</v>
      </c>
      <c r="D1158" s="270" t="str" cm="1">
        <f t="array" ref="D1158">_xlfn.IFS(E1158=$AB$42,$AD$42,E1158=$AB$43,$AD$43,E1158=$AB$44,$AD$44,E1158=$AB$45,$AD$45,E1158=$AB$46,$AD$46,E1158=$AB$47,$AD$47,E1158=$AB$48,$AD$48,E1158=$AB$49,$AD$49,E1158=$AB$50,$AD$50,E1158=$AB$51,$AD$51,E1158=$AB$52,$AD$52,E1158=$AB$53,$AD$53,E1158=$AB$54,$AD$54,E1158=$AB$55,$AD$55,E1158=$AB$56,$AD$56,E1158=$AB$57,$AD$57,E1158=$AB$58,$AD$58,E1158=$AB$59,$AD$59,E1158=$AB$60,$AD$60,E1158=$AB$61,$AD$61,E1158=$AB$62,$AD$62,E1158=$AB$63,$AD$63,E1158=$AB$64,$AD$64,E1158=$AB$65,$AD$65,E1158=$AB$66,$AD$66,TRUE,"0")</f>
        <v xml:space="preserve">  BANG</v>
      </c>
      <c r="E1158" s="163" t="s">
        <v>522</v>
      </c>
      <c r="F1158" s="2" t="s">
        <v>6</v>
      </c>
      <c r="G1158" s="2" t="s">
        <v>62</v>
      </c>
      <c r="H1158" s="3">
        <v>45406.833333333336</v>
      </c>
      <c r="I1158" s="2" t="s">
        <v>71</v>
      </c>
      <c r="J1158" s="2" t="s">
        <v>285</v>
      </c>
      <c r="K1158" s="2">
        <v>71</v>
      </c>
      <c r="L1158" s="2">
        <v>20</v>
      </c>
      <c r="M1158" s="2">
        <v>90</v>
      </c>
      <c r="N1158" s="2">
        <v>60</v>
      </c>
      <c r="O1158" s="2">
        <v>2</v>
      </c>
      <c r="P1158" s="2"/>
      <c r="Q1158" s="2" t="s">
        <v>95</v>
      </c>
      <c r="R1158" s="10" t="s">
        <v>214</v>
      </c>
      <c r="S1158" s="10" t="s">
        <v>220</v>
      </c>
      <c r="T1158" s="188">
        <v>1000</v>
      </c>
      <c r="U1158" s="8">
        <f t="shared" si="133"/>
        <v>180</v>
      </c>
      <c r="V1158" s="234">
        <f t="shared" si="134"/>
        <v>108784.1552461603</v>
      </c>
      <c r="W1158" s="15">
        <v>25</v>
      </c>
      <c r="X1158" s="8">
        <f t="shared" si="135"/>
        <v>4.5</v>
      </c>
      <c r="Y1158" s="233">
        <f t="shared" si="136"/>
        <v>4585.5</v>
      </c>
    </row>
    <row r="1159" spans="1:25">
      <c r="A1159" s="156" t="e" cm="1">
        <f t="array" aca="1" ref="A1159" ca="1">_xlfn.IFS(E1159=$AB$42,$AC$42,E1159=$AB$43,$AC$43,E1159=$AB$44,$AC$44,E1159=$AB$45,$AC$45,E1159=$AB$46,$AC$46,E1159=$AB$47,$AC$47,E1159=$AB$48,$AC$48,E1159=$AB$49,$AC$49,E1159=$AB$50,$AC$50,E1159=$AB$51,$AC$51,E1159=$AB$52,$AC$52,E1159=$AB$53,$AC$53,E1159=$AB$54,$AC$54,E1159=$AB$55,$AC$55,E1159=$AB$56,$AC$56,E1159=$AB$57,$AC$57,E1159=$AB$58,$AC$58,E1159=$AB$59,$AC$59,E1159=$AB$60,$AC$60,E1159=$AB$61,$AC$61,E1159=$AB$62,$AC$62,E1159=$AB$63,$AC$63,E1159=$AB$64,$AC$64,E1159=$AB$65,$AC$65,E1159=$AB$66,$AC$66,TRUE,"0")</f>
        <v>#NAME?</v>
      </c>
      <c r="C1159" s="161" t="str" cm="1">
        <f t="array" ref="C1159">_xlfn.IFS(E1159=$AB$42,$AF$42,E1159=$AB$43,$AF$43,E1159=$AB$44,$AF$44,E1159=$AB$45,$AF$45,E1159=$AB$46,$AF$46,E1159=$AB$47,$AF$47,E1159=$AB$48,$AF$48,E1159=$AB$49,$AF$49,E1159=$AB$50,$AF$50,E1159=$AB$51,$AF$51,E1159=$AB$52,$AF$52,E1159=$AB$53,$AF$53,E1159=$AB$54,$AF$54,E1159=$AB$55,$AF$55,E1159=$AB$56,$AF$56,E1159=$AB$57,$AF$57,E1159=$AB$58,$AF$58,E1159=$AB$59,$AF$59,E1159=$AB$60,$AF$60,E1159=$AB$61,$AF$61,E1159=$AB$62,$AF$62,E1159=$AB$63,$AF$63,E1159=$AB$64,$AF$64,E1159=$AB$65,$AF$65,E1159=$AB$66,$AF$66,TRUE,"0")</f>
        <v>40 mins Back ANother Goal</v>
      </c>
      <c r="D1159" s="270" t="str" cm="1">
        <f t="array" ref="D1159">_xlfn.IFS(E1159=$AB$42,$AD$42,E1159=$AB$43,$AD$43,E1159=$AB$44,$AD$44,E1159=$AB$45,$AD$45,E1159=$AB$46,$AD$46,E1159=$AB$47,$AD$47,E1159=$AB$48,$AD$48,E1159=$AB$49,$AD$49,E1159=$AB$50,$AD$50,E1159=$AB$51,$AD$51,E1159=$AB$52,$AD$52,E1159=$AB$53,$AD$53,E1159=$AB$54,$AD$54,E1159=$AB$55,$AD$55,E1159=$AB$56,$AD$56,E1159=$AB$57,$AD$57,E1159=$AB$58,$AD$58,E1159=$AB$59,$AD$59,E1159=$AB$60,$AD$60,E1159=$AB$61,$AD$61,E1159=$AB$62,$AD$62,E1159=$AB$63,$AD$63,E1159=$AB$64,$AD$64,E1159=$AB$65,$AD$65,E1159=$AB$66,$AD$66,TRUE,"0")</f>
        <v xml:space="preserve">  BANG</v>
      </c>
      <c r="E1159" s="163" t="s">
        <v>515</v>
      </c>
      <c r="F1159" s="2" t="s">
        <v>6</v>
      </c>
      <c r="G1159" s="2" t="s">
        <v>62</v>
      </c>
      <c r="H1159" s="3">
        <v>45406.833333333336</v>
      </c>
      <c r="I1159" s="2" t="s">
        <v>71</v>
      </c>
      <c r="J1159" s="2" t="s">
        <v>285</v>
      </c>
      <c r="K1159" s="2">
        <v>20</v>
      </c>
      <c r="L1159" s="2">
        <v>71</v>
      </c>
      <c r="M1159" s="2">
        <v>2</v>
      </c>
      <c r="N1159" s="2"/>
      <c r="O1159" s="2"/>
      <c r="P1159" s="2"/>
      <c r="Q1159" s="2" t="s">
        <v>95</v>
      </c>
      <c r="R1159" s="10" t="s">
        <v>214</v>
      </c>
      <c r="S1159" s="10" t="s">
        <v>220</v>
      </c>
      <c r="T1159" s="188">
        <v>1000</v>
      </c>
      <c r="U1159" s="8">
        <f t="shared" si="133"/>
        <v>180</v>
      </c>
      <c r="V1159" s="234">
        <f t="shared" si="134"/>
        <v>108964.1552461603</v>
      </c>
      <c r="W1159" s="15">
        <v>25</v>
      </c>
      <c r="X1159" s="8">
        <f t="shared" si="135"/>
        <v>4.5</v>
      </c>
      <c r="Y1159" s="233">
        <f t="shared" si="136"/>
        <v>4590</v>
      </c>
    </row>
    <row r="1160" spans="1:25">
      <c r="A1160" s="156" t="e" cm="1">
        <f t="array" aca="1" ref="A1160" ca="1">_xlfn.IFS(E1160=$AB$42,$AC$42,E1160=$AB$43,$AC$43,E1160=$AB$44,$AC$44,E1160=$AB$45,$AC$45,E1160=$AB$46,$AC$46,E1160=$AB$47,$AC$47,E1160=$AB$48,$AC$48,E1160=$AB$49,$AC$49,E1160=$AB$50,$AC$50,E1160=$AB$51,$AC$51,E1160=$AB$52,$AC$52,E1160=$AB$53,$AC$53,E1160=$AB$54,$AC$54,E1160=$AB$55,$AC$55,E1160=$AB$56,$AC$56,E1160=$AB$57,$AC$57,E1160=$AB$58,$AC$58,E1160=$AB$59,$AC$59,E1160=$AB$60,$AC$60,E1160=$AB$61,$AC$61,E1160=$AB$62,$AC$62,E1160=$AB$63,$AC$63,E1160=$AB$64,$AC$64,E1160=$AB$65,$AC$65,E1160=$AB$66,$AC$66,TRUE,"0")</f>
        <v>#NAME?</v>
      </c>
      <c r="C1160" s="161" t="str" cm="1">
        <f t="array" ref="C1160">_xlfn.IFS(E1160=$AB$42,$AF$42,E1160=$AB$43,$AF$43,E1160=$AB$44,$AF$44,E1160=$AB$45,$AF$45,E1160=$AB$46,$AF$46,E1160=$AB$47,$AF$47,E1160=$AB$48,$AF$48,E1160=$AB$49,$AF$49,E1160=$AB$50,$AF$50,E1160=$AB$51,$AF$51,E1160=$AB$52,$AF$52,E1160=$AB$53,$AF$53,E1160=$AB$54,$AF$54,E1160=$AB$55,$AF$55,E1160=$AB$56,$AF$56,E1160=$AB$57,$AF$57,E1160=$AB$58,$AF$58,E1160=$AB$59,$AF$59,E1160=$AB$60,$AF$60,E1160=$AB$61,$AF$61,E1160=$AB$62,$AF$62,E1160=$AB$63,$AF$63,E1160=$AB$64,$AF$64,E1160=$AB$65,$AF$65,E1160=$AB$66,$AF$66,TRUE,"0")</f>
        <v>40 mins Back ANother Goal</v>
      </c>
      <c r="D1160" s="270" t="str" cm="1">
        <f t="array" ref="D1160">_xlfn.IFS(E1160=$AB$42,$AD$42,E1160=$AB$43,$AD$43,E1160=$AB$44,$AD$44,E1160=$AB$45,$AD$45,E1160=$AB$46,$AD$46,E1160=$AB$47,$AD$47,E1160=$AB$48,$AD$48,E1160=$AB$49,$AD$49,E1160=$AB$50,$AD$50,E1160=$AB$51,$AD$51,E1160=$AB$52,$AD$52,E1160=$AB$53,$AD$53,E1160=$AB$54,$AD$54,E1160=$AB$55,$AD$55,E1160=$AB$56,$AD$56,E1160=$AB$57,$AD$57,E1160=$AB$58,$AD$58,E1160=$AB$59,$AD$59,E1160=$AB$60,$AD$60,E1160=$AB$61,$AD$61,E1160=$AB$62,$AD$62,E1160=$AB$63,$AD$63,E1160=$AB$64,$AD$64,E1160=$AB$65,$AD$65,E1160=$AB$66,$AD$66,TRUE,"0")</f>
        <v xml:space="preserve">  BANG</v>
      </c>
      <c r="E1160" s="163" t="s">
        <v>726</v>
      </c>
      <c r="F1160" s="2" t="s">
        <v>6</v>
      </c>
      <c r="G1160" s="2" t="s">
        <v>62</v>
      </c>
      <c r="H1160" s="3">
        <v>45406.833333333336</v>
      </c>
      <c r="I1160" s="2" t="s">
        <v>383</v>
      </c>
      <c r="J1160" s="2" t="s">
        <v>85</v>
      </c>
      <c r="K1160" s="2">
        <v>90</v>
      </c>
      <c r="L1160" s="2">
        <v>20</v>
      </c>
      <c r="M1160" s="2">
        <v>1.85</v>
      </c>
      <c r="N1160" s="2">
        <v>61</v>
      </c>
      <c r="O1160" s="2"/>
      <c r="P1160" s="2"/>
      <c r="Q1160" s="2" t="s">
        <v>95</v>
      </c>
      <c r="R1160" s="10" t="s">
        <v>216</v>
      </c>
      <c r="S1160" s="10" t="s">
        <v>277</v>
      </c>
      <c r="T1160" s="188">
        <v>1000</v>
      </c>
      <c r="U1160" s="8">
        <f t="shared" si="133"/>
        <v>180</v>
      </c>
      <c r="V1160" s="234">
        <f t="shared" si="134"/>
        <v>109144.1552461603</v>
      </c>
      <c r="W1160" s="15">
        <v>25</v>
      </c>
      <c r="X1160" s="8">
        <f t="shared" si="135"/>
        <v>4.5</v>
      </c>
      <c r="Y1160" s="233">
        <f t="shared" si="136"/>
        <v>4594.5</v>
      </c>
    </row>
    <row r="1161" spans="1:25">
      <c r="A1161" s="156" t="e" cm="1">
        <f t="array" aca="1" ref="A1161" ca="1">_xlfn.IFS(E1161=$AB$42,$AC$42,E1161=$AB$43,$AC$43,E1161=$AB$44,$AC$44,E1161=$AB$45,$AC$45,E1161=$AB$46,$AC$46,E1161=$AB$47,$AC$47,E1161=$AB$48,$AC$48,E1161=$AB$49,$AC$49,E1161=$AB$50,$AC$50,E1161=$AB$51,$AC$51,E1161=$AB$52,$AC$52,E1161=$AB$53,$AC$53,E1161=$AB$54,$AC$54,E1161=$AB$55,$AC$55,E1161=$AB$56,$AC$56,E1161=$AB$57,$AC$57,E1161=$AB$58,$AC$58,E1161=$AB$59,$AC$59,E1161=$AB$60,$AC$60,E1161=$AB$61,$AC$61,E1161=$AB$62,$AC$62,E1161=$AB$63,$AC$63,E1161=$AB$64,$AC$64,E1161=$AB$65,$AC$65,E1161=$AB$66,$AC$66,TRUE,"0")</f>
        <v>#NAME?</v>
      </c>
      <c r="C1161" s="161" t="str" cm="1">
        <f t="array" ref="C1161">_xlfn.IFS(E1161=$AB$42,$AF$42,E1161=$AB$43,$AF$43,E1161=$AB$44,$AF$44,E1161=$AB$45,$AF$45,E1161=$AB$46,$AF$46,E1161=$AB$47,$AF$47,E1161=$AB$48,$AF$48,E1161=$AB$49,$AF$49,E1161=$AB$50,$AF$50,E1161=$AB$51,$AF$51,E1161=$AB$52,$AF$52,E1161=$AB$53,$AF$53,E1161=$AB$54,$AF$54,E1161=$AB$55,$AF$55,E1161=$AB$56,$AF$56,E1161=$AB$57,$AF$57,E1161=$AB$58,$AF$58,E1161=$AB$59,$AF$59,E1161=$AB$60,$AF$60,E1161=$AB$61,$AF$61,E1161=$AB$62,$AF$62,E1161=$AB$63,$AF$63,E1161=$AB$64,$AF$64,E1161=$AB$65,$AF$65,E1161=$AB$66,$AF$66,TRUE,"0")</f>
        <v>B4 match BACK FT +1.5 goals. X AFTER  GOAL</v>
      </c>
      <c r="D1161" s="270" t="str" cm="1">
        <f t="array" ref="D1161">_xlfn.IFS(E1161=$AB$42,$AD$42,E1161=$AB$43,$AD$43,E1161=$AB$44,$AD$44,E1161=$AB$45,$AD$45,E1161=$AB$46,$AD$46,E1161=$AB$47,$AD$47,E1161=$AB$48,$AD$48,E1161=$AB$49,$AD$49,E1161=$AB$50,$AD$50,E1161=$AB$51,$AD$51,E1161=$AB$52,$AD$52,E1161=$AB$53,$AD$53,E1161=$AB$54,$AD$54,E1161=$AB$55,$AD$55,E1161=$AB$56,$AD$56,E1161=$AB$57,$AD$57,E1161=$AB$58,$AD$58,E1161=$AB$59,$AD$59,E1161=$AB$60,$AD$60,E1161=$AB$61,$AD$61,E1161=$AB$62,$AD$62,E1161=$AB$63,$AD$63,E1161=$AB$64,$AD$64,E1161=$AB$65,$AD$65,E1161=$AB$66,$AD$66,TRUE,"0")</f>
        <v xml:space="preserve">BFM </v>
      </c>
      <c r="E1161" s="163" t="s">
        <v>623</v>
      </c>
      <c r="F1161" s="2" t="s">
        <v>6</v>
      </c>
      <c r="G1161" s="2" t="s">
        <v>62</v>
      </c>
      <c r="H1161" s="3">
        <v>45406.833333333336</v>
      </c>
      <c r="I1161" s="2" t="s">
        <v>383</v>
      </c>
      <c r="J1161" s="2" t="s">
        <v>85</v>
      </c>
      <c r="K1161" s="2">
        <v>3.8</v>
      </c>
      <c r="L1161" s="2">
        <v>20</v>
      </c>
      <c r="M1161" s="2">
        <v>3.1</v>
      </c>
      <c r="N1161" s="2">
        <v>29</v>
      </c>
      <c r="O1161" s="2">
        <v>0</v>
      </c>
      <c r="P1161" s="2">
        <v>10</v>
      </c>
      <c r="Q1161" s="2" t="s">
        <v>95</v>
      </c>
      <c r="R1161" s="10" t="s">
        <v>216</v>
      </c>
      <c r="S1161" s="10" t="s">
        <v>277</v>
      </c>
      <c r="T1161" s="188">
        <v>1000</v>
      </c>
      <c r="U1161" s="8">
        <f t="shared" si="133"/>
        <v>180</v>
      </c>
      <c r="V1161" s="234">
        <f t="shared" si="134"/>
        <v>109324.1552461603</v>
      </c>
      <c r="W1161" s="15">
        <v>25</v>
      </c>
      <c r="X1161" s="8">
        <f t="shared" si="135"/>
        <v>4.5</v>
      </c>
      <c r="Y1161" s="233">
        <f t="shared" si="136"/>
        <v>4599</v>
      </c>
    </row>
    <row r="1162" spans="1:25">
      <c r="A1162" s="156" t="e" cm="1">
        <f t="array" aca="1" ref="A1162" ca="1">_xlfn.IFS(E1162=$AB$42,$AC$42,E1162=$AB$43,$AC$43,E1162=$AB$44,$AC$44,E1162=$AB$45,$AC$45,E1162=$AB$46,$AC$46,E1162=$AB$47,$AC$47,E1162=$AB$48,$AC$48,E1162=$AB$49,$AC$49,E1162=$AB$50,$AC$50,E1162=$AB$51,$AC$51,E1162=$AB$52,$AC$52,E1162=$AB$53,$AC$53,E1162=$AB$54,$AC$54,E1162=$AB$55,$AC$55,E1162=$AB$56,$AC$56,E1162=$AB$57,$AC$57,E1162=$AB$58,$AC$58,E1162=$AB$59,$AC$59,E1162=$AB$60,$AC$60,E1162=$AB$61,$AC$61,E1162=$AB$62,$AC$62,E1162=$AB$63,$AC$63,E1162=$AB$64,$AC$64,E1162=$AB$65,$AC$65,E1162=$AB$66,$AC$66,TRUE,"0")</f>
        <v>#NAME?</v>
      </c>
      <c r="C1162" s="161" t="str" cm="1">
        <f t="array" ref="C1162">_xlfn.IFS(E1162=$AB$42,$AF$42,E1162=$AB$43,$AF$43,E1162=$AB$44,$AF$44,E1162=$AB$45,$AF$45,E1162=$AB$46,$AF$46,E1162=$AB$47,$AF$47,E1162=$AB$48,$AF$48,E1162=$AB$49,$AF$49,E1162=$AB$50,$AF$50,E1162=$AB$51,$AF$51,E1162=$AB$52,$AF$52,E1162=$AB$53,$AF$53,E1162=$AB$54,$AF$54,E1162=$AB$55,$AF$55,E1162=$AB$56,$AF$56,E1162=$AB$57,$AF$57,E1162=$AB$58,$AF$58,E1162=$AB$59,$AF$59,E1162=$AB$60,$AF$60,E1162=$AB$61,$AF$61,E1162=$AB$62,$AF$62,E1162=$AB$63,$AF$63,E1162=$AB$64,$AF$64,E1162=$AB$65,$AF$65,E1162=$AB$66,$AF$66,TRUE,"0")</f>
        <v>if 0-0, BACK+ 0.5 GOALS  @ 1.15+odds.  or @ 40 mins</v>
      </c>
      <c r="D1162" s="270" t="str" cm="1">
        <f t="array" ref="D1162">_xlfn.IFS(E1162=$AB$42,$AD$42,E1162=$AB$43,$AD$43,E1162=$AB$44,$AD$44,E1162=$AB$45,$AD$45,E1162=$AB$46,$AD$46,E1162=$AB$47,$AD$47,E1162=$AB$48,$AD$48,E1162=$AB$49,$AD$49,E1162=$AB$50,$AD$50,E1162=$AB$51,$AD$51,E1162=$AB$52,$AD$52,E1162=$AB$53,$AD$53,E1162=$AB$54,$AD$54,E1162=$AB$55,$AD$55,E1162=$AB$56,$AD$56,E1162=$AB$57,$AD$57,E1162=$AB$58,$AD$58,E1162=$AB$59,$AD$59,E1162=$AB$60,$AD$60,E1162=$AB$61,$AD$61,E1162=$AB$62,$AD$62,E1162=$AB$63,$AD$63,E1162=$AB$64,$AD$64,E1162=$AB$65,$AD$65,E1162=$AB$66,$AD$66,TRUE,"0")</f>
        <v>IP</v>
      </c>
      <c r="E1162" s="163" t="s">
        <v>270</v>
      </c>
      <c r="F1162" s="2" t="s">
        <v>6</v>
      </c>
      <c r="G1162" s="2" t="s">
        <v>62</v>
      </c>
      <c r="H1162" s="3">
        <v>45406.833333333336</v>
      </c>
      <c r="I1162" s="2" t="s">
        <v>383</v>
      </c>
      <c r="J1162" s="2" t="s">
        <v>85</v>
      </c>
      <c r="K1162" s="2">
        <v>60</v>
      </c>
      <c r="L1162" s="2">
        <v>0</v>
      </c>
      <c r="M1162" s="2">
        <v>20</v>
      </c>
      <c r="N1162" s="2">
        <v>29</v>
      </c>
      <c r="O1162" s="2">
        <v>2.71</v>
      </c>
      <c r="P1162" s="2"/>
      <c r="Q1162" s="2" t="s">
        <v>95</v>
      </c>
      <c r="R1162" s="10" t="s">
        <v>216</v>
      </c>
      <c r="S1162" s="10" t="s">
        <v>277</v>
      </c>
      <c r="T1162" s="188">
        <v>1000</v>
      </c>
      <c r="U1162" s="8">
        <f t="shared" si="133"/>
        <v>180</v>
      </c>
      <c r="V1162" s="234">
        <f t="shared" si="134"/>
        <v>109504.1552461603</v>
      </c>
      <c r="W1162" s="15">
        <v>25</v>
      </c>
      <c r="X1162" s="8">
        <f t="shared" si="135"/>
        <v>4.5</v>
      </c>
      <c r="Y1162" s="233">
        <f t="shared" si="136"/>
        <v>4603.5</v>
      </c>
    </row>
    <row r="1163" spans="1:25">
      <c r="A1163" s="156" t="e" cm="1">
        <f t="array" aca="1" ref="A1163" ca="1">_xlfn.IFS(E1163=$AB$42,$AC$42,E1163=$AB$43,$AC$43,E1163=$AB$44,$AC$44,E1163=$AB$45,$AC$45,E1163=$AB$46,$AC$46,E1163=$AB$47,$AC$47,E1163=$AB$48,$AC$48,E1163=$AB$49,$AC$49,E1163=$AB$50,$AC$50,E1163=$AB$51,$AC$51,E1163=$AB$52,$AC$52,E1163=$AB$53,$AC$53,E1163=$AB$54,$AC$54,E1163=$AB$55,$AC$55,E1163=$AB$56,$AC$56,E1163=$AB$57,$AC$57,E1163=$AB$58,$AC$58,E1163=$AB$59,$AC$59,E1163=$AB$60,$AC$60,E1163=$AB$61,$AC$61,E1163=$AB$62,$AC$62,E1163=$AB$63,$AC$63,E1163=$AB$64,$AC$64,E1163=$AB$65,$AC$65,E1163=$AB$66,$AC$66,TRUE,"0")</f>
        <v>#NAME?</v>
      </c>
      <c r="C1163" s="161" t="str" cm="1">
        <f t="array" ref="C1163">_xlfn.IFS(E1163=$AB$42,$AF$42,E1163=$AB$43,$AF$43,E1163=$AB$44,$AF$44,E1163=$AB$45,$AF$45,E1163=$AB$46,$AF$46,E1163=$AB$47,$AF$47,E1163=$AB$48,$AF$48,E1163=$AB$49,$AF$49,E1163=$AB$50,$AF$50,E1163=$AB$51,$AF$51,E1163=$AB$52,$AF$52,E1163=$AB$53,$AF$53,E1163=$AB$54,$AF$54,E1163=$AB$55,$AF$55,E1163=$AB$56,$AF$56,E1163=$AB$57,$AF$57,E1163=$AB$58,$AF$58,E1163=$AB$59,$AF$59,E1163=$AB$60,$AF$60,E1163=$AB$61,$AF$61,E1163=$AB$62,$AF$62,E1163=$AB$63,$AF$63,E1163=$AB$64,$AF$64,E1163=$AB$65,$AF$65,E1163=$AB$66,$AF$66,TRUE,"0")</f>
        <v>40 mins Back ANother Goal</v>
      </c>
      <c r="D1163" s="270" t="str" cm="1">
        <f t="array" ref="D1163">_xlfn.IFS(E1163=$AB$42,$AD$42,E1163=$AB$43,$AD$43,E1163=$AB$44,$AD$44,E1163=$AB$45,$AD$45,E1163=$AB$46,$AD$46,E1163=$AB$47,$AD$47,E1163=$AB$48,$AD$48,E1163=$AB$49,$AD$49,E1163=$AB$50,$AD$50,E1163=$AB$51,$AD$51,E1163=$AB$52,$AD$52,E1163=$AB$53,$AD$53,E1163=$AB$54,$AD$54,E1163=$AB$55,$AD$55,E1163=$AB$56,$AD$56,E1163=$AB$57,$AD$57,E1163=$AB$58,$AD$58,E1163=$AB$59,$AD$59,E1163=$AB$60,$AD$60,E1163=$AB$61,$AD$61,E1163=$AB$62,$AD$62,E1163=$AB$63,$AD$63,E1163=$AB$64,$AD$64,E1163=$AB$65,$AD$65,E1163=$AB$66,$AD$66,TRUE,"0")</f>
        <v xml:space="preserve">  BANG</v>
      </c>
      <c r="E1163" s="163" t="s">
        <v>726</v>
      </c>
      <c r="F1163" s="2" t="s">
        <v>149</v>
      </c>
      <c r="G1163" s="2" t="s">
        <v>153</v>
      </c>
      <c r="H1163" s="3">
        <v>45407.739583333336</v>
      </c>
      <c r="I1163" s="2" t="s">
        <v>206</v>
      </c>
      <c r="J1163" s="2" t="s">
        <v>188</v>
      </c>
      <c r="K1163" s="2">
        <v>90</v>
      </c>
      <c r="L1163" s="2">
        <v>20</v>
      </c>
      <c r="M1163" s="2">
        <v>2.0499999999999998</v>
      </c>
      <c r="N1163" s="2">
        <v>56</v>
      </c>
      <c r="O1163" s="2"/>
      <c r="P1163" s="2"/>
      <c r="Q1163" s="2" t="s">
        <v>95</v>
      </c>
      <c r="R1163" s="9" t="s">
        <v>734</v>
      </c>
      <c r="S1163" s="9" t="s">
        <v>738</v>
      </c>
      <c r="T1163" s="188">
        <v>1000</v>
      </c>
      <c r="U1163" s="8">
        <f t="shared" si="133"/>
        <v>180</v>
      </c>
      <c r="V1163" s="234">
        <f t="shared" ref="V1163:V1182" si="137">SUM(V1162,U1163)</f>
        <v>109684.1552461603</v>
      </c>
      <c r="W1163" s="15">
        <v>25</v>
      </c>
      <c r="X1163" s="8">
        <f t="shared" si="135"/>
        <v>4.5</v>
      </c>
      <c r="Y1163" s="233">
        <f t="shared" si="136"/>
        <v>4608</v>
      </c>
    </row>
    <row r="1164" spans="1:25">
      <c r="A1164" s="156" t="e" cm="1">
        <f t="array" aca="1" ref="A1164" ca="1">_xlfn.IFS(E1164=$AB$42,$AC$42,E1164=$AB$43,$AC$43,E1164=$AB$44,$AC$44,E1164=$AB$45,$AC$45,E1164=$AB$46,$AC$46,E1164=$AB$47,$AC$47,E1164=$AB$48,$AC$48,E1164=$AB$49,$AC$49,E1164=$AB$50,$AC$50,E1164=$AB$51,$AC$51,E1164=$AB$52,$AC$52,E1164=$AB$53,$AC$53,E1164=$AB$54,$AC$54,E1164=$AB$55,$AC$55,E1164=$AB$56,$AC$56,E1164=$AB$57,$AC$57,E1164=$AB$58,$AC$58,E1164=$AB$59,$AC$59,E1164=$AB$60,$AC$60,E1164=$AB$61,$AC$61,E1164=$AB$62,$AC$62,E1164=$AB$63,$AC$63,E1164=$AB$64,$AC$64,E1164=$AB$65,$AC$65,E1164=$AB$66,$AC$66,TRUE,"0")</f>
        <v>#NAME?</v>
      </c>
      <c r="C1164" s="161" t="str" cm="1">
        <f t="array" ref="C1164">_xlfn.IFS(E1164=$AB$42,$AF$42,E1164=$AB$43,$AF$43,E1164=$AB$44,$AF$44,E1164=$AB$45,$AF$45,E1164=$AB$46,$AF$46,E1164=$AB$47,$AF$47,E1164=$AB$48,$AF$48,E1164=$AB$49,$AF$49,E1164=$AB$50,$AF$50,E1164=$AB$51,$AF$51,E1164=$AB$52,$AF$52,E1164=$AB$53,$AF$53,E1164=$AB$54,$AF$54,E1164=$AB$55,$AF$55,E1164=$AB$56,$AF$56,E1164=$AB$57,$AF$57,E1164=$AB$58,$AF$58,E1164=$AB$59,$AF$59,E1164=$AB$60,$AF$60,E1164=$AB$61,$AF$61,E1164=$AB$62,$AF$62,E1164=$AB$63,$AF$63,E1164=$AB$64,$AF$64,E1164=$AB$65,$AF$65,E1164=$AB$66,$AF$66,TRUE,"0")</f>
        <v>B4 match BACK FT +1.5 goals. X AFTER  GOAL</v>
      </c>
      <c r="D1164" s="270" t="str" cm="1">
        <f t="array" ref="D1164">_xlfn.IFS(E1164=$AB$42,$AD$42,E1164=$AB$43,$AD$43,E1164=$AB$44,$AD$44,E1164=$AB$45,$AD$45,E1164=$AB$46,$AD$46,E1164=$AB$47,$AD$47,E1164=$AB$48,$AD$48,E1164=$AB$49,$AD$49,E1164=$AB$50,$AD$50,E1164=$AB$51,$AD$51,E1164=$AB$52,$AD$52,E1164=$AB$53,$AD$53,E1164=$AB$54,$AD$54,E1164=$AB$55,$AD$55,E1164=$AB$56,$AD$56,E1164=$AB$57,$AD$57,E1164=$AB$58,$AD$58,E1164=$AB$59,$AD$59,E1164=$AB$60,$AD$60,E1164=$AB$61,$AD$61,E1164=$AB$62,$AD$62,E1164=$AB$63,$AD$63,E1164=$AB$64,$AD$64,E1164=$AB$65,$AD$65,E1164=$AB$66,$AD$66,TRUE,"0")</f>
        <v xml:space="preserve">BFM </v>
      </c>
      <c r="E1164" s="163" t="s">
        <v>531</v>
      </c>
      <c r="F1164" s="2" t="s">
        <v>149</v>
      </c>
      <c r="G1164" s="2" t="s">
        <v>153</v>
      </c>
      <c r="H1164" s="3">
        <v>45407.739583333336</v>
      </c>
      <c r="I1164" s="2" t="s">
        <v>206</v>
      </c>
      <c r="J1164" s="2" t="s">
        <v>188</v>
      </c>
      <c r="K1164" s="2">
        <v>3.8</v>
      </c>
      <c r="L1164" s="2">
        <v>30</v>
      </c>
      <c r="M1164" s="2">
        <v>3.7</v>
      </c>
      <c r="N1164" s="2">
        <v>27</v>
      </c>
      <c r="O1164" s="2">
        <v>7</v>
      </c>
      <c r="P1164" s="2">
        <v>15</v>
      </c>
      <c r="Q1164" s="2" t="s">
        <v>95</v>
      </c>
      <c r="R1164" s="9" t="s">
        <v>734</v>
      </c>
      <c r="S1164" s="9" t="s">
        <v>738</v>
      </c>
      <c r="T1164" s="188">
        <v>1000</v>
      </c>
      <c r="U1164" s="8">
        <f t="shared" ref="U1164:U1227" si="138">IF(Q1164="won",T1164*0.18,-T1164)</f>
        <v>180</v>
      </c>
      <c r="V1164" s="234">
        <f t="shared" si="137"/>
        <v>109864.1552461603</v>
      </c>
      <c r="W1164" s="15">
        <v>25</v>
      </c>
      <c r="X1164" s="8">
        <f t="shared" si="135"/>
        <v>4.5</v>
      </c>
      <c r="Y1164" s="233">
        <f t="shared" si="136"/>
        <v>4612.5</v>
      </c>
    </row>
    <row r="1165" spans="1:25">
      <c r="A1165" s="156" t="e" cm="1">
        <f t="array" aca="1" ref="A1165" ca="1">_xlfn.IFS(E1165=$AB$42,$AC$42,E1165=$AB$43,$AC$43,E1165=$AB$44,$AC$44,E1165=$AB$45,$AC$45,E1165=$AB$46,$AC$46,E1165=$AB$47,$AC$47,E1165=$AB$48,$AC$48,E1165=$AB$49,$AC$49,E1165=$AB$50,$AC$50,E1165=$AB$51,$AC$51,E1165=$AB$52,$AC$52,E1165=$AB$53,$AC$53,E1165=$AB$54,$AC$54,E1165=$AB$55,$AC$55,E1165=$AB$56,$AC$56,E1165=$AB$57,$AC$57,E1165=$AB$58,$AC$58,E1165=$AB$59,$AC$59,E1165=$AB$60,$AC$60,E1165=$AB$61,$AC$61,E1165=$AB$62,$AC$62,E1165=$AB$63,$AC$63,E1165=$AB$64,$AC$64,E1165=$AB$65,$AC$65,E1165=$AB$66,$AC$66,TRUE,"0")</f>
        <v>#NAME?</v>
      </c>
      <c r="C1165" s="161" t="str" cm="1">
        <f t="array" ref="C1165">_xlfn.IFS(E1165=$AB$42,$AF$42,E1165=$AB$43,$AF$43,E1165=$AB$44,$AF$44,E1165=$AB$45,$AF$45,E1165=$AB$46,$AF$46,E1165=$AB$47,$AF$47,E1165=$AB$48,$AF$48,E1165=$AB$49,$AF$49,E1165=$AB$50,$AF$50,E1165=$AB$51,$AF$51,E1165=$AB$52,$AF$52,E1165=$AB$53,$AF$53,E1165=$AB$54,$AF$54,E1165=$AB$55,$AF$55,E1165=$AB$56,$AF$56,E1165=$AB$57,$AF$57,E1165=$AB$58,$AF$58,E1165=$AB$59,$AF$59,E1165=$AB$60,$AF$60,E1165=$AB$61,$AF$61,E1165=$AB$62,$AF$62,E1165=$AB$63,$AF$63,E1165=$AB$64,$AF$64,E1165=$AB$65,$AF$65,E1165=$AB$66,$AF$66,TRUE,"0")</f>
        <v>if 0-0, BACK+ 0.5 GOALS  @ 1.15+odds.  or @ 40 mins</v>
      </c>
      <c r="D1165" s="270" t="str" cm="1">
        <f t="array" ref="D1165">_xlfn.IFS(E1165=$AB$42,$AD$42,E1165=$AB$43,$AD$43,E1165=$AB$44,$AD$44,E1165=$AB$45,$AD$45,E1165=$AB$46,$AD$46,E1165=$AB$47,$AD$47,E1165=$AB$48,$AD$48,E1165=$AB$49,$AD$49,E1165=$AB$50,$AD$50,E1165=$AB$51,$AD$51,E1165=$AB$52,$AD$52,E1165=$AB$53,$AD$53,E1165=$AB$54,$AD$54,E1165=$AB$55,$AD$55,E1165=$AB$56,$AD$56,E1165=$AB$57,$AD$57,E1165=$AB$58,$AD$58,E1165=$AB$59,$AD$59,E1165=$AB$60,$AD$60,E1165=$AB$61,$AD$61,E1165=$AB$62,$AD$62,E1165=$AB$63,$AD$63,E1165=$AB$64,$AD$64,E1165=$AB$65,$AD$65,E1165=$AB$66,$AD$66,TRUE,"0")</f>
        <v>IP</v>
      </c>
      <c r="E1165" s="163" t="s">
        <v>270</v>
      </c>
      <c r="F1165" s="2" t="s">
        <v>67</v>
      </c>
      <c r="G1165" s="2" t="s">
        <v>68</v>
      </c>
      <c r="H1165" s="3">
        <v>45407.8125</v>
      </c>
      <c r="I1165" s="2" t="s">
        <v>371</v>
      </c>
      <c r="J1165" s="2" t="s">
        <v>465</v>
      </c>
      <c r="K1165" s="2">
        <v>59</v>
      </c>
      <c r="L1165" s="2">
        <v>0</v>
      </c>
      <c r="M1165" s="2">
        <v>20</v>
      </c>
      <c r="N1165" s="2">
        <v>36</v>
      </c>
      <c r="O1165" s="2">
        <v>2.33</v>
      </c>
      <c r="P1165" s="2"/>
      <c r="Q1165" s="2" t="s">
        <v>95</v>
      </c>
      <c r="R1165" s="9" t="s">
        <v>221</v>
      </c>
      <c r="S1165" s="9" t="s">
        <v>218</v>
      </c>
      <c r="T1165" s="188">
        <v>1000</v>
      </c>
      <c r="U1165" s="8">
        <f t="shared" si="138"/>
        <v>180</v>
      </c>
      <c r="V1165" s="234">
        <f t="shared" si="137"/>
        <v>110044.1552461603</v>
      </c>
      <c r="W1165" s="15">
        <v>25</v>
      </c>
      <c r="X1165" s="8">
        <f t="shared" si="135"/>
        <v>4.5</v>
      </c>
      <c r="Y1165" s="233">
        <f t="shared" si="136"/>
        <v>4617</v>
      </c>
    </row>
    <row r="1166" spans="1:25">
      <c r="A1166" s="156" t="e" cm="1">
        <f t="array" aca="1" ref="A1166" ca="1">_xlfn.IFS(E1166=$AB$42,$AC$42,E1166=$AB$43,$AC$43,E1166=$AB$44,$AC$44,E1166=$AB$45,$AC$45,E1166=$AB$46,$AC$46,E1166=$AB$47,$AC$47,E1166=$AB$48,$AC$48,E1166=$AB$49,$AC$49,E1166=$AB$50,$AC$50,E1166=$AB$51,$AC$51,E1166=$AB$52,$AC$52,E1166=$AB$53,$AC$53,E1166=$AB$54,$AC$54,E1166=$AB$55,$AC$55,E1166=$AB$56,$AC$56,E1166=$AB$57,$AC$57,E1166=$AB$58,$AC$58,E1166=$AB$59,$AC$59,E1166=$AB$60,$AC$60,E1166=$AB$61,$AC$61,E1166=$AB$62,$AC$62,E1166=$AB$63,$AC$63,E1166=$AB$64,$AC$64,E1166=$AB$65,$AC$65,E1166=$AB$66,$AC$66,TRUE,"0")</f>
        <v>#NAME?</v>
      </c>
      <c r="C1166" s="161" t="str" cm="1">
        <f t="array" ref="C1166">_xlfn.IFS(E1166=$AB$42,$AF$42,E1166=$AB$43,$AF$43,E1166=$AB$44,$AF$44,E1166=$AB$45,$AF$45,E1166=$AB$46,$AF$46,E1166=$AB$47,$AF$47,E1166=$AB$48,$AF$48,E1166=$AB$49,$AF$49,E1166=$AB$50,$AF$50,E1166=$AB$51,$AF$51,E1166=$AB$52,$AF$52,E1166=$AB$53,$AF$53,E1166=$AB$54,$AF$54,E1166=$AB$55,$AF$55,E1166=$AB$56,$AF$56,E1166=$AB$57,$AF$57,E1166=$AB$58,$AF$58,E1166=$AB$59,$AF$59,E1166=$AB$60,$AF$60,E1166=$AB$61,$AF$61,E1166=$AB$62,$AF$62,E1166=$AB$63,$AF$63,E1166=$AB$64,$AF$64,E1166=$AB$65,$AF$65,E1166=$AB$66,$AF$66,TRUE,"0")</f>
        <v>B4 match BACK FT +1.5 goals. X AFTER  GOAL</v>
      </c>
      <c r="D1166" s="270" t="str" cm="1">
        <f t="array" ref="D1166">_xlfn.IFS(E1166=$AB$42,$AD$42,E1166=$AB$43,$AD$43,E1166=$AB$44,$AD$44,E1166=$AB$45,$AD$45,E1166=$AB$46,$AD$46,E1166=$AB$47,$AD$47,E1166=$AB$48,$AD$48,E1166=$AB$49,$AD$49,E1166=$AB$50,$AD$50,E1166=$AB$51,$AD$51,E1166=$AB$52,$AD$52,E1166=$AB$53,$AD$53,E1166=$AB$54,$AD$54,E1166=$AB$55,$AD$55,E1166=$AB$56,$AD$56,E1166=$AB$57,$AD$57,E1166=$AB$58,$AD$58,E1166=$AB$59,$AD$59,E1166=$AB$60,$AD$60,E1166=$AB$61,$AD$61,E1166=$AB$62,$AD$62,E1166=$AB$63,$AD$63,E1166=$AB$64,$AD$64,E1166=$AB$65,$AD$65,E1166=$AB$66,$AD$66,TRUE,"0")</f>
        <v xml:space="preserve">BFM </v>
      </c>
      <c r="E1166" s="163" t="s">
        <v>531</v>
      </c>
      <c r="F1166" s="2" t="s">
        <v>6</v>
      </c>
      <c r="G1166" s="2" t="s">
        <v>62</v>
      </c>
      <c r="H1166" s="3">
        <v>45407.833333333336</v>
      </c>
      <c r="I1166" s="2" t="s">
        <v>267</v>
      </c>
      <c r="J1166" s="2" t="s">
        <v>72</v>
      </c>
      <c r="K1166" s="2">
        <v>4.2</v>
      </c>
      <c r="L1166" s="2">
        <v>30</v>
      </c>
      <c r="M1166" s="2">
        <v>3.27</v>
      </c>
      <c r="N1166" s="2">
        <v>30</v>
      </c>
      <c r="O1166" s="2">
        <v>2</v>
      </c>
      <c r="P1166" s="2">
        <v>15</v>
      </c>
      <c r="Q1166" s="2" t="s">
        <v>95</v>
      </c>
      <c r="R1166" s="9" t="s">
        <v>218</v>
      </c>
      <c r="S1166" s="9" t="s">
        <v>288</v>
      </c>
      <c r="T1166" s="188">
        <v>1000</v>
      </c>
      <c r="U1166" s="8">
        <f t="shared" si="138"/>
        <v>180</v>
      </c>
      <c r="V1166" s="234">
        <f t="shared" si="137"/>
        <v>110224.1552461603</v>
      </c>
      <c r="W1166" s="15">
        <v>25</v>
      </c>
      <c r="X1166" s="8">
        <f t="shared" si="135"/>
        <v>4.5</v>
      </c>
      <c r="Y1166" s="233">
        <f t="shared" si="136"/>
        <v>4621.5</v>
      </c>
    </row>
    <row r="1167" spans="1:25">
      <c r="A1167" s="156" t="e" cm="1">
        <f t="array" aca="1" ref="A1167" ca="1">_xlfn.IFS(E1167=$AB$42,$AC$42,E1167=$AB$43,$AC$43,E1167=$AB$44,$AC$44,E1167=$AB$45,$AC$45,E1167=$AB$46,$AC$46,E1167=$AB$47,$AC$47,E1167=$AB$48,$AC$48,E1167=$AB$49,$AC$49,E1167=$AB$50,$AC$50,E1167=$AB$51,$AC$51,E1167=$AB$52,$AC$52,E1167=$AB$53,$AC$53,E1167=$AB$54,$AC$54,E1167=$AB$55,$AC$55,E1167=$AB$56,$AC$56,E1167=$AB$57,$AC$57,E1167=$AB$58,$AC$58,E1167=$AB$59,$AC$59,E1167=$AB$60,$AC$60,E1167=$AB$61,$AC$61,E1167=$AB$62,$AC$62,E1167=$AB$63,$AC$63,E1167=$AB$64,$AC$64,E1167=$AB$65,$AC$65,E1167=$AB$66,$AC$66,TRUE,"0")</f>
        <v>#NAME?</v>
      </c>
      <c r="C1167" s="161" t="str" cm="1">
        <f t="array" ref="C1167">_xlfn.IFS(E1167=$AB$42,$AF$42,E1167=$AB$43,$AF$43,E1167=$AB$44,$AF$44,E1167=$AB$45,$AF$45,E1167=$AB$46,$AF$46,E1167=$AB$47,$AF$47,E1167=$AB$48,$AF$48,E1167=$AB$49,$AF$49,E1167=$AB$50,$AF$50,E1167=$AB$51,$AF$51,E1167=$AB$52,$AF$52,E1167=$AB$53,$AF$53,E1167=$AB$54,$AF$54,E1167=$AB$55,$AF$55,E1167=$AB$56,$AF$56,E1167=$AB$57,$AF$57,E1167=$AB$58,$AF$58,E1167=$AB$59,$AF$59,E1167=$AB$60,$AF$60,E1167=$AB$61,$AF$61,E1167=$AB$62,$AF$62,E1167=$AB$63,$AF$63,E1167=$AB$64,$AF$64,E1167=$AB$65,$AF$65,E1167=$AB$66,$AF$66,TRUE,"0")</f>
        <v>B4 match BACK FT +1.5 goals. X AFTER  GOAL</v>
      </c>
      <c r="D1167" s="270" t="str" cm="1">
        <f t="array" ref="D1167">_xlfn.IFS(E1167=$AB$42,$AD$42,E1167=$AB$43,$AD$43,E1167=$AB$44,$AD$44,E1167=$AB$45,$AD$45,E1167=$AB$46,$AD$46,E1167=$AB$47,$AD$47,E1167=$AB$48,$AD$48,E1167=$AB$49,$AD$49,E1167=$AB$50,$AD$50,E1167=$AB$51,$AD$51,E1167=$AB$52,$AD$52,E1167=$AB$53,$AD$53,E1167=$AB$54,$AD$54,E1167=$AB$55,$AD$55,E1167=$AB$56,$AD$56,E1167=$AB$57,$AD$57,E1167=$AB$58,$AD$58,E1167=$AB$59,$AD$59,E1167=$AB$60,$AD$60,E1167=$AB$61,$AD$61,E1167=$AB$62,$AD$62,E1167=$AB$63,$AD$63,E1167=$AB$64,$AD$64,E1167=$AB$65,$AD$65,E1167=$AB$66,$AD$66,TRUE,"0")</f>
        <v xml:space="preserve">BFM </v>
      </c>
      <c r="E1167" s="163" t="s">
        <v>531</v>
      </c>
      <c r="F1167" s="2" t="s">
        <v>149</v>
      </c>
      <c r="G1167" s="2" t="s">
        <v>153</v>
      </c>
      <c r="H1167" s="3">
        <v>45407.833333333336</v>
      </c>
      <c r="I1167" s="2" t="s">
        <v>369</v>
      </c>
      <c r="J1167" s="2" t="s">
        <v>282</v>
      </c>
      <c r="K1167" s="2">
        <v>5.4</v>
      </c>
      <c r="L1167" s="2">
        <v>30</v>
      </c>
      <c r="M1167" s="2">
        <v>3.17</v>
      </c>
      <c r="N1167" s="2">
        <v>24</v>
      </c>
      <c r="O1167" s="2">
        <v>4</v>
      </c>
      <c r="P1167" s="2">
        <v>15</v>
      </c>
      <c r="Q1167" s="2" t="s">
        <v>95</v>
      </c>
      <c r="R1167" s="10" t="s">
        <v>223</v>
      </c>
      <c r="S1167" s="10" t="s">
        <v>211</v>
      </c>
      <c r="T1167" s="188">
        <v>1000</v>
      </c>
      <c r="U1167" s="8">
        <f t="shared" si="138"/>
        <v>180</v>
      </c>
      <c r="V1167" s="234">
        <f t="shared" si="137"/>
        <v>110404.1552461603</v>
      </c>
      <c r="W1167" s="15">
        <v>25</v>
      </c>
      <c r="X1167" s="8">
        <f t="shared" si="135"/>
        <v>4.5</v>
      </c>
      <c r="Y1167" s="233">
        <f t="shared" si="136"/>
        <v>4626</v>
      </c>
    </row>
    <row r="1168" spans="1:25">
      <c r="A1168" s="156" t="e" cm="1">
        <f t="array" aca="1" ref="A1168" ca="1">_xlfn.IFS(E1168=$AB$42,$AC$42,E1168=$AB$43,$AC$43,E1168=$AB$44,$AC$44,E1168=$AB$45,$AC$45,E1168=$AB$46,$AC$46,E1168=$AB$47,$AC$47,E1168=$AB$48,$AC$48,E1168=$AB$49,$AC$49,E1168=$AB$50,$AC$50,E1168=$AB$51,$AC$51,E1168=$AB$52,$AC$52,E1168=$AB$53,$AC$53,E1168=$AB$54,$AC$54,E1168=$AB$55,$AC$55,E1168=$AB$56,$AC$56,E1168=$AB$57,$AC$57,E1168=$AB$58,$AC$58,E1168=$AB$59,$AC$59,E1168=$AB$60,$AC$60,E1168=$AB$61,$AC$61,E1168=$AB$62,$AC$62,E1168=$AB$63,$AC$63,E1168=$AB$64,$AC$64,E1168=$AB$65,$AC$65,E1168=$AB$66,$AC$66,TRUE,"0")</f>
        <v>#NAME?</v>
      </c>
      <c r="C1168" s="161" t="str" cm="1">
        <f t="array" ref="C1168">_xlfn.IFS(E1168=$AB$42,$AF$42,E1168=$AB$43,$AF$43,E1168=$AB$44,$AF$44,E1168=$AB$45,$AF$45,E1168=$AB$46,$AF$46,E1168=$AB$47,$AF$47,E1168=$AB$48,$AF$48,E1168=$AB$49,$AF$49,E1168=$AB$50,$AF$50,E1168=$AB$51,$AF$51,E1168=$AB$52,$AF$52,E1168=$AB$53,$AF$53,E1168=$AB$54,$AF$54,E1168=$AB$55,$AF$55,E1168=$AB$56,$AF$56,E1168=$AB$57,$AF$57,E1168=$AB$58,$AF$58,E1168=$AB$59,$AF$59,E1168=$AB$60,$AF$60,E1168=$AB$61,$AF$61,E1168=$AB$62,$AF$62,E1168=$AB$63,$AF$63,E1168=$AB$64,$AF$64,E1168=$AB$65,$AF$65,E1168=$AB$66,$AF$66,TRUE,"0")</f>
        <v>40 mins Back ANother Goal</v>
      </c>
      <c r="D1168" s="270" t="str" cm="1">
        <f t="array" ref="D1168">_xlfn.IFS(E1168=$AB$42,$AD$42,E1168=$AB$43,$AD$43,E1168=$AB$44,$AD$44,E1168=$AB$45,$AD$45,E1168=$AB$46,$AD$46,E1168=$AB$47,$AD$47,E1168=$AB$48,$AD$48,E1168=$AB$49,$AD$49,E1168=$AB$50,$AD$50,E1168=$AB$51,$AD$51,E1168=$AB$52,$AD$52,E1168=$AB$53,$AD$53,E1168=$AB$54,$AD$54,E1168=$AB$55,$AD$55,E1168=$AB$56,$AD$56,E1168=$AB$57,$AD$57,E1168=$AB$58,$AD$58,E1168=$AB$59,$AD$59,E1168=$AB$60,$AD$60,E1168=$AB$61,$AD$61,E1168=$AB$62,$AD$62,E1168=$AB$63,$AD$63,E1168=$AB$64,$AD$64,E1168=$AB$65,$AD$65,E1168=$AB$66,$AD$66,TRUE,"0")</f>
        <v xml:space="preserve">  BANG</v>
      </c>
      <c r="E1168" s="163" t="s">
        <v>726</v>
      </c>
      <c r="F1168" s="2" t="s">
        <v>44</v>
      </c>
      <c r="G1168" s="2" t="s">
        <v>45</v>
      </c>
      <c r="H1168" s="3">
        <v>45408.447916666664</v>
      </c>
      <c r="I1168" s="2" t="s">
        <v>233</v>
      </c>
      <c r="J1168" s="2" t="s">
        <v>124</v>
      </c>
      <c r="K1168" s="2">
        <v>80</v>
      </c>
      <c r="L1168" s="2">
        <v>20</v>
      </c>
      <c r="M1168" s="2">
        <v>2</v>
      </c>
      <c r="N1168" s="2">
        <v>59</v>
      </c>
      <c r="O1168" s="2"/>
      <c r="P1168" s="2"/>
      <c r="Q1168" s="2" t="s">
        <v>95</v>
      </c>
      <c r="R1168" s="10" t="s">
        <v>216</v>
      </c>
      <c r="S1168" s="10" t="s">
        <v>613</v>
      </c>
      <c r="T1168" s="188">
        <v>1000</v>
      </c>
      <c r="U1168" s="8">
        <f t="shared" si="138"/>
        <v>180</v>
      </c>
      <c r="V1168" s="234">
        <f t="shared" si="137"/>
        <v>110584.1552461603</v>
      </c>
      <c r="W1168" s="15">
        <v>25</v>
      </c>
      <c r="X1168" s="8">
        <f t="shared" si="135"/>
        <v>4.5</v>
      </c>
      <c r="Y1168" s="233">
        <f t="shared" si="136"/>
        <v>4630.5</v>
      </c>
    </row>
    <row r="1169" spans="1:25">
      <c r="A1169" s="156" t="e" cm="1">
        <f t="array" aca="1" ref="A1169" ca="1">_xlfn.IFS(E1169=$AB$42,$AC$42,E1169=$AB$43,$AC$43,E1169=$AB$44,$AC$44,E1169=$AB$45,$AC$45,E1169=$AB$46,$AC$46,E1169=$AB$47,$AC$47,E1169=$AB$48,$AC$48,E1169=$AB$49,$AC$49,E1169=$AB$50,$AC$50,E1169=$AB$51,$AC$51,E1169=$AB$52,$AC$52,E1169=$AB$53,$AC$53,E1169=$AB$54,$AC$54,E1169=$AB$55,$AC$55,E1169=$AB$56,$AC$56,E1169=$AB$57,$AC$57,E1169=$AB$58,$AC$58,E1169=$AB$59,$AC$59,E1169=$AB$60,$AC$60,E1169=$AB$61,$AC$61,E1169=$AB$62,$AC$62,E1169=$AB$63,$AC$63,E1169=$AB$64,$AC$64,E1169=$AB$65,$AC$65,E1169=$AB$66,$AC$66,TRUE,"0")</f>
        <v>#NAME?</v>
      </c>
      <c r="C1169" s="161" t="str" cm="1">
        <f t="array" ref="C1169">_xlfn.IFS(E1169=$AB$42,$AF$42,E1169=$AB$43,$AF$43,E1169=$AB$44,$AF$44,E1169=$AB$45,$AF$45,E1169=$AB$46,$AF$46,E1169=$AB$47,$AF$47,E1169=$AB$48,$AF$48,E1169=$AB$49,$AF$49,E1169=$AB$50,$AF$50,E1169=$AB$51,$AF$51,E1169=$AB$52,$AF$52,E1169=$AB$53,$AF$53,E1169=$AB$54,$AF$54,E1169=$AB$55,$AF$55,E1169=$AB$56,$AF$56,E1169=$AB$57,$AF$57,E1169=$AB$58,$AF$58,E1169=$AB$59,$AF$59,E1169=$AB$60,$AF$60,E1169=$AB$61,$AF$61,E1169=$AB$62,$AF$62,E1169=$AB$63,$AF$63,E1169=$AB$64,$AF$64,E1169=$AB$65,$AF$65,E1169=$AB$66,$AF$66,TRUE,"0")</f>
        <v>40 mins Back ANother Goal</v>
      </c>
      <c r="D1169" s="270" t="str" cm="1">
        <f t="array" ref="D1169">_xlfn.IFS(E1169=$AB$42,$AD$42,E1169=$AB$43,$AD$43,E1169=$AB$44,$AD$44,E1169=$AB$45,$AD$45,E1169=$AB$46,$AD$46,E1169=$AB$47,$AD$47,E1169=$AB$48,$AD$48,E1169=$AB$49,$AD$49,E1169=$AB$50,$AD$50,E1169=$AB$51,$AD$51,E1169=$AB$52,$AD$52,E1169=$AB$53,$AD$53,E1169=$AB$54,$AD$54,E1169=$AB$55,$AD$55,E1169=$AB$56,$AD$56,E1169=$AB$57,$AD$57,E1169=$AB$58,$AD$58,E1169=$AB$59,$AD$59,E1169=$AB$60,$AD$60,E1169=$AB$61,$AD$61,E1169=$AB$62,$AD$62,E1169=$AB$63,$AD$63,E1169=$AB$64,$AD$64,E1169=$AB$65,$AD$65,E1169=$AB$66,$AD$66,TRUE,"0")</f>
        <v xml:space="preserve">  BANG</v>
      </c>
      <c r="E1169" s="163" t="s">
        <v>43</v>
      </c>
      <c r="F1169" s="2" t="s">
        <v>516</v>
      </c>
      <c r="G1169" s="2" t="s">
        <v>78</v>
      </c>
      <c r="H1169" s="3">
        <v>45408.458333333336</v>
      </c>
      <c r="I1169" s="2" t="s">
        <v>785</v>
      </c>
      <c r="J1169" s="2" t="s">
        <v>674</v>
      </c>
      <c r="K1169" s="2">
        <v>67</v>
      </c>
      <c r="L1169" s="2">
        <v>77</v>
      </c>
      <c r="M1169" s="2">
        <v>60</v>
      </c>
      <c r="N1169" s="2">
        <v>1.62</v>
      </c>
      <c r="O1169" s="2">
        <v>0.68</v>
      </c>
      <c r="P1169" s="2"/>
      <c r="Q1169" s="2" t="s">
        <v>95</v>
      </c>
      <c r="R1169" s="10" t="s">
        <v>217</v>
      </c>
      <c r="S1169" s="10" t="s">
        <v>217</v>
      </c>
      <c r="T1169" s="188">
        <v>1000</v>
      </c>
      <c r="U1169" s="8">
        <f t="shared" si="138"/>
        <v>180</v>
      </c>
      <c r="V1169" s="234">
        <f t="shared" si="137"/>
        <v>110764.1552461603</v>
      </c>
      <c r="W1169" s="15">
        <v>25</v>
      </c>
      <c r="X1169" s="8">
        <f t="shared" si="135"/>
        <v>4.5</v>
      </c>
      <c r="Y1169" s="233">
        <f t="shared" si="136"/>
        <v>4635</v>
      </c>
    </row>
    <row r="1170" spans="1:25">
      <c r="A1170" s="156" t="e" cm="1">
        <f t="array" aca="1" ref="A1170" ca="1">_xlfn.IFS(E1170=$AB$42,$AC$42,E1170=$AB$43,$AC$43,E1170=$AB$44,$AC$44,E1170=$AB$45,$AC$45,E1170=$AB$46,$AC$46,E1170=$AB$47,$AC$47,E1170=$AB$48,$AC$48,E1170=$AB$49,$AC$49,E1170=$AB$50,$AC$50,E1170=$AB$51,$AC$51,E1170=$AB$52,$AC$52,E1170=$AB$53,$AC$53,E1170=$AB$54,$AC$54,E1170=$AB$55,$AC$55,E1170=$AB$56,$AC$56,E1170=$AB$57,$AC$57,E1170=$AB$58,$AC$58,E1170=$AB$59,$AC$59,E1170=$AB$60,$AC$60,E1170=$AB$61,$AC$61,E1170=$AB$62,$AC$62,E1170=$AB$63,$AC$63,E1170=$AB$64,$AC$64,E1170=$AB$65,$AC$65,E1170=$AB$66,$AC$66,TRUE,"0")</f>
        <v>#NAME?</v>
      </c>
      <c r="C1170" s="161" t="str" cm="1">
        <f t="array" ref="C1170">_xlfn.IFS(E1170=$AB$42,$AF$42,E1170=$AB$43,$AF$43,E1170=$AB$44,$AF$44,E1170=$AB$45,$AF$45,E1170=$AB$46,$AF$46,E1170=$AB$47,$AF$47,E1170=$AB$48,$AF$48,E1170=$AB$49,$AF$49,E1170=$AB$50,$AF$50,E1170=$AB$51,$AF$51,E1170=$AB$52,$AF$52,E1170=$AB$53,$AF$53,E1170=$AB$54,$AF$54,E1170=$AB$55,$AF$55,E1170=$AB$56,$AF$56,E1170=$AB$57,$AF$57,E1170=$AB$58,$AF$58,E1170=$AB$59,$AF$59,E1170=$AB$60,$AF$60,E1170=$AB$61,$AF$61,E1170=$AB$62,$AF$62,E1170=$AB$63,$AF$63,E1170=$AB$64,$AF$64,E1170=$AB$65,$AF$65,E1170=$AB$66,$AF$66,TRUE,"0")</f>
        <v>40 mins Back ANother Goal</v>
      </c>
      <c r="D1170" s="270" t="str" cm="1">
        <f t="array" ref="D1170">_xlfn.IFS(E1170=$AB$42,$AD$42,E1170=$AB$43,$AD$43,E1170=$AB$44,$AD$44,E1170=$AB$45,$AD$45,E1170=$AB$46,$AD$46,E1170=$AB$47,$AD$47,E1170=$AB$48,$AD$48,E1170=$AB$49,$AD$49,E1170=$AB$50,$AD$50,E1170=$AB$51,$AD$51,E1170=$AB$52,$AD$52,E1170=$AB$53,$AD$53,E1170=$AB$54,$AD$54,E1170=$AB$55,$AD$55,E1170=$AB$56,$AD$56,E1170=$AB$57,$AD$57,E1170=$AB$58,$AD$58,E1170=$AB$59,$AD$59,E1170=$AB$60,$AD$60,E1170=$AB$61,$AD$61,E1170=$AB$62,$AD$62,E1170=$AB$63,$AD$63,E1170=$AB$64,$AD$64,E1170=$AB$65,$AD$65,E1170=$AB$66,$AD$66,TRUE,"0")</f>
        <v xml:space="preserve">  BANG</v>
      </c>
      <c r="E1170" s="163" t="s">
        <v>726</v>
      </c>
      <c r="F1170" s="2" t="s">
        <v>489</v>
      </c>
      <c r="G1170" s="2" t="s">
        <v>490</v>
      </c>
      <c r="H1170" s="3">
        <v>45408.583333333336</v>
      </c>
      <c r="I1170" s="2" t="s">
        <v>772</v>
      </c>
      <c r="J1170" s="2" t="s">
        <v>491</v>
      </c>
      <c r="K1170" s="2">
        <v>95</v>
      </c>
      <c r="L1170" s="2">
        <v>20</v>
      </c>
      <c r="M1170" s="2">
        <v>2.0499999999999998</v>
      </c>
      <c r="N1170" s="2">
        <v>62</v>
      </c>
      <c r="O1170" s="2"/>
      <c r="P1170" s="2"/>
      <c r="Q1170" s="2" t="s">
        <v>95</v>
      </c>
      <c r="R1170" s="10" t="s">
        <v>193</v>
      </c>
      <c r="S1170" s="10" t="s">
        <v>210</v>
      </c>
      <c r="T1170" s="188">
        <v>1000</v>
      </c>
      <c r="U1170" s="8">
        <f t="shared" si="138"/>
        <v>180</v>
      </c>
      <c r="V1170" s="234">
        <f t="shared" si="137"/>
        <v>110944.1552461603</v>
      </c>
      <c r="W1170" s="15">
        <v>25</v>
      </c>
      <c r="X1170" s="8">
        <f t="shared" si="135"/>
        <v>4.5</v>
      </c>
      <c r="Y1170" s="233">
        <f t="shared" si="136"/>
        <v>4639.5</v>
      </c>
    </row>
    <row r="1171" spans="1:25">
      <c r="A1171" s="156" t="e" cm="1">
        <f t="array" aca="1" ref="A1171" ca="1">_xlfn.IFS(E1171=$AB$42,$AC$42,E1171=$AB$43,$AC$43,E1171=$AB$44,$AC$44,E1171=$AB$45,$AC$45,E1171=$AB$46,$AC$46,E1171=$AB$47,$AC$47,E1171=$AB$48,$AC$48,E1171=$AB$49,$AC$49,E1171=$AB$50,$AC$50,E1171=$AB$51,$AC$51,E1171=$AB$52,$AC$52,E1171=$AB$53,$AC$53,E1171=$AB$54,$AC$54,E1171=$AB$55,$AC$55,E1171=$AB$56,$AC$56,E1171=$AB$57,$AC$57,E1171=$AB$58,$AC$58,E1171=$AB$59,$AC$59,E1171=$AB$60,$AC$60,E1171=$AB$61,$AC$61,E1171=$AB$62,$AC$62,E1171=$AB$63,$AC$63,E1171=$AB$64,$AC$64,E1171=$AB$65,$AC$65,E1171=$AB$66,$AC$66,TRUE,"0")</f>
        <v>#NAME?</v>
      </c>
      <c r="C1171" s="161" t="str" cm="1">
        <f t="array" ref="C1171">_xlfn.IFS(E1171=$AB$42,$AF$42,E1171=$AB$43,$AF$43,E1171=$AB$44,$AF$44,E1171=$AB$45,$AF$45,E1171=$AB$46,$AF$46,E1171=$AB$47,$AF$47,E1171=$AB$48,$AF$48,E1171=$AB$49,$AF$49,E1171=$AB$50,$AF$50,E1171=$AB$51,$AF$51,E1171=$AB$52,$AF$52,E1171=$AB$53,$AF$53,E1171=$AB$54,$AF$54,E1171=$AB$55,$AF$55,E1171=$AB$56,$AF$56,E1171=$AB$57,$AF$57,E1171=$AB$58,$AF$58,E1171=$AB$59,$AF$59,E1171=$AB$60,$AF$60,E1171=$AB$61,$AF$61,E1171=$AB$62,$AF$62,E1171=$AB$63,$AF$63,E1171=$AB$64,$AF$64,E1171=$AB$65,$AF$65,E1171=$AB$66,$AF$66,TRUE,"0")</f>
        <v>B4 match BACK FT +1.5 goals. X AFTER  GOAL</v>
      </c>
      <c r="D1171" s="270" t="str" cm="1">
        <f t="array" ref="D1171">_xlfn.IFS(E1171=$AB$42,$AD$42,E1171=$AB$43,$AD$43,E1171=$AB$44,$AD$44,E1171=$AB$45,$AD$45,E1171=$AB$46,$AD$46,E1171=$AB$47,$AD$47,E1171=$AB$48,$AD$48,E1171=$AB$49,$AD$49,E1171=$AB$50,$AD$50,E1171=$AB$51,$AD$51,E1171=$AB$52,$AD$52,E1171=$AB$53,$AD$53,E1171=$AB$54,$AD$54,E1171=$AB$55,$AD$55,E1171=$AB$56,$AD$56,E1171=$AB$57,$AD$57,E1171=$AB$58,$AD$58,E1171=$AB$59,$AD$59,E1171=$AB$60,$AD$60,E1171=$AB$61,$AD$61,E1171=$AB$62,$AD$62,E1171=$AB$63,$AD$63,E1171=$AB$64,$AD$64,E1171=$AB$65,$AD$65,E1171=$AB$66,$AD$66,TRUE,"0")</f>
        <v xml:space="preserve">BFM </v>
      </c>
      <c r="E1171" s="163" t="s">
        <v>406</v>
      </c>
      <c r="F1171" s="2" t="s">
        <v>77</v>
      </c>
      <c r="G1171" s="2" t="s">
        <v>234</v>
      </c>
      <c r="H1171" s="3">
        <v>45408.729166666664</v>
      </c>
      <c r="I1171" s="2" t="s">
        <v>555</v>
      </c>
      <c r="J1171" s="2" t="s">
        <v>646</v>
      </c>
      <c r="K1171" s="2">
        <v>1.31</v>
      </c>
      <c r="L1171" s="2">
        <v>13.5</v>
      </c>
      <c r="M1171" s="2">
        <v>2.7</v>
      </c>
      <c r="N1171" s="2">
        <v>4.5</v>
      </c>
      <c r="O1171" s="2">
        <v>3.37</v>
      </c>
      <c r="P1171" s="2"/>
      <c r="Q1171" s="2" t="s">
        <v>95</v>
      </c>
      <c r="R1171" s="10" t="s">
        <v>221</v>
      </c>
      <c r="S1171" s="10" t="s">
        <v>214</v>
      </c>
      <c r="T1171" s="188">
        <v>1000</v>
      </c>
      <c r="U1171" s="8">
        <f t="shared" si="138"/>
        <v>180</v>
      </c>
      <c r="V1171" s="234">
        <f t="shared" si="137"/>
        <v>111124.1552461603</v>
      </c>
      <c r="W1171" s="15">
        <v>25</v>
      </c>
      <c r="X1171" s="8">
        <f t="shared" si="135"/>
        <v>4.5</v>
      </c>
      <c r="Y1171" s="233">
        <f t="shared" si="136"/>
        <v>4644</v>
      </c>
    </row>
    <row r="1172" spans="1:25" ht="15.75" thickBot="1">
      <c r="A1172" s="156" t="e" cm="1">
        <f t="array" aca="1" ref="A1172" ca="1">_xlfn.IFS(E1172=$AB$42,$AC$42,E1172=$AB$43,$AC$43,E1172=$AB$44,$AC$44,E1172=$AB$45,$AC$45,E1172=$AB$46,$AC$46,E1172=$AB$47,$AC$47,E1172=$AB$48,$AC$48,E1172=$AB$49,$AC$49,E1172=$AB$50,$AC$50,E1172=$AB$51,$AC$51,E1172=$AB$52,$AC$52,E1172=$AB$53,$AC$53,E1172=$AB$54,$AC$54,E1172=$AB$55,$AC$55,E1172=$AB$56,$AC$56,E1172=$AB$57,$AC$57,E1172=$AB$58,$AC$58,E1172=$AB$59,$AC$59,E1172=$AB$60,$AC$60,E1172=$AB$61,$AC$61,E1172=$AB$62,$AC$62,E1172=$AB$63,$AC$63,E1172=$AB$64,$AC$64,E1172=$AB$65,$AC$65,E1172=$AB$66,$AC$66,TRUE,"0")</f>
        <v>#NAME?</v>
      </c>
      <c r="C1172" s="161" t="str" cm="1">
        <f t="array" ref="C1172">_xlfn.IFS(E1172=$AB$42,$AF$42,E1172=$AB$43,$AF$43,E1172=$AB$44,$AF$44,E1172=$AB$45,$AF$45,E1172=$AB$46,$AF$46,E1172=$AB$47,$AF$47,E1172=$AB$48,$AF$48,E1172=$AB$49,$AF$49,E1172=$AB$50,$AF$50,E1172=$AB$51,$AF$51,E1172=$AB$52,$AF$52,E1172=$AB$53,$AF$53,E1172=$AB$54,$AF$54,E1172=$AB$55,$AF$55,E1172=$AB$56,$AF$56,E1172=$AB$57,$AF$57,E1172=$AB$58,$AF$58,E1172=$AB$59,$AF$59,E1172=$AB$60,$AF$60,E1172=$AB$61,$AF$61,E1172=$AB$62,$AF$62,E1172=$AB$63,$AF$63,E1172=$AB$64,$AF$64,E1172=$AB$65,$AF$65,E1172=$AB$66,$AF$66,TRUE,"0")</f>
        <v>B4 match BACK FT +1.5 goals. X AFTER  GOAL</v>
      </c>
      <c r="D1172" s="270" t="str" cm="1">
        <f t="array" ref="D1172">_xlfn.IFS(E1172=$AB$42,$AD$42,E1172=$AB$43,$AD$43,E1172=$AB$44,$AD$44,E1172=$AB$45,$AD$45,E1172=$AB$46,$AD$46,E1172=$AB$47,$AD$47,E1172=$AB$48,$AD$48,E1172=$AB$49,$AD$49,E1172=$AB$50,$AD$50,E1172=$AB$51,$AD$51,E1172=$AB$52,$AD$52,E1172=$AB$53,$AD$53,E1172=$AB$54,$AD$54,E1172=$AB$55,$AD$55,E1172=$AB$56,$AD$56,E1172=$AB$57,$AD$57,E1172=$AB$58,$AD$58,E1172=$AB$59,$AD$59,E1172=$AB$60,$AD$60,E1172=$AB$61,$AD$61,E1172=$AB$62,$AD$62,E1172=$AB$63,$AD$63,E1172=$AB$64,$AD$64,E1172=$AB$65,$AD$65,E1172=$AB$66,$AD$66,TRUE,"0")</f>
        <v xml:space="preserve">BFM </v>
      </c>
      <c r="E1172" s="163" t="s">
        <v>623</v>
      </c>
      <c r="F1172" s="2" t="s">
        <v>77</v>
      </c>
      <c r="G1172" s="2" t="s">
        <v>234</v>
      </c>
      <c r="H1172" s="3">
        <v>45408.729166666664</v>
      </c>
      <c r="I1172" s="2" t="s">
        <v>555</v>
      </c>
      <c r="J1172" s="2" t="s">
        <v>646</v>
      </c>
      <c r="K1172" s="2">
        <v>4.5</v>
      </c>
      <c r="L1172" s="2">
        <v>20</v>
      </c>
      <c r="M1172" s="2">
        <v>2.7</v>
      </c>
      <c r="N1172" s="2">
        <v>26</v>
      </c>
      <c r="O1172" s="2">
        <v>1</v>
      </c>
      <c r="P1172" s="2">
        <v>10</v>
      </c>
      <c r="Q1172" s="2" t="s">
        <v>95</v>
      </c>
      <c r="R1172" s="10" t="s">
        <v>221</v>
      </c>
      <c r="S1172" s="10" t="s">
        <v>214</v>
      </c>
      <c r="T1172" s="188">
        <v>1000</v>
      </c>
      <c r="U1172" s="8">
        <f t="shared" si="138"/>
        <v>180</v>
      </c>
      <c r="V1172" s="234">
        <f t="shared" si="137"/>
        <v>111304.1552461603</v>
      </c>
      <c r="W1172" s="15">
        <v>25</v>
      </c>
      <c r="X1172" s="8">
        <f t="shared" si="135"/>
        <v>4.5</v>
      </c>
      <c r="Y1172" s="233">
        <f t="shared" si="136"/>
        <v>4648.5</v>
      </c>
    </row>
    <row r="1173" spans="1:25" ht="15.75" thickBot="1">
      <c r="A1173" s="156" t="e" cm="1">
        <f t="array" aca="1" ref="A1173" ca="1">_xlfn.IFS(E1173=$AB$42,$AC$42,E1173=$AB$43,$AC$43,E1173=$AB$44,$AC$44,E1173=$AB$45,$AC$45,E1173=$AB$46,$AC$46,E1173=$AB$47,$AC$47,E1173=$AB$48,$AC$48,E1173=$AB$49,$AC$49,E1173=$AB$50,$AC$50,E1173=$AB$51,$AC$51,E1173=$AB$52,$AC$52,E1173=$AB$53,$AC$53,E1173=$AB$54,$AC$54,E1173=$AB$55,$AC$55,E1173=$AB$56,$AC$56,E1173=$AB$57,$AC$57,E1173=$AB$58,$AC$58,E1173=$AB$59,$AC$59,E1173=$AB$60,$AC$60,E1173=$AB$61,$AC$61,E1173=$AB$62,$AC$62,E1173=$AB$63,$AC$63,E1173=$AB$64,$AC$64,E1173=$AB$65,$AC$65,E1173=$AB$66,$AC$66,TRUE,"0")</f>
        <v>#NAME?</v>
      </c>
      <c r="C1173" s="161" t="str" cm="1">
        <f t="array" ref="C1173">_xlfn.IFS(E1173=$AB$42,$AF$42,E1173=$AB$43,$AF$43,E1173=$AB$44,$AF$44,E1173=$AB$45,$AF$45,E1173=$AB$46,$AF$46,E1173=$AB$47,$AF$47,E1173=$AB$48,$AF$48,E1173=$AB$49,$AF$49,E1173=$AB$50,$AF$50,E1173=$AB$51,$AF$51,E1173=$AB$52,$AF$52,E1173=$AB$53,$AF$53,E1173=$AB$54,$AF$54,E1173=$AB$55,$AF$55,E1173=$AB$56,$AF$56,E1173=$AB$57,$AF$57,E1173=$AB$58,$AF$58,E1173=$AB$59,$AF$59,E1173=$AB$60,$AF$60,E1173=$AB$61,$AF$61,E1173=$AB$62,$AF$62,E1173=$AB$63,$AF$63,E1173=$AB$64,$AF$64,E1173=$AB$65,$AF$65,E1173=$AB$66,$AF$66,TRUE,"0")</f>
        <v>AT HT IF 0-0 BACK +0.5 GOALS</v>
      </c>
      <c r="D1173" s="270" t="str" cm="1">
        <f t="array" ref="D1173">_xlfn.IFS(E1173=$AB$42,$AD$42,E1173=$AB$43,$AD$43,E1173=$AB$44,$AD$44,E1173=$AB$45,$AD$45,E1173=$AB$46,$AD$46,E1173=$AB$47,$AD$47,E1173=$AB$48,$AD$48,E1173=$AB$49,$AD$49,E1173=$AB$50,$AD$50,E1173=$AB$51,$AD$51,E1173=$AB$52,$AD$52,E1173=$AB$53,$AD$53,E1173=$AB$54,$AD$54,E1173=$AB$55,$AD$55,E1173=$AB$56,$AD$56,E1173=$AB$57,$AD$57,E1173=$AB$58,$AD$58,E1173=$AB$59,$AD$59,E1173=$AB$60,$AD$60,E1173=$AB$61,$AD$61,E1173=$AB$62,$AD$62,E1173=$AB$63,$AD$63,E1173=$AB$64,$AD$64,E1173=$AB$65,$AD$65,E1173=$AB$66,$AD$66,TRUE,"0")</f>
        <v>IP</v>
      </c>
      <c r="E1173" s="169" t="s">
        <v>514</v>
      </c>
      <c r="F1173" s="2" t="s">
        <v>77</v>
      </c>
      <c r="G1173" s="2" t="s">
        <v>234</v>
      </c>
      <c r="H1173" s="3">
        <v>45408.729166666664</v>
      </c>
      <c r="I1173" s="2" t="s">
        <v>555</v>
      </c>
      <c r="J1173" s="2" t="s">
        <v>646</v>
      </c>
      <c r="K1173" s="2">
        <v>4.5</v>
      </c>
      <c r="L1173" s="2">
        <v>170</v>
      </c>
      <c r="M1173" s="2">
        <v>980</v>
      </c>
      <c r="N1173" s="2">
        <v>20</v>
      </c>
      <c r="O1173" s="2">
        <v>10</v>
      </c>
      <c r="P1173" s="2">
        <v>26</v>
      </c>
      <c r="Q1173" s="2" t="s">
        <v>95</v>
      </c>
      <c r="R1173" s="10" t="s">
        <v>221</v>
      </c>
      <c r="S1173" s="10" t="s">
        <v>214</v>
      </c>
      <c r="T1173" s="188">
        <v>1000</v>
      </c>
      <c r="U1173" s="8">
        <f t="shared" si="138"/>
        <v>180</v>
      </c>
      <c r="V1173" s="234">
        <f t="shared" si="137"/>
        <v>111484.1552461603</v>
      </c>
      <c r="W1173" s="15">
        <v>25</v>
      </c>
      <c r="X1173" s="8">
        <f t="shared" si="135"/>
        <v>4.5</v>
      </c>
      <c r="Y1173" s="233">
        <f t="shared" si="136"/>
        <v>4653</v>
      </c>
    </row>
    <row r="1174" spans="1:25">
      <c r="A1174" s="156" t="e" cm="1">
        <f t="array" aca="1" ref="A1174" ca="1">_xlfn.IFS(E1174=$AB$42,$AC$42,E1174=$AB$43,$AC$43,E1174=$AB$44,$AC$44,E1174=$AB$45,$AC$45,E1174=$AB$46,$AC$46,E1174=$AB$47,$AC$47,E1174=$AB$48,$AC$48,E1174=$AB$49,$AC$49,E1174=$AB$50,$AC$50,E1174=$AB$51,$AC$51,E1174=$AB$52,$AC$52,E1174=$AB$53,$AC$53,E1174=$AB$54,$AC$54,E1174=$AB$55,$AC$55,E1174=$AB$56,$AC$56,E1174=$AB$57,$AC$57,E1174=$AB$58,$AC$58,E1174=$AB$59,$AC$59,E1174=$AB$60,$AC$60,E1174=$AB$61,$AC$61,E1174=$AB$62,$AC$62,E1174=$AB$63,$AC$63,E1174=$AB$64,$AC$64,E1174=$AB$65,$AC$65,E1174=$AB$66,$AC$66,TRUE,"0")</f>
        <v>#NAME?</v>
      </c>
      <c r="C1174" s="161" t="str" cm="1">
        <f t="array" ref="C1174">_xlfn.IFS(E1174=$AB$42,$AF$42,E1174=$AB$43,$AF$43,E1174=$AB$44,$AF$44,E1174=$AB$45,$AF$45,E1174=$AB$46,$AF$46,E1174=$AB$47,$AF$47,E1174=$AB$48,$AF$48,E1174=$AB$49,$AF$49,E1174=$AB$50,$AF$50,E1174=$AB$51,$AF$51,E1174=$AB$52,$AF$52,E1174=$AB$53,$AF$53,E1174=$AB$54,$AF$54,E1174=$AB$55,$AF$55,E1174=$AB$56,$AF$56,E1174=$AB$57,$AF$57,E1174=$AB$58,$AF$58,E1174=$AB$59,$AF$59,E1174=$AB$60,$AF$60,E1174=$AB$61,$AF$61,E1174=$AB$62,$AF$62,E1174=$AB$63,$AF$63,E1174=$AB$64,$AF$64,E1174=$AB$65,$AF$65,E1174=$AB$66,$AF$66,TRUE,"0")</f>
        <v>10mins if  0-0, BACK over 1.5 goals X after goal OR LET RUN</v>
      </c>
      <c r="D1174" s="270" t="str" cm="1">
        <f t="array" ref="D1174">_xlfn.IFS(E1174=$AB$42,$AD$42,E1174=$AB$43,$AD$43,E1174=$AB$44,$AD$44,E1174=$AB$45,$AD$45,E1174=$AB$46,$AD$46,E1174=$AB$47,$AD$47,E1174=$AB$48,$AD$48,E1174=$AB$49,$AD$49,E1174=$AB$50,$AD$50,E1174=$AB$51,$AD$51,E1174=$AB$52,$AD$52,E1174=$AB$53,$AD$53,E1174=$AB$54,$AD$54,E1174=$AB$55,$AD$55,E1174=$AB$56,$AD$56,E1174=$AB$57,$AD$57,E1174=$AB$58,$AD$58,E1174=$AB$59,$AD$59,E1174=$AB$60,$AD$60,E1174=$AB$61,$AD$61,E1174=$AB$62,$AD$62,E1174=$AB$63,$AD$63,E1174=$AB$64,$AD$64,E1174=$AB$65,$AD$65,E1174=$AB$66,$AD$66,TRUE,"0")</f>
        <v>IP</v>
      </c>
      <c r="E1174" s="163" t="s">
        <v>498</v>
      </c>
      <c r="F1174" s="2" t="s">
        <v>77</v>
      </c>
      <c r="G1174" s="2" t="s">
        <v>234</v>
      </c>
      <c r="H1174" s="3">
        <v>45408.729166666664</v>
      </c>
      <c r="I1174" s="2" t="s">
        <v>555</v>
      </c>
      <c r="J1174" s="2" t="s">
        <v>646</v>
      </c>
      <c r="K1174" s="2">
        <v>64</v>
      </c>
      <c r="L1174" s="2">
        <v>80</v>
      </c>
      <c r="M1174" s="2">
        <v>1.3</v>
      </c>
      <c r="N1174" s="2">
        <v>20</v>
      </c>
      <c r="O1174" s="2"/>
      <c r="P1174" s="2"/>
      <c r="Q1174" s="2" t="s">
        <v>95</v>
      </c>
      <c r="R1174" s="10" t="s">
        <v>221</v>
      </c>
      <c r="S1174" s="10" t="s">
        <v>214</v>
      </c>
      <c r="T1174" s="188">
        <v>1000</v>
      </c>
      <c r="U1174" s="8">
        <f t="shared" si="138"/>
        <v>180</v>
      </c>
      <c r="V1174" s="234">
        <f t="shared" si="137"/>
        <v>111664.1552461603</v>
      </c>
      <c r="W1174" s="15">
        <v>25</v>
      </c>
      <c r="X1174" s="8">
        <f t="shared" si="135"/>
        <v>4.5</v>
      </c>
      <c r="Y1174" s="233">
        <f t="shared" si="136"/>
        <v>4657.5</v>
      </c>
    </row>
    <row r="1175" spans="1:25">
      <c r="A1175" s="156" t="e" cm="1">
        <f t="array" aca="1" ref="A1175" ca="1">_xlfn.IFS(E1175=$AB$42,$AC$42,E1175=$AB$43,$AC$43,E1175=$AB$44,$AC$44,E1175=$AB$45,$AC$45,E1175=$AB$46,$AC$46,E1175=$AB$47,$AC$47,E1175=$AB$48,$AC$48,E1175=$AB$49,$AC$49,E1175=$AB$50,$AC$50,E1175=$AB$51,$AC$51,E1175=$AB$52,$AC$52,E1175=$AB$53,$AC$53,E1175=$AB$54,$AC$54,E1175=$AB$55,$AC$55,E1175=$AB$56,$AC$56,E1175=$AB$57,$AC$57,E1175=$AB$58,$AC$58,E1175=$AB$59,$AC$59,E1175=$AB$60,$AC$60,E1175=$AB$61,$AC$61,E1175=$AB$62,$AC$62,E1175=$AB$63,$AC$63,E1175=$AB$64,$AC$64,E1175=$AB$65,$AC$65,E1175=$AB$66,$AC$66,TRUE,"0")</f>
        <v>#NAME?</v>
      </c>
      <c r="C1175" s="161" t="str" cm="1">
        <f t="array" ref="C1175">_xlfn.IFS(E1175=$AB$42,$AF$42,E1175=$AB$43,$AF$43,E1175=$AB$44,$AF$44,E1175=$AB$45,$AF$45,E1175=$AB$46,$AF$46,E1175=$AB$47,$AF$47,E1175=$AB$48,$AF$48,E1175=$AB$49,$AF$49,E1175=$AB$50,$AF$50,E1175=$AB$51,$AF$51,E1175=$AB$52,$AF$52,E1175=$AB$53,$AF$53,E1175=$AB$54,$AF$54,E1175=$AB$55,$AF$55,E1175=$AB$56,$AF$56,E1175=$AB$57,$AF$57,E1175=$AB$58,$AF$58,E1175=$AB$59,$AF$59,E1175=$AB$60,$AF$60,E1175=$AB$61,$AF$61,E1175=$AB$62,$AF$62,E1175=$AB$63,$AF$63,E1175=$AB$64,$AF$64,E1175=$AB$65,$AF$65,E1175=$AB$66,$AF$66,TRUE,"0")</f>
        <v>B4 match BACK FT +1.5 goals. X AFTER  GOAL</v>
      </c>
      <c r="D1175" s="270" t="str" cm="1">
        <f t="array" ref="D1175">_xlfn.IFS(E1175=$AB$42,$AD$42,E1175=$AB$43,$AD$43,E1175=$AB$44,$AD$44,E1175=$AB$45,$AD$45,E1175=$AB$46,$AD$46,E1175=$AB$47,$AD$47,E1175=$AB$48,$AD$48,E1175=$AB$49,$AD$49,E1175=$AB$50,$AD$50,E1175=$AB$51,$AD$51,E1175=$AB$52,$AD$52,E1175=$AB$53,$AD$53,E1175=$AB$54,$AD$54,E1175=$AB$55,$AD$55,E1175=$AB$56,$AD$56,E1175=$AB$57,$AD$57,E1175=$AB$58,$AD$58,E1175=$AB$59,$AD$59,E1175=$AB$60,$AD$60,E1175=$AB$61,$AD$61,E1175=$AB$62,$AD$62,E1175=$AB$63,$AD$63,E1175=$AB$64,$AD$64,E1175=$AB$65,$AD$65,E1175=$AB$66,$AD$66,TRUE,"0")</f>
        <v xml:space="preserve">BFM </v>
      </c>
      <c r="E1175" s="163" t="s">
        <v>531</v>
      </c>
      <c r="F1175" s="2" t="s">
        <v>80</v>
      </c>
      <c r="G1175" s="2" t="s">
        <v>81</v>
      </c>
      <c r="H1175" s="3">
        <v>45408.75</v>
      </c>
      <c r="I1175" s="2" t="s">
        <v>676</v>
      </c>
      <c r="J1175" s="2" t="s">
        <v>144</v>
      </c>
      <c r="K1175" s="2">
        <v>4.7</v>
      </c>
      <c r="L1175" s="2">
        <v>32</v>
      </c>
      <c r="M1175" s="2">
        <v>2.66</v>
      </c>
      <c r="N1175" s="2">
        <v>30</v>
      </c>
      <c r="O1175" s="2">
        <v>3</v>
      </c>
      <c r="P1175" s="2">
        <v>16</v>
      </c>
      <c r="Q1175" s="2" t="s">
        <v>95</v>
      </c>
      <c r="R1175" s="10" t="s">
        <v>221</v>
      </c>
      <c r="S1175" s="10" t="s">
        <v>218</v>
      </c>
      <c r="T1175" s="188">
        <v>1000</v>
      </c>
      <c r="U1175" s="8">
        <f t="shared" si="138"/>
        <v>180</v>
      </c>
      <c r="V1175" s="234">
        <f t="shared" si="137"/>
        <v>111844.1552461603</v>
      </c>
      <c r="W1175" s="15">
        <v>25</v>
      </c>
      <c r="X1175" s="8">
        <f t="shared" si="135"/>
        <v>4.5</v>
      </c>
      <c r="Y1175" s="233">
        <f t="shared" si="136"/>
        <v>4662</v>
      </c>
    </row>
    <row r="1176" spans="1:25">
      <c r="A1176" s="156" t="e" cm="1">
        <f t="array" aca="1" ref="A1176" ca="1">_xlfn.IFS(E1176=$AB$42,$AC$42,E1176=$AB$43,$AC$43,E1176=$AB$44,$AC$44,E1176=$AB$45,$AC$45,E1176=$AB$46,$AC$46,E1176=$AB$47,$AC$47,E1176=$AB$48,$AC$48,E1176=$AB$49,$AC$49,E1176=$AB$50,$AC$50,E1176=$AB$51,$AC$51,E1176=$AB$52,$AC$52,E1176=$AB$53,$AC$53,E1176=$AB$54,$AC$54,E1176=$AB$55,$AC$55,E1176=$AB$56,$AC$56,E1176=$AB$57,$AC$57,E1176=$AB$58,$AC$58,E1176=$AB$59,$AC$59,E1176=$AB$60,$AC$60,E1176=$AB$61,$AC$61,E1176=$AB$62,$AC$62,E1176=$AB$63,$AC$63,E1176=$AB$64,$AC$64,E1176=$AB$65,$AC$65,E1176=$AB$66,$AC$66,TRUE,"0")</f>
        <v>#NAME?</v>
      </c>
      <c r="C1176" s="161" t="str" cm="1">
        <f t="array" ref="C1176">_xlfn.IFS(E1176=$AB$42,$AF$42,E1176=$AB$43,$AF$43,E1176=$AB$44,$AF$44,E1176=$AB$45,$AF$45,E1176=$AB$46,$AF$46,E1176=$AB$47,$AF$47,E1176=$AB$48,$AF$48,E1176=$AB$49,$AF$49,E1176=$AB$50,$AF$50,E1176=$AB$51,$AF$51,E1176=$AB$52,$AF$52,E1176=$AB$53,$AF$53,E1176=$AB$54,$AF$54,E1176=$AB$55,$AF$55,E1176=$AB$56,$AF$56,E1176=$AB$57,$AF$57,E1176=$AB$58,$AF$58,E1176=$AB$59,$AF$59,E1176=$AB$60,$AF$60,E1176=$AB$61,$AF$61,E1176=$AB$62,$AF$62,E1176=$AB$63,$AF$63,E1176=$AB$64,$AF$64,E1176=$AB$65,$AF$65,E1176=$AB$66,$AF$66,TRUE,"0")</f>
        <v>40 mins Back ANother Goal</v>
      </c>
      <c r="D1176" s="270" t="str" cm="1">
        <f t="array" ref="D1176">_xlfn.IFS(E1176=$AB$42,$AD$42,E1176=$AB$43,$AD$43,E1176=$AB$44,$AD$44,E1176=$AB$45,$AD$45,E1176=$AB$46,$AD$46,E1176=$AB$47,$AD$47,E1176=$AB$48,$AD$48,E1176=$AB$49,$AD$49,E1176=$AB$50,$AD$50,E1176=$AB$51,$AD$51,E1176=$AB$52,$AD$52,E1176=$AB$53,$AD$53,E1176=$AB$54,$AD$54,E1176=$AB$55,$AD$55,E1176=$AB$56,$AD$56,E1176=$AB$57,$AD$57,E1176=$AB$58,$AD$58,E1176=$AB$59,$AD$59,E1176=$AB$60,$AD$60,E1176=$AB$61,$AD$61,E1176=$AB$62,$AD$62,E1176=$AB$63,$AD$63,E1176=$AB$64,$AD$64,E1176=$AB$65,$AD$65,E1176=$AB$66,$AD$66,TRUE,"0")</f>
        <v xml:space="preserve">  BANG</v>
      </c>
      <c r="E1176" s="163" t="s">
        <v>726</v>
      </c>
      <c r="F1176" s="2" t="s">
        <v>149</v>
      </c>
      <c r="G1176" s="2" t="s">
        <v>150</v>
      </c>
      <c r="H1176" s="3">
        <v>45408.791666666664</v>
      </c>
      <c r="I1176" s="2" t="s">
        <v>151</v>
      </c>
      <c r="J1176" s="2" t="s">
        <v>559</v>
      </c>
      <c r="K1176" s="2">
        <v>95</v>
      </c>
      <c r="L1176" s="2">
        <v>20</v>
      </c>
      <c r="M1176" s="2">
        <v>2</v>
      </c>
      <c r="N1176" s="2">
        <v>62</v>
      </c>
      <c r="O1176" s="2"/>
      <c r="P1176" s="2"/>
      <c r="Q1176" s="2" t="s">
        <v>95</v>
      </c>
      <c r="R1176" s="10" t="s">
        <v>222</v>
      </c>
      <c r="S1176" s="10" t="s">
        <v>279</v>
      </c>
      <c r="T1176" s="188">
        <v>1000</v>
      </c>
      <c r="U1176" s="8">
        <f t="shared" si="138"/>
        <v>180</v>
      </c>
      <c r="V1176" s="234">
        <f t="shared" si="137"/>
        <v>112024.1552461603</v>
      </c>
      <c r="W1176" s="15">
        <v>25</v>
      </c>
      <c r="X1176" s="8">
        <f t="shared" si="135"/>
        <v>4.5</v>
      </c>
      <c r="Y1176" s="233">
        <f t="shared" si="136"/>
        <v>4666.5</v>
      </c>
    </row>
    <row r="1177" spans="1:25">
      <c r="A1177" s="156" t="e" cm="1">
        <f t="array" aca="1" ref="A1177" ca="1">_xlfn.IFS(E1177=$AB$42,$AC$42,E1177=$AB$43,$AC$43,E1177=$AB$44,$AC$44,E1177=$AB$45,$AC$45,E1177=$AB$46,$AC$46,E1177=$AB$47,$AC$47,E1177=$AB$48,$AC$48,E1177=$AB$49,$AC$49,E1177=$AB$50,$AC$50,E1177=$AB$51,$AC$51,E1177=$AB$52,$AC$52,E1177=$AB$53,$AC$53,E1177=$AB$54,$AC$54,E1177=$AB$55,$AC$55,E1177=$AB$56,$AC$56,E1177=$AB$57,$AC$57,E1177=$AB$58,$AC$58,E1177=$AB$59,$AC$59,E1177=$AB$60,$AC$60,E1177=$AB$61,$AC$61,E1177=$AB$62,$AC$62,E1177=$AB$63,$AC$63,E1177=$AB$64,$AC$64,E1177=$AB$65,$AC$65,E1177=$AB$66,$AC$66,TRUE,"0")</f>
        <v>#NAME?</v>
      </c>
      <c r="C1177" s="161" t="str" cm="1">
        <f t="array" ref="C1177">_xlfn.IFS(E1177=$AB$42,$AF$42,E1177=$AB$43,$AF$43,E1177=$AB$44,$AF$44,E1177=$AB$45,$AF$45,E1177=$AB$46,$AF$46,E1177=$AB$47,$AF$47,E1177=$AB$48,$AF$48,E1177=$AB$49,$AF$49,E1177=$AB$50,$AF$50,E1177=$AB$51,$AF$51,E1177=$AB$52,$AF$52,E1177=$AB$53,$AF$53,E1177=$AB$54,$AF$54,E1177=$AB$55,$AF$55,E1177=$AB$56,$AF$56,E1177=$AB$57,$AF$57,E1177=$AB$58,$AF$58,E1177=$AB$59,$AF$59,E1177=$AB$60,$AF$60,E1177=$AB$61,$AF$61,E1177=$AB$62,$AF$62,E1177=$AB$63,$AF$63,E1177=$AB$64,$AF$64,E1177=$AB$65,$AF$65,E1177=$AB$66,$AF$66,TRUE,"0")</f>
        <v>40 mins Back ANother Goal</v>
      </c>
      <c r="D1177" s="270" t="str" cm="1">
        <f t="array" ref="D1177">_xlfn.IFS(E1177=$AB$42,$AD$42,E1177=$AB$43,$AD$43,E1177=$AB$44,$AD$44,E1177=$AB$45,$AD$45,E1177=$AB$46,$AD$46,E1177=$AB$47,$AD$47,E1177=$AB$48,$AD$48,E1177=$AB$49,$AD$49,E1177=$AB$50,$AD$50,E1177=$AB$51,$AD$51,E1177=$AB$52,$AD$52,E1177=$AB$53,$AD$53,E1177=$AB$54,$AD$54,E1177=$AB$55,$AD$55,E1177=$AB$56,$AD$56,E1177=$AB$57,$AD$57,E1177=$AB$58,$AD$58,E1177=$AB$59,$AD$59,E1177=$AB$60,$AD$60,E1177=$AB$61,$AD$61,E1177=$AB$62,$AD$62,E1177=$AB$63,$AD$63,E1177=$AB$64,$AD$64,E1177=$AB$65,$AD$65,E1177=$AB$66,$AD$66,TRUE,"0")</f>
        <v xml:space="preserve">  BANG</v>
      </c>
      <c r="E1177" s="163" t="s">
        <v>726</v>
      </c>
      <c r="F1177" s="2" t="s">
        <v>149</v>
      </c>
      <c r="G1177" s="2" t="s">
        <v>150</v>
      </c>
      <c r="H1177" s="3">
        <v>45408.791666666664</v>
      </c>
      <c r="I1177" s="2" t="s">
        <v>179</v>
      </c>
      <c r="J1177" s="2" t="s">
        <v>152</v>
      </c>
      <c r="K1177" s="2">
        <v>100</v>
      </c>
      <c r="L1177" s="2">
        <v>20</v>
      </c>
      <c r="M1177" s="2">
        <v>2.0499999999999998</v>
      </c>
      <c r="N1177" s="2">
        <v>64</v>
      </c>
      <c r="O1177" s="2"/>
      <c r="P1177" s="2"/>
      <c r="Q1177" s="2" t="s">
        <v>95</v>
      </c>
      <c r="R1177" s="10" t="s">
        <v>214</v>
      </c>
      <c r="S1177" s="10" t="s">
        <v>207</v>
      </c>
      <c r="T1177" s="188">
        <v>1000</v>
      </c>
      <c r="U1177" s="8">
        <f t="shared" si="138"/>
        <v>180</v>
      </c>
      <c r="V1177" s="234">
        <f t="shared" si="137"/>
        <v>112204.1552461603</v>
      </c>
      <c r="W1177" s="15">
        <v>25</v>
      </c>
      <c r="X1177" s="8">
        <f t="shared" si="135"/>
        <v>4.5</v>
      </c>
      <c r="Y1177" s="233">
        <f t="shared" si="136"/>
        <v>4671</v>
      </c>
    </row>
    <row r="1178" spans="1:25">
      <c r="A1178" s="156" t="e" cm="1">
        <f t="array" aca="1" ref="A1178" ca="1">_xlfn.IFS(E1178=$AB$42,$AC$42,E1178=$AB$43,$AC$43,E1178=$AB$44,$AC$44,E1178=$AB$45,$AC$45,E1178=$AB$46,$AC$46,E1178=$AB$47,$AC$47,E1178=$AB$48,$AC$48,E1178=$AB$49,$AC$49,E1178=$AB$50,$AC$50,E1178=$AB$51,$AC$51,E1178=$AB$52,$AC$52,E1178=$AB$53,$AC$53,E1178=$AB$54,$AC$54,E1178=$AB$55,$AC$55,E1178=$AB$56,$AC$56,E1178=$AB$57,$AC$57,E1178=$AB$58,$AC$58,E1178=$AB$59,$AC$59,E1178=$AB$60,$AC$60,E1178=$AB$61,$AC$61,E1178=$AB$62,$AC$62,E1178=$AB$63,$AC$63,E1178=$AB$64,$AC$64,E1178=$AB$65,$AC$65,E1178=$AB$66,$AC$66,TRUE,"0")</f>
        <v>#NAME?</v>
      </c>
      <c r="C1178" s="161" t="str" cm="1">
        <f t="array" ref="C1178">_xlfn.IFS(E1178=$AB$42,$AF$42,E1178=$AB$43,$AF$43,E1178=$AB$44,$AF$44,E1178=$AB$45,$AF$45,E1178=$AB$46,$AF$46,E1178=$AB$47,$AF$47,E1178=$AB$48,$AF$48,E1178=$AB$49,$AF$49,E1178=$AB$50,$AF$50,E1178=$AB$51,$AF$51,E1178=$AB$52,$AF$52,E1178=$AB$53,$AF$53,E1178=$AB$54,$AF$54,E1178=$AB$55,$AF$55,E1178=$AB$56,$AF$56,E1178=$AB$57,$AF$57,E1178=$AB$58,$AF$58,E1178=$AB$59,$AF$59,E1178=$AB$60,$AF$60,E1178=$AB$61,$AF$61,E1178=$AB$62,$AF$62,E1178=$AB$63,$AF$63,E1178=$AB$64,$AF$64,E1178=$AB$65,$AF$65,E1178=$AB$66,$AF$66,TRUE,"0")</f>
        <v>if 0-0, BACK+ 0.5 GOALS  @ 1.15+odds.  or @ 40 mins</v>
      </c>
      <c r="D1178" s="270" t="str" cm="1">
        <f t="array" ref="D1178">_xlfn.IFS(E1178=$AB$42,$AD$42,E1178=$AB$43,$AD$43,E1178=$AB$44,$AD$44,E1178=$AB$45,$AD$45,E1178=$AB$46,$AD$46,E1178=$AB$47,$AD$47,E1178=$AB$48,$AD$48,E1178=$AB$49,$AD$49,E1178=$AB$50,$AD$50,E1178=$AB$51,$AD$51,E1178=$AB$52,$AD$52,E1178=$AB$53,$AD$53,E1178=$AB$54,$AD$54,E1178=$AB$55,$AD$55,E1178=$AB$56,$AD$56,E1178=$AB$57,$AD$57,E1178=$AB$58,$AD$58,E1178=$AB$59,$AD$59,E1178=$AB$60,$AD$60,E1178=$AB$61,$AD$61,E1178=$AB$62,$AD$62,E1178=$AB$63,$AD$63,E1178=$AB$64,$AD$64,E1178=$AB$65,$AD$65,E1178=$AB$66,$AD$66,TRUE,"0")</f>
        <v>IP</v>
      </c>
      <c r="E1178" s="163" t="s">
        <v>270</v>
      </c>
      <c r="F1178" s="2" t="s">
        <v>149</v>
      </c>
      <c r="G1178" s="2" t="s">
        <v>150</v>
      </c>
      <c r="H1178" s="3">
        <v>45408.791666666664</v>
      </c>
      <c r="I1178" s="2" t="s">
        <v>179</v>
      </c>
      <c r="J1178" s="2" t="s">
        <v>152</v>
      </c>
      <c r="K1178" s="2">
        <v>62</v>
      </c>
      <c r="L1178" s="2">
        <v>0</v>
      </c>
      <c r="M1178" s="2">
        <v>20</v>
      </c>
      <c r="N1178" s="2">
        <v>32</v>
      </c>
      <c r="O1178" s="2">
        <v>2.48</v>
      </c>
      <c r="P1178" s="2"/>
      <c r="Q1178" s="2" t="s">
        <v>95</v>
      </c>
      <c r="R1178" s="10" t="s">
        <v>214</v>
      </c>
      <c r="S1178" s="10" t="s">
        <v>207</v>
      </c>
      <c r="T1178" s="188">
        <v>1000</v>
      </c>
      <c r="U1178" s="8">
        <f t="shared" si="138"/>
        <v>180</v>
      </c>
      <c r="V1178" s="234">
        <f t="shared" si="137"/>
        <v>112384.1552461603</v>
      </c>
      <c r="W1178" s="15">
        <v>25</v>
      </c>
      <c r="X1178" s="8">
        <f t="shared" si="135"/>
        <v>4.5</v>
      </c>
      <c r="Y1178" s="233">
        <f t="shared" si="136"/>
        <v>4675.5</v>
      </c>
    </row>
    <row r="1179" spans="1:25">
      <c r="A1179" s="156" t="e" cm="1">
        <f t="array" aca="1" ref="A1179" ca="1">_xlfn.IFS(E1179=$AB$42,$AC$42,E1179=$AB$43,$AC$43,E1179=$AB$44,$AC$44,E1179=$AB$45,$AC$45,E1179=$AB$46,$AC$46,E1179=$AB$47,$AC$47,E1179=$AB$48,$AC$48,E1179=$AB$49,$AC$49,E1179=$AB$50,$AC$50,E1179=$AB$51,$AC$51,E1179=$AB$52,$AC$52,E1179=$AB$53,$AC$53,E1179=$AB$54,$AC$54,E1179=$AB$55,$AC$55,E1179=$AB$56,$AC$56,E1179=$AB$57,$AC$57,E1179=$AB$58,$AC$58,E1179=$AB$59,$AC$59,E1179=$AB$60,$AC$60,E1179=$AB$61,$AC$61,E1179=$AB$62,$AC$62,E1179=$AB$63,$AC$63,E1179=$AB$64,$AC$64,E1179=$AB$65,$AC$65,E1179=$AB$66,$AC$66,TRUE,"0")</f>
        <v>#NAME?</v>
      </c>
      <c r="C1179" s="161" t="str" cm="1">
        <f t="array" ref="C1179">_xlfn.IFS(E1179=$AB$42,$AF$42,E1179=$AB$43,$AF$43,E1179=$AB$44,$AF$44,E1179=$AB$45,$AF$45,E1179=$AB$46,$AF$46,E1179=$AB$47,$AF$47,E1179=$AB$48,$AF$48,E1179=$AB$49,$AF$49,E1179=$AB$50,$AF$50,E1179=$AB$51,$AF$51,E1179=$AB$52,$AF$52,E1179=$AB$53,$AF$53,E1179=$AB$54,$AF$54,E1179=$AB$55,$AF$55,E1179=$AB$56,$AF$56,E1179=$AB$57,$AF$57,E1179=$AB$58,$AF$58,E1179=$AB$59,$AF$59,E1179=$AB$60,$AF$60,E1179=$AB$61,$AF$61,E1179=$AB$62,$AF$62,E1179=$AB$63,$AF$63,E1179=$AB$64,$AF$64,E1179=$AB$65,$AF$65,E1179=$AB$66,$AF$66,TRUE,"0")</f>
        <v>40 mins Back ANother Goal</v>
      </c>
      <c r="D1179" s="270" t="str" cm="1">
        <f t="array" ref="D1179">_xlfn.IFS(E1179=$AB$42,$AD$42,E1179=$AB$43,$AD$43,E1179=$AB$44,$AD$44,E1179=$AB$45,$AD$45,E1179=$AB$46,$AD$46,E1179=$AB$47,$AD$47,E1179=$AB$48,$AD$48,E1179=$AB$49,$AD$49,E1179=$AB$50,$AD$50,E1179=$AB$51,$AD$51,E1179=$AB$52,$AD$52,E1179=$AB$53,$AD$53,E1179=$AB$54,$AD$54,E1179=$AB$55,$AD$55,E1179=$AB$56,$AD$56,E1179=$AB$57,$AD$57,E1179=$AB$58,$AD$58,E1179=$AB$59,$AD$59,E1179=$AB$60,$AD$60,E1179=$AB$61,$AD$61,E1179=$AB$62,$AD$62,E1179=$AB$63,$AD$63,E1179=$AB$64,$AD$64,E1179=$AB$65,$AD$65,E1179=$AB$66,$AD$66,TRUE,"0")</f>
        <v xml:space="preserve">  BANG</v>
      </c>
      <c r="E1179" s="163" t="s">
        <v>43</v>
      </c>
      <c r="F1179" s="2" t="s">
        <v>149</v>
      </c>
      <c r="G1179" s="2" t="s">
        <v>150</v>
      </c>
      <c r="H1179" s="3">
        <v>45408.791666666664</v>
      </c>
      <c r="I1179" s="2" t="s">
        <v>331</v>
      </c>
      <c r="J1179" s="2" t="s">
        <v>332</v>
      </c>
      <c r="K1179" s="2">
        <v>67</v>
      </c>
      <c r="L1179" s="2">
        <v>75</v>
      </c>
      <c r="M1179" s="2">
        <v>62</v>
      </c>
      <c r="N1179" s="2">
        <v>1.65</v>
      </c>
      <c r="O1179" s="2">
        <v>1.31</v>
      </c>
      <c r="P1179" s="2"/>
      <c r="Q1179" s="2" t="s">
        <v>95</v>
      </c>
      <c r="R1179" s="10" t="s">
        <v>193</v>
      </c>
      <c r="S1179" s="10" t="s">
        <v>213</v>
      </c>
      <c r="T1179" s="188">
        <v>1000</v>
      </c>
      <c r="U1179" s="8">
        <f t="shared" si="138"/>
        <v>180</v>
      </c>
      <c r="V1179" s="234">
        <f t="shared" si="137"/>
        <v>112564.1552461603</v>
      </c>
      <c r="W1179" s="15">
        <v>25</v>
      </c>
      <c r="X1179" s="8">
        <f t="shared" si="135"/>
        <v>4.5</v>
      </c>
      <c r="Y1179" s="233">
        <f t="shared" si="136"/>
        <v>4680</v>
      </c>
    </row>
    <row r="1180" spans="1:25">
      <c r="A1180" s="156" t="e" cm="1">
        <f t="array" aca="1" ref="A1180" ca="1">_xlfn.IFS(E1180=$AB$42,$AC$42,E1180=$AB$43,$AC$43,E1180=$AB$44,$AC$44,E1180=$AB$45,$AC$45,E1180=$AB$46,$AC$46,E1180=$AB$47,$AC$47,E1180=$AB$48,$AC$48,E1180=$AB$49,$AC$49,E1180=$AB$50,$AC$50,E1180=$AB$51,$AC$51,E1180=$AB$52,$AC$52,E1180=$AB$53,$AC$53,E1180=$AB$54,$AC$54,E1180=$AB$55,$AC$55,E1180=$AB$56,$AC$56,E1180=$AB$57,$AC$57,E1180=$AB$58,$AC$58,E1180=$AB$59,$AC$59,E1180=$AB$60,$AC$60,E1180=$AB$61,$AC$61,E1180=$AB$62,$AC$62,E1180=$AB$63,$AC$63,E1180=$AB$64,$AC$64,E1180=$AB$65,$AC$65,E1180=$AB$66,$AC$66,TRUE,"0")</f>
        <v>#NAME?</v>
      </c>
      <c r="C1180" s="161" t="str" cm="1">
        <f t="array" ref="C1180">_xlfn.IFS(E1180=$AB$42,$AF$42,E1180=$AB$43,$AF$43,E1180=$AB$44,$AF$44,E1180=$AB$45,$AF$45,E1180=$AB$46,$AF$46,E1180=$AB$47,$AF$47,E1180=$AB$48,$AF$48,E1180=$AB$49,$AF$49,E1180=$AB$50,$AF$50,E1180=$AB$51,$AF$51,E1180=$AB$52,$AF$52,E1180=$AB$53,$AF$53,E1180=$AB$54,$AF$54,E1180=$AB$55,$AF$55,E1180=$AB$56,$AF$56,E1180=$AB$57,$AF$57,E1180=$AB$58,$AF$58,E1180=$AB$59,$AF$59,E1180=$AB$60,$AF$60,E1180=$AB$61,$AF$61,E1180=$AB$62,$AF$62,E1180=$AB$63,$AF$63,E1180=$AB$64,$AF$64,E1180=$AB$65,$AF$65,E1180=$AB$66,$AF$66,TRUE,"0")</f>
        <v>40 mins Back ANother Goal</v>
      </c>
      <c r="D1180" s="270" t="str" cm="1">
        <f t="array" ref="D1180">_xlfn.IFS(E1180=$AB$42,$AD$42,E1180=$AB$43,$AD$43,E1180=$AB$44,$AD$44,E1180=$AB$45,$AD$45,E1180=$AB$46,$AD$46,E1180=$AB$47,$AD$47,E1180=$AB$48,$AD$48,E1180=$AB$49,$AD$49,E1180=$AB$50,$AD$50,E1180=$AB$51,$AD$51,E1180=$AB$52,$AD$52,E1180=$AB$53,$AD$53,E1180=$AB$54,$AD$54,E1180=$AB$55,$AD$55,E1180=$AB$56,$AD$56,E1180=$AB$57,$AD$57,E1180=$AB$58,$AD$58,E1180=$AB$59,$AD$59,E1180=$AB$60,$AD$60,E1180=$AB$61,$AD$61,E1180=$AB$62,$AD$62,E1180=$AB$63,$AD$63,E1180=$AB$64,$AD$64,E1180=$AB$65,$AD$65,E1180=$AB$66,$AD$66,TRUE,"0")</f>
        <v xml:space="preserve">  BANG</v>
      </c>
      <c r="E1180" s="163" t="s">
        <v>522</v>
      </c>
      <c r="F1180" s="2" t="s">
        <v>119</v>
      </c>
      <c r="G1180" s="2" t="s">
        <v>166</v>
      </c>
      <c r="H1180" s="3">
        <v>45408.8125</v>
      </c>
      <c r="I1180" s="2" t="s">
        <v>603</v>
      </c>
      <c r="J1180" s="2" t="s">
        <v>560</v>
      </c>
      <c r="K1180" s="2">
        <v>73</v>
      </c>
      <c r="L1180" s="2">
        <v>20</v>
      </c>
      <c r="M1180" s="2">
        <v>90</v>
      </c>
      <c r="N1180" s="2">
        <v>55</v>
      </c>
      <c r="O1180" s="2">
        <v>1.85</v>
      </c>
      <c r="P1180" s="2"/>
      <c r="Q1180" s="2" t="s">
        <v>95</v>
      </c>
      <c r="R1180" s="10" t="s">
        <v>214</v>
      </c>
      <c r="S1180" s="10" t="s">
        <v>216</v>
      </c>
      <c r="T1180" s="188">
        <v>1000</v>
      </c>
      <c r="U1180" s="8">
        <f t="shared" si="138"/>
        <v>180</v>
      </c>
      <c r="V1180" s="234">
        <f t="shared" si="137"/>
        <v>112744.1552461603</v>
      </c>
      <c r="W1180" s="15">
        <v>25</v>
      </c>
      <c r="X1180" s="8">
        <f t="shared" si="135"/>
        <v>4.5</v>
      </c>
      <c r="Y1180" s="233">
        <f t="shared" si="136"/>
        <v>4684.5</v>
      </c>
    </row>
    <row r="1181" spans="1:25">
      <c r="A1181" s="156" t="e" cm="1">
        <f t="array" aca="1" ref="A1181" ca="1">_xlfn.IFS(E1181=$AB$42,$AC$42,E1181=$AB$43,$AC$43,E1181=$AB$44,$AC$44,E1181=$AB$45,$AC$45,E1181=$AB$46,$AC$46,E1181=$AB$47,$AC$47,E1181=$AB$48,$AC$48,E1181=$AB$49,$AC$49,E1181=$AB$50,$AC$50,E1181=$AB$51,$AC$51,E1181=$AB$52,$AC$52,E1181=$AB$53,$AC$53,E1181=$AB$54,$AC$54,E1181=$AB$55,$AC$55,E1181=$AB$56,$AC$56,E1181=$AB$57,$AC$57,E1181=$AB$58,$AC$58,E1181=$AB$59,$AC$59,E1181=$AB$60,$AC$60,E1181=$AB$61,$AC$61,E1181=$AB$62,$AC$62,E1181=$AB$63,$AC$63,E1181=$AB$64,$AC$64,E1181=$AB$65,$AC$65,E1181=$AB$66,$AC$66,TRUE,"0")</f>
        <v>#NAME?</v>
      </c>
      <c r="C1181" s="161" t="str" cm="1">
        <f t="array" ref="C1181">_xlfn.IFS(E1181=$AB$42,$AF$42,E1181=$AB$43,$AF$43,E1181=$AB$44,$AF$44,E1181=$AB$45,$AF$45,E1181=$AB$46,$AF$46,E1181=$AB$47,$AF$47,E1181=$AB$48,$AF$48,E1181=$AB$49,$AF$49,E1181=$AB$50,$AF$50,E1181=$AB$51,$AF$51,E1181=$AB$52,$AF$52,E1181=$AB$53,$AF$53,E1181=$AB$54,$AF$54,E1181=$AB$55,$AF$55,E1181=$AB$56,$AF$56,E1181=$AB$57,$AF$57,E1181=$AB$58,$AF$58,E1181=$AB$59,$AF$59,E1181=$AB$60,$AF$60,E1181=$AB$61,$AF$61,E1181=$AB$62,$AF$62,E1181=$AB$63,$AF$63,E1181=$AB$64,$AF$64,E1181=$AB$65,$AF$65,E1181=$AB$66,$AF$66,TRUE,"0")</f>
        <v>40 mins Back ANother Goal</v>
      </c>
      <c r="D1181" s="270" t="str" cm="1">
        <f t="array" ref="D1181">_xlfn.IFS(E1181=$AB$42,$AD$42,E1181=$AB$43,$AD$43,E1181=$AB$44,$AD$44,E1181=$AB$45,$AD$45,E1181=$AB$46,$AD$46,E1181=$AB$47,$AD$47,E1181=$AB$48,$AD$48,E1181=$AB$49,$AD$49,E1181=$AB$50,$AD$50,E1181=$AB$51,$AD$51,E1181=$AB$52,$AD$52,E1181=$AB$53,$AD$53,E1181=$AB$54,$AD$54,E1181=$AB$55,$AD$55,E1181=$AB$56,$AD$56,E1181=$AB$57,$AD$57,E1181=$AB$58,$AD$58,E1181=$AB$59,$AD$59,E1181=$AB$60,$AD$60,E1181=$AB$61,$AD$61,E1181=$AB$62,$AD$62,E1181=$AB$63,$AD$63,E1181=$AB$64,$AD$64,E1181=$AB$65,$AD$65,E1181=$AB$66,$AD$66,TRUE,"0")</f>
        <v xml:space="preserve">  BANG</v>
      </c>
      <c r="E1181" s="163" t="s">
        <v>515</v>
      </c>
      <c r="F1181" s="2" t="s">
        <v>119</v>
      </c>
      <c r="G1181" s="2" t="s">
        <v>166</v>
      </c>
      <c r="H1181" s="3">
        <v>45408.8125</v>
      </c>
      <c r="I1181" s="2" t="s">
        <v>603</v>
      </c>
      <c r="J1181" s="2" t="s">
        <v>560</v>
      </c>
      <c r="K1181" s="2">
        <v>20</v>
      </c>
      <c r="L1181" s="2">
        <v>73</v>
      </c>
      <c r="M1181" s="2">
        <v>1.85</v>
      </c>
      <c r="N1181" s="2"/>
      <c r="O1181" s="2"/>
      <c r="P1181" s="2"/>
      <c r="Q1181" s="2" t="s">
        <v>95</v>
      </c>
      <c r="R1181" s="10" t="s">
        <v>214</v>
      </c>
      <c r="S1181" s="10" t="s">
        <v>216</v>
      </c>
      <c r="T1181" s="188">
        <v>1000</v>
      </c>
      <c r="U1181" s="8">
        <f t="shared" si="138"/>
        <v>180</v>
      </c>
      <c r="V1181" s="234">
        <f t="shared" si="137"/>
        <v>112924.1552461603</v>
      </c>
      <c r="W1181" s="15">
        <v>25</v>
      </c>
      <c r="X1181" s="8">
        <f t="shared" si="135"/>
        <v>4.5</v>
      </c>
      <c r="Y1181" s="233">
        <f t="shared" si="136"/>
        <v>4689</v>
      </c>
    </row>
    <row r="1182" spans="1:25">
      <c r="A1182" s="156" t="e" cm="1">
        <f t="array" aca="1" ref="A1182" ca="1">_xlfn.IFS(E1182=$AB$42,$AC$42,E1182=$AB$43,$AC$43,E1182=$AB$44,$AC$44,E1182=$AB$45,$AC$45,E1182=$AB$46,$AC$46,E1182=$AB$47,$AC$47,E1182=$AB$48,$AC$48,E1182=$AB$49,$AC$49,E1182=$AB$50,$AC$50,E1182=$AB$51,$AC$51,E1182=$AB$52,$AC$52,E1182=$AB$53,$AC$53,E1182=$AB$54,$AC$54,E1182=$AB$55,$AC$55,E1182=$AB$56,$AC$56,E1182=$AB$57,$AC$57,E1182=$AB$58,$AC$58,E1182=$AB$59,$AC$59,E1182=$AB$60,$AC$60,E1182=$AB$61,$AC$61,E1182=$AB$62,$AC$62,E1182=$AB$63,$AC$63,E1182=$AB$64,$AC$64,E1182=$AB$65,$AC$65,E1182=$AB$66,$AC$66,TRUE,"0")</f>
        <v>#NAME?</v>
      </c>
      <c r="C1182" s="161" t="str" cm="1">
        <f t="array" ref="C1182">_xlfn.IFS(E1182=$AB$42,$AF$42,E1182=$AB$43,$AF$43,E1182=$AB$44,$AF$44,E1182=$AB$45,$AF$45,E1182=$AB$46,$AF$46,E1182=$AB$47,$AF$47,E1182=$AB$48,$AF$48,E1182=$AB$49,$AF$49,E1182=$AB$50,$AF$50,E1182=$AB$51,$AF$51,E1182=$AB$52,$AF$52,E1182=$AB$53,$AF$53,E1182=$AB$54,$AF$54,E1182=$AB$55,$AF$55,E1182=$AB$56,$AF$56,E1182=$AB$57,$AF$57,E1182=$AB$58,$AF$58,E1182=$AB$59,$AF$59,E1182=$AB$60,$AF$60,E1182=$AB$61,$AF$61,E1182=$AB$62,$AF$62,E1182=$AB$63,$AF$63,E1182=$AB$64,$AF$64,E1182=$AB$65,$AF$65,E1182=$AB$66,$AF$66,TRUE,"0")</f>
        <v>if 0-0, BACK+ 0.5 GOALS  @ 1.15+odds.  or @ 40 mins</v>
      </c>
      <c r="D1182" s="270" t="str" cm="1">
        <f t="array" ref="D1182">_xlfn.IFS(E1182=$AB$42,$AD$42,E1182=$AB$43,$AD$43,E1182=$AB$44,$AD$44,E1182=$AB$45,$AD$45,E1182=$AB$46,$AD$46,E1182=$AB$47,$AD$47,E1182=$AB$48,$AD$48,E1182=$AB$49,$AD$49,E1182=$AB$50,$AD$50,E1182=$AB$51,$AD$51,E1182=$AB$52,$AD$52,E1182=$AB$53,$AD$53,E1182=$AB$54,$AD$54,E1182=$AB$55,$AD$55,E1182=$AB$56,$AD$56,E1182=$AB$57,$AD$57,E1182=$AB$58,$AD$58,E1182=$AB$59,$AD$59,E1182=$AB$60,$AD$60,E1182=$AB$61,$AD$61,E1182=$AB$62,$AD$62,E1182=$AB$63,$AD$63,E1182=$AB$64,$AD$64,E1182=$AB$65,$AD$65,E1182=$AB$66,$AD$66,TRUE,"0")</f>
        <v>IP</v>
      </c>
      <c r="E1182" s="163" t="s">
        <v>270</v>
      </c>
      <c r="F1182" s="2" t="s">
        <v>77</v>
      </c>
      <c r="G1182" s="2" t="s">
        <v>156</v>
      </c>
      <c r="H1182" s="3">
        <v>45408.8125</v>
      </c>
      <c r="I1182" s="2" t="s">
        <v>239</v>
      </c>
      <c r="J1182" s="2" t="s">
        <v>158</v>
      </c>
      <c r="K1182" s="2">
        <v>64</v>
      </c>
      <c r="L1182" s="2">
        <v>0</v>
      </c>
      <c r="M1182" s="2">
        <v>20</v>
      </c>
      <c r="N1182" s="2">
        <v>31</v>
      </c>
      <c r="O1182" s="2">
        <v>3.53</v>
      </c>
      <c r="P1182" s="2"/>
      <c r="Q1182" s="2" t="s">
        <v>95</v>
      </c>
      <c r="R1182" s="10" t="s">
        <v>220</v>
      </c>
      <c r="S1182" s="10" t="s">
        <v>209</v>
      </c>
      <c r="T1182" s="188">
        <v>1000</v>
      </c>
      <c r="U1182" s="8">
        <f t="shared" si="138"/>
        <v>180</v>
      </c>
      <c r="V1182" s="234">
        <f t="shared" si="137"/>
        <v>113104.1552461603</v>
      </c>
      <c r="W1182" s="15">
        <v>25</v>
      </c>
      <c r="X1182" s="8">
        <f t="shared" si="135"/>
        <v>4.5</v>
      </c>
      <c r="Y1182" s="233">
        <f t="shared" si="136"/>
        <v>4693.5</v>
      </c>
    </row>
    <row r="1183" spans="1:25">
      <c r="A1183" s="156" t="e" cm="1">
        <f t="array" aca="1" ref="A1183" ca="1">_xlfn.IFS(E1183=$AB$42,$AC$42,E1183=$AB$43,$AC$43,E1183=$AB$44,$AC$44,E1183=$AB$45,$AC$45,E1183=$AB$46,$AC$46,E1183=$AB$47,$AC$47,E1183=$AB$48,$AC$48,E1183=$AB$49,$AC$49,E1183=$AB$50,$AC$50,E1183=$AB$51,$AC$51,E1183=$AB$52,$AC$52,E1183=$AB$53,$AC$53,E1183=$AB$54,$AC$54,E1183=$AB$55,$AC$55,E1183=$AB$56,$AC$56,E1183=$AB$57,$AC$57,E1183=$AB$58,$AC$58,E1183=$AB$59,$AC$59,E1183=$AB$60,$AC$60,E1183=$AB$61,$AC$61,E1183=$AB$62,$AC$62,E1183=$AB$63,$AC$63,E1183=$AB$64,$AC$64,E1183=$AB$65,$AC$65,E1183=$AB$66,$AC$66,TRUE,"0")</f>
        <v>#NAME?</v>
      </c>
      <c r="C1183" s="161" t="str" cm="1">
        <f t="array" ref="C1183">_xlfn.IFS(E1183=$AB$42,$AF$42,E1183=$AB$43,$AF$43,E1183=$AB$44,$AF$44,E1183=$AB$45,$AF$45,E1183=$AB$46,$AF$46,E1183=$AB$47,$AF$47,E1183=$AB$48,$AF$48,E1183=$AB$49,$AF$49,E1183=$AB$50,$AF$50,E1183=$AB$51,$AF$51,E1183=$AB$52,$AF$52,E1183=$AB$53,$AF$53,E1183=$AB$54,$AF$54,E1183=$AB$55,$AF$55,E1183=$AB$56,$AF$56,E1183=$AB$57,$AF$57,E1183=$AB$58,$AF$58,E1183=$AB$59,$AF$59,E1183=$AB$60,$AF$60,E1183=$AB$61,$AF$61,E1183=$AB$62,$AF$62,E1183=$AB$63,$AF$63,E1183=$AB$64,$AF$64,E1183=$AB$65,$AF$65,E1183=$AB$66,$AF$66,TRUE,"0")</f>
        <v>20mins if  0-0, BACK over 1.5 goals X after goal OR LET RUN</v>
      </c>
      <c r="D1183" s="270" t="str" cm="1">
        <f t="array" ref="D1183">_xlfn.IFS(E1183=$AB$42,$AD$42,E1183=$AB$43,$AD$43,E1183=$AB$44,$AD$44,E1183=$AB$45,$AD$45,E1183=$AB$46,$AD$46,E1183=$AB$47,$AD$47,E1183=$AB$48,$AD$48,E1183=$AB$49,$AD$49,E1183=$AB$50,$AD$50,E1183=$AB$51,$AD$51,E1183=$AB$52,$AD$52,E1183=$AB$53,$AD$53,E1183=$AB$54,$AD$54,E1183=$AB$55,$AD$55,E1183=$AB$56,$AD$56,E1183=$AB$57,$AD$57,E1183=$AB$58,$AD$58,E1183=$AB$59,$AD$59,E1183=$AB$60,$AD$60,E1183=$AB$61,$AD$61,E1183=$AB$62,$AD$62,E1183=$AB$63,$AD$63,E1183=$AB$64,$AD$64,E1183=$AB$65,$AD$65,E1183=$AB$66,$AD$66,TRUE,"0")</f>
        <v>IP</v>
      </c>
      <c r="E1183" s="163" t="s">
        <v>474</v>
      </c>
      <c r="F1183" s="2" t="s">
        <v>77</v>
      </c>
      <c r="G1183" s="2" t="s">
        <v>156</v>
      </c>
      <c r="H1183" s="3">
        <v>45408.8125</v>
      </c>
      <c r="I1183" s="2" t="s">
        <v>239</v>
      </c>
      <c r="J1183" s="2" t="s">
        <v>158</v>
      </c>
      <c r="K1183" s="2">
        <v>53</v>
      </c>
      <c r="L1183" s="2">
        <v>3.45</v>
      </c>
      <c r="M1183" s="2">
        <v>20</v>
      </c>
      <c r="N1183" s="2">
        <v>75</v>
      </c>
      <c r="O1183" s="2">
        <v>95</v>
      </c>
      <c r="P1183" s="2"/>
      <c r="Q1183" s="2" t="s">
        <v>95</v>
      </c>
      <c r="R1183" s="10" t="s">
        <v>220</v>
      </c>
      <c r="S1183" s="10" t="s">
        <v>209</v>
      </c>
      <c r="T1183" s="188">
        <v>1000</v>
      </c>
      <c r="U1183" s="8">
        <f t="shared" si="138"/>
        <v>180</v>
      </c>
      <c r="V1183" s="234">
        <f t="shared" ref="V1183:V1241" si="139">SUM(V1182,U1183)</f>
        <v>113284.1552461603</v>
      </c>
      <c r="W1183" s="15">
        <v>25</v>
      </c>
      <c r="X1183" s="8">
        <f t="shared" si="135"/>
        <v>4.5</v>
      </c>
      <c r="Y1183" s="233">
        <f t="shared" si="136"/>
        <v>4698</v>
      </c>
    </row>
    <row r="1184" spans="1:25">
      <c r="A1184" s="156" t="e" cm="1">
        <f t="array" aca="1" ref="A1184" ca="1">_xlfn.IFS(E1184=$AB$42,$AC$42,E1184=$AB$43,$AC$43,E1184=$AB$44,$AC$44,E1184=$AB$45,$AC$45,E1184=$AB$46,$AC$46,E1184=$AB$47,$AC$47,E1184=$AB$48,$AC$48,E1184=$AB$49,$AC$49,E1184=$AB$50,$AC$50,E1184=$AB$51,$AC$51,E1184=$AB$52,$AC$52,E1184=$AB$53,$AC$53,E1184=$AB$54,$AC$54,E1184=$AB$55,$AC$55,E1184=$AB$56,$AC$56,E1184=$AB$57,$AC$57,E1184=$AB$58,$AC$58,E1184=$AB$59,$AC$59,E1184=$AB$60,$AC$60,E1184=$AB$61,$AC$61,E1184=$AB$62,$AC$62,E1184=$AB$63,$AC$63,E1184=$AB$64,$AC$64,E1184=$AB$65,$AC$65,E1184=$AB$66,$AC$66,TRUE,"0")</f>
        <v>#NAME?</v>
      </c>
      <c r="C1184" s="161" t="str" cm="1">
        <f t="array" ref="C1184">_xlfn.IFS(E1184=$AB$42,$AF$42,E1184=$AB$43,$AF$43,E1184=$AB$44,$AF$44,E1184=$AB$45,$AF$45,E1184=$AB$46,$AF$46,E1184=$AB$47,$AF$47,E1184=$AB$48,$AF$48,E1184=$AB$49,$AF$49,E1184=$AB$50,$AF$50,E1184=$AB$51,$AF$51,E1184=$AB$52,$AF$52,E1184=$AB$53,$AF$53,E1184=$AB$54,$AF$54,E1184=$AB$55,$AF$55,E1184=$AB$56,$AF$56,E1184=$AB$57,$AF$57,E1184=$AB$58,$AF$58,E1184=$AB$59,$AF$59,E1184=$AB$60,$AF$60,E1184=$AB$61,$AF$61,E1184=$AB$62,$AF$62,E1184=$AB$63,$AF$63,E1184=$AB$64,$AF$64,E1184=$AB$65,$AF$65,E1184=$AB$66,$AF$66,TRUE,"0")</f>
        <v>B4 match BACK FT +1.5 goals. X AFTER  GOAL</v>
      </c>
      <c r="D1184" s="270" t="str" cm="1">
        <f t="array" ref="D1184">_xlfn.IFS(E1184=$AB$42,$AD$42,E1184=$AB$43,$AD$43,E1184=$AB$44,$AD$44,E1184=$AB$45,$AD$45,E1184=$AB$46,$AD$46,E1184=$AB$47,$AD$47,E1184=$AB$48,$AD$48,E1184=$AB$49,$AD$49,E1184=$AB$50,$AD$50,E1184=$AB$51,$AD$51,E1184=$AB$52,$AD$52,E1184=$AB$53,$AD$53,E1184=$AB$54,$AD$54,E1184=$AB$55,$AD$55,E1184=$AB$56,$AD$56,E1184=$AB$57,$AD$57,E1184=$AB$58,$AD$58,E1184=$AB$59,$AD$59,E1184=$AB$60,$AD$60,E1184=$AB$61,$AD$61,E1184=$AB$62,$AD$62,E1184=$AB$63,$AD$63,E1184=$AB$64,$AD$64,E1184=$AB$65,$AD$65,E1184=$AB$66,$AD$66,TRUE,"0")</f>
        <v xml:space="preserve">BFM </v>
      </c>
      <c r="E1184" s="163" t="s">
        <v>623</v>
      </c>
      <c r="F1184" s="2" t="s">
        <v>20</v>
      </c>
      <c r="G1184" s="2" t="s">
        <v>21</v>
      </c>
      <c r="H1184" s="3">
        <v>45408.822916666664</v>
      </c>
      <c r="I1184" s="2" t="s">
        <v>402</v>
      </c>
      <c r="J1184" s="2" t="s">
        <v>110</v>
      </c>
      <c r="K1184" s="2">
        <v>5.5</v>
      </c>
      <c r="L1184" s="2">
        <v>20</v>
      </c>
      <c r="M1184" s="2">
        <v>3.1</v>
      </c>
      <c r="N1184" s="2">
        <v>21</v>
      </c>
      <c r="O1184" s="2">
        <v>0</v>
      </c>
      <c r="P1184" s="2">
        <v>10</v>
      </c>
      <c r="Q1184" s="2" t="s">
        <v>95</v>
      </c>
      <c r="R1184" s="10" t="s">
        <v>220</v>
      </c>
      <c r="S1184" s="10" t="s">
        <v>207</v>
      </c>
      <c r="T1184" s="188">
        <v>1000</v>
      </c>
      <c r="U1184" s="8">
        <f t="shared" si="138"/>
        <v>180</v>
      </c>
      <c r="V1184" s="234">
        <f t="shared" si="139"/>
        <v>113464.1552461603</v>
      </c>
      <c r="W1184" s="15">
        <v>25</v>
      </c>
      <c r="X1184" s="8">
        <f t="shared" si="135"/>
        <v>4.5</v>
      </c>
      <c r="Y1184" s="233">
        <f t="shared" si="136"/>
        <v>4702.5</v>
      </c>
    </row>
    <row r="1185" spans="1:25">
      <c r="A1185" s="156" t="e" cm="1">
        <f t="array" aca="1" ref="A1185" ca="1">_xlfn.IFS(E1185=$AB$42,$AC$42,E1185=$AB$43,$AC$43,E1185=$AB$44,$AC$44,E1185=$AB$45,$AC$45,E1185=$AB$46,$AC$46,E1185=$AB$47,$AC$47,E1185=$AB$48,$AC$48,E1185=$AB$49,$AC$49,E1185=$AB$50,$AC$50,E1185=$AB$51,$AC$51,E1185=$AB$52,$AC$52,E1185=$AB$53,$AC$53,E1185=$AB$54,$AC$54,E1185=$AB$55,$AC$55,E1185=$AB$56,$AC$56,E1185=$AB$57,$AC$57,E1185=$AB$58,$AC$58,E1185=$AB$59,$AC$59,E1185=$AB$60,$AC$60,E1185=$AB$61,$AC$61,E1185=$AB$62,$AC$62,E1185=$AB$63,$AC$63,E1185=$AB$64,$AC$64,E1185=$AB$65,$AC$65,E1185=$AB$66,$AC$66,TRUE,"0")</f>
        <v>#NAME?</v>
      </c>
      <c r="C1185" s="161" t="str" cm="1">
        <f t="array" ref="C1185">_xlfn.IFS(E1185=$AB$42,$AF$42,E1185=$AB$43,$AF$43,E1185=$AB$44,$AF$44,E1185=$AB$45,$AF$45,E1185=$AB$46,$AF$46,E1185=$AB$47,$AF$47,E1185=$AB$48,$AF$48,E1185=$AB$49,$AF$49,E1185=$AB$50,$AF$50,E1185=$AB$51,$AF$51,E1185=$AB$52,$AF$52,E1185=$AB$53,$AF$53,E1185=$AB$54,$AF$54,E1185=$AB$55,$AF$55,E1185=$AB$56,$AF$56,E1185=$AB$57,$AF$57,E1185=$AB$58,$AF$58,E1185=$AB$59,$AF$59,E1185=$AB$60,$AF$60,E1185=$AB$61,$AF$61,E1185=$AB$62,$AF$62,E1185=$AB$63,$AF$63,E1185=$AB$64,$AF$64,E1185=$AB$65,$AF$65,E1185=$AB$66,$AF$66,TRUE,"0")</f>
        <v>B4 match BACK FT +1.5 goals. X AFTER  GOAL</v>
      </c>
      <c r="D1185" s="270" t="str" cm="1">
        <f t="array" ref="D1185">_xlfn.IFS(E1185=$AB$42,$AD$42,E1185=$AB$43,$AD$43,E1185=$AB$44,$AD$44,E1185=$AB$45,$AD$45,E1185=$AB$46,$AD$46,E1185=$AB$47,$AD$47,E1185=$AB$48,$AD$48,E1185=$AB$49,$AD$49,E1185=$AB$50,$AD$50,E1185=$AB$51,$AD$51,E1185=$AB$52,$AD$52,E1185=$AB$53,$AD$53,E1185=$AB$54,$AD$54,E1185=$AB$55,$AD$55,E1185=$AB$56,$AD$56,E1185=$AB$57,$AD$57,E1185=$AB$58,$AD$58,E1185=$AB$59,$AD$59,E1185=$AB$60,$AD$60,E1185=$AB$61,$AD$61,E1185=$AB$62,$AD$62,E1185=$AB$63,$AD$63,E1185=$AB$64,$AD$64,E1185=$AB$65,$AD$65,E1185=$AB$66,$AD$66,TRUE,"0")</f>
        <v xml:space="preserve">BFM </v>
      </c>
      <c r="E1185" s="163" t="s">
        <v>623</v>
      </c>
      <c r="F1185" s="2" t="s">
        <v>77</v>
      </c>
      <c r="G1185" s="2" t="s">
        <v>234</v>
      </c>
      <c r="H1185" s="3">
        <v>45409.5</v>
      </c>
      <c r="I1185" s="2" t="s">
        <v>235</v>
      </c>
      <c r="J1185" s="2" t="s">
        <v>631</v>
      </c>
      <c r="K1185" s="2">
        <v>6.4</v>
      </c>
      <c r="L1185" s="2">
        <v>20</v>
      </c>
      <c r="M1185" s="2">
        <v>3.15</v>
      </c>
      <c r="N1185" s="2">
        <v>27</v>
      </c>
      <c r="O1185" s="2">
        <v>3</v>
      </c>
      <c r="P1185" s="2">
        <v>10</v>
      </c>
      <c r="Q1185" s="2" t="s">
        <v>95</v>
      </c>
      <c r="R1185" s="10" t="s">
        <v>223</v>
      </c>
      <c r="S1185" s="10" t="s">
        <v>211</v>
      </c>
      <c r="T1185" s="188">
        <v>1000</v>
      </c>
      <c r="U1185" s="8">
        <f t="shared" si="138"/>
        <v>180</v>
      </c>
      <c r="V1185" s="234">
        <f t="shared" si="139"/>
        <v>113644.1552461603</v>
      </c>
      <c r="W1185" s="15">
        <v>25</v>
      </c>
      <c r="X1185" s="8">
        <f t="shared" ref="X1185:X1248" si="140">IF(Q1185="won",W1185*0.18,-W1185)</f>
        <v>4.5</v>
      </c>
      <c r="Y1185" s="233">
        <f t="shared" si="136"/>
        <v>4707</v>
      </c>
    </row>
    <row r="1186" spans="1:25">
      <c r="A1186" s="156" t="e" cm="1">
        <f t="array" aca="1" ref="A1186" ca="1">_xlfn.IFS(E1186=$AB$42,$AC$42,E1186=$AB$43,$AC$43,E1186=$AB$44,$AC$44,E1186=$AB$45,$AC$45,E1186=$AB$46,$AC$46,E1186=$AB$47,$AC$47,E1186=$AB$48,$AC$48,E1186=$AB$49,$AC$49,E1186=$AB$50,$AC$50,E1186=$AB$51,$AC$51,E1186=$AB$52,$AC$52,E1186=$AB$53,$AC$53,E1186=$AB$54,$AC$54,E1186=$AB$55,$AC$55,E1186=$AB$56,$AC$56,E1186=$AB$57,$AC$57,E1186=$AB$58,$AC$58,E1186=$AB$59,$AC$59,E1186=$AB$60,$AC$60,E1186=$AB$61,$AC$61,E1186=$AB$62,$AC$62,E1186=$AB$63,$AC$63,E1186=$AB$64,$AC$64,E1186=$AB$65,$AC$65,E1186=$AB$66,$AC$66,TRUE,"0")</f>
        <v>#NAME?</v>
      </c>
      <c r="C1186" s="161" t="str" cm="1">
        <f t="array" ref="C1186">_xlfn.IFS(E1186=$AB$42,$AF$42,E1186=$AB$43,$AF$43,E1186=$AB$44,$AF$44,E1186=$AB$45,$AF$45,E1186=$AB$46,$AF$46,E1186=$AB$47,$AF$47,E1186=$AB$48,$AF$48,E1186=$AB$49,$AF$49,E1186=$AB$50,$AF$50,E1186=$AB$51,$AF$51,E1186=$AB$52,$AF$52,E1186=$AB$53,$AF$53,E1186=$AB$54,$AF$54,E1186=$AB$55,$AF$55,E1186=$AB$56,$AF$56,E1186=$AB$57,$AF$57,E1186=$AB$58,$AF$58,E1186=$AB$59,$AF$59,E1186=$AB$60,$AF$60,E1186=$AB$61,$AF$61,E1186=$AB$62,$AF$62,E1186=$AB$63,$AF$63,E1186=$AB$64,$AF$64,E1186=$AB$65,$AF$65,E1186=$AB$66,$AF$66,TRUE,"0")</f>
        <v>40 mins Back ANother Goal</v>
      </c>
      <c r="D1186" s="270" t="str" cm="1">
        <f t="array" ref="D1186">_xlfn.IFS(E1186=$AB$42,$AD$42,E1186=$AB$43,$AD$43,E1186=$AB$44,$AD$44,E1186=$AB$45,$AD$45,E1186=$AB$46,$AD$46,E1186=$AB$47,$AD$47,E1186=$AB$48,$AD$48,E1186=$AB$49,$AD$49,E1186=$AB$50,$AD$50,E1186=$AB$51,$AD$51,E1186=$AB$52,$AD$52,E1186=$AB$53,$AD$53,E1186=$AB$54,$AD$54,E1186=$AB$55,$AD$55,E1186=$AB$56,$AD$56,E1186=$AB$57,$AD$57,E1186=$AB$58,$AD$58,E1186=$AB$59,$AD$59,E1186=$AB$60,$AD$60,E1186=$AB$61,$AD$61,E1186=$AB$62,$AD$62,E1186=$AB$63,$AD$63,E1186=$AB$64,$AD$64,E1186=$AB$65,$AD$65,E1186=$AB$66,$AD$66,TRUE,"0")</f>
        <v xml:space="preserve">  BANG</v>
      </c>
      <c r="E1186" s="163" t="s">
        <v>726</v>
      </c>
      <c r="F1186" s="2" t="s">
        <v>77</v>
      </c>
      <c r="G1186" s="2" t="s">
        <v>234</v>
      </c>
      <c r="H1186" s="3">
        <v>45409.5</v>
      </c>
      <c r="I1186" s="2" t="s">
        <v>424</v>
      </c>
      <c r="J1186" s="2" t="s">
        <v>499</v>
      </c>
      <c r="K1186" s="2">
        <v>80</v>
      </c>
      <c r="L1186" s="2">
        <v>20</v>
      </c>
      <c r="M1186" s="2">
        <v>1.95</v>
      </c>
      <c r="N1186" s="2">
        <v>63</v>
      </c>
      <c r="O1186" s="2"/>
      <c r="P1186" s="2"/>
      <c r="Q1186" s="2" t="s">
        <v>95</v>
      </c>
      <c r="R1186" s="10" t="s">
        <v>221</v>
      </c>
      <c r="S1186" s="10" t="s">
        <v>215</v>
      </c>
      <c r="T1186" s="188">
        <v>1000</v>
      </c>
      <c r="U1186" s="8">
        <f t="shared" si="138"/>
        <v>180</v>
      </c>
      <c r="V1186" s="234">
        <f t="shared" si="139"/>
        <v>113824.1552461603</v>
      </c>
      <c r="W1186" s="15">
        <v>25</v>
      </c>
      <c r="X1186" s="8">
        <f t="shared" si="140"/>
        <v>4.5</v>
      </c>
      <c r="Y1186" s="233">
        <f t="shared" si="136"/>
        <v>4711.5</v>
      </c>
    </row>
    <row r="1187" spans="1:25">
      <c r="A1187" s="156" t="e" cm="1">
        <f t="array" aca="1" ref="A1187" ca="1">_xlfn.IFS(E1187=$AB$42,$AC$42,E1187=$AB$43,$AC$43,E1187=$AB$44,$AC$44,E1187=$AB$45,$AC$45,E1187=$AB$46,$AC$46,E1187=$AB$47,$AC$47,E1187=$AB$48,$AC$48,E1187=$AB$49,$AC$49,E1187=$AB$50,$AC$50,E1187=$AB$51,$AC$51,E1187=$AB$52,$AC$52,E1187=$AB$53,$AC$53,E1187=$AB$54,$AC$54,E1187=$AB$55,$AC$55,E1187=$AB$56,$AC$56,E1187=$AB$57,$AC$57,E1187=$AB$58,$AC$58,E1187=$AB$59,$AC$59,E1187=$AB$60,$AC$60,E1187=$AB$61,$AC$61,E1187=$AB$62,$AC$62,E1187=$AB$63,$AC$63,E1187=$AB$64,$AC$64,E1187=$AB$65,$AC$65,E1187=$AB$66,$AC$66,TRUE,"0")</f>
        <v>#NAME?</v>
      </c>
      <c r="C1187" s="161" t="str" cm="1">
        <f t="array" ref="C1187">_xlfn.IFS(E1187=$AB$42,$AF$42,E1187=$AB$43,$AF$43,E1187=$AB$44,$AF$44,E1187=$AB$45,$AF$45,E1187=$AB$46,$AF$46,E1187=$AB$47,$AF$47,E1187=$AB$48,$AF$48,E1187=$AB$49,$AF$49,E1187=$AB$50,$AF$50,E1187=$AB$51,$AF$51,E1187=$AB$52,$AF$52,E1187=$AB$53,$AF$53,E1187=$AB$54,$AF$54,E1187=$AB$55,$AF$55,E1187=$AB$56,$AF$56,E1187=$AB$57,$AF$57,E1187=$AB$58,$AF$58,E1187=$AB$59,$AF$59,E1187=$AB$60,$AF$60,E1187=$AB$61,$AF$61,E1187=$AB$62,$AF$62,E1187=$AB$63,$AF$63,E1187=$AB$64,$AF$64,E1187=$AB$65,$AF$65,E1187=$AB$66,$AF$66,TRUE,"0")</f>
        <v>B4 match BACK FT +1.5 goals. X AFTER  GOAL</v>
      </c>
      <c r="D1187" s="270" t="str" cm="1">
        <f t="array" ref="D1187">_xlfn.IFS(E1187=$AB$42,$AD$42,E1187=$AB$43,$AD$43,E1187=$AB$44,$AD$44,E1187=$AB$45,$AD$45,E1187=$AB$46,$AD$46,E1187=$AB$47,$AD$47,E1187=$AB$48,$AD$48,E1187=$AB$49,$AD$49,E1187=$AB$50,$AD$50,E1187=$AB$51,$AD$51,E1187=$AB$52,$AD$52,E1187=$AB$53,$AD$53,E1187=$AB$54,$AD$54,E1187=$AB$55,$AD$55,E1187=$AB$56,$AD$56,E1187=$AB$57,$AD$57,E1187=$AB$58,$AD$58,E1187=$AB$59,$AD$59,E1187=$AB$60,$AD$60,E1187=$AB$61,$AD$61,E1187=$AB$62,$AD$62,E1187=$AB$63,$AD$63,E1187=$AB$64,$AD$64,E1187=$AB$65,$AD$65,E1187=$AB$66,$AD$66,TRUE,"0")</f>
        <v xml:space="preserve">BFM </v>
      </c>
      <c r="E1187" s="163" t="s">
        <v>623</v>
      </c>
      <c r="F1187" s="2" t="s">
        <v>6</v>
      </c>
      <c r="G1187" s="2" t="s">
        <v>11</v>
      </c>
      <c r="H1187" s="3">
        <v>45409.520833333336</v>
      </c>
      <c r="I1187" s="2" t="s">
        <v>742</v>
      </c>
      <c r="J1187" s="2" t="s">
        <v>286</v>
      </c>
      <c r="K1187" s="2">
        <v>5.3</v>
      </c>
      <c r="L1187" s="2">
        <v>20</v>
      </c>
      <c r="M1187" s="2">
        <v>3.35</v>
      </c>
      <c r="N1187" s="2">
        <v>22</v>
      </c>
      <c r="O1187" s="2">
        <v>1</v>
      </c>
      <c r="P1187" s="2">
        <v>10</v>
      </c>
      <c r="Q1187" s="2" t="s">
        <v>95</v>
      </c>
      <c r="R1187" s="10" t="s">
        <v>214</v>
      </c>
      <c r="S1187" s="10" t="s">
        <v>216</v>
      </c>
      <c r="T1187" s="188">
        <v>1000</v>
      </c>
      <c r="U1187" s="8">
        <f t="shared" si="138"/>
        <v>180</v>
      </c>
      <c r="V1187" s="234">
        <f t="shared" si="139"/>
        <v>114004.1552461603</v>
      </c>
      <c r="W1187" s="15">
        <v>25</v>
      </c>
      <c r="X1187" s="8">
        <f t="shared" si="140"/>
        <v>4.5</v>
      </c>
      <c r="Y1187" s="233">
        <f t="shared" si="136"/>
        <v>4716</v>
      </c>
    </row>
    <row r="1188" spans="1:25">
      <c r="A1188" s="156" t="e" cm="1">
        <f t="array" aca="1" ref="A1188" ca="1">_xlfn.IFS(E1188=$AB$42,$AC$42,E1188=$AB$43,$AC$43,E1188=$AB$44,$AC$44,E1188=$AB$45,$AC$45,E1188=$AB$46,$AC$46,E1188=$AB$47,$AC$47,E1188=$AB$48,$AC$48,E1188=$AB$49,$AC$49,E1188=$AB$50,$AC$50,E1188=$AB$51,$AC$51,E1188=$AB$52,$AC$52,E1188=$AB$53,$AC$53,E1188=$AB$54,$AC$54,E1188=$AB$55,$AC$55,E1188=$AB$56,$AC$56,E1188=$AB$57,$AC$57,E1188=$AB$58,$AC$58,E1188=$AB$59,$AC$59,E1188=$AB$60,$AC$60,E1188=$AB$61,$AC$61,E1188=$AB$62,$AC$62,E1188=$AB$63,$AC$63,E1188=$AB$64,$AC$64,E1188=$AB$65,$AC$65,E1188=$AB$66,$AC$66,TRUE,"0")</f>
        <v>#NAME?</v>
      </c>
      <c r="C1188" s="161" t="str" cm="1">
        <f t="array" ref="C1188">_xlfn.IFS(E1188=$AB$42,$AF$42,E1188=$AB$43,$AF$43,E1188=$AB$44,$AF$44,E1188=$AB$45,$AF$45,E1188=$AB$46,$AF$46,E1188=$AB$47,$AF$47,E1188=$AB$48,$AF$48,E1188=$AB$49,$AF$49,E1188=$AB$50,$AF$50,E1188=$AB$51,$AF$51,E1188=$AB$52,$AF$52,E1188=$AB$53,$AF$53,E1188=$AB$54,$AF$54,E1188=$AB$55,$AF$55,E1188=$AB$56,$AF$56,E1188=$AB$57,$AF$57,E1188=$AB$58,$AF$58,E1188=$AB$59,$AF$59,E1188=$AB$60,$AF$60,E1188=$AB$61,$AF$61,E1188=$AB$62,$AF$62,E1188=$AB$63,$AF$63,E1188=$AB$64,$AF$64,E1188=$AB$65,$AF$65,E1188=$AB$66,$AF$66,TRUE,"0")</f>
        <v>B4 match BACK FT +1.5 goals. X AFTER  GOAL</v>
      </c>
      <c r="D1188" s="270" t="str" cm="1">
        <f t="array" ref="D1188">_xlfn.IFS(E1188=$AB$42,$AD$42,E1188=$AB$43,$AD$43,E1188=$AB$44,$AD$44,E1188=$AB$45,$AD$45,E1188=$AB$46,$AD$46,E1188=$AB$47,$AD$47,E1188=$AB$48,$AD$48,E1188=$AB$49,$AD$49,E1188=$AB$50,$AD$50,E1188=$AB$51,$AD$51,E1188=$AB$52,$AD$52,E1188=$AB$53,$AD$53,E1188=$AB$54,$AD$54,E1188=$AB$55,$AD$55,E1188=$AB$56,$AD$56,E1188=$AB$57,$AD$57,E1188=$AB$58,$AD$58,E1188=$AB$59,$AD$59,E1188=$AB$60,$AD$60,E1188=$AB$61,$AD$61,E1188=$AB$62,$AD$62,E1188=$AB$63,$AD$63,E1188=$AB$64,$AD$64,E1188=$AB$65,$AD$65,E1188=$AB$66,$AD$66,TRUE,"0")</f>
        <v xml:space="preserve">BFM </v>
      </c>
      <c r="E1188" s="163" t="s">
        <v>623</v>
      </c>
      <c r="F1188" s="2" t="s">
        <v>6</v>
      </c>
      <c r="G1188" s="2" t="s">
        <v>11</v>
      </c>
      <c r="H1188" s="3">
        <v>45409.520833333336</v>
      </c>
      <c r="I1188" s="2" t="s">
        <v>231</v>
      </c>
      <c r="J1188" s="2" t="s">
        <v>585</v>
      </c>
      <c r="K1188" s="2">
        <v>4.4000000000000004</v>
      </c>
      <c r="L1188" s="2">
        <v>20</v>
      </c>
      <c r="M1188" s="2">
        <v>2.65</v>
      </c>
      <c r="N1188" s="2">
        <v>37</v>
      </c>
      <c r="O1188" s="2">
        <v>0</v>
      </c>
      <c r="P1188" s="2">
        <v>10</v>
      </c>
      <c r="Q1188" s="2" t="s">
        <v>95</v>
      </c>
      <c r="R1188" s="10" t="s">
        <v>214</v>
      </c>
      <c r="S1188" s="10" t="s">
        <v>220</v>
      </c>
      <c r="T1188" s="188">
        <v>1000</v>
      </c>
      <c r="U1188" s="8">
        <f t="shared" si="138"/>
        <v>180</v>
      </c>
      <c r="V1188" s="234">
        <f t="shared" si="139"/>
        <v>114184.1552461603</v>
      </c>
      <c r="W1188" s="15">
        <v>25</v>
      </c>
      <c r="X1188" s="8">
        <f t="shared" si="140"/>
        <v>4.5</v>
      </c>
      <c r="Y1188" s="233">
        <f t="shared" si="136"/>
        <v>4720.5</v>
      </c>
    </row>
    <row r="1189" spans="1:25">
      <c r="A1189" s="156" t="e" cm="1">
        <f t="array" aca="1" ref="A1189" ca="1">_xlfn.IFS(E1189=$AB$42,$AC$42,E1189=$AB$43,$AC$43,E1189=$AB$44,$AC$44,E1189=$AB$45,$AC$45,E1189=$AB$46,$AC$46,E1189=$AB$47,$AC$47,E1189=$AB$48,$AC$48,E1189=$AB$49,$AC$49,E1189=$AB$50,$AC$50,E1189=$AB$51,$AC$51,E1189=$AB$52,$AC$52,E1189=$AB$53,$AC$53,E1189=$AB$54,$AC$54,E1189=$AB$55,$AC$55,E1189=$AB$56,$AC$56,E1189=$AB$57,$AC$57,E1189=$AB$58,$AC$58,E1189=$AB$59,$AC$59,E1189=$AB$60,$AC$60,E1189=$AB$61,$AC$61,E1189=$AB$62,$AC$62,E1189=$AB$63,$AC$63,E1189=$AB$64,$AC$64,E1189=$AB$65,$AC$65,E1189=$AB$66,$AC$66,TRUE,"0")</f>
        <v>#NAME?</v>
      </c>
      <c r="C1189" s="161" t="str" cm="1">
        <f t="array" ref="C1189">_xlfn.IFS(E1189=$AB$42,$AF$42,E1189=$AB$43,$AF$43,E1189=$AB$44,$AF$44,E1189=$AB$45,$AF$45,E1189=$AB$46,$AF$46,E1189=$AB$47,$AF$47,E1189=$AB$48,$AF$48,E1189=$AB$49,$AF$49,E1189=$AB$50,$AF$50,E1189=$AB$51,$AF$51,E1189=$AB$52,$AF$52,E1189=$AB$53,$AF$53,E1189=$AB$54,$AF$54,E1189=$AB$55,$AF$55,E1189=$AB$56,$AF$56,E1189=$AB$57,$AF$57,E1189=$AB$58,$AF$58,E1189=$AB$59,$AF$59,E1189=$AB$60,$AF$60,E1189=$AB$61,$AF$61,E1189=$AB$62,$AF$62,E1189=$AB$63,$AF$63,E1189=$AB$64,$AF$64,E1189=$AB$65,$AF$65,E1189=$AB$66,$AF$66,TRUE,"0")</f>
        <v>if 0-0, BACK+ 0.5 GOALS  @ 1.15+odds.  or @ 40 mins</v>
      </c>
      <c r="D1189" s="270" t="str" cm="1">
        <f t="array" ref="D1189">_xlfn.IFS(E1189=$AB$42,$AD$42,E1189=$AB$43,$AD$43,E1189=$AB$44,$AD$44,E1189=$AB$45,$AD$45,E1189=$AB$46,$AD$46,E1189=$AB$47,$AD$47,E1189=$AB$48,$AD$48,E1189=$AB$49,$AD$49,E1189=$AB$50,$AD$50,E1189=$AB$51,$AD$51,E1189=$AB$52,$AD$52,E1189=$AB$53,$AD$53,E1189=$AB$54,$AD$54,E1189=$AB$55,$AD$55,E1189=$AB$56,$AD$56,E1189=$AB$57,$AD$57,E1189=$AB$58,$AD$58,E1189=$AB$59,$AD$59,E1189=$AB$60,$AD$60,E1189=$AB$61,$AD$61,E1189=$AB$62,$AD$62,E1189=$AB$63,$AD$63,E1189=$AB$64,$AD$64,E1189=$AB$65,$AD$65,E1189=$AB$66,$AD$66,TRUE,"0")</f>
        <v>IP</v>
      </c>
      <c r="E1189" s="163" t="s">
        <v>270</v>
      </c>
      <c r="F1189" s="2" t="s">
        <v>6</v>
      </c>
      <c r="G1189" s="2" t="s">
        <v>11</v>
      </c>
      <c r="H1189" s="3">
        <v>45409.520833333336</v>
      </c>
      <c r="I1189" s="2" t="s">
        <v>231</v>
      </c>
      <c r="J1189" s="2" t="s">
        <v>585</v>
      </c>
      <c r="K1189" s="2">
        <v>62</v>
      </c>
      <c r="L1189" s="2">
        <v>0</v>
      </c>
      <c r="M1189" s="2">
        <v>20</v>
      </c>
      <c r="N1189" s="2">
        <v>37</v>
      </c>
      <c r="O1189" s="2">
        <v>1.76</v>
      </c>
      <c r="P1189" s="2"/>
      <c r="Q1189" s="2" t="s">
        <v>95</v>
      </c>
      <c r="R1189" s="10" t="s">
        <v>214</v>
      </c>
      <c r="S1189" s="10" t="s">
        <v>220</v>
      </c>
      <c r="T1189" s="188">
        <v>1000</v>
      </c>
      <c r="U1189" s="8">
        <f t="shared" si="138"/>
        <v>180</v>
      </c>
      <c r="V1189" s="234">
        <f t="shared" si="139"/>
        <v>114364.1552461603</v>
      </c>
      <c r="W1189" s="15">
        <v>25</v>
      </c>
      <c r="X1189" s="8">
        <f t="shared" si="140"/>
        <v>4.5</v>
      </c>
      <c r="Y1189" s="233">
        <f t="shared" ref="Y1189:Y1252" si="141">SUM(Y1188,X1189)</f>
        <v>4725</v>
      </c>
    </row>
    <row r="1190" spans="1:25">
      <c r="A1190" s="156" t="e" cm="1">
        <f t="array" aca="1" ref="A1190" ca="1">_xlfn.IFS(E1190=$AB$42,$AC$42,E1190=$AB$43,$AC$43,E1190=$AB$44,$AC$44,E1190=$AB$45,$AC$45,E1190=$AB$46,$AC$46,E1190=$AB$47,$AC$47,E1190=$AB$48,$AC$48,E1190=$AB$49,$AC$49,E1190=$AB$50,$AC$50,E1190=$AB$51,$AC$51,E1190=$AB$52,$AC$52,E1190=$AB$53,$AC$53,E1190=$AB$54,$AC$54,E1190=$AB$55,$AC$55,E1190=$AB$56,$AC$56,E1190=$AB$57,$AC$57,E1190=$AB$58,$AC$58,E1190=$AB$59,$AC$59,E1190=$AB$60,$AC$60,E1190=$AB$61,$AC$61,E1190=$AB$62,$AC$62,E1190=$AB$63,$AC$63,E1190=$AB$64,$AC$64,E1190=$AB$65,$AC$65,E1190=$AB$66,$AC$66,TRUE,"0")</f>
        <v>#NAME?</v>
      </c>
      <c r="C1190" s="161" t="str" cm="1">
        <f t="array" ref="C1190">_xlfn.IFS(E1190=$AB$42,$AF$42,E1190=$AB$43,$AF$43,E1190=$AB$44,$AF$44,E1190=$AB$45,$AF$45,E1190=$AB$46,$AF$46,E1190=$AB$47,$AF$47,E1190=$AB$48,$AF$48,E1190=$AB$49,$AF$49,E1190=$AB$50,$AF$50,E1190=$AB$51,$AF$51,E1190=$AB$52,$AF$52,E1190=$AB$53,$AF$53,E1190=$AB$54,$AF$54,E1190=$AB$55,$AF$55,E1190=$AB$56,$AF$56,E1190=$AB$57,$AF$57,E1190=$AB$58,$AF$58,E1190=$AB$59,$AF$59,E1190=$AB$60,$AF$60,E1190=$AB$61,$AF$61,E1190=$AB$62,$AF$62,E1190=$AB$63,$AF$63,E1190=$AB$64,$AF$64,E1190=$AB$65,$AF$65,E1190=$AB$66,$AF$66,TRUE,"0")</f>
        <v>if 0-0, BACK+ 0.5 GOALS  @ 1.15+odds.  or @ 40 mins</v>
      </c>
      <c r="D1190" s="270" t="str" cm="1">
        <f t="array" ref="D1190">_xlfn.IFS(E1190=$AB$42,$AD$42,E1190=$AB$43,$AD$43,E1190=$AB$44,$AD$44,E1190=$AB$45,$AD$45,E1190=$AB$46,$AD$46,E1190=$AB$47,$AD$47,E1190=$AB$48,$AD$48,E1190=$AB$49,$AD$49,E1190=$AB$50,$AD$50,E1190=$AB$51,$AD$51,E1190=$AB$52,$AD$52,E1190=$AB$53,$AD$53,E1190=$AB$54,$AD$54,E1190=$AB$55,$AD$55,E1190=$AB$56,$AD$56,E1190=$AB$57,$AD$57,E1190=$AB$58,$AD$58,E1190=$AB$59,$AD$59,E1190=$AB$60,$AD$60,E1190=$AB$61,$AD$61,E1190=$AB$62,$AD$62,E1190=$AB$63,$AD$63,E1190=$AB$64,$AD$64,E1190=$AB$65,$AD$65,E1190=$AB$66,$AD$66,TRUE,"0")</f>
        <v>IP</v>
      </c>
      <c r="E1190" s="163" t="s">
        <v>270</v>
      </c>
      <c r="F1190" s="2" t="s">
        <v>6</v>
      </c>
      <c r="G1190" s="2" t="s">
        <v>11</v>
      </c>
      <c r="H1190" s="3">
        <v>45409.520833333336</v>
      </c>
      <c r="I1190" s="2" t="s">
        <v>710</v>
      </c>
      <c r="J1190" s="2" t="s">
        <v>694</v>
      </c>
      <c r="K1190" s="2">
        <v>59</v>
      </c>
      <c r="L1190" s="2">
        <v>0</v>
      </c>
      <c r="M1190" s="2">
        <v>20</v>
      </c>
      <c r="N1190" s="2">
        <v>28</v>
      </c>
      <c r="O1190" s="2">
        <v>2.0099999999999998</v>
      </c>
      <c r="P1190" s="2"/>
      <c r="Q1190" s="2" t="s">
        <v>96</v>
      </c>
      <c r="R1190" s="10" t="s">
        <v>221</v>
      </c>
      <c r="S1190" s="10" t="s">
        <v>221</v>
      </c>
      <c r="T1190" s="188">
        <v>1000</v>
      </c>
      <c r="U1190" s="8">
        <f t="shared" si="138"/>
        <v>-1000</v>
      </c>
      <c r="V1190" s="234">
        <f t="shared" si="139"/>
        <v>113364.1552461603</v>
      </c>
      <c r="W1190" s="15">
        <v>25</v>
      </c>
      <c r="X1190" s="8">
        <f t="shared" si="140"/>
        <v>-25</v>
      </c>
      <c r="Y1190" s="233">
        <f t="shared" si="141"/>
        <v>4700</v>
      </c>
    </row>
    <row r="1191" spans="1:25">
      <c r="A1191" s="156" t="e" cm="1">
        <f t="array" aca="1" ref="A1191" ca="1">_xlfn.IFS(E1191=$AB$42,$AC$42,E1191=$AB$43,$AC$43,E1191=$AB$44,$AC$44,E1191=$AB$45,$AC$45,E1191=$AB$46,$AC$46,E1191=$AB$47,$AC$47,E1191=$AB$48,$AC$48,E1191=$AB$49,$AC$49,E1191=$AB$50,$AC$50,E1191=$AB$51,$AC$51,E1191=$AB$52,$AC$52,E1191=$AB$53,$AC$53,E1191=$AB$54,$AC$54,E1191=$AB$55,$AC$55,E1191=$AB$56,$AC$56,E1191=$AB$57,$AC$57,E1191=$AB$58,$AC$58,E1191=$AB$59,$AC$59,E1191=$AB$60,$AC$60,E1191=$AB$61,$AC$61,E1191=$AB$62,$AC$62,E1191=$AB$63,$AC$63,E1191=$AB$64,$AC$64,E1191=$AB$65,$AC$65,E1191=$AB$66,$AC$66,TRUE,"0")</f>
        <v>#NAME?</v>
      </c>
      <c r="C1191" s="161" t="str" cm="1">
        <f t="array" ref="C1191">_xlfn.IFS(E1191=$AB$42,$AF$42,E1191=$AB$43,$AF$43,E1191=$AB$44,$AF$44,E1191=$AB$45,$AF$45,E1191=$AB$46,$AF$46,E1191=$AB$47,$AF$47,E1191=$AB$48,$AF$48,E1191=$AB$49,$AF$49,E1191=$AB$50,$AF$50,E1191=$AB$51,$AF$51,E1191=$AB$52,$AF$52,E1191=$AB$53,$AF$53,E1191=$AB$54,$AF$54,E1191=$AB$55,$AF$55,E1191=$AB$56,$AF$56,E1191=$AB$57,$AF$57,E1191=$AB$58,$AF$58,E1191=$AB$59,$AF$59,E1191=$AB$60,$AF$60,E1191=$AB$61,$AF$61,E1191=$AB$62,$AF$62,E1191=$AB$63,$AF$63,E1191=$AB$64,$AF$64,E1191=$AB$65,$AF$65,E1191=$AB$66,$AF$66,TRUE,"0")</f>
        <v>B4 match BACK FT +1.5 goals. X AFTER  GOAL</v>
      </c>
      <c r="D1191" s="270" t="str" cm="1">
        <f t="array" ref="D1191">_xlfn.IFS(E1191=$AB$42,$AD$42,E1191=$AB$43,$AD$43,E1191=$AB$44,$AD$44,E1191=$AB$45,$AD$45,E1191=$AB$46,$AD$46,E1191=$AB$47,$AD$47,E1191=$AB$48,$AD$48,E1191=$AB$49,$AD$49,E1191=$AB$50,$AD$50,E1191=$AB$51,$AD$51,E1191=$AB$52,$AD$52,E1191=$AB$53,$AD$53,E1191=$AB$54,$AD$54,E1191=$AB$55,$AD$55,E1191=$AB$56,$AD$56,E1191=$AB$57,$AD$57,E1191=$AB$58,$AD$58,E1191=$AB$59,$AD$59,E1191=$AB$60,$AD$60,E1191=$AB$61,$AD$61,E1191=$AB$62,$AD$62,E1191=$AB$63,$AD$63,E1191=$AB$64,$AD$64,E1191=$AB$65,$AD$65,E1191=$AB$66,$AD$66,TRUE,"0")</f>
        <v xml:space="preserve">BFM </v>
      </c>
      <c r="E1191" s="163" t="s">
        <v>531</v>
      </c>
      <c r="F1191" s="2" t="s">
        <v>6</v>
      </c>
      <c r="G1191" s="2" t="s">
        <v>62</v>
      </c>
      <c r="H1191" s="3">
        <v>45409.520833333336</v>
      </c>
      <c r="I1191" s="2" t="s">
        <v>74</v>
      </c>
      <c r="J1191" s="2" t="s">
        <v>285</v>
      </c>
      <c r="K1191" s="2">
        <v>5.0999999999999996</v>
      </c>
      <c r="L1191" s="2">
        <v>34</v>
      </c>
      <c r="M1191" s="2">
        <v>3</v>
      </c>
      <c r="N1191" s="2">
        <v>28</v>
      </c>
      <c r="O1191" s="2">
        <v>2</v>
      </c>
      <c r="P1191" s="2">
        <v>17</v>
      </c>
      <c r="Q1191" s="2" t="s">
        <v>95</v>
      </c>
      <c r="R1191" s="10" t="s">
        <v>214</v>
      </c>
      <c r="S1191" s="10" t="s">
        <v>210</v>
      </c>
      <c r="T1191" s="188">
        <v>1000</v>
      </c>
      <c r="U1191" s="8">
        <f t="shared" si="138"/>
        <v>180</v>
      </c>
      <c r="V1191" s="234">
        <f t="shared" si="139"/>
        <v>113544.1552461603</v>
      </c>
      <c r="W1191" s="15">
        <v>25</v>
      </c>
      <c r="X1191" s="8">
        <f t="shared" si="140"/>
        <v>4.5</v>
      </c>
      <c r="Y1191" s="233">
        <f t="shared" si="141"/>
        <v>4704.5</v>
      </c>
    </row>
    <row r="1192" spans="1:25">
      <c r="A1192" s="156" t="e" cm="1">
        <f t="array" aca="1" ref="A1192" ca="1">_xlfn.IFS(E1192=$AB$42,$AC$42,E1192=$AB$43,$AC$43,E1192=$AB$44,$AC$44,E1192=$AB$45,$AC$45,E1192=$AB$46,$AC$46,E1192=$AB$47,$AC$47,E1192=$AB$48,$AC$48,E1192=$AB$49,$AC$49,E1192=$AB$50,$AC$50,E1192=$AB$51,$AC$51,E1192=$AB$52,$AC$52,E1192=$AB$53,$AC$53,E1192=$AB$54,$AC$54,E1192=$AB$55,$AC$55,E1192=$AB$56,$AC$56,E1192=$AB$57,$AC$57,E1192=$AB$58,$AC$58,E1192=$AB$59,$AC$59,E1192=$AB$60,$AC$60,E1192=$AB$61,$AC$61,E1192=$AB$62,$AC$62,E1192=$AB$63,$AC$63,E1192=$AB$64,$AC$64,E1192=$AB$65,$AC$65,E1192=$AB$66,$AC$66,TRUE,"0")</f>
        <v>#NAME?</v>
      </c>
      <c r="C1192" s="161" t="str" cm="1">
        <f t="array" ref="C1192">_xlfn.IFS(E1192=$AB$42,$AF$42,E1192=$AB$43,$AF$43,E1192=$AB$44,$AF$44,E1192=$AB$45,$AF$45,E1192=$AB$46,$AF$46,E1192=$AB$47,$AF$47,E1192=$AB$48,$AF$48,E1192=$AB$49,$AF$49,E1192=$AB$50,$AF$50,E1192=$AB$51,$AF$51,E1192=$AB$52,$AF$52,E1192=$AB$53,$AF$53,E1192=$AB$54,$AF$54,E1192=$AB$55,$AF$55,E1192=$AB$56,$AF$56,E1192=$AB$57,$AF$57,E1192=$AB$58,$AF$58,E1192=$AB$59,$AF$59,E1192=$AB$60,$AF$60,E1192=$AB$61,$AF$61,E1192=$AB$62,$AF$62,E1192=$AB$63,$AF$63,E1192=$AB$64,$AF$64,E1192=$AB$65,$AF$65,E1192=$AB$66,$AF$66,TRUE,"0")</f>
        <v>B4 match BACK FT +1.5 goals. X AFTER  GOAL</v>
      </c>
      <c r="D1192" s="270" t="str" cm="1">
        <f t="array" ref="D1192">_xlfn.IFS(E1192=$AB$42,$AD$42,E1192=$AB$43,$AD$43,E1192=$AB$44,$AD$44,E1192=$AB$45,$AD$45,E1192=$AB$46,$AD$46,E1192=$AB$47,$AD$47,E1192=$AB$48,$AD$48,E1192=$AB$49,$AD$49,E1192=$AB$50,$AD$50,E1192=$AB$51,$AD$51,E1192=$AB$52,$AD$52,E1192=$AB$53,$AD$53,E1192=$AB$54,$AD$54,E1192=$AB$55,$AD$55,E1192=$AB$56,$AD$56,E1192=$AB$57,$AD$57,E1192=$AB$58,$AD$58,E1192=$AB$59,$AD$59,E1192=$AB$60,$AD$60,E1192=$AB$61,$AD$61,E1192=$AB$62,$AD$62,E1192=$AB$63,$AD$63,E1192=$AB$64,$AD$64,E1192=$AB$65,$AD$65,E1192=$AB$66,$AD$66,TRUE,"0")</f>
        <v xml:space="preserve">BFM </v>
      </c>
      <c r="E1192" s="163" t="s">
        <v>623</v>
      </c>
      <c r="F1192" s="2" t="s">
        <v>20</v>
      </c>
      <c r="G1192" s="2" t="s">
        <v>322</v>
      </c>
      <c r="H1192" s="3">
        <v>45409.541666666664</v>
      </c>
      <c r="I1192" s="2" t="s">
        <v>399</v>
      </c>
      <c r="J1192" s="2" t="s">
        <v>357</v>
      </c>
      <c r="K1192" s="2">
        <v>4.4000000000000004</v>
      </c>
      <c r="L1192" s="2">
        <v>20</v>
      </c>
      <c r="M1192" s="2">
        <v>3.15</v>
      </c>
      <c r="N1192" s="2">
        <v>27</v>
      </c>
      <c r="O1192" s="2">
        <v>0</v>
      </c>
      <c r="P1192" s="2">
        <v>10</v>
      </c>
      <c r="Q1192" s="2" t="s">
        <v>95</v>
      </c>
      <c r="R1192" s="10" t="s">
        <v>207</v>
      </c>
      <c r="S1192" s="10" t="s">
        <v>194</v>
      </c>
      <c r="T1192" s="188">
        <v>1000</v>
      </c>
      <c r="U1192" s="8">
        <f t="shared" si="138"/>
        <v>180</v>
      </c>
      <c r="V1192" s="234">
        <f t="shared" si="139"/>
        <v>113724.1552461603</v>
      </c>
      <c r="W1192" s="15">
        <v>25</v>
      </c>
      <c r="X1192" s="8">
        <f t="shared" si="140"/>
        <v>4.5</v>
      </c>
      <c r="Y1192" s="233">
        <f t="shared" si="141"/>
        <v>4709</v>
      </c>
    </row>
    <row r="1193" spans="1:25">
      <c r="A1193" s="156" t="e" cm="1">
        <f t="array" aca="1" ref="A1193" ca="1">_xlfn.IFS(E1193=$AB$42,$AC$42,E1193=$AB$43,$AC$43,E1193=$AB$44,$AC$44,E1193=$AB$45,$AC$45,E1193=$AB$46,$AC$46,E1193=$AB$47,$AC$47,E1193=$AB$48,$AC$48,E1193=$AB$49,$AC$49,E1193=$AB$50,$AC$50,E1193=$AB$51,$AC$51,E1193=$AB$52,$AC$52,E1193=$AB$53,$AC$53,E1193=$AB$54,$AC$54,E1193=$AB$55,$AC$55,E1193=$AB$56,$AC$56,E1193=$AB$57,$AC$57,E1193=$AB$58,$AC$58,E1193=$AB$59,$AC$59,E1193=$AB$60,$AC$60,E1193=$AB$61,$AC$61,E1193=$AB$62,$AC$62,E1193=$AB$63,$AC$63,E1193=$AB$64,$AC$64,E1193=$AB$65,$AC$65,E1193=$AB$66,$AC$66,TRUE,"0")</f>
        <v>#NAME?</v>
      </c>
      <c r="C1193" s="161" t="str" cm="1">
        <f t="array" ref="C1193">_xlfn.IFS(E1193=$AB$42,$AF$42,E1193=$AB$43,$AF$43,E1193=$AB$44,$AF$44,E1193=$AB$45,$AF$45,E1193=$AB$46,$AF$46,E1193=$AB$47,$AF$47,E1193=$AB$48,$AF$48,E1193=$AB$49,$AF$49,E1193=$AB$50,$AF$50,E1193=$AB$51,$AF$51,E1193=$AB$52,$AF$52,E1193=$AB$53,$AF$53,E1193=$AB$54,$AF$54,E1193=$AB$55,$AF$55,E1193=$AB$56,$AF$56,E1193=$AB$57,$AF$57,E1193=$AB$58,$AF$58,E1193=$AB$59,$AF$59,E1193=$AB$60,$AF$60,E1193=$AB$61,$AF$61,E1193=$AB$62,$AF$62,E1193=$AB$63,$AF$63,E1193=$AB$64,$AF$64,E1193=$AB$65,$AF$65,E1193=$AB$66,$AF$66,TRUE,"0")</f>
        <v>40 mins Back ANother Goal</v>
      </c>
      <c r="D1193" s="270" t="str" cm="1">
        <f t="array" ref="D1193">_xlfn.IFS(E1193=$AB$42,$AD$42,E1193=$AB$43,$AD$43,E1193=$AB$44,$AD$44,E1193=$AB$45,$AD$45,E1193=$AB$46,$AD$46,E1193=$AB$47,$AD$47,E1193=$AB$48,$AD$48,E1193=$AB$49,$AD$49,E1193=$AB$50,$AD$50,E1193=$AB$51,$AD$51,E1193=$AB$52,$AD$52,E1193=$AB$53,$AD$53,E1193=$AB$54,$AD$54,E1193=$AB$55,$AD$55,E1193=$AB$56,$AD$56,E1193=$AB$57,$AD$57,E1193=$AB$58,$AD$58,E1193=$AB$59,$AD$59,E1193=$AB$60,$AD$60,E1193=$AB$61,$AD$61,E1193=$AB$62,$AD$62,E1193=$AB$63,$AD$63,E1193=$AB$64,$AD$64,E1193=$AB$65,$AD$65,E1193=$AB$66,$AD$66,TRUE,"0")</f>
        <v xml:space="preserve">  BANG</v>
      </c>
      <c r="E1193" s="163" t="s">
        <v>726</v>
      </c>
      <c r="F1193" s="2" t="s">
        <v>77</v>
      </c>
      <c r="G1193" s="2" t="s">
        <v>251</v>
      </c>
      <c r="H1193" s="3">
        <v>45409.541666666664</v>
      </c>
      <c r="I1193" s="2" t="s">
        <v>295</v>
      </c>
      <c r="J1193" s="2" t="s">
        <v>252</v>
      </c>
      <c r="K1193" s="2">
        <v>85</v>
      </c>
      <c r="L1193" s="2">
        <v>20</v>
      </c>
      <c r="M1193" s="2">
        <v>2.2000000000000002</v>
      </c>
      <c r="N1193" s="2">
        <v>61</v>
      </c>
      <c r="O1193" s="2"/>
      <c r="P1193" s="2"/>
      <c r="Q1193" s="2" t="s">
        <v>95</v>
      </c>
      <c r="R1193" s="10" t="s">
        <v>222</v>
      </c>
      <c r="S1193" s="10" t="s">
        <v>366</v>
      </c>
      <c r="T1193" s="188">
        <v>1000</v>
      </c>
      <c r="U1193" s="8">
        <f t="shared" si="138"/>
        <v>180</v>
      </c>
      <c r="V1193" s="234">
        <f t="shared" si="139"/>
        <v>113904.1552461603</v>
      </c>
      <c r="W1193" s="15">
        <v>25</v>
      </c>
      <c r="X1193" s="8">
        <f t="shared" si="140"/>
        <v>4.5</v>
      </c>
      <c r="Y1193" s="233">
        <f t="shared" si="141"/>
        <v>4713.5</v>
      </c>
    </row>
    <row r="1194" spans="1:25">
      <c r="A1194" s="156" t="e" cm="1">
        <f t="array" aca="1" ref="A1194" ca="1">_xlfn.IFS(E1194=$AB$42,$AC$42,E1194=$AB$43,$AC$43,E1194=$AB$44,$AC$44,E1194=$AB$45,$AC$45,E1194=$AB$46,$AC$46,E1194=$AB$47,$AC$47,E1194=$AB$48,$AC$48,E1194=$AB$49,$AC$49,E1194=$AB$50,$AC$50,E1194=$AB$51,$AC$51,E1194=$AB$52,$AC$52,E1194=$AB$53,$AC$53,E1194=$AB$54,$AC$54,E1194=$AB$55,$AC$55,E1194=$AB$56,$AC$56,E1194=$AB$57,$AC$57,E1194=$AB$58,$AC$58,E1194=$AB$59,$AC$59,E1194=$AB$60,$AC$60,E1194=$AB$61,$AC$61,E1194=$AB$62,$AC$62,E1194=$AB$63,$AC$63,E1194=$AB$64,$AC$64,E1194=$AB$65,$AC$65,E1194=$AB$66,$AC$66,TRUE,"0")</f>
        <v>#NAME?</v>
      </c>
      <c r="C1194" s="161" t="str" cm="1">
        <f t="array" ref="C1194">_xlfn.IFS(E1194=$AB$42,$AF$42,E1194=$AB$43,$AF$43,E1194=$AB$44,$AF$44,E1194=$AB$45,$AF$45,E1194=$AB$46,$AF$46,E1194=$AB$47,$AF$47,E1194=$AB$48,$AF$48,E1194=$AB$49,$AF$49,E1194=$AB$50,$AF$50,E1194=$AB$51,$AF$51,E1194=$AB$52,$AF$52,E1194=$AB$53,$AF$53,E1194=$AB$54,$AF$54,E1194=$AB$55,$AF$55,E1194=$AB$56,$AF$56,E1194=$AB$57,$AF$57,E1194=$AB$58,$AF$58,E1194=$AB$59,$AF$59,E1194=$AB$60,$AF$60,E1194=$AB$61,$AF$61,E1194=$AB$62,$AF$62,E1194=$AB$63,$AF$63,E1194=$AB$64,$AF$64,E1194=$AB$65,$AF$65,E1194=$AB$66,$AF$66,TRUE,"0")</f>
        <v>B4 MATCH bet H1 'under 2.5goals'- X at 40 minutes</v>
      </c>
      <c r="D1194" s="270" t="str" cm="1">
        <f t="array" ref="D1194">_xlfn.IFS(E1194=$AB$42,$AD$42,E1194=$AB$43,$AD$43,E1194=$AB$44,$AD$44,E1194=$AB$45,$AD$45,E1194=$AB$46,$AD$46,E1194=$AB$47,$AD$47,E1194=$AB$48,$AD$48,E1194=$AB$49,$AD$49,E1194=$AB$50,$AD$50,E1194=$AB$51,$AD$51,E1194=$AB$52,$AD$52,E1194=$AB$53,$AD$53,E1194=$AB$54,$AD$54,E1194=$AB$55,$AD$55,E1194=$AB$56,$AD$56,E1194=$AB$57,$AD$57,E1194=$AB$58,$AD$58,E1194=$AB$59,$AD$59,E1194=$AB$60,$AD$60,E1194=$AB$61,$AD$61,E1194=$AB$62,$AD$62,E1194=$AB$63,$AD$63,E1194=$AB$64,$AD$64,E1194=$AB$65,$AD$65,E1194=$AB$66,$AD$66,TRUE,"0")</f>
        <v xml:space="preserve">BFM </v>
      </c>
      <c r="E1194" s="168" t="s">
        <v>458</v>
      </c>
      <c r="F1194" s="2" t="s">
        <v>541</v>
      </c>
      <c r="G1194" s="2" t="s">
        <v>62</v>
      </c>
      <c r="H1194" s="3">
        <v>45409.583333333336</v>
      </c>
      <c r="I1194" s="2" t="s">
        <v>786</v>
      </c>
      <c r="J1194" s="2" t="s">
        <v>645</v>
      </c>
      <c r="K1194" s="2">
        <v>20</v>
      </c>
      <c r="L1194" s="2">
        <v>80</v>
      </c>
      <c r="M1194" s="2">
        <v>95</v>
      </c>
      <c r="N1194" s="2">
        <v>35</v>
      </c>
      <c r="O1194" s="2">
        <v>1.7</v>
      </c>
      <c r="P1194" s="2"/>
      <c r="Q1194" s="2" t="s">
        <v>95</v>
      </c>
      <c r="R1194" s="10" t="s">
        <v>193</v>
      </c>
      <c r="S1194" s="10" t="s">
        <v>222</v>
      </c>
      <c r="T1194" s="188">
        <v>1000</v>
      </c>
      <c r="U1194" s="8">
        <f t="shared" si="138"/>
        <v>180</v>
      </c>
      <c r="V1194" s="234">
        <f t="shared" si="139"/>
        <v>114084.1552461603</v>
      </c>
      <c r="W1194" s="15">
        <v>25</v>
      </c>
      <c r="X1194" s="8">
        <f t="shared" si="140"/>
        <v>4.5</v>
      </c>
      <c r="Y1194" s="233">
        <f t="shared" si="141"/>
        <v>4718</v>
      </c>
    </row>
    <row r="1195" spans="1:25">
      <c r="A1195" s="156" t="e" cm="1">
        <f t="array" aca="1" ref="A1195" ca="1">_xlfn.IFS(E1195=$AB$42,$AC$42,E1195=$AB$43,$AC$43,E1195=$AB$44,$AC$44,E1195=$AB$45,$AC$45,E1195=$AB$46,$AC$46,E1195=$AB$47,$AC$47,E1195=$AB$48,$AC$48,E1195=$AB$49,$AC$49,E1195=$AB$50,$AC$50,E1195=$AB$51,$AC$51,E1195=$AB$52,$AC$52,E1195=$AB$53,$AC$53,E1195=$AB$54,$AC$54,E1195=$AB$55,$AC$55,E1195=$AB$56,$AC$56,E1195=$AB$57,$AC$57,E1195=$AB$58,$AC$58,E1195=$AB$59,$AC$59,E1195=$AB$60,$AC$60,E1195=$AB$61,$AC$61,E1195=$AB$62,$AC$62,E1195=$AB$63,$AC$63,E1195=$AB$64,$AC$64,E1195=$AB$65,$AC$65,E1195=$AB$66,$AC$66,TRUE,"0")</f>
        <v>#NAME?</v>
      </c>
      <c r="C1195" s="161" t="str" cm="1">
        <f t="array" ref="C1195">_xlfn.IFS(E1195=$AB$42,$AF$42,E1195=$AB$43,$AF$43,E1195=$AB$44,$AF$44,E1195=$AB$45,$AF$45,E1195=$AB$46,$AF$46,E1195=$AB$47,$AF$47,E1195=$AB$48,$AF$48,E1195=$AB$49,$AF$49,E1195=$AB$50,$AF$50,E1195=$AB$51,$AF$51,E1195=$AB$52,$AF$52,E1195=$AB$53,$AF$53,E1195=$AB$54,$AF$54,E1195=$AB$55,$AF$55,E1195=$AB$56,$AF$56,E1195=$AB$57,$AF$57,E1195=$AB$58,$AF$58,E1195=$AB$59,$AF$59,E1195=$AB$60,$AF$60,E1195=$AB$61,$AF$61,E1195=$AB$62,$AF$62,E1195=$AB$63,$AF$63,E1195=$AB$64,$AF$64,E1195=$AB$65,$AF$65,E1195=$AB$66,$AF$66,TRUE,"0")</f>
        <v>B4 match BACK FT +1.5 goals. X AFTER  GOAL</v>
      </c>
      <c r="D1195" s="270" t="str" cm="1">
        <f t="array" ref="D1195">_xlfn.IFS(E1195=$AB$42,$AD$42,E1195=$AB$43,$AD$43,E1195=$AB$44,$AD$44,E1195=$AB$45,$AD$45,E1195=$AB$46,$AD$46,E1195=$AB$47,$AD$47,E1195=$AB$48,$AD$48,E1195=$AB$49,$AD$49,E1195=$AB$50,$AD$50,E1195=$AB$51,$AD$51,E1195=$AB$52,$AD$52,E1195=$AB$53,$AD$53,E1195=$AB$54,$AD$54,E1195=$AB$55,$AD$55,E1195=$AB$56,$AD$56,E1195=$AB$57,$AD$57,E1195=$AB$58,$AD$58,E1195=$AB$59,$AD$59,E1195=$AB$60,$AD$60,E1195=$AB$61,$AD$61,E1195=$AB$62,$AD$62,E1195=$AB$63,$AD$63,E1195=$AB$64,$AD$64,E1195=$AB$65,$AD$65,E1195=$AB$66,$AD$66,TRUE,"0")</f>
        <v xml:space="preserve">BFM </v>
      </c>
      <c r="E1195" s="163" t="s">
        <v>623</v>
      </c>
      <c r="F1195" s="2" t="s">
        <v>77</v>
      </c>
      <c r="G1195" s="2" t="s">
        <v>156</v>
      </c>
      <c r="H1195" s="3">
        <v>45409.604166666664</v>
      </c>
      <c r="I1195" s="2" t="s">
        <v>157</v>
      </c>
      <c r="J1195" s="2" t="s">
        <v>182</v>
      </c>
      <c r="K1195" s="2">
        <v>4.4000000000000004</v>
      </c>
      <c r="L1195" s="2">
        <v>20</v>
      </c>
      <c r="M1195" s="2">
        <v>3.35</v>
      </c>
      <c r="N1195" s="2">
        <v>31</v>
      </c>
      <c r="O1195" s="2">
        <v>2</v>
      </c>
      <c r="P1195" s="2">
        <v>10</v>
      </c>
      <c r="Q1195" s="2" t="s">
        <v>95</v>
      </c>
      <c r="R1195" s="10" t="s">
        <v>216</v>
      </c>
      <c r="S1195" s="10" t="s">
        <v>222</v>
      </c>
      <c r="T1195" s="188">
        <v>1000</v>
      </c>
      <c r="U1195" s="8">
        <f t="shared" si="138"/>
        <v>180</v>
      </c>
      <c r="V1195" s="234">
        <f t="shared" si="139"/>
        <v>114264.1552461603</v>
      </c>
      <c r="W1195" s="15">
        <v>25</v>
      </c>
      <c r="X1195" s="8">
        <f t="shared" si="140"/>
        <v>4.5</v>
      </c>
      <c r="Y1195" s="233">
        <f t="shared" si="141"/>
        <v>4722.5</v>
      </c>
    </row>
    <row r="1196" spans="1:25">
      <c r="A1196" s="156" t="e" cm="1">
        <f t="array" aca="1" ref="A1196" ca="1">_xlfn.IFS(E1196=$AB$42,$AC$42,E1196=$AB$43,$AC$43,E1196=$AB$44,$AC$44,E1196=$AB$45,$AC$45,E1196=$AB$46,$AC$46,E1196=$AB$47,$AC$47,E1196=$AB$48,$AC$48,E1196=$AB$49,$AC$49,E1196=$AB$50,$AC$50,E1196=$AB$51,$AC$51,E1196=$AB$52,$AC$52,E1196=$AB$53,$AC$53,E1196=$AB$54,$AC$54,E1196=$AB$55,$AC$55,E1196=$AB$56,$AC$56,E1196=$AB$57,$AC$57,E1196=$AB$58,$AC$58,E1196=$AB$59,$AC$59,E1196=$AB$60,$AC$60,E1196=$AB$61,$AC$61,E1196=$AB$62,$AC$62,E1196=$AB$63,$AC$63,E1196=$AB$64,$AC$64,E1196=$AB$65,$AC$65,E1196=$AB$66,$AC$66,TRUE,"0")</f>
        <v>#NAME?</v>
      </c>
      <c r="C1196" s="161" t="str" cm="1">
        <f t="array" ref="C1196">_xlfn.IFS(E1196=$AB$42,$AF$42,E1196=$AB$43,$AF$43,E1196=$AB$44,$AF$44,E1196=$AB$45,$AF$45,E1196=$AB$46,$AF$46,E1196=$AB$47,$AF$47,E1196=$AB$48,$AF$48,E1196=$AB$49,$AF$49,E1196=$AB$50,$AF$50,E1196=$AB$51,$AF$51,E1196=$AB$52,$AF$52,E1196=$AB$53,$AF$53,E1196=$AB$54,$AF$54,E1196=$AB$55,$AF$55,E1196=$AB$56,$AF$56,E1196=$AB$57,$AF$57,E1196=$AB$58,$AF$58,E1196=$AB$59,$AF$59,E1196=$AB$60,$AF$60,E1196=$AB$61,$AF$61,E1196=$AB$62,$AF$62,E1196=$AB$63,$AF$63,E1196=$AB$64,$AF$64,E1196=$AB$65,$AF$65,E1196=$AB$66,$AF$66,TRUE,"0")</f>
        <v>if 0-0, BACK+ 0.5 GOALS  @ 1.15+odds.  or @ 40 mins</v>
      </c>
      <c r="D1196" s="270" t="str" cm="1">
        <f t="array" ref="D1196">_xlfn.IFS(E1196=$AB$42,$AD$42,E1196=$AB$43,$AD$43,E1196=$AB$44,$AD$44,E1196=$AB$45,$AD$45,E1196=$AB$46,$AD$46,E1196=$AB$47,$AD$47,E1196=$AB$48,$AD$48,E1196=$AB$49,$AD$49,E1196=$AB$50,$AD$50,E1196=$AB$51,$AD$51,E1196=$AB$52,$AD$52,E1196=$AB$53,$AD$53,E1196=$AB$54,$AD$54,E1196=$AB$55,$AD$55,E1196=$AB$56,$AD$56,E1196=$AB$57,$AD$57,E1196=$AB$58,$AD$58,E1196=$AB$59,$AD$59,E1196=$AB$60,$AD$60,E1196=$AB$61,$AD$61,E1196=$AB$62,$AD$62,E1196=$AB$63,$AD$63,E1196=$AB$64,$AD$64,E1196=$AB$65,$AD$65,E1196=$AB$66,$AD$66,TRUE,"0")</f>
        <v>IP</v>
      </c>
      <c r="E1196" s="163" t="s">
        <v>270</v>
      </c>
      <c r="F1196" s="2" t="s">
        <v>77</v>
      </c>
      <c r="G1196" s="2" t="s">
        <v>156</v>
      </c>
      <c r="H1196" s="3">
        <v>45409.604166666664</v>
      </c>
      <c r="I1196" s="2" t="s">
        <v>157</v>
      </c>
      <c r="J1196" s="2" t="s">
        <v>182</v>
      </c>
      <c r="K1196" s="2">
        <v>61</v>
      </c>
      <c r="L1196" s="2">
        <v>0</v>
      </c>
      <c r="M1196" s="2">
        <v>20</v>
      </c>
      <c r="N1196" s="2">
        <v>31</v>
      </c>
      <c r="O1196" s="2">
        <v>3.34</v>
      </c>
      <c r="P1196" s="2"/>
      <c r="Q1196" s="2" t="s">
        <v>95</v>
      </c>
      <c r="R1196" s="10" t="s">
        <v>216</v>
      </c>
      <c r="S1196" s="10" t="s">
        <v>222</v>
      </c>
      <c r="T1196" s="188">
        <v>1000</v>
      </c>
      <c r="U1196" s="8">
        <f t="shared" si="138"/>
        <v>180</v>
      </c>
      <c r="V1196" s="234">
        <f t="shared" si="139"/>
        <v>114444.1552461603</v>
      </c>
      <c r="W1196" s="15">
        <v>25</v>
      </c>
      <c r="X1196" s="8">
        <f t="shared" si="140"/>
        <v>4.5</v>
      </c>
      <c r="Y1196" s="233">
        <f t="shared" si="141"/>
        <v>4727</v>
      </c>
    </row>
    <row r="1197" spans="1:25">
      <c r="A1197" s="156" t="e" cm="1">
        <f t="array" aca="1" ref="A1197" ca="1">_xlfn.IFS(E1197=$AB$42,$AC$42,E1197=$AB$43,$AC$43,E1197=$AB$44,$AC$44,E1197=$AB$45,$AC$45,E1197=$AB$46,$AC$46,E1197=$AB$47,$AC$47,E1197=$AB$48,$AC$48,E1197=$AB$49,$AC$49,E1197=$AB$50,$AC$50,E1197=$AB$51,$AC$51,E1197=$AB$52,$AC$52,E1197=$AB$53,$AC$53,E1197=$AB$54,$AC$54,E1197=$AB$55,$AC$55,E1197=$AB$56,$AC$56,E1197=$AB$57,$AC$57,E1197=$AB$58,$AC$58,E1197=$AB$59,$AC$59,E1197=$AB$60,$AC$60,E1197=$AB$61,$AC$61,E1197=$AB$62,$AC$62,E1197=$AB$63,$AC$63,E1197=$AB$64,$AC$64,E1197=$AB$65,$AC$65,E1197=$AB$66,$AC$66,TRUE,"0")</f>
        <v>#NAME?</v>
      </c>
      <c r="C1197" s="161" t="str" cm="1">
        <f t="array" ref="C1197">_xlfn.IFS(E1197=$AB$42,$AF$42,E1197=$AB$43,$AF$43,E1197=$AB$44,$AF$44,E1197=$AB$45,$AF$45,E1197=$AB$46,$AF$46,E1197=$AB$47,$AF$47,E1197=$AB$48,$AF$48,E1197=$AB$49,$AF$49,E1197=$AB$50,$AF$50,E1197=$AB$51,$AF$51,E1197=$AB$52,$AF$52,E1197=$AB$53,$AF$53,E1197=$AB$54,$AF$54,E1197=$AB$55,$AF$55,E1197=$AB$56,$AF$56,E1197=$AB$57,$AF$57,E1197=$AB$58,$AF$58,E1197=$AB$59,$AF$59,E1197=$AB$60,$AF$60,E1197=$AB$61,$AF$61,E1197=$AB$62,$AF$62,E1197=$AB$63,$AF$63,E1197=$AB$64,$AF$64,E1197=$AB$65,$AF$65,E1197=$AB$66,$AF$66,TRUE,"0")</f>
        <v>B4 match BACK FT +1.5 goals. X AFTER  GOAL</v>
      </c>
      <c r="D1197" s="270" t="str" cm="1">
        <f t="array" ref="D1197">_xlfn.IFS(E1197=$AB$42,$AD$42,E1197=$AB$43,$AD$43,E1197=$AB$44,$AD$44,E1197=$AB$45,$AD$45,E1197=$AB$46,$AD$46,E1197=$AB$47,$AD$47,E1197=$AB$48,$AD$48,E1197=$AB$49,$AD$49,E1197=$AB$50,$AD$50,E1197=$AB$51,$AD$51,E1197=$AB$52,$AD$52,E1197=$AB$53,$AD$53,E1197=$AB$54,$AD$54,E1197=$AB$55,$AD$55,E1197=$AB$56,$AD$56,E1197=$AB$57,$AD$57,E1197=$AB$58,$AD$58,E1197=$AB$59,$AD$59,E1197=$AB$60,$AD$60,E1197=$AB$61,$AD$61,E1197=$AB$62,$AD$62,E1197=$AB$63,$AD$63,E1197=$AB$64,$AD$64,E1197=$AB$65,$AD$65,E1197=$AB$66,$AD$66,TRUE,"0")</f>
        <v xml:space="preserve">BFM </v>
      </c>
      <c r="E1197" s="163" t="s">
        <v>623</v>
      </c>
      <c r="F1197" s="2" t="s">
        <v>77</v>
      </c>
      <c r="G1197" s="2" t="s">
        <v>156</v>
      </c>
      <c r="H1197" s="3">
        <v>45409.604166666664</v>
      </c>
      <c r="I1197" s="2" t="s">
        <v>284</v>
      </c>
      <c r="J1197" s="2" t="s">
        <v>254</v>
      </c>
      <c r="K1197" s="2">
        <v>6</v>
      </c>
      <c r="L1197" s="2">
        <v>20</v>
      </c>
      <c r="M1197" s="2">
        <v>2.4500000000000002</v>
      </c>
      <c r="N1197" s="2">
        <v>35</v>
      </c>
      <c r="O1197" s="2">
        <v>0</v>
      </c>
      <c r="P1197" s="2">
        <v>10</v>
      </c>
      <c r="Q1197" s="2" t="s">
        <v>95</v>
      </c>
      <c r="R1197" s="10" t="s">
        <v>221</v>
      </c>
      <c r="S1197" s="10" t="s">
        <v>218</v>
      </c>
      <c r="T1197" s="188">
        <v>1000</v>
      </c>
      <c r="U1197" s="8">
        <f t="shared" si="138"/>
        <v>180</v>
      </c>
      <c r="V1197" s="234">
        <f t="shared" si="139"/>
        <v>114624.1552461603</v>
      </c>
      <c r="W1197" s="15">
        <v>25</v>
      </c>
      <c r="X1197" s="8">
        <f t="shared" si="140"/>
        <v>4.5</v>
      </c>
      <c r="Y1197" s="233">
        <f t="shared" si="141"/>
        <v>4731.5</v>
      </c>
    </row>
    <row r="1198" spans="1:25">
      <c r="A1198" s="156" t="e" cm="1">
        <f t="array" aca="1" ref="A1198" ca="1">_xlfn.IFS(E1198=$AB$42,$AC$42,E1198=$AB$43,$AC$43,E1198=$AB$44,$AC$44,E1198=$AB$45,$AC$45,E1198=$AB$46,$AC$46,E1198=$AB$47,$AC$47,E1198=$AB$48,$AC$48,E1198=$AB$49,$AC$49,E1198=$AB$50,$AC$50,E1198=$AB$51,$AC$51,E1198=$AB$52,$AC$52,E1198=$AB$53,$AC$53,E1198=$AB$54,$AC$54,E1198=$AB$55,$AC$55,E1198=$AB$56,$AC$56,E1198=$AB$57,$AC$57,E1198=$AB$58,$AC$58,E1198=$AB$59,$AC$59,E1198=$AB$60,$AC$60,E1198=$AB$61,$AC$61,E1198=$AB$62,$AC$62,E1198=$AB$63,$AC$63,E1198=$AB$64,$AC$64,E1198=$AB$65,$AC$65,E1198=$AB$66,$AC$66,TRUE,"0")</f>
        <v>#NAME?</v>
      </c>
      <c r="C1198" s="161" t="str" cm="1">
        <f t="array" ref="C1198">_xlfn.IFS(E1198=$AB$42,$AF$42,E1198=$AB$43,$AF$43,E1198=$AB$44,$AF$44,E1198=$AB$45,$AF$45,E1198=$AB$46,$AF$46,E1198=$AB$47,$AF$47,E1198=$AB$48,$AF$48,E1198=$AB$49,$AF$49,E1198=$AB$50,$AF$50,E1198=$AB$51,$AF$51,E1198=$AB$52,$AF$52,E1198=$AB$53,$AF$53,E1198=$AB$54,$AF$54,E1198=$AB$55,$AF$55,E1198=$AB$56,$AF$56,E1198=$AB$57,$AF$57,E1198=$AB$58,$AF$58,E1198=$AB$59,$AF$59,E1198=$AB$60,$AF$60,E1198=$AB$61,$AF$61,E1198=$AB$62,$AF$62,E1198=$AB$63,$AF$63,E1198=$AB$64,$AF$64,E1198=$AB$65,$AF$65,E1198=$AB$66,$AF$66,TRUE,"0")</f>
        <v>if 0-0, BACK+ 0.5 GOALS  @ 1.15+odds.  or @ 40 mins</v>
      </c>
      <c r="D1198" s="270" t="str" cm="1">
        <f t="array" ref="D1198">_xlfn.IFS(E1198=$AB$42,$AD$42,E1198=$AB$43,$AD$43,E1198=$AB$44,$AD$44,E1198=$AB$45,$AD$45,E1198=$AB$46,$AD$46,E1198=$AB$47,$AD$47,E1198=$AB$48,$AD$48,E1198=$AB$49,$AD$49,E1198=$AB$50,$AD$50,E1198=$AB$51,$AD$51,E1198=$AB$52,$AD$52,E1198=$AB$53,$AD$53,E1198=$AB$54,$AD$54,E1198=$AB$55,$AD$55,E1198=$AB$56,$AD$56,E1198=$AB$57,$AD$57,E1198=$AB$58,$AD$58,E1198=$AB$59,$AD$59,E1198=$AB$60,$AD$60,E1198=$AB$61,$AD$61,E1198=$AB$62,$AD$62,E1198=$AB$63,$AD$63,E1198=$AB$64,$AD$64,E1198=$AB$65,$AD$65,E1198=$AB$66,$AD$66,TRUE,"0")</f>
        <v>IP</v>
      </c>
      <c r="E1198" s="163" t="s">
        <v>270</v>
      </c>
      <c r="F1198" s="2" t="s">
        <v>77</v>
      </c>
      <c r="G1198" s="2" t="s">
        <v>156</v>
      </c>
      <c r="H1198" s="3">
        <v>45409.604166666664</v>
      </c>
      <c r="I1198" s="2" t="s">
        <v>284</v>
      </c>
      <c r="J1198" s="2" t="s">
        <v>254</v>
      </c>
      <c r="K1198" s="2">
        <v>61</v>
      </c>
      <c r="L1198" s="2">
        <v>0</v>
      </c>
      <c r="M1198" s="2">
        <v>20</v>
      </c>
      <c r="N1198" s="2">
        <v>35</v>
      </c>
      <c r="O1198" s="2">
        <v>3.09</v>
      </c>
      <c r="P1198" s="2"/>
      <c r="Q1198" s="2" t="s">
        <v>95</v>
      </c>
      <c r="R1198" s="10" t="s">
        <v>221</v>
      </c>
      <c r="S1198" s="10" t="s">
        <v>218</v>
      </c>
      <c r="T1198" s="188">
        <v>1000</v>
      </c>
      <c r="U1198" s="8">
        <f t="shared" si="138"/>
        <v>180</v>
      </c>
      <c r="V1198" s="234">
        <f t="shared" si="139"/>
        <v>114804.1552461603</v>
      </c>
      <c r="W1198" s="15">
        <v>25</v>
      </c>
      <c r="X1198" s="8">
        <f t="shared" si="140"/>
        <v>4.5</v>
      </c>
      <c r="Y1198" s="233">
        <f t="shared" si="141"/>
        <v>4736</v>
      </c>
    </row>
    <row r="1199" spans="1:25">
      <c r="A1199" s="156" t="e" cm="1">
        <f t="array" aca="1" ref="A1199" ca="1">_xlfn.IFS(E1199=$AB$42,$AC$42,E1199=$AB$43,$AC$43,E1199=$AB$44,$AC$44,E1199=$AB$45,$AC$45,E1199=$AB$46,$AC$46,E1199=$AB$47,$AC$47,E1199=$AB$48,$AC$48,E1199=$AB$49,$AC$49,E1199=$AB$50,$AC$50,E1199=$AB$51,$AC$51,E1199=$AB$52,$AC$52,E1199=$AB$53,$AC$53,E1199=$AB$54,$AC$54,E1199=$AB$55,$AC$55,E1199=$AB$56,$AC$56,E1199=$AB$57,$AC$57,E1199=$AB$58,$AC$58,E1199=$AB$59,$AC$59,E1199=$AB$60,$AC$60,E1199=$AB$61,$AC$61,E1199=$AB$62,$AC$62,E1199=$AB$63,$AC$63,E1199=$AB$64,$AC$64,E1199=$AB$65,$AC$65,E1199=$AB$66,$AC$66,TRUE,"0")</f>
        <v>#NAME?</v>
      </c>
      <c r="C1199" s="161" t="str" cm="1">
        <f t="array" ref="C1199">_xlfn.IFS(E1199=$AB$42,$AF$42,E1199=$AB$43,$AF$43,E1199=$AB$44,$AF$44,E1199=$AB$45,$AF$45,E1199=$AB$46,$AF$46,E1199=$AB$47,$AF$47,E1199=$AB$48,$AF$48,E1199=$AB$49,$AF$49,E1199=$AB$50,$AF$50,E1199=$AB$51,$AF$51,E1199=$AB$52,$AF$52,E1199=$AB$53,$AF$53,E1199=$AB$54,$AF$54,E1199=$AB$55,$AF$55,E1199=$AB$56,$AF$56,E1199=$AB$57,$AF$57,E1199=$AB$58,$AF$58,E1199=$AB$59,$AF$59,E1199=$AB$60,$AF$60,E1199=$AB$61,$AF$61,E1199=$AB$62,$AF$62,E1199=$AB$63,$AF$63,E1199=$AB$64,$AF$64,E1199=$AB$65,$AF$65,E1199=$AB$66,$AF$66,TRUE,"0")</f>
        <v>B4 match BACK FT +1.5 goals. X AFTER  GOAL</v>
      </c>
      <c r="D1199" s="270" t="str" cm="1">
        <f t="array" ref="D1199">_xlfn.IFS(E1199=$AB$42,$AD$42,E1199=$AB$43,$AD$43,E1199=$AB$44,$AD$44,E1199=$AB$45,$AD$45,E1199=$AB$46,$AD$46,E1199=$AB$47,$AD$47,E1199=$AB$48,$AD$48,E1199=$AB$49,$AD$49,E1199=$AB$50,$AD$50,E1199=$AB$51,$AD$51,E1199=$AB$52,$AD$52,E1199=$AB$53,$AD$53,E1199=$AB$54,$AD$54,E1199=$AB$55,$AD$55,E1199=$AB$56,$AD$56,E1199=$AB$57,$AD$57,E1199=$AB$58,$AD$58,E1199=$AB$59,$AD$59,E1199=$AB$60,$AD$60,E1199=$AB$61,$AD$61,E1199=$AB$62,$AD$62,E1199=$AB$63,$AD$63,E1199=$AB$64,$AD$64,E1199=$AB$65,$AD$65,E1199=$AB$66,$AD$66,TRUE,"0")</f>
        <v xml:space="preserve">BFM </v>
      </c>
      <c r="E1199" s="163" t="s">
        <v>623</v>
      </c>
      <c r="F1199" s="2" t="s">
        <v>77</v>
      </c>
      <c r="G1199" s="2" t="s">
        <v>156</v>
      </c>
      <c r="H1199" s="3">
        <v>45409.604166666664</v>
      </c>
      <c r="I1199" s="2" t="s">
        <v>181</v>
      </c>
      <c r="J1199" s="2" t="s">
        <v>552</v>
      </c>
      <c r="K1199" s="2">
        <v>4.9000000000000004</v>
      </c>
      <c r="L1199" s="2">
        <v>20</v>
      </c>
      <c r="M1199" s="2">
        <v>2.4500000000000002</v>
      </c>
      <c r="N1199" s="2">
        <v>16</v>
      </c>
      <c r="O1199" s="2">
        <v>0</v>
      </c>
      <c r="P1199" s="2">
        <v>10</v>
      </c>
      <c r="Q1199" s="2" t="s">
        <v>95</v>
      </c>
      <c r="R1199" s="10" t="s">
        <v>222</v>
      </c>
      <c r="S1199" s="10" t="s">
        <v>196</v>
      </c>
      <c r="T1199" s="188">
        <v>1000</v>
      </c>
      <c r="U1199" s="8">
        <f t="shared" si="138"/>
        <v>180</v>
      </c>
      <c r="V1199" s="234">
        <f t="shared" si="139"/>
        <v>114984.1552461603</v>
      </c>
      <c r="W1199" s="15">
        <v>25</v>
      </c>
      <c r="X1199" s="8">
        <f t="shared" si="140"/>
        <v>4.5</v>
      </c>
      <c r="Y1199" s="233">
        <f t="shared" si="141"/>
        <v>4740.5</v>
      </c>
    </row>
    <row r="1200" spans="1:25">
      <c r="A1200" s="156" t="e" cm="1">
        <f t="array" aca="1" ref="A1200" ca="1">_xlfn.IFS(E1200=$AB$42,$AC$42,E1200=$AB$43,$AC$43,E1200=$AB$44,$AC$44,E1200=$AB$45,$AC$45,E1200=$AB$46,$AC$46,E1200=$AB$47,$AC$47,E1200=$AB$48,$AC$48,E1200=$AB$49,$AC$49,E1200=$AB$50,$AC$50,E1200=$AB$51,$AC$51,E1200=$AB$52,$AC$52,E1200=$AB$53,$AC$53,E1200=$AB$54,$AC$54,E1200=$AB$55,$AC$55,E1200=$AB$56,$AC$56,E1200=$AB$57,$AC$57,E1200=$AB$58,$AC$58,E1200=$AB$59,$AC$59,E1200=$AB$60,$AC$60,E1200=$AB$61,$AC$61,E1200=$AB$62,$AC$62,E1200=$AB$63,$AC$63,E1200=$AB$64,$AC$64,E1200=$AB$65,$AC$65,E1200=$AB$66,$AC$66,TRUE,"0")</f>
        <v>#NAME?</v>
      </c>
      <c r="C1200" s="161" t="str" cm="1">
        <f t="array" ref="C1200">_xlfn.IFS(E1200=$AB$42,$AF$42,E1200=$AB$43,$AF$43,E1200=$AB$44,$AF$44,E1200=$AB$45,$AF$45,E1200=$AB$46,$AF$46,E1200=$AB$47,$AF$47,E1200=$AB$48,$AF$48,E1200=$AB$49,$AF$49,E1200=$AB$50,$AF$50,E1200=$AB$51,$AF$51,E1200=$AB$52,$AF$52,E1200=$AB$53,$AF$53,E1200=$AB$54,$AF$54,E1200=$AB$55,$AF$55,E1200=$AB$56,$AF$56,E1200=$AB$57,$AF$57,E1200=$AB$58,$AF$58,E1200=$AB$59,$AF$59,E1200=$AB$60,$AF$60,E1200=$AB$61,$AF$61,E1200=$AB$62,$AF$62,E1200=$AB$63,$AF$63,E1200=$AB$64,$AF$64,E1200=$AB$65,$AF$65,E1200=$AB$66,$AF$66,TRUE,"0")</f>
        <v>B4 match BACK FT +1.5 goals. X AFTER  GOAL</v>
      </c>
      <c r="D1200" s="270" t="str" cm="1">
        <f t="array" ref="D1200">_xlfn.IFS(E1200=$AB$42,$AD$42,E1200=$AB$43,$AD$43,E1200=$AB$44,$AD$44,E1200=$AB$45,$AD$45,E1200=$AB$46,$AD$46,E1200=$AB$47,$AD$47,E1200=$AB$48,$AD$48,E1200=$AB$49,$AD$49,E1200=$AB$50,$AD$50,E1200=$AB$51,$AD$51,E1200=$AB$52,$AD$52,E1200=$AB$53,$AD$53,E1200=$AB$54,$AD$54,E1200=$AB$55,$AD$55,E1200=$AB$56,$AD$56,E1200=$AB$57,$AD$57,E1200=$AB$58,$AD$58,E1200=$AB$59,$AD$59,E1200=$AB$60,$AD$60,E1200=$AB$61,$AD$61,E1200=$AB$62,$AD$62,E1200=$AB$63,$AD$63,E1200=$AB$64,$AD$64,E1200=$AB$65,$AD$65,E1200=$AB$66,$AD$66,TRUE,"0")</f>
        <v xml:space="preserve">BFM </v>
      </c>
      <c r="E1200" s="163" t="s">
        <v>531</v>
      </c>
      <c r="F1200" s="2" t="s">
        <v>13</v>
      </c>
      <c r="G1200" s="2" t="s">
        <v>11</v>
      </c>
      <c r="H1200" s="3">
        <v>45409.625</v>
      </c>
      <c r="I1200" s="2" t="s">
        <v>615</v>
      </c>
      <c r="J1200" s="2" t="s">
        <v>140</v>
      </c>
      <c r="K1200" s="2">
        <v>5.3</v>
      </c>
      <c r="L1200" s="2">
        <v>34</v>
      </c>
      <c r="M1200" s="2">
        <v>3.53</v>
      </c>
      <c r="N1200" s="2">
        <v>25</v>
      </c>
      <c r="O1200" s="2">
        <v>5</v>
      </c>
      <c r="P1200" s="2">
        <v>17</v>
      </c>
      <c r="Q1200" s="2" t="s">
        <v>95</v>
      </c>
      <c r="R1200" s="10" t="s">
        <v>216</v>
      </c>
      <c r="S1200" s="10" t="s">
        <v>279</v>
      </c>
      <c r="T1200" s="188">
        <v>1000</v>
      </c>
      <c r="U1200" s="8">
        <f t="shared" si="138"/>
        <v>180</v>
      </c>
      <c r="V1200" s="234">
        <f t="shared" si="139"/>
        <v>115164.1552461603</v>
      </c>
      <c r="W1200" s="15">
        <v>25</v>
      </c>
      <c r="X1200" s="8">
        <f t="shared" si="140"/>
        <v>4.5</v>
      </c>
      <c r="Y1200" s="233">
        <f t="shared" si="141"/>
        <v>4745</v>
      </c>
    </row>
    <row r="1201" spans="1:25">
      <c r="A1201" s="156" t="e" cm="1">
        <f t="array" aca="1" ref="A1201" ca="1">_xlfn.IFS(E1201=$AB$42,$AC$42,E1201=$AB$43,$AC$43,E1201=$AB$44,$AC$44,E1201=$AB$45,$AC$45,E1201=$AB$46,$AC$46,E1201=$AB$47,$AC$47,E1201=$AB$48,$AC$48,E1201=$AB$49,$AC$49,E1201=$AB$50,$AC$50,E1201=$AB$51,$AC$51,E1201=$AB$52,$AC$52,E1201=$AB$53,$AC$53,E1201=$AB$54,$AC$54,E1201=$AB$55,$AC$55,E1201=$AB$56,$AC$56,E1201=$AB$57,$AC$57,E1201=$AB$58,$AC$58,E1201=$AB$59,$AC$59,E1201=$AB$60,$AC$60,E1201=$AB$61,$AC$61,E1201=$AB$62,$AC$62,E1201=$AB$63,$AC$63,E1201=$AB$64,$AC$64,E1201=$AB$65,$AC$65,E1201=$AB$66,$AC$66,TRUE,"0")</f>
        <v>#NAME?</v>
      </c>
      <c r="C1201" s="161" t="str" cm="1">
        <f t="array" ref="C1201">_xlfn.IFS(E1201=$AB$42,$AF$42,E1201=$AB$43,$AF$43,E1201=$AB$44,$AF$44,E1201=$AB$45,$AF$45,E1201=$AB$46,$AF$46,E1201=$AB$47,$AF$47,E1201=$AB$48,$AF$48,E1201=$AB$49,$AF$49,E1201=$AB$50,$AF$50,E1201=$AB$51,$AF$51,E1201=$AB$52,$AF$52,E1201=$AB$53,$AF$53,E1201=$AB$54,$AF$54,E1201=$AB$55,$AF$55,E1201=$AB$56,$AF$56,E1201=$AB$57,$AF$57,E1201=$AB$58,$AF$58,E1201=$AB$59,$AF$59,E1201=$AB$60,$AF$60,E1201=$AB$61,$AF$61,E1201=$AB$62,$AF$62,E1201=$AB$63,$AF$63,E1201=$AB$64,$AF$64,E1201=$AB$65,$AF$65,E1201=$AB$66,$AF$66,TRUE,"0")</f>
        <v>B4 match BACK FT +1.5 goals. X AFTER  GOAL</v>
      </c>
      <c r="D1201" s="270" t="str" cm="1">
        <f t="array" ref="D1201">_xlfn.IFS(E1201=$AB$42,$AD$42,E1201=$AB$43,$AD$43,E1201=$AB$44,$AD$44,E1201=$AB$45,$AD$45,E1201=$AB$46,$AD$46,E1201=$AB$47,$AD$47,E1201=$AB$48,$AD$48,E1201=$AB$49,$AD$49,E1201=$AB$50,$AD$50,E1201=$AB$51,$AD$51,E1201=$AB$52,$AD$52,E1201=$AB$53,$AD$53,E1201=$AB$54,$AD$54,E1201=$AB$55,$AD$55,E1201=$AB$56,$AD$56,E1201=$AB$57,$AD$57,E1201=$AB$58,$AD$58,E1201=$AB$59,$AD$59,E1201=$AB$60,$AD$60,E1201=$AB$61,$AD$61,E1201=$AB$62,$AD$62,E1201=$AB$63,$AD$63,E1201=$AB$64,$AD$64,E1201=$AB$65,$AD$65,E1201=$AB$66,$AD$66,TRUE,"0")</f>
        <v xml:space="preserve">BFM </v>
      </c>
      <c r="E1201" s="163" t="s">
        <v>623</v>
      </c>
      <c r="F1201" s="2" t="s">
        <v>6</v>
      </c>
      <c r="G1201" s="2" t="s">
        <v>7</v>
      </c>
      <c r="H1201" s="3">
        <v>45409.625</v>
      </c>
      <c r="I1201" s="2" t="s">
        <v>619</v>
      </c>
      <c r="J1201" s="2" t="s">
        <v>397</v>
      </c>
      <c r="K1201" s="2">
        <v>4.8</v>
      </c>
      <c r="L1201" s="2">
        <v>20</v>
      </c>
      <c r="M1201" s="2">
        <v>2.25</v>
      </c>
      <c r="N1201" s="2">
        <v>35</v>
      </c>
      <c r="O1201" s="2">
        <v>2</v>
      </c>
      <c r="P1201" s="2">
        <v>10</v>
      </c>
      <c r="Q1201" s="2" t="s">
        <v>95</v>
      </c>
      <c r="R1201" s="10" t="s">
        <v>220</v>
      </c>
      <c r="S1201" s="10" t="s">
        <v>196</v>
      </c>
      <c r="T1201" s="188">
        <v>1000</v>
      </c>
      <c r="U1201" s="8">
        <f t="shared" si="138"/>
        <v>180</v>
      </c>
      <c r="V1201" s="234">
        <f t="shared" si="139"/>
        <v>115344.1552461603</v>
      </c>
      <c r="W1201" s="15">
        <v>25</v>
      </c>
      <c r="X1201" s="8">
        <f t="shared" si="140"/>
        <v>4.5</v>
      </c>
      <c r="Y1201" s="233">
        <f t="shared" si="141"/>
        <v>4749.5</v>
      </c>
    </row>
    <row r="1202" spans="1:25">
      <c r="A1202" s="156" t="e" cm="1">
        <f t="array" aca="1" ref="A1202" ca="1">_xlfn.IFS(E1202=$AB$42,$AC$42,E1202=$AB$43,$AC$43,E1202=$AB$44,$AC$44,E1202=$AB$45,$AC$45,E1202=$AB$46,$AC$46,E1202=$AB$47,$AC$47,E1202=$AB$48,$AC$48,E1202=$AB$49,$AC$49,E1202=$AB$50,$AC$50,E1202=$AB$51,$AC$51,E1202=$AB$52,$AC$52,E1202=$AB$53,$AC$53,E1202=$AB$54,$AC$54,E1202=$AB$55,$AC$55,E1202=$AB$56,$AC$56,E1202=$AB$57,$AC$57,E1202=$AB$58,$AC$58,E1202=$AB$59,$AC$59,E1202=$AB$60,$AC$60,E1202=$AB$61,$AC$61,E1202=$AB$62,$AC$62,E1202=$AB$63,$AC$63,E1202=$AB$64,$AC$64,E1202=$AB$65,$AC$65,E1202=$AB$66,$AC$66,TRUE,"0")</f>
        <v>#NAME?</v>
      </c>
      <c r="C1202" s="161" t="str" cm="1">
        <f t="array" ref="C1202">_xlfn.IFS(E1202=$AB$42,$AF$42,E1202=$AB$43,$AF$43,E1202=$AB$44,$AF$44,E1202=$AB$45,$AF$45,E1202=$AB$46,$AF$46,E1202=$AB$47,$AF$47,E1202=$AB$48,$AF$48,E1202=$AB$49,$AF$49,E1202=$AB$50,$AF$50,E1202=$AB$51,$AF$51,E1202=$AB$52,$AF$52,E1202=$AB$53,$AF$53,E1202=$AB$54,$AF$54,E1202=$AB$55,$AF$55,E1202=$AB$56,$AF$56,E1202=$AB$57,$AF$57,E1202=$AB$58,$AF$58,E1202=$AB$59,$AF$59,E1202=$AB$60,$AF$60,E1202=$AB$61,$AF$61,E1202=$AB$62,$AF$62,E1202=$AB$63,$AF$63,E1202=$AB$64,$AF$64,E1202=$AB$65,$AF$65,E1202=$AB$66,$AF$66,TRUE,"0")</f>
        <v>B4 match BACK FT +1.5 goals. X AFTER  GOAL</v>
      </c>
      <c r="D1202" s="270" t="str" cm="1">
        <f t="array" ref="D1202">_xlfn.IFS(E1202=$AB$42,$AD$42,E1202=$AB$43,$AD$43,E1202=$AB$44,$AD$44,E1202=$AB$45,$AD$45,E1202=$AB$46,$AD$46,E1202=$AB$47,$AD$47,E1202=$AB$48,$AD$48,E1202=$AB$49,$AD$49,E1202=$AB$50,$AD$50,E1202=$AB$51,$AD$51,E1202=$AB$52,$AD$52,E1202=$AB$53,$AD$53,E1202=$AB$54,$AD$54,E1202=$AB$55,$AD$55,E1202=$AB$56,$AD$56,E1202=$AB$57,$AD$57,E1202=$AB$58,$AD$58,E1202=$AB$59,$AD$59,E1202=$AB$60,$AD$60,E1202=$AB$61,$AD$61,E1202=$AB$62,$AD$62,E1202=$AB$63,$AD$63,E1202=$AB$64,$AD$64,E1202=$AB$65,$AD$65,E1202=$AB$66,$AD$66,TRUE,"0")</f>
        <v xml:space="preserve">BFM </v>
      </c>
      <c r="E1202" s="163" t="s">
        <v>406</v>
      </c>
      <c r="F1202" s="2" t="s">
        <v>6</v>
      </c>
      <c r="G1202" s="2" t="s">
        <v>14</v>
      </c>
      <c r="H1202" s="3">
        <v>45409.625</v>
      </c>
      <c r="I1202" s="2" t="s">
        <v>201</v>
      </c>
      <c r="J1202" s="2" t="s">
        <v>262</v>
      </c>
      <c r="K1202" s="2">
        <v>1.42</v>
      </c>
      <c r="L1202" s="2">
        <v>10</v>
      </c>
      <c r="M1202" s="2">
        <v>2.7</v>
      </c>
      <c r="N1202" s="2">
        <v>6.2</v>
      </c>
      <c r="O1202" s="2">
        <v>2.1800000000000002</v>
      </c>
      <c r="P1202" s="2"/>
      <c r="Q1202" s="2" t="s">
        <v>95</v>
      </c>
      <c r="R1202" s="10" t="s">
        <v>214</v>
      </c>
      <c r="S1202" s="10" t="s">
        <v>220</v>
      </c>
      <c r="T1202" s="188">
        <v>1000</v>
      </c>
      <c r="U1202" s="8">
        <f t="shared" si="138"/>
        <v>180</v>
      </c>
      <c r="V1202" s="234">
        <f t="shared" si="139"/>
        <v>115524.1552461603</v>
      </c>
      <c r="W1202" s="15">
        <v>25</v>
      </c>
      <c r="X1202" s="8">
        <f t="shared" si="140"/>
        <v>4.5</v>
      </c>
      <c r="Y1202" s="233">
        <f t="shared" si="141"/>
        <v>4754</v>
      </c>
    </row>
    <row r="1203" spans="1:25">
      <c r="A1203" s="156" t="e" cm="1">
        <f t="array" aca="1" ref="A1203" ca="1">_xlfn.IFS(E1203=$AB$42,$AC$42,E1203=$AB$43,$AC$43,E1203=$AB$44,$AC$44,E1203=$AB$45,$AC$45,E1203=$AB$46,$AC$46,E1203=$AB$47,$AC$47,E1203=$AB$48,$AC$48,E1203=$AB$49,$AC$49,E1203=$AB$50,$AC$50,E1203=$AB$51,$AC$51,E1203=$AB$52,$AC$52,E1203=$AB$53,$AC$53,E1203=$AB$54,$AC$54,E1203=$AB$55,$AC$55,E1203=$AB$56,$AC$56,E1203=$AB$57,$AC$57,E1203=$AB$58,$AC$58,E1203=$AB$59,$AC$59,E1203=$AB$60,$AC$60,E1203=$AB$61,$AC$61,E1203=$AB$62,$AC$62,E1203=$AB$63,$AC$63,E1203=$AB$64,$AC$64,E1203=$AB$65,$AC$65,E1203=$AB$66,$AC$66,TRUE,"0")</f>
        <v>#NAME?</v>
      </c>
      <c r="C1203" s="161" t="str" cm="1">
        <f t="array" ref="C1203">_xlfn.IFS(E1203=$AB$42,$AF$42,E1203=$AB$43,$AF$43,E1203=$AB$44,$AF$44,E1203=$AB$45,$AF$45,E1203=$AB$46,$AF$46,E1203=$AB$47,$AF$47,E1203=$AB$48,$AF$48,E1203=$AB$49,$AF$49,E1203=$AB$50,$AF$50,E1203=$AB$51,$AF$51,E1203=$AB$52,$AF$52,E1203=$AB$53,$AF$53,E1203=$AB$54,$AF$54,E1203=$AB$55,$AF$55,E1203=$AB$56,$AF$56,E1203=$AB$57,$AF$57,E1203=$AB$58,$AF$58,E1203=$AB$59,$AF$59,E1203=$AB$60,$AF$60,E1203=$AB$61,$AF$61,E1203=$AB$62,$AF$62,E1203=$AB$63,$AF$63,E1203=$AB$64,$AF$64,E1203=$AB$65,$AF$65,E1203=$AB$66,$AF$66,TRUE,"0")</f>
        <v>B4 match BACK FT +1.5 goals. X AFTER  GOAL</v>
      </c>
      <c r="D1203" s="270" t="str" cm="1">
        <f t="array" ref="D1203">_xlfn.IFS(E1203=$AB$42,$AD$42,E1203=$AB$43,$AD$43,E1203=$AB$44,$AD$44,E1203=$AB$45,$AD$45,E1203=$AB$46,$AD$46,E1203=$AB$47,$AD$47,E1203=$AB$48,$AD$48,E1203=$AB$49,$AD$49,E1203=$AB$50,$AD$50,E1203=$AB$51,$AD$51,E1203=$AB$52,$AD$52,E1203=$AB$53,$AD$53,E1203=$AB$54,$AD$54,E1203=$AB$55,$AD$55,E1203=$AB$56,$AD$56,E1203=$AB$57,$AD$57,E1203=$AB$58,$AD$58,E1203=$AB$59,$AD$59,E1203=$AB$60,$AD$60,E1203=$AB$61,$AD$61,E1203=$AB$62,$AD$62,E1203=$AB$63,$AD$63,E1203=$AB$64,$AD$64,E1203=$AB$65,$AD$65,E1203=$AB$66,$AD$66,TRUE,"0")</f>
        <v xml:space="preserve">BFM </v>
      </c>
      <c r="E1203" s="163" t="s">
        <v>623</v>
      </c>
      <c r="F1203" s="2" t="s">
        <v>6</v>
      </c>
      <c r="G1203" s="2" t="s">
        <v>14</v>
      </c>
      <c r="H1203" s="3">
        <v>45409.625</v>
      </c>
      <c r="I1203" s="2" t="s">
        <v>201</v>
      </c>
      <c r="J1203" s="2" t="s">
        <v>262</v>
      </c>
      <c r="K1203" s="2">
        <v>6.2</v>
      </c>
      <c r="L1203" s="2">
        <v>20</v>
      </c>
      <c r="M1203" s="2">
        <v>2.7</v>
      </c>
      <c r="N1203" s="2">
        <v>39</v>
      </c>
      <c r="O1203" s="2">
        <v>1</v>
      </c>
      <c r="P1203" s="2">
        <v>10</v>
      </c>
      <c r="Q1203" s="2" t="s">
        <v>95</v>
      </c>
      <c r="R1203" s="10" t="s">
        <v>214</v>
      </c>
      <c r="S1203" s="10" t="s">
        <v>220</v>
      </c>
      <c r="T1203" s="188">
        <v>1000</v>
      </c>
      <c r="U1203" s="8">
        <f t="shared" si="138"/>
        <v>180</v>
      </c>
      <c r="V1203" s="234">
        <f t="shared" si="139"/>
        <v>115704.1552461603</v>
      </c>
      <c r="W1203" s="15">
        <v>25</v>
      </c>
      <c r="X1203" s="8">
        <f t="shared" si="140"/>
        <v>4.5</v>
      </c>
      <c r="Y1203" s="233">
        <f t="shared" si="141"/>
        <v>4758.5</v>
      </c>
    </row>
    <row r="1204" spans="1:25">
      <c r="A1204" s="156" t="e" cm="1">
        <f t="array" aca="1" ref="A1204" ca="1">_xlfn.IFS(E1204=$AB$42,$AC$42,E1204=$AB$43,$AC$43,E1204=$AB$44,$AC$44,E1204=$AB$45,$AC$45,E1204=$AB$46,$AC$46,E1204=$AB$47,$AC$47,E1204=$AB$48,$AC$48,E1204=$AB$49,$AC$49,E1204=$AB$50,$AC$50,E1204=$AB$51,$AC$51,E1204=$AB$52,$AC$52,E1204=$AB$53,$AC$53,E1204=$AB$54,$AC$54,E1204=$AB$55,$AC$55,E1204=$AB$56,$AC$56,E1204=$AB$57,$AC$57,E1204=$AB$58,$AC$58,E1204=$AB$59,$AC$59,E1204=$AB$60,$AC$60,E1204=$AB$61,$AC$61,E1204=$AB$62,$AC$62,E1204=$AB$63,$AC$63,E1204=$AB$64,$AC$64,E1204=$AB$65,$AC$65,E1204=$AB$66,$AC$66,TRUE,"0")</f>
        <v>#NAME?</v>
      </c>
      <c r="C1204" s="161" t="str" cm="1">
        <f t="array" ref="C1204">_xlfn.IFS(E1204=$AB$42,$AF$42,E1204=$AB$43,$AF$43,E1204=$AB$44,$AF$44,E1204=$AB$45,$AF$45,E1204=$AB$46,$AF$46,E1204=$AB$47,$AF$47,E1204=$AB$48,$AF$48,E1204=$AB$49,$AF$49,E1204=$AB$50,$AF$50,E1204=$AB$51,$AF$51,E1204=$AB$52,$AF$52,E1204=$AB$53,$AF$53,E1204=$AB$54,$AF$54,E1204=$AB$55,$AF$55,E1204=$AB$56,$AF$56,E1204=$AB$57,$AF$57,E1204=$AB$58,$AF$58,E1204=$AB$59,$AF$59,E1204=$AB$60,$AF$60,E1204=$AB$61,$AF$61,E1204=$AB$62,$AF$62,E1204=$AB$63,$AF$63,E1204=$AB$64,$AF$64,E1204=$AB$65,$AF$65,E1204=$AB$66,$AF$66,TRUE,"0")</f>
        <v>10mins if  0-0, BACK over 1.5 goals X after goal OR LET RUN</v>
      </c>
      <c r="D1204" s="270" t="str" cm="1">
        <f t="array" ref="D1204">_xlfn.IFS(E1204=$AB$42,$AD$42,E1204=$AB$43,$AD$43,E1204=$AB$44,$AD$44,E1204=$AB$45,$AD$45,E1204=$AB$46,$AD$46,E1204=$AB$47,$AD$47,E1204=$AB$48,$AD$48,E1204=$AB$49,$AD$49,E1204=$AB$50,$AD$50,E1204=$AB$51,$AD$51,E1204=$AB$52,$AD$52,E1204=$AB$53,$AD$53,E1204=$AB$54,$AD$54,E1204=$AB$55,$AD$55,E1204=$AB$56,$AD$56,E1204=$AB$57,$AD$57,E1204=$AB$58,$AD$58,E1204=$AB$59,$AD$59,E1204=$AB$60,$AD$60,E1204=$AB$61,$AD$61,E1204=$AB$62,$AD$62,E1204=$AB$63,$AD$63,E1204=$AB$64,$AD$64,E1204=$AB$65,$AD$65,E1204=$AB$66,$AD$66,TRUE,"0")</f>
        <v>IP</v>
      </c>
      <c r="E1204" s="163" t="s">
        <v>498</v>
      </c>
      <c r="F1204" s="2" t="s">
        <v>6</v>
      </c>
      <c r="G1204" s="2" t="s">
        <v>14</v>
      </c>
      <c r="H1204" s="3">
        <v>45409.625</v>
      </c>
      <c r="I1204" s="2" t="s">
        <v>755</v>
      </c>
      <c r="J1204" s="2" t="s">
        <v>17</v>
      </c>
      <c r="K1204" s="2">
        <v>64</v>
      </c>
      <c r="L1204" s="2">
        <v>85</v>
      </c>
      <c r="M1204" s="2">
        <v>1.35</v>
      </c>
      <c r="N1204" s="2">
        <v>20</v>
      </c>
      <c r="O1204" s="2"/>
      <c r="P1204" s="2"/>
      <c r="Q1204" s="2" t="s">
        <v>95</v>
      </c>
      <c r="R1204" s="10" t="s">
        <v>193</v>
      </c>
      <c r="S1204" s="10" t="s">
        <v>791</v>
      </c>
      <c r="T1204" s="188">
        <v>1000</v>
      </c>
      <c r="U1204" s="8">
        <f t="shared" si="138"/>
        <v>180</v>
      </c>
      <c r="V1204" s="234">
        <f t="shared" si="139"/>
        <v>115884.1552461603</v>
      </c>
      <c r="W1204" s="15">
        <v>25</v>
      </c>
      <c r="X1204" s="8">
        <f t="shared" si="140"/>
        <v>4.5</v>
      </c>
      <c r="Y1204" s="233">
        <f t="shared" si="141"/>
        <v>4763</v>
      </c>
    </row>
    <row r="1205" spans="1:25">
      <c r="A1205" s="156" t="e" cm="1">
        <f t="array" aca="1" ref="A1205" ca="1">_xlfn.IFS(E1205=$AB$42,$AC$42,E1205=$AB$43,$AC$43,E1205=$AB$44,$AC$44,E1205=$AB$45,$AC$45,E1205=$AB$46,$AC$46,E1205=$AB$47,$AC$47,E1205=$AB$48,$AC$48,E1205=$AB$49,$AC$49,E1205=$AB$50,$AC$50,E1205=$AB$51,$AC$51,E1205=$AB$52,$AC$52,E1205=$AB$53,$AC$53,E1205=$AB$54,$AC$54,E1205=$AB$55,$AC$55,E1205=$AB$56,$AC$56,E1205=$AB$57,$AC$57,E1205=$AB$58,$AC$58,E1205=$AB$59,$AC$59,E1205=$AB$60,$AC$60,E1205=$AB$61,$AC$61,E1205=$AB$62,$AC$62,E1205=$AB$63,$AC$63,E1205=$AB$64,$AC$64,E1205=$AB$65,$AC$65,E1205=$AB$66,$AC$66,TRUE,"0")</f>
        <v>#NAME?</v>
      </c>
      <c r="C1205" s="161" t="str" cm="1">
        <f t="array" ref="C1205">_xlfn.IFS(E1205=$AB$42,$AF$42,E1205=$AB$43,$AF$43,E1205=$AB$44,$AF$44,E1205=$AB$45,$AF$45,E1205=$AB$46,$AF$46,E1205=$AB$47,$AF$47,E1205=$AB$48,$AF$48,E1205=$AB$49,$AF$49,E1205=$AB$50,$AF$50,E1205=$AB$51,$AF$51,E1205=$AB$52,$AF$52,E1205=$AB$53,$AF$53,E1205=$AB$54,$AF$54,E1205=$AB$55,$AF$55,E1205=$AB$56,$AF$56,E1205=$AB$57,$AF$57,E1205=$AB$58,$AF$58,E1205=$AB$59,$AF$59,E1205=$AB$60,$AF$60,E1205=$AB$61,$AF$61,E1205=$AB$62,$AF$62,E1205=$AB$63,$AF$63,E1205=$AB$64,$AF$64,E1205=$AB$65,$AF$65,E1205=$AB$66,$AF$66,TRUE,"0")</f>
        <v>B4 match BACK FT +1.5 goals. X AFTER  GOAL</v>
      </c>
      <c r="D1205" s="270" t="str" cm="1">
        <f t="array" ref="D1205">_xlfn.IFS(E1205=$AB$42,$AD$42,E1205=$AB$43,$AD$43,E1205=$AB$44,$AD$44,E1205=$AB$45,$AD$45,E1205=$AB$46,$AD$46,E1205=$AB$47,$AD$47,E1205=$AB$48,$AD$48,E1205=$AB$49,$AD$49,E1205=$AB$50,$AD$50,E1205=$AB$51,$AD$51,E1205=$AB$52,$AD$52,E1205=$AB$53,$AD$53,E1205=$AB$54,$AD$54,E1205=$AB$55,$AD$55,E1205=$AB$56,$AD$56,E1205=$AB$57,$AD$57,E1205=$AB$58,$AD$58,E1205=$AB$59,$AD$59,E1205=$AB$60,$AD$60,E1205=$AB$61,$AD$61,E1205=$AB$62,$AD$62,E1205=$AB$63,$AD$63,E1205=$AB$64,$AD$64,E1205=$AB$65,$AD$65,E1205=$AB$66,$AD$66,TRUE,"0")</f>
        <v xml:space="preserve">BFM </v>
      </c>
      <c r="E1205" s="163" t="s">
        <v>623</v>
      </c>
      <c r="F1205" s="2" t="s">
        <v>6</v>
      </c>
      <c r="G1205" s="2" t="s">
        <v>7</v>
      </c>
      <c r="H1205" s="3">
        <v>45409.625</v>
      </c>
      <c r="I1205" s="2" t="s">
        <v>55</v>
      </c>
      <c r="J1205" s="2" t="s">
        <v>113</v>
      </c>
      <c r="K1205" s="2">
        <v>6.4</v>
      </c>
      <c r="L1205" s="2">
        <v>20</v>
      </c>
      <c r="M1205" s="2">
        <v>2.25</v>
      </c>
      <c r="N1205" s="2">
        <v>32</v>
      </c>
      <c r="O1205" s="2">
        <v>0</v>
      </c>
      <c r="P1205" s="2">
        <v>10</v>
      </c>
      <c r="Q1205" s="2" t="s">
        <v>95</v>
      </c>
      <c r="R1205" s="10" t="s">
        <v>220</v>
      </c>
      <c r="S1205" s="10" t="s">
        <v>220</v>
      </c>
      <c r="T1205" s="188">
        <v>1000</v>
      </c>
      <c r="U1205" s="8">
        <f t="shared" si="138"/>
        <v>180</v>
      </c>
      <c r="V1205" s="234">
        <f t="shared" si="139"/>
        <v>116064.1552461603</v>
      </c>
      <c r="W1205" s="15">
        <v>25</v>
      </c>
      <c r="X1205" s="8">
        <f t="shared" si="140"/>
        <v>4.5</v>
      </c>
      <c r="Y1205" s="233">
        <f t="shared" si="141"/>
        <v>4767.5</v>
      </c>
    </row>
    <row r="1206" spans="1:25">
      <c r="A1206" s="156" t="e" cm="1">
        <f t="array" aca="1" ref="A1206" ca="1">_xlfn.IFS(E1206=$AB$42,$AC$42,E1206=$AB$43,$AC$43,E1206=$AB$44,$AC$44,E1206=$AB$45,$AC$45,E1206=$AB$46,$AC$46,E1206=$AB$47,$AC$47,E1206=$AB$48,$AC$48,E1206=$AB$49,$AC$49,E1206=$AB$50,$AC$50,E1206=$AB$51,$AC$51,E1206=$AB$52,$AC$52,E1206=$AB$53,$AC$53,E1206=$AB$54,$AC$54,E1206=$AB$55,$AC$55,E1206=$AB$56,$AC$56,E1206=$AB$57,$AC$57,E1206=$AB$58,$AC$58,E1206=$AB$59,$AC$59,E1206=$AB$60,$AC$60,E1206=$AB$61,$AC$61,E1206=$AB$62,$AC$62,E1206=$AB$63,$AC$63,E1206=$AB$64,$AC$64,E1206=$AB$65,$AC$65,E1206=$AB$66,$AC$66,TRUE,"0")</f>
        <v>#NAME?</v>
      </c>
      <c r="C1206" s="161" t="str" cm="1">
        <f t="array" ref="C1206">_xlfn.IFS(E1206=$AB$42,$AF$42,E1206=$AB$43,$AF$43,E1206=$AB$44,$AF$44,E1206=$AB$45,$AF$45,E1206=$AB$46,$AF$46,E1206=$AB$47,$AF$47,E1206=$AB$48,$AF$48,E1206=$AB$49,$AF$49,E1206=$AB$50,$AF$50,E1206=$AB$51,$AF$51,E1206=$AB$52,$AF$52,E1206=$AB$53,$AF$53,E1206=$AB$54,$AF$54,E1206=$AB$55,$AF$55,E1206=$AB$56,$AF$56,E1206=$AB$57,$AF$57,E1206=$AB$58,$AF$58,E1206=$AB$59,$AF$59,E1206=$AB$60,$AF$60,E1206=$AB$61,$AF$61,E1206=$AB$62,$AF$62,E1206=$AB$63,$AF$63,E1206=$AB$64,$AF$64,E1206=$AB$65,$AF$65,E1206=$AB$66,$AF$66,TRUE,"0")</f>
        <v>10mins if  0-0, BACK over 1.5 goals X after goal OR LET RUN</v>
      </c>
      <c r="D1206" s="270" t="str" cm="1">
        <f t="array" ref="D1206">_xlfn.IFS(E1206=$AB$42,$AD$42,E1206=$AB$43,$AD$43,E1206=$AB$44,$AD$44,E1206=$AB$45,$AD$45,E1206=$AB$46,$AD$46,E1206=$AB$47,$AD$47,E1206=$AB$48,$AD$48,E1206=$AB$49,$AD$49,E1206=$AB$50,$AD$50,E1206=$AB$51,$AD$51,E1206=$AB$52,$AD$52,E1206=$AB$53,$AD$53,E1206=$AB$54,$AD$54,E1206=$AB$55,$AD$55,E1206=$AB$56,$AD$56,E1206=$AB$57,$AD$57,E1206=$AB$58,$AD$58,E1206=$AB$59,$AD$59,E1206=$AB$60,$AD$60,E1206=$AB$61,$AD$61,E1206=$AB$62,$AD$62,E1206=$AB$63,$AD$63,E1206=$AB$64,$AD$64,E1206=$AB$65,$AD$65,E1206=$AB$66,$AD$66,TRUE,"0")</f>
        <v>IP</v>
      </c>
      <c r="E1206" s="163" t="s">
        <v>498</v>
      </c>
      <c r="F1206" s="2" t="s">
        <v>13</v>
      </c>
      <c r="G1206" s="2" t="s">
        <v>14</v>
      </c>
      <c r="H1206" s="3">
        <v>45409.625</v>
      </c>
      <c r="I1206" s="2" t="s">
        <v>130</v>
      </c>
      <c r="J1206" s="2" t="s">
        <v>773</v>
      </c>
      <c r="K1206" s="2">
        <v>64</v>
      </c>
      <c r="L1206" s="2">
        <v>85</v>
      </c>
      <c r="M1206" s="2">
        <v>1.3</v>
      </c>
      <c r="N1206" s="2">
        <v>20</v>
      </c>
      <c r="O1206" s="2"/>
      <c r="P1206" s="2"/>
      <c r="Q1206" s="2" t="s">
        <v>95</v>
      </c>
      <c r="R1206" s="10" t="s">
        <v>214</v>
      </c>
      <c r="S1206" s="10" t="s">
        <v>216</v>
      </c>
      <c r="T1206" s="188">
        <v>1000</v>
      </c>
      <c r="U1206" s="8">
        <f t="shared" si="138"/>
        <v>180</v>
      </c>
      <c r="V1206" s="234">
        <f t="shared" si="139"/>
        <v>116244.1552461603</v>
      </c>
      <c r="W1206" s="15">
        <v>25</v>
      </c>
      <c r="X1206" s="8">
        <f t="shared" si="140"/>
        <v>4.5</v>
      </c>
      <c r="Y1206" s="233">
        <f t="shared" si="141"/>
        <v>4772</v>
      </c>
    </row>
    <row r="1207" spans="1:25">
      <c r="A1207" s="156" t="e" cm="1">
        <f t="array" aca="1" ref="A1207" ca="1">_xlfn.IFS(E1207=$AB$42,$AC$42,E1207=$AB$43,$AC$43,E1207=$AB$44,$AC$44,E1207=$AB$45,$AC$45,E1207=$AB$46,$AC$46,E1207=$AB$47,$AC$47,E1207=$AB$48,$AC$48,E1207=$AB$49,$AC$49,E1207=$AB$50,$AC$50,E1207=$AB$51,$AC$51,E1207=$AB$52,$AC$52,E1207=$AB$53,$AC$53,E1207=$AB$54,$AC$54,E1207=$AB$55,$AC$55,E1207=$AB$56,$AC$56,E1207=$AB$57,$AC$57,E1207=$AB$58,$AC$58,E1207=$AB$59,$AC$59,E1207=$AB$60,$AC$60,E1207=$AB$61,$AC$61,E1207=$AB$62,$AC$62,E1207=$AB$63,$AC$63,E1207=$AB$64,$AC$64,E1207=$AB$65,$AC$65,E1207=$AB$66,$AC$66,TRUE,"0")</f>
        <v>#NAME?</v>
      </c>
      <c r="C1207" s="161" t="str" cm="1">
        <f t="array" ref="C1207">_xlfn.IFS(E1207=$AB$42,$AF$42,E1207=$AB$43,$AF$43,E1207=$AB$44,$AF$44,E1207=$AB$45,$AF$45,E1207=$AB$46,$AF$46,E1207=$AB$47,$AF$47,E1207=$AB$48,$AF$48,E1207=$AB$49,$AF$49,E1207=$AB$50,$AF$50,E1207=$AB$51,$AF$51,E1207=$AB$52,$AF$52,E1207=$AB$53,$AF$53,E1207=$AB$54,$AF$54,E1207=$AB$55,$AF$55,E1207=$AB$56,$AF$56,E1207=$AB$57,$AF$57,E1207=$AB$58,$AF$58,E1207=$AB$59,$AF$59,E1207=$AB$60,$AF$60,E1207=$AB$61,$AF$61,E1207=$AB$62,$AF$62,E1207=$AB$63,$AF$63,E1207=$AB$64,$AF$64,E1207=$AB$65,$AF$65,E1207=$AB$66,$AF$66,TRUE,"0")</f>
        <v>40 mins Back ANother Goal</v>
      </c>
      <c r="D1207" s="270" t="str" cm="1">
        <f t="array" ref="D1207">_xlfn.IFS(E1207=$AB$42,$AD$42,E1207=$AB$43,$AD$43,E1207=$AB$44,$AD$44,E1207=$AB$45,$AD$45,E1207=$AB$46,$AD$46,E1207=$AB$47,$AD$47,E1207=$AB$48,$AD$48,E1207=$AB$49,$AD$49,E1207=$AB$50,$AD$50,E1207=$AB$51,$AD$51,E1207=$AB$52,$AD$52,E1207=$AB$53,$AD$53,E1207=$AB$54,$AD$54,E1207=$AB$55,$AD$55,E1207=$AB$56,$AD$56,E1207=$AB$57,$AD$57,E1207=$AB$58,$AD$58,E1207=$AB$59,$AD$59,E1207=$AB$60,$AD$60,E1207=$AB$61,$AD$61,E1207=$AB$62,$AD$62,E1207=$AB$63,$AD$63,E1207=$AB$64,$AD$64,E1207=$AB$65,$AD$65,E1207=$AB$66,$AD$66,TRUE,"0")</f>
        <v xml:space="preserve">  BANG</v>
      </c>
      <c r="E1207" s="163" t="s">
        <v>726</v>
      </c>
      <c r="F1207" s="2" t="s">
        <v>6</v>
      </c>
      <c r="G1207" s="2" t="s">
        <v>62</v>
      </c>
      <c r="H1207" s="3">
        <v>45409.625</v>
      </c>
      <c r="I1207" s="2" t="s">
        <v>383</v>
      </c>
      <c r="J1207" s="2" t="s">
        <v>103</v>
      </c>
      <c r="K1207" s="2">
        <v>90</v>
      </c>
      <c r="L1207" s="2">
        <v>20</v>
      </c>
      <c r="M1207" s="2">
        <v>2</v>
      </c>
      <c r="N1207" s="2">
        <v>57</v>
      </c>
      <c r="O1207" s="2"/>
      <c r="P1207" s="2"/>
      <c r="Q1207" s="2" t="s">
        <v>95</v>
      </c>
      <c r="R1207" s="10" t="s">
        <v>221</v>
      </c>
      <c r="S1207" s="10" t="s">
        <v>216</v>
      </c>
      <c r="T1207" s="188">
        <v>1000</v>
      </c>
      <c r="U1207" s="8">
        <f t="shared" si="138"/>
        <v>180</v>
      </c>
      <c r="V1207" s="234">
        <f t="shared" si="139"/>
        <v>116424.1552461603</v>
      </c>
      <c r="W1207" s="15">
        <v>25</v>
      </c>
      <c r="X1207" s="8">
        <f t="shared" si="140"/>
        <v>4.5</v>
      </c>
      <c r="Y1207" s="233">
        <f t="shared" si="141"/>
        <v>4776.5</v>
      </c>
    </row>
    <row r="1208" spans="1:25">
      <c r="A1208" s="156" t="e" cm="1">
        <f t="array" aca="1" ref="A1208" ca="1">_xlfn.IFS(E1208=$AB$42,$AC$42,E1208=$AB$43,$AC$43,E1208=$AB$44,$AC$44,E1208=$AB$45,$AC$45,E1208=$AB$46,$AC$46,E1208=$AB$47,$AC$47,E1208=$AB$48,$AC$48,E1208=$AB$49,$AC$49,E1208=$AB$50,$AC$50,E1208=$AB$51,$AC$51,E1208=$AB$52,$AC$52,E1208=$AB$53,$AC$53,E1208=$AB$54,$AC$54,E1208=$AB$55,$AC$55,E1208=$AB$56,$AC$56,E1208=$AB$57,$AC$57,E1208=$AB$58,$AC$58,E1208=$AB$59,$AC$59,E1208=$AB$60,$AC$60,E1208=$AB$61,$AC$61,E1208=$AB$62,$AC$62,E1208=$AB$63,$AC$63,E1208=$AB$64,$AC$64,E1208=$AB$65,$AC$65,E1208=$AB$66,$AC$66,TRUE,"0")</f>
        <v>#NAME?</v>
      </c>
      <c r="C1208" s="161" t="str" cm="1">
        <f t="array" ref="C1208">_xlfn.IFS(E1208=$AB$42,$AF$42,E1208=$AB$43,$AF$43,E1208=$AB$44,$AF$44,E1208=$AB$45,$AF$45,E1208=$AB$46,$AF$46,E1208=$AB$47,$AF$47,E1208=$AB$48,$AF$48,E1208=$AB$49,$AF$49,E1208=$AB$50,$AF$50,E1208=$AB$51,$AF$51,E1208=$AB$52,$AF$52,E1208=$AB$53,$AF$53,E1208=$AB$54,$AF$54,E1208=$AB$55,$AF$55,E1208=$AB$56,$AF$56,E1208=$AB$57,$AF$57,E1208=$AB$58,$AF$58,E1208=$AB$59,$AF$59,E1208=$AB$60,$AF$60,E1208=$AB$61,$AF$61,E1208=$AB$62,$AF$62,E1208=$AB$63,$AF$63,E1208=$AB$64,$AF$64,E1208=$AB$65,$AF$65,E1208=$AB$66,$AF$66,TRUE,"0")</f>
        <v>B4 match BACK FT +1.5 goals. X AFTER  GOAL</v>
      </c>
      <c r="D1208" s="270" t="str" cm="1">
        <f t="array" ref="D1208">_xlfn.IFS(E1208=$AB$42,$AD$42,E1208=$AB$43,$AD$43,E1208=$AB$44,$AD$44,E1208=$AB$45,$AD$45,E1208=$AB$46,$AD$46,E1208=$AB$47,$AD$47,E1208=$AB$48,$AD$48,E1208=$AB$49,$AD$49,E1208=$AB$50,$AD$50,E1208=$AB$51,$AD$51,E1208=$AB$52,$AD$52,E1208=$AB$53,$AD$53,E1208=$AB$54,$AD$54,E1208=$AB$55,$AD$55,E1208=$AB$56,$AD$56,E1208=$AB$57,$AD$57,E1208=$AB$58,$AD$58,E1208=$AB$59,$AD$59,E1208=$AB$60,$AD$60,E1208=$AB$61,$AD$61,E1208=$AB$62,$AD$62,E1208=$AB$63,$AD$63,E1208=$AB$64,$AD$64,E1208=$AB$65,$AD$65,E1208=$AB$66,$AD$66,TRUE,"0")</f>
        <v xml:space="preserve">BFM </v>
      </c>
      <c r="E1208" s="163" t="s">
        <v>623</v>
      </c>
      <c r="F1208" s="2" t="s">
        <v>6</v>
      </c>
      <c r="G1208" s="2" t="s">
        <v>62</v>
      </c>
      <c r="H1208" s="3">
        <v>45409.625</v>
      </c>
      <c r="I1208" s="2" t="s">
        <v>383</v>
      </c>
      <c r="J1208" s="2" t="s">
        <v>103</v>
      </c>
      <c r="K1208" s="2">
        <v>4.2</v>
      </c>
      <c r="L1208" s="2">
        <v>20</v>
      </c>
      <c r="M1208" s="2">
        <v>3.4</v>
      </c>
      <c r="N1208" s="2">
        <v>32</v>
      </c>
      <c r="O1208" s="2">
        <v>1</v>
      </c>
      <c r="P1208" s="2">
        <v>10</v>
      </c>
      <c r="Q1208" s="2" t="s">
        <v>95</v>
      </c>
      <c r="R1208" s="10" t="s">
        <v>221</v>
      </c>
      <c r="S1208" s="10" t="s">
        <v>216</v>
      </c>
      <c r="T1208" s="188">
        <v>1000</v>
      </c>
      <c r="U1208" s="8">
        <f t="shared" si="138"/>
        <v>180</v>
      </c>
      <c r="V1208" s="234">
        <f t="shared" si="139"/>
        <v>116604.1552461603</v>
      </c>
      <c r="W1208" s="15">
        <v>25</v>
      </c>
      <c r="X1208" s="8">
        <f t="shared" si="140"/>
        <v>4.5</v>
      </c>
      <c r="Y1208" s="233">
        <f t="shared" si="141"/>
        <v>4781</v>
      </c>
    </row>
    <row r="1209" spans="1:25">
      <c r="A1209" s="156" t="e" cm="1">
        <f t="array" aca="1" ref="A1209" ca="1">_xlfn.IFS(E1209=$AB$42,$AC$42,E1209=$AB$43,$AC$43,E1209=$AB$44,$AC$44,E1209=$AB$45,$AC$45,E1209=$AB$46,$AC$46,E1209=$AB$47,$AC$47,E1209=$AB$48,$AC$48,E1209=$AB$49,$AC$49,E1209=$AB$50,$AC$50,E1209=$AB$51,$AC$51,E1209=$AB$52,$AC$52,E1209=$AB$53,$AC$53,E1209=$AB$54,$AC$54,E1209=$AB$55,$AC$55,E1209=$AB$56,$AC$56,E1209=$AB$57,$AC$57,E1209=$AB$58,$AC$58,E1209=$AB$59,$AC$59,E1209=$AB$60,$AC$60,E1209=$AB$61,$AC$61,E1209=$AB$62,$AC$62,E1209=$AB$63,$AC$63,E1209=$AB$64,$AC$64,E1209=$AB$65,$AC$65,E1209=$AB$66,$AC$66,TRUE,"0")</f>
        <v>#NAME?</v>
      </c>
      <c r="C1209" s="161" t="str" cm="1">
        <f t="array" ref="C1209">_xlfn.IFS(E1209=$AB$42,$AF$42,E1209=$AB$43,$AF$43,E1209=$AB$44,$AF$44,E1209=$AB$45,$AF$45,E1209=$AB$46,$AF$46,E1209=$AB$47,$AF$47,E1209=$AB$48,$AF$48,E1209=$AB$49,$AF$49,E1209=$AB$50,$AF$50,E1209=$AB$51,$AF$51,E1209=$AB$52,$AF$52,E1209=$AB$53,$AF$53,E1209=$AB$54,$AF$54,E1209=$AB$55,$AF$55,E1209=$AB$56,$AF$56,E1209=$AB$57,$AF$57,E1209=$AB$58,$AF$58,E1209=$AB$59,$AF$59,E1209=$AB$60,$AF$60,E1209=$AB$61,$AF$61,E1209=$AB$62,$AF$62,E1209=$AB$63,$AF$63,E1209=$AB$64,$AF$64,E1209=$AB$65,$AF$65,E1209=$AB$66,$AF$66,TRUE,"0")</f>
        <v>if 0-0, BACK+ 0.5 GOALS  @ 1.15+odds.  or @ 40 mins</v>
      </c>
      <c r="D1209" s="270" t="str" cm="1">
        <f t="array" ref="D1209">_xlfn.IFS(E1209=$AB$42,$AD$42,E1209=$AB$43,$AD$43,E1209=$AB$44,$AD$44,E1209=$AB$45,$AD$45,E1209=$AB$46,$AD$46,E1209=$AB$47,$AD$47,E1209=$AB$48,$AD$48,E1209=$AB$49,$AD$49,E1209=$AB$50,$AD$50,E1209=$AB$51,$AD$51,E1209=$AB$52,$AD$52,E1209=$AB$53,$AD$53,E1209=$AB$54,$AD$54,E1209=$AB$55,$AD$55,E1209=$AB$56,$AD$56,E1209=$AB$57,$AD$57,E1209=$AB$58,$AD$58,E1209=$AB$59,$AD$59,E1209=$AB$60,$AD$60,E1209=$AB$61,$AD$61,E1209=$AB$62,$AD$62,E1209=$AB$63,$AD$63,E1209=$AB$64,$AD$64,E1209=$AB$65,$AD$65,E1209=$AB$66,$AD$66,TRUE,"0")</f>
        <v>IP</v>
      </c>
      <c r="E1209" s="163" t="s">
        <v>270</v>
      </c>
      <c r="F1209" s="2" t="s">
        <v>6</v>
      </c>
      <c r="G1209" s="2" t="s">
        <v>62</v>
      </c>
      <c r="H1209" s="3">
        <v>45409.625</v>
      </c>
      <c r="I1209" s="2" t="s">
        <v>383</v>
      </c>
      <c r="J1209" s="2" t="s">
        <v>103</v>
      </c>
      <c r="K1209" s="2">
        <v>59</v>
      </c>
      <c r="L1209" s="2">
        <v>0</v>
      </c>
      <c r="M1209" s="2">
        <v>20</v>
      </c>
      <c r="N1209" s="2">
        <v>32</v>
      </c>
      <c r="O1209" s="2">
        <v>2.97</v>
      </c>
      <c r="P1209" s="2"/>
      <c r="Q1209" s="2" t="s">
        <v>95</v>
      </c>
      <c r="R1209" s="10" t="s">
        <v>221</v>
      </c>
      <c r="S1209" s="10" t="s">
        <v>216</v>
      </c>
      <c r="T1209" s="188">
        <v>1000</v>
      </c>
      <c r="U1209" s="8">
        <f t="shared" si="138"/>
        <v>180</v>
      </c>
      <c r="V1209" s="234">
        <f t="shared" si="139"/>
        <v>116784.1552461603</v>
      </c>
      <c r="W1209" s="15">
        <v>25</v>
      </c>
      <c r="X1209" s="8">
        <f t="shared" si="140"/>
        <v>4.5</v>
      </c>
      <c r="Y1209" s="233">
        <f t="shared" si="141"/>
        <v>4785.5</v>
      </c>
    </row>
    <row r="1210" spans="1:25">
      <c r="A1210" s="156" t="e" cm="1">
        <f t="array" aca="1" ref="A1210" ca="1">_xlfn.IFS(E1210=$AB$42,$AC$42,E1210=$AB$43,$AC$43,E1210=$AB$44,$AC$44,E1210=$AB$45,$AC$45,E1210=$AB$46,$AC$46,E1210=$AB$47,$AC$47,E1210=$AB$48,$AC$48,E1210=$AB$49,$AC$49,E1210=$AB$50,$AC$50,E1210=$AB$51,$AC$51,E1210=$AB$52,$AC$52,E1210=$AB$53,$AC$53,E1210=$AB$54,$AC$54,E1210=$AB$55,$AC$55,E1210=$AB$56,$AC$56,E1210=$AB$57,$AC$57,E1210=$AB$58,$AC$58,E1210=$AB$59,$AC$59,E1210=$AB$60,$AC$60,E1210=$AB$61,$AC$61,E1210=$AB$62,$AC$62,E1210=$AB$63,$AC$63,E1210=$AB$64,$AC$64,E1210=$AB$65,$AC$65,E1210=$AB$66,$AC$66,TRUE,"0")</f>
        <v>#NAME?</v>
      </c>
      <c r="C1210" s="161" t="str" cm="1">
        <f t="array" ref="C1210">_xlfn.IFS(E1210=$AB$42,$AF$42,E1210=$AB$43,$AF$43,E1210=$AB$44,$AF$44,E1210=$AB$45,$AF$45,E1210=$AB$46,$AF$46,E1210=$AB$47,$AF$47,E1210=$AB$48,$AF$48,E1210=$AB$49,$AF$49,E1210=$AB$50,$AF$50,E1210=$AB$51,$AF$51,E1210=$AB$52,$AF$52,E1210=$AB$53,$AF$53,E1210=$AB$54,$AF$54,E1210=$AB$55,$AF$55,E1210=$AB$56,$AF$56,E1210=$AB$57,$AF$57,E1210=$AB$58,$AF$58,E1210=$AB$59,$AF$59,E1210=$AB$60,$AF$60,E1210=$AB$61,$AF$61,E1210=$AB$62,$AF$62,E1210=$AB$63,$AF$63,E1210=$AB$64,$AF$64,E1210=$AB$65,$AF$65,E1210=$AB$66,$AF$66,TRUE,"0")</f>
        <v>20mins if  0-0, BACK over 1.5 goals X after goal OR LET RUN</v>
      </c>
      <c r="D1210" s="270" t="str" cm="1">
        <f t="array" ref="D1210">_xlfn.IFS(E1210=$AB$42,$AD$42,E1210=$AB$43,$AD$43,E1210=$AB$44,$AD$44,E1210=$AB$45,$AD$45,E1210=$AB$46,$AD$46,E1210=$AB$47,$AD$47,E1210=$AB$48,$AD$48,E1210=$AB$49,$AD$49,E1210=$AB$50,$AD$50,E1210=$AB$51,$AD$51,E1210=$AB$52,$AD$52,E1210=$AB$53,$AD$53,E1210=$AB$54,$AD$54,E1210=$AB$55,$AD$55,E1210=$AB$56,$AD$56,E1210=$AB$57,$AD$57,E1210=$AB$58,$AD$58,E1210=$AB$59,$AD$59,E1210=$AB$60,$AD$60,E1210=$AB$61,$AD$61,E1210=$AB$62,$AD$62,E1210=$AB$63,$AD$63,E1210=$AB$64,$AD$64,E1210=$AB$65,$AD$65,E1210=$AB$66,$AD$66,TRUE,"0")</f>
        <v>IP</v>
      </c>
      <c r="E1210" s="163" t="s">
        <v>474</v>
      </c>
      <c r="F1210" s="2" t="s">
        <v>6</v>
      </c>
      <c r="G1210" s="2" t="s">
        <v>62</v>
      </c>
      <c r="H1210" s="3">
        <v>45409.625</v>
      </c>
      <c r="I1210" s="2" t="s">
        <v>383</v>
      </c>
      <c r="J1210" s="2" t="s">
        <v>103</v>
      </c>
      <c r="K1210" s="2">
        <v>50</v>
      </c>
      <c r="L1210" s="2">
        <v>3.4</v>
      </c>
      <c r="M1210" s="2">
        <v>20</v>
      </c>
      <c r="N1210" s="2">
        <v>75</v>
      </c>
      <c r="O1210" s="2">
        <v>90</v>
      </c>
      <c r="P1210" s="2"/>
      <c r="Q1210" s="2" t="s">
        <v>95</v>
      </c>
      <c r="R1210" s="10" t="s">
        <v>221</v>
      </c>
      <c r="S1210" s="10" t="s">
        <v>216</v>
      </c>
      <c r="T1210" s="188">
        <v>1000</v>
      </c>
      <c r="U1210" s="8">
        <f t="shared" si="138"/>
        <v>180</v>
      </c>
      <c r="V1210" s="234">
        <f t="shared" si="139"/>
        <v>116964.1552461603</v>
      </c>
      <c r="W1210" s="15">
        <v>25</v>
      </c>
      <c r="X1210" s="8">
        <f t="shared" si="140"/>
        <v>4.5</v>
      </c>
      <c r="Y1210" s="233">
        <f t="shared" si="141"/>
        <v>4790</v>
      </c>
    </row>
    <row r="1211" spans="1:25">
      <c r="A1211" s="156" t="e" cm="1">
        <f t="array" aca="1" ref="A1211" ca="1">_xlfn.IFS(E1211=$AB$42,$AC$42,E1211=$AB$43,$AC$43,E1211=$AB$44,$AC$44,E1211=$AB$45,$AC$45,E1211=$AB$46,$AC$46,E1211=$AB$47,$AC$47,E1211=$AB$48,$AC$48,E1211=$AB$49,$AC$49,E1211=$AB$50,$AC$50,E1211=$AB$51,$AC$51,E1211=$AB$52,$AC$52,E1211=$AB$53,$AC$53,E1211=$AB$54,$AC$54,E1211=$AB$55,$AC$55,E1211=$AB$56,$AC$56,E1211=$AB$57,$AC$57,E1211=$AB$58,$AC$58,E1211=$AB$59,$AC$59,E1211=$AB$60,$AC$60,E1211=$AB$61,$AC$61,E1211=$AB$62,$AC$62,E1211=$AB$63,$AC$63,E1211=$AB$64,$AC$64,E1211=$AB$65,$AC$65,E1211=$AB$66,$AC$66,TRUE,"0")</f>
        <v>#NAME?</v>
      </c>
      <c r="C1211" s="161" t="str" cm="1">
        <f t="array" ref="C1211">_xlfn.IFS(E1211=$AB$42,$AF$42,E1211=$AB$43,$AF$43,E1211=$AB$44,$AF$44,E1211=$AB$45,$AF$45,E1211=$AB$46,$AF$46,E1211=$AB$47,$AF$47,E1211=$AB$48,$AF$48,E1211=$AB$49,$AF$49,E1211=$AB$50,$AF$50,E1211=$AB$51,$AF$51,E1211=$AB$52,$AF$52,E1211=$AB$53,$AF$53,E1211=$AB$54,$AF$54,E1211=$AB$55,$AF$55,E1211=$AB$56,$AF$56,E1211=$AB$57,$AF$57,E1211=$AB$58,$AF$58,E1211=$AB$59,$AF$59,E1211=$AB$60,$AF$60,E1211=$AB$61,$AF$61,E1211=$AB$62,$AF$62,E1211=$AB$63,$AF$63,E1211=$AB$64,$AF$64,E1211=$AB$65,$AF$65,E1211=$AB$66,$AF$66,TRUE,"0")</f>
        <v>40 mins Back ANother Goal</v>
      </c>
      <c r="D1211" s="270" t="str" cm="1">
        <f t="array" ref="D1211">_xlfn.IFS(E1211=$AB$42,$AD$42,E1211=$AB$43,$AD$43,E1211=$AB$44,$AD$44,E1211=$AB$45,$AD$45,E1211=$AB$46,$AD$46,E1211=$AB$47,$AD$47,E1211=$AB$48,$AD$48,E1211=$AB$49,$AD$49,E1211=$AB$50,$AD$50,E1211=$AB$51,$AD$51,E1211=$AB$52,$AD$52,E1211=$AB$53,$AD$53,E1211=$AB$54,$AD$54,E1211=$AB$55,$AD$55,E1211=$AB$56,$AD$56,E1211=$AB$57,$AD$57,E1211=$AB$58,$AD$58,E1211=$AB$59,$AD$59,E1211=$AB$60,$AD$60,E1211=$AB$61,$AD$61,E1211=$AB$62,$AD$62,E1211=$AB$63,$AD$63,E1211=$AB$64,$AD$64,E1211=$AB$65,$AD$65,E1211=$AB$66,$AD$66,TRUE,"0")</f>
        <v xml:space="preserve">  BANG</v>
      </c>
      <c r="E1211" s="163" t="s">
        <v>726</v>
      </c>
      <c r="F1211" s="2" t="s">
        <v>6</v>
      </c>
      <c r="G1211" s="2" t="s">
        <v>62</v>
      </c>
      <c r="H1211" s="3">
        <v>45409.625</v>
      </c>
      <c r="I1211" s="2" t="s">
        <v>164</v>
      </c>
      <c r="J1211" s="2" t="s">
        <v>85</v>
      </c>
      <c r="K1211" s="2">
        <v>95</v>
      </c>
      <c r="L1211" s="2">
        <v>20</v>
      </c>
      <c r="M1211" s="2">
        <v>2.2000000000000002</v>
      </c>
      <c r="N1211" s="2">
        <v>62</v>
      </c>
      <c r="O1211" s="2"/>
      <c r="P1211" s="2"/>
      <c r="Q1211" s="2" t="s">
        <v>95</v>
      </c>
      <c r="R1211" s="10" t="s">
        <v>216</v>
      </c>
      <c r="S1211" s="10" t="s">
        <v>197</v>
      </c>
      <c r="T1211" s="188">
        <v>1000</v>
      </c>
      <c r="U1211" s="8">
        <f t="shared" si="138"/>
        <v>180</v>
      </c>
      <c r="V1211" s="234">
        <f t="shared" si="139"/>
        <v>117144.1552461603</v>
      </c>
      <c r="W1211" s="15">
        <v>25</v>
      </c>
      <c r="X1211" s="8">
        <f t="shared" si="140"/>
        <v>4.5</v>
      </c>
      <c r="Y1211" s="233">
        <f t="shared" si="141"/>
        <v>4794.5</v>
      </c>
    </row>
    <row r="1212" spans="1:25">
      <c r="A1212" s="156" t="e" cm="1">
        <f t="array" aca="1" ref="A1212" ca="1">_xlfn.IFS(E1212=$AB$42,$AC$42,E1212=$AB$43,$AC$43,E1212=$AB$44,$AC$44,E1212=$AB$45,$AC$45,E1212=$AB$46,$AC$46,E1212=$AB$47,$AC$47,E1212=$AB$48,$AC$48,E1212=$AB$49,$AC$49,E1212=$AB$50,$AC$50,E1212=$AB$51,$AC$51,E1212=$AB$52,$AC$52,E1212=$AB$53,$AC$53,E1212=$AB$54,$AC$54,E1212=$AB$55,$AC$55,E1212=$AB$56,$AC$56,E1212=$AB$57,$AC$57,E1212=$AB$58,$AC$58,E1212=$AB$59,$AC$59,E1212=$AB$60,$AC$60,E1212=$AB$61,$AC$61,E1212=$AB$62,$AC$62,E1212=$AB$63,$AC$63,E1212=$AB$64,$AC$64,E1212=$AB$65,$AC$65,E1212=$AB$66,$AC$66,TRUE,"0")</f>
        <v>#NAME?</v>
      </c>
      <c r="C1212" s="161" t="str" cm="1">
        <f t="array" ref="C1212">_xlfn.IFS(E1212=$AB$42,$AF$42,E1212=$AB$43,$AF$43,E1212=$AB$44,$AF$44,E1212=$AB$45,$AF$45,E1212=$AB$46,$AF$46,E1212=$AB$47,$AF$47,E1212=$AB$48,$AF$48,E1212=$AB$49,$AF$49,E1212=$AB$50,$AF$50,E1212=$AB$51,$AF$51,E1212=$AB$52,$AF$52,E1212=$AB$53,$AF$53,E1212=$AB$54,$AF$54,E1212=$AB$55,$AF$55,E1212=$AB$56,$AF$56,E1212=$AB$57,$AF$57,E1212=$AB$58,$AF$58,E1212=$AB$59,$AF$59,E1212=$AB$60,$AF$60,E1212=$AB$61,$AF$61,E1212=$AB$62,$AF$62,E1212=$AB$63,$AF$63,E1212=$AB$64,$AF$64,E1212=$AB$65,$AF$65,E1212=$AB$66,$AF$66,TRUE,"0")</f>
        <v>if 0-0, BACK+ 0.5 GOALS  @ 1.15+odds.  or @ 40 mins</v>
      </c>
      <c r="D1212" s="270" t="str" cm="1">
        <f t="array" ref="D1212">_xlfn.IFS(E1212=$AB$42,$AD$42,E1212=$AB$43,$AD$43,E1212=$AB$44,$AD$44,E1212=$AB$45,$AD$45,E1212=$AB$46,$AD$46,E1212=$AB$47,$AD$47,E1212=$AB$48,$AD$48,E1212=$AB$49,$AD$49,E1212=$AB$50,$AD$50,E1212=$AB$51,$AD$51,E1212=$AB$52,$AD$52,E1212=$AB$53,$AD$53,E1212=$AB$54,$AD$54,E1212=$AB$55,$AD$55,E1212=$AB$56,$AD$56,E1212=$AB$57,$AD$57,E1212=$AB$58,$AD$58,E1212=$AB$59,$AD$59,E1212=$AB$60,$AD$60,E1212=$AB$61,$AD$61,E1212=$AB$62,$AD$62,E1212=$AB$63,$AD$63,E1212=$AB$64,$AD$64,E1212=$AB$65,$AD$65,E1212=$AB$66,$AD$66,TRUE,"0")</f>
        <v>IP</v>
      </c>
      <c r="E1212" s="163" t="s">
        <v>270</v>
      </c>
      <c r="F1212" s="2" t="s">
        <v>6</v>
      </c>
      <c r="G1212" s="2" t="s">
        <v>62</v>
      </c>
      <c r="H1212" s="3">
        <v>45409.625</v>
      </c>
      <c r="I1212" s="2" t="s">
        <v>164</v>
      </c>
      <c r="J1212" s="2" t="s">
        <v>85</v>
      </c>
      <c r="K1212" s="2">
        <v>60</v>
      </c>
      <c r="L1212" s="2">
        <v>0</v>
      </c>
      <c r="M1212" s="2">
        <v>20</v>
      </c>
      <c r="N1212" s="2">
        <v>32</v>
      </c>
      <c r="O1212" s="2">
        <v>3.45</v>
      </c>
      <c r="P1212" s="2"/>
      <c r="Q1212" s="2" t="s">
        <v>95</v>
      </c>
      <c r="R1212" s="10" t="s">
        <v>216</v>
      </c>
      <c r="S1212" s="10" t="s">
        <v>197</v>
      </c>
      <c r="T1212" s="188">
        <v>1000</v>
      </c>
      <c r="U1212" s="8">
        <f t="shared" si="138"/>
        <v>180</v>
      </c>
      <c r="V1212" s="234">
        <f t="shared" si="139"/>
        <v>117324.1552461603</v>
      </c>
      <c r="W1212" s="15">
        <v>25</v>
      </c>
      <c r="X1212" s="8">
        <f t="shared" si="140"/>
        <v>4.5</v>
      </c>
      <c r="Y1212" s="233">
        <f t="shared" si="141"/>
        <v>4799</v>
      </c>
    </row>
    <row r="1213" spans="1:25">
      <c r="A1213" s="156" t="e" cm="1">
        <f t="array" aca="1" ref="A1213" ca="1">_xlfn.IFS(E1213=$AB$42,$AC$42,E1213=$AB$43,$AC$43,E1213=$AB$44,$AC$44,E1213=$AB$45,$AC$45,E1213=$AB$46,$AC$46,E1213=$AB$47,$AC$47,E1213=$AB$48,$AC$48,E1213=$AB$49,$AC$49,E1213=$AB$50,$AC$50,E1213=$AB$51,$AC$51,E1213=$AB$52,$AC$52,E1213=$AB$53,$AC$53,E1213=$AB$54,$AC$54,E1213=$AB$55,$AC$55,E1213=$AB$56,$AC$56,E1213=$AB$57,$AC$57,E1213=$AB$58,$AC$58,E1213=$AB$59,$AC$59,E1213=$AB$60,$AC$60,E1213=$AB$61,$AC$61,E1213=$AB$62,$AC$62,E1213=$AB$63,$AC$63,E1213=$AB$64,$AC$64,E1213=$AB$65,$AC$65,E1213=$AB$66,$AC$66,TRUE,"0")</f>
        <v>#NAME?</v>
      </c>
      <c r="C1213" s="161" t="str" cm="1">
        <f t="array" ref="C1213">_xlfn.IFS(E1213=$AB$42,$AF$42,E1213=$AB$43,$AF$43,E1213=$AB$44,$AF$44,E1213=$AB$45,$AF$45,E1213=$AB$46,$AF$46,E1213=$AB$47,$AF$47,E1213=$AB$48,$AF$48,E1213=$AB$49,$AF$49,E1213=$AB$50,$AF$50,E1213=$AB$51,$AF$51,E1213=$AB$52,$AF$52,E1213=$AB$53,$AF$53,E1213=$AB$54,$AF$54,E1213=$AB$55,$AF$55,E1213=$AB$56,$AF$56,E1213=$AB$57,$AF$57,E1213=$AB$58,$AF$58,E1213=$AB$59,$AF$59,E1213=$AB$60,$AF$60,E1213=$AB$61,$AF$61,E1213=$AB$62,$AF$62,E1213=$AB$63,$AF$63,E1213=$AB$64,$AF$64,E1213=$AB$65,$AF$65,E1213=$AB$66,$AF$66,TRUE,"0")</f>
        <v>15mins if  0-0, BACK over 1.5 goals X after goal OR LET RUN</v>
      </c>
      <c r="D1213" s="270" t="str" cm="1">
        <f t="array" ref="D1213">_xlfn.IFS(E1213=$AB$42,$AD$42,E1213=$AB$43,$AD$43,E1213=$AB$44,$AD$44,E1213=$AB$45,$AD$45,E1213=$AB$46,$AD$46,E1213=$AB$47,$AD$47,E1213=$AB$48,$AD$48,E1213=$AB$49,$AD$49,E1213=$AB$50,$AD$50,E1213=$AB$51,$AD$51,E1213=$AB$52,$AD$52,E1213=$AB$53,$AD$53,E1213=$AB$54,$AD$54,E1213=$AB$55,$AD$55,E1213=$AB$56,$AD$56,E1213=$AB$57,$AD$57,E1213=$AB$58,$AD$58,E1213=$AB$59,$AD$59,E1213=$AB$60,$AD$60,E1213=$AB$61,$AD$61,E1213=$AB$62,$AD$62,E1213=$AB$63,$AD$63,E1213=$AB$64,$AD$64,E1213=$AB$65,$AD$65,E1213=$AB$66,$AD$66,TRUE,"0")</f>
        <v>IP</v>
      </c>
      <c r="E1213" s="163" t="s">
        <v>473</v>
      </c>
      <c r="F1213" s="2" t="s">
        <v>13</v>
      </c>
      <c r="G1213" s="2" t="s">
        <v>11</v>
      </c>
      <c r="H1213" s="3">
        <v>45409.625</v>
      </c>
      <c r="I1213" s="2" t="s">
        <v>104</v>
      </c>
      <c r="J1213" s="2" t="s">
        <v>138</v>
      </c>
      <c r="K1213" s="2">
        <v>65</v>
      </c>
      <c r="L1213" s="2">
        <v>95</v>
      </c>
      <c r="M1213" s="2">
        <v>20</v>
      </c>
      <c r="N1213" s="2">
        <v>3.5</v>
      </c>
      <c r="O1213" s="2"/>
      <c r="P1213" s="2"/>
      <c r="Q1213" s="2" t="s">
        <v>95</v>
      </c>
      <c r="R1213" s="10" t="s">
        <v>220</v>
      </c>
      <c r="S1213" s="10" t="s">
        <v>220</v>
      </c>
      <c r="T1213" s="188">
        <v>1000</v>
      </c>
      <c r="U1213" s="8">
        <f t="shared" si="138"/>
        <v>180</v>
      </c>
      <c r="V1213" s="234">
        <f t="shared" si="139"/>
        <v>117504.1552461603</v>
      </c>
      <c r="W1213" s="15">
        <v>25</v>
      </c>
      <c r="X1213" s="8">
        <f t="shared" si="140"/>
        <v>4.5</v>
      </c>
      <c r="Y1213" s="233">
        <f t="shared" si="141"/>
        <v>4803.5</v>
      </c>
    </row>
    <row r="1214" spans="1:25">
      <c r="A1214" s="156" t="e" cm="1">
        <f t="array" aca="1" ref="A1214" ca="1">_xlfn.IFS(E1214=$AB$42,$AC$42,E1214=$AB$43,$AC$43,E1214=$AB$44,$AC$44,E1214=$AB$45,$AC$45,E1214=$AB$46,$AC$46,E1214=$AB$47,$AC$47,E1214=$AB$48,$AC$48,E1214=$AB$49,$AC$49,E1214=$AB$50,$AC$50,E1214=$AB$51,$AC$51,E1214=$AB$52,$AC$52,E1214=$AB$53,$AC$53,E1214=$AB$54,$AC$54,E1214=$AB$55,$AC$55,E1214=$AB$56,$AC$56,E1214=$AB$57,$AC$57,E1214=$AB$58,$AC$58,E1214=$AB$59,$AC$59,E1214=$AB$60,$AC$60,E1214=$AB$61,$AC$61,E1214=$AB$62,$AC$62,E1214=$AB$63,$AC$63,E1214=$AB$64,$AC$64,E1214=$AB$65,$AC$65,E1214=$AB$66,$AC$66,TRUE,"0")</f>
        <v>#NAME?</v>
      </c>
      <c r="C1214" s="161" t="str" cm="1">
        <f t="array" ref="C1214">_xlfn.IFS(E1214=$AB$42,$AF$42,E1214=$AB$43,$AF$43,E1214=$AB$44,$AF$44,E1214=$AB$45,$AF$45,E1214=$AB$46,$AF$46,E1214=$AB$47,$AF$47,E1214=$AB$48,$AF$48,E1214=$AB$49,$AF$49,E1214=$AB$50,$AF$50,E1214=$AB$51,$AF$51,E1214=$AB$52,$AF$52,E1214=$AB$53,$AF$53,E1214=$AB$54,$AF$54,E1214=$AB$55,$AF$55,E1214=$AB$56,$AF$56,E1214=$AB$57,$AF$57,E1214=$AB$58,$AF$58,E1214=$AB$59,$AF$59,E1214=$AB$60,$AF$60,E1214=$AB$61,$AF$61,E1214=$AB$62,$AF$62,E1214=$AB$63,$AF$63,E1214=$AB$64,$AF$64,E1214=$AB$65,$AF$65,E1214=$AB$66,$AF$66,TRUE,"0")</f>
        <v>20mins if  0-0, BACK over 1.5 goals X after goal OR LET RUN</v>
      </c>
      <c r="D1214" s="270" t="str" cm="1">
        <f t="array" ref="D1214">_xlfn.IFS(E1214=$AB$42,$AD$42,E1214=$AB$43,$AD$43,E1214=$AB$44,$AD$44,E1214=$AB$45,$AD$45,E1214=$AB$46,$AD$46,E1214=$AB$47,$AD$47,E1214=$AB$48,$AD$48,E1214=$AB$49,$AD$49,E1214=$AB$50,$AD$50,E1214=$AB$51,$AD$51,E1214=$AB$52,$AD$52,E1214=$AB$53,$AD$53,E1214=$AB$54,$AD$54,E1214=$AB$55,$AD$55,E1214=$AB$56,$AD$56,E1214=$AB$57,$AD$57,E1214=$AB$58,$AD$58,E1214=$AB$59,$AD$59,E1214=$AB$60,$AD$60,E1214=$AB$61,$AD$61,E1214=$AB$62,$AD$62,E1214=$AB$63,$AD$63,E1214=$AB$64,$AD$64,E1214=$AB$65,$AD$65,E1214=$AB$66,$AD$66,TRUE,"0")</f>
        <v>IP</v>
      </c>
      <c r="E1214" s="163" t="s">
        <v>474</v>
      </c>
      <c r="F1214" s="2" t="s">
        <v>13</v>
      </c>
      <c r="G1214" s="2" t="s">
        <v>11</v>
      </c>
      <c r="H1214" s="3">
        <v>45409.625</v>
      </c>
      <c r="I1214" s="2" t="s">
        <v>104</v>
      </c>
      <c r="J1214" s="2" t="s">
        <v>138</v>
      </c>
      <c r="K1214" s="2">
        <v>56</v>
      </c>
      <c r="L1214" s="2">
        <v>3.5</v>
      </c>
      <c r="M1214" s="2">
        <v>20</v>
      </c>
      <c r="N1214" s="2">
        <v>65</v>
      </c>
      <c r="O1214" s="2">
        <v>95</v>
      </c>
      <c r="P1214" s="2"/>
      <c r="Q1214" s="2" t="s">
        <v>95</v>
      </c>
      <c r="R1214" s="10" t="s">
        <v>220</v>
      </c>
      <c r="S1214" s="10" t="s">
        <v>220</v>
      </c>
      <c r="T1214" s="188">
        <v>1000</v>
      </c>
      <c r="U1214" s="8">
        <f t="shared" si="138"/>
        <v>180</v>
      </c>
      <c r="V1214" s="234">
        <f t="shared" si="139"/>
        <v>117684.1552461603</v>
      </c>
      <c r="W1214" s="15">
        <v>25</v>
      </c>
      <c r="X1214" s="8">
        <f t="shared" si="140"/>
        <v>4.5</v>
      </c>
      <c r="Y1214" s="233">
        <f t="shared" si="141"/>
        <v>4808</v>
      </c>
    </row>
    <row r="1215" spans="1:25">
      <c r="A1215" s="156" t="e" cm="1">
        <f t="array" aca="1" ref="A1215" ca="1">_xlfn.IFS(E1215=$AB$42,$AC$42,E1215=$AB$43,$AC$43,E1215=$AB$44,$AC$44,E1215=$AB$45,$AC$45,E1215=$AB$46,$AC$46,E1215=$AB$47,$AC$47,E1215=$AB$48,$AC$48,E1215=$AB$49,$AC$49,E1215=$AB$50,$AC$50,E1215=$AB$51,$AC$51,E1215=$AB$52,$AC$52,E1215=$AB$53,$AC$53,E1215=$AB$54,$AC$54,E1215=$AB$55,$AC$55,E1215=$AB$56,$AC$56,E1215=$AB$57,$AC$57,E1215=$AB$58,$AC$58,E1215=$AB$59,$AC$59,E1215=$AB$60,$AC$60,E1215=$AB$61,$AC$61,E1215=$AB$62,$AC$62,E1215=$AB$63,$AC$63,E1215=$AB$64,$AC$64,E1215=$AB$65,$AC$65,E1215=$AB$66,$AC$66,TRUE,"0")</f>
        <v>#NAME?</v>
      </c>
      <c r="C1215" s="161" t="str" cm="1">
        <f t="array" ref="C1215">_xlfn.IFS(E1215=$AB$42,$AF$42,E1215=$AB$43,$AF$43,E1215=$AB$44,$AF$44,E1215=$AB$45,$AF$45,E1215=$AB$46,$AF$46,E1215=$AB$47,$AF$47,E1215=$AB$48,$AF$48,E1215=$AB$49,$AF$49,E1215=$AB$50,$AF$50,E1215=$AB$51,$AF$51,E1215=$AB$52,$AF$52,E1215=$AB$53,$AF$53,E1215=$AB$54,$AF$54,E1215=$AB$55,$AF$55,E1215=$AB$56,$AF$56,E1215=$AB$57,$AF$57,E1215=$AB$58,$AF$58,E1215=$AB$59,$AF$59,E1215=$AB$60,$AF$60,E1215=$AB$61,$AF$61,E1215=$AB$62,$AF$62,E1215=$AB$63,$AF$63,E1215=$AB$64,$AF$64,E1215=$AB$65,$AF$65,E1215=$AB$66,$AF$66,TRUE,"0")</f>
        <v>if 0-0, BACK+ 0.5 GOALS  @ 1.15+odds.  or @ 40 mins</v>
      </c>
      <c r="D1215" s="270" t="str" cm="1">
        <f t="array" ref="D1215">_xlfn.IFS(E1215=$AB$42,$AD$42,E1215=$AB$43,$AD$43,E1215=$AB$44,$AD$44,E1215=$AB$45,$AD$45,E1215=$AB$46,$AD$46,E1215=$AB$47,$AD$47,E1215=$AB$48,$AD$48,E1215=$AB$49,$AD$49,E1215=$AB$50,$AD$50,E1215=$AB$51,$AD$51,E1215=$AB$52,$AD$52,E1215=$AB$53,$AD$53,E1215=$AB$54,$AD$54,E1215=$AB$55,$AD$55,E1215=$AB$56,$AD$56,E1215=$AB$57,$AD$57,E1215=$AB$58,$AD$58,E1215=$AB$59,$AD$59,E1215=$AB$60,$AD$60,E1215=$AB$61,$AD$61,E1215=$AB$62,$AD$62,E1215=$AB$63,$AD$63,E1215=$AB$64,$AD$64,E1215=$AB$65,$AD$65,E1215=$AB$66,$AD$66,TRUE,"0")</f>
        <v>IP</v>
      </c>
      <c r="E1215" s="163" t="s">
        <v>270</v>
      </c>
      <c r="F1215" s="2" t="s">
        <v>626</v>
      </c>
      <c r="G1215" s="2" t="s">
        <v>627</v>
      </c>
      <c r="H1215" s="3">
        <v>45409.625</v>
      </c>
      <c r="I1215" s="2" t="s">
        <v>774</v>
      </c>
      <c r="J1215" s="2" t="s">
        <v>775</v>
      </c>
      <c r="K1215" s="2">
        <v>59</v>
      </c>
      <c r="L1215" s="2">
        <v>0</v>
      </c>
      <c r="M1215" s="2">
        <v>20</v>
      </c>
      <c r="N1215" s="2">
        <v>45</v>
      </c>
      <c r="O1215" s="2">
        <v>0</v>
      </c>
      <c r="P1215" s="2"/>
      <c r="Q1215" s="2" t="s">
        <v>95</v>
      </c>
      <c r="R1215" s="10" t="s">
        <v>217</v>
      </c>
      <c r="S1215" s="10" t="s">
        <v>225</v>
      </c>
      <c r="T1215" s="188">
        <v>1000</v>
      </c>
      <c r="U1215" s="8">
        <f t="shared" si="138"/>
        <v>180</v>
      </c>
      <c r="V1215" s="234">
        <f t="shared" si="139"/>
        <v>117864.1552461603</v>
      </c>
      <c r="W1215" s="15">
        <v>25</v>
      </c>
      <c r="X1215" s="8">
        <f t="shared" si="140"/>
        <v>4.5</v>
      </c>
      <c r="Y1215" s="233">
        <f t="shared" si="141"/>
        <v>4812.5</v>
      </c>
    </row>
    <row r="1216" spans="1:25">
      <c r="A1216" s="156" t="e" cm="1">
        <f t="array" aca="1" ref="A1216" ca="1">_xlfn.IFS(E1216=$AB$42,$AC$42,E1216=$AB$43,$AC$43,E1216=$AB$44,$AC$44,E1216=$AB$45,$AC$45,E1216=$AB$46,$AC$46,E1216=$AB$47,$AC$47,E1216=$AB$48,$AC$48,E1216=$AB$49,$AC$49,E1216=$AB$50,$AC$50,E1216=$AB$51,$AC$51,E1216=$AB$52,$AC$52,E1216=$AB$53,$AC$53,E1216=$AB$54,$AC$54,E1216=$AB$55,$AC$55,E1216=$AB$56,$AC$56,E1216=$AB$57,$AC$57,E1216=$AB$58,$AC$58,E1216=$AB$59,$AC$59,E1216=$AB$60,$AC$60,E1216=$AB$61,$AC$61,E1216=$AB$62,$AC$62,E1216=$AB$63,$AC$63,E1216=$AB$64,$AC$64,E1216=$AB$65,$AC$65,E1216=$AB$66,$AC$66,TRUE,"0")</f>
        <v>#NAME?</v>
      </c>
      <c r="C1216" s="161" t="str" cm="1">
        <f t="array" ref="C1216">_xlfn.IFS(E1216=$AB$42,$AF$42,E1216=$AB$43,$AF$43,E1216=$AB$44,$AF$44,E1216=$AB$45,$AF$45,E1216=$AB$46,$AF$46,E1216=$AB$47,$AF$47,E1216=$AB$48,$AF$48,E1216=$AB$49,$AF$49,E1216=$AB$50,$AF$50,E1216=$AB$51,$AF$51,E1216=$AB$52,$AF$52,E1216=$AB$53,$AF$53,E1216=$AB$54,$AF$54,E1216=$AB$55,$AF$55,E1216=$AB$56,$AF$56,E1216=$AB$57,$AF$57,E1216=$AB$58,$AF$58,E1216=$AB$59,$AF$59,E1216=$AB$60,$AF$60,E1216=$AB$61,$AF$61,E1216=$AB$62,$AF$62,E1216=$AB$63,$AF$63,E1216=$AB$64,$AF$64,E1216=$AB$65,$AF$65,E1216=$AB$66,$AF$66,TRUE,"0")</f>
        <v>40 mins Back ANother Goal</v>
      </c>
      <c r="D1216" s="270" t="str" cm="1">
        <f t="array" ref="D1216">_xlfn.IFS(E1216=$AB$42,$AD$42,E1216=$AB$43,$AD$43,E1216=$AB$44,$AD$44,E1216=$AB$45,$AD$45,E1216=$AB$46,$AD$46,E1216=$AB$47,$AD$47,E1216=$AB$48,$AD$48,E1216=$AB$49,$AD$49,E1216=$AB$50,$AD$50,E1216=$AB$51,$AD$51,E1216=$AB$52,$AD$52,E1216=$AB$53,$AD$53,E1216=$AB$54,$AD$54,E1216=$AB$55,$AD$55,E1216=$AB$56,$AD$56,E1216=$AB$57,$AD$57,E1216=$AB$58,$AD$58,E1216=$AB$59,$AD$59,E1216=$AB$60,$AD$60,E1216=$AB$61,$AD$61,E1216=$AB$62,$AD$62,E1216=$AB$63,$AD$63,E1216=$AB$64,$AD$64,E1216=$AB$65,$AD$65,E1216=$AB$66,$AD$66,TRUE,"0")</f>
        <v xml:space="preserve">  BANG</v>
      </c>
      <c r="E1216" s="163" t="s">
        <v>43</v>
      </c>
      <c r="F1216" s="2" t="s">
        <v>6</v>
      </c>
      <c r="G1216" s="2" t="s">
        <v>14</v>
      </c>
      <c r="H1216" s="3">
        <v>45409.625</v>
      </c>
      <c r="I1216" s="2" t="s">
        <v>202</v>
      </c>
      <c r="J1216" s="2" t="s">
        <v>414</v>
      </c>
      <c r="K1216" s="2">
        <v>69</v>
      </c>
      <c r="L1216" s="2">
        <v>69</v>
      </c>
      <c r="M1216" s="2">
        <v>62</v>
      </c>
      <c r="N1216" s="2">
        <v>1.65</v>
      </c>
      <c r="O1216" s="2">
        <v>1.52</v>
      </c>
      <c r="P1216" s="2"/>
      <c r="Q1216" s="2" t="s">
        <v>95</v>
      </c>
      <c r="R1216" s="10" t="s">
        <v>214</v>
      </c>
      <c r="S1216" s="10" t="s">
        <v>207</v>
      </c>
      <c r="T1216" s="188">
        <v>1000</v>
      </c>
      <c r="U1216" s="8">
        <f t="shared" si="138"/>
        <v>180</v>
      </c>
      <c r="V1216" s="234">
        <f t="shared" si="139"/>
        <v>118044.1552461603</v>
      </c>
      <c r="W1216" s="15">
        <v>25</v>
      </c>
      <c r="X1216" s="8">
        <f t="shared" si="140"/>
        <v>4.5</v>
      </c>
      <c r="Y1216" s="233">
        <f t="shared" si="141"/>
        <v>4817</v>
      </c>
    </row>
    <row r="1217" spans="1:25">
      <c r="A1217" s="156" t="e" cm="1">
        <f t="array" aca="1" ref="A1217" ca="1">_xlfn.IFS(E1217=$AB$42,$AC$42,E1217=$AB$43,$AC$43,E1217=$AB$44,$AC$44,E1217=$AB$45,$AC$45,E1217=$AB$46,$AC$46,E1217=$AB$47,$AC$47,E1217=$AB$48,$AC$48,E1217=$AB$49,$AC$49,E1217=$AB$50,$AC$50,E1217=$AB$51,$AC$51,E1217=$AB$52,$AC$52,E1217=$AB$53,$AC$53,E1217=$AB$54,$AC$54,E1217=$AB$55,$AC$55,E1217=$AB$56,$AC$56,E1217=$AB$57,$AC$57,E1217=$AB$58,$AC$58,E1217=$AB$59,$AC$59,E1217=$AB$60,$AC$60,E1217=$AB$61,$AC$61,E1217=$AB$62,$AC$62,E1217=$AB$63,$AC$63,E1217=$AB$64,$AC$64,E1217=$AB$65,$AC$65,E1217=$AB$66,$AC$66,TRUE,"0")</f>
        <v>#NAME?</v>
      </c>
      <c r="C1217" s="161" t="str" cm="1">
        <f t="array" ref="C1217">_xlfn.IFS(E1217=$AB$42,$AF$42,E1217=$AB$43,$AF$43,E1217=$AB$44,$AF$44,E1217=$AB$45,$AF$45,E1217=$AB$46,$AF$46,E1217=$AB$47,$AF$47,E1217=$AB$48,$AF$48,E1217=$AB$49,$AF$49,E1217=$AB$50,$AF$50,E1217=$AB$51,$AF$51,E1217=$AB$52,$AF$52,E1217=$AB$53,$AF$53,E1217=$AB$54,$AF$54,E1217=$AB$55,$AF$55,E1217=$AB$56,$AF$56,E1217=$AB$57,$AF$57,E1217=$AB$58,$AF$58,E1217=$AB$59,$AF$59,E1217=$AB$60,$AF$60,E1217=$AB$61,$AF$61,E1217=$AB$62,$AF$62,E1217=$AB$63,$AF$63,E1217=$AB$64,$AF$64,E1217=$AB$65,$AF$65,E1217=$AB$66,$AF$66,TRUE,"0")</f>
        <v>B4 match BACK FT +1.5 goals. X AFTER  GOAL</v>
      </c>
      <c r="D1217" s="270" t="str" cm="1">
        <f t="array" ref="D1217">_xlfn.IFS(E1217=$AB$42,$AD$42,E1217=$AB$43,$AD$43,E1217=$AB$44,$AD$44,E1217=$AB$45,$AD$45,E1217=$AB$46,$AD$46,E1217=$AB$47,$AD$47,E1217=$AB$48,$AD$48,E1217=$AB$49,$AD$49,E1217=$AB$50,$AD$50,E1217=$AB$51,$AD$51,E1217=$AB$52,$AD$52,E1217=$AB$53,$AD$53,E1217=$AB$54,$AD$54,E1217=$AB$55,$AD$55,E1217=$AB$56,$AD$56,E1217=$AB$57,$AD$57,E1217=$AB$58,$AD$58,E1217=$AB$59,$AD$59,E1217=$AB$60,$AD$60,E1217=$AB$61,$AD$61,E1217=$AB$62,$AD$62,E1217=$AB$63,$AD$63,E1217=$AB$64,$AD$64,E1217=$AB$65,$AD$65,E1217=$AB$66,$AD$66,TRUE,"0")</f>
        <v xml:space="preserve">BFM </v>
      </c>
      <c r="E1217" s="163" t="s">
        <v>623</v>
      </c>
      <c r="F1217" s="2" t="s">
        <v>6</v>
      </c>
      <c r="G1217" s="2" t="s">
        <v>14</v>
      </c>
      <c r="H1217" s="3">
        <v>45409.625</v>
      </c>
      <c r="I1217" s="2" t="s">
        <v>56</v>
      </c>
      <c r="J1217" s="2" t="s">
        <v>513</v>
      </c>
      <c r="K1217" s="2">
        <v>6.4</v>
      </c>
      <c r="L1217" s="2">
        <v>20</v>
      </c>
      <c r="M1217" s="2">
        <v>3.25</v>
      </c>
      <c r="N1217" s="2">
        <v>29</v>
      </c>
      <c r="O1217" s="2">
        <v>3</v>
      </c>
      <c r="P1217" s="2">
        <v>10</v>
      </c>
      <c r="Q1217" s="2" t="s">
        <v>95</v>
      </c>
      <c r="R1217" s="10" t="s">
        <v>193</v>
      </c>
      <c r="S1217" s="10" t="s">
        <v>193</v>
      </c>
      <c r="T1217" s="188">
        <v>1000</v>
      </c>
      <c r="U1217" s="8">
        <f t="shared" si="138"/>
        <v>180</v>
      </c>
      <c r="V1217" s="234">
        <f t="shared" si="139"/>
        <v>118224.1552461603</v>
      </c>
      <c r="W1217" s="15">
        <v>25</v>
      </c>
      <c r="X1217" s="8">
        <f t="shared" si="140"/>
        <v>4.5</v>
      </c>
      <c r="Y1217" s="233">
        <f t="shared" si="141"/>
        <v>4821.5</v>
      </c>
    </row>
    <row r="1218" spans="1:25">
      <c r="A1218" s="156" t="e" cm="1">
        <f t="array" aca="1" ref="A1218" ca="1">_xlfn.IFS(E1218=$AB$42,$AC$42,E1218=$AB$43,$AC$43,E1218=$AB$44,$AC$44,E1218=$AB$45,$AC$45,E1218=$AB$46,$AC$46,E1218=$AB$47,$AC$47,E1218=$AB$48,$AC$48,E1218=$AB$49,$AC$49,E1218=$AB$50,$AC$50,E1218=$AB$51,$AC$51,E1218=$AB$52,$AC$52,E1218=$AB$53,$AC$53,E1218=$AB$54,$AC$54,E1218=$AB$55,$AC$55,E1218=$AB$56,$AC$56,E1218=$AB$57,$AC$57,E1218=$AB$58,$AC$58,E1218=$AB$59,$AC$59,E1218=$AB$60,$AC$60,E1218=$AB$61,$AC$61,E1218=$AB$62,$AC$62,E1218=$AB$63,$AC$63,E1218=$AB$64,$AC$64,E1218=$AB$65,$AC$65,E1218=$AB$66,$AC$66,TRUE,"0")</f>
        <v>#NAME?</v>
      </c>
      <c r="C1218" s="161" t="str" cm="1">
        <f t="array" ref="C1218">_xlfn.IFS(E1218=$AB$42,$AF$42,E1218=$AB$43,$AF$43,E1218=$AB$44,$AF$44,E1218=$AB$45,$AF$45,E1218=$AB$46,$AF$46,E1218=$AB$47,$AF$47,E1218=$AB$48,$AF$48,E1218=$AB$49,$AF$49,E1218=$AB$50,$AF$50,E1218=$AB$51,$AF$51,E1218=$AB$52,$AF$52,E1218=$AB$53,$AF$53,E1218=$AB$54,$AF$54,E1218=$AB$55,$AF$55,E1218=$AB$56,$AF$56,E1218=$AB$57,$AF$57,E1218=$AB$58,$AF$58,E1218=$AB$59,$AF$59,E1218=$AB$60,$AF$60,E1218=$AB$61,$AF$61,E1218=$AB$62,$AF$62,E1218=$AB$63,$AF$63,E1218=$AB$64,$AF$64,E1218=$AB$65,$AF$65,E1218=$AB$66,$AF$66,TRUE,"0")</f>
        <v>B4 match BACK FT +1.5 goals. X AFTER  GOAL</v>
      </c>
      <c r="D1218" s="270" t="str" cm="1">
        <f t="array" ref="D1218">_xlfn.IFS(E1218=$AB$42,$AD$42,E1218=$AB$43,$AD$43,E1218=$AB$44,$AD$44,E1218=$AB$45,$AD$45,E1218=$AB$46,$AD$46,E1218=$AB$47,$AD$47,E1218=$AB$48,$AD$48,E1218=$AB$49,$AD$49,E1218=$AB$50,$AD$50,E1218=$AB$51,$AD$51,E1218=$AB$52,$AD$52,E1218=$AB$53,$AD$53,E1218=$AB$54,$AD$54,E1218=$AB$55,$AD$55,E1218=$AB$56,$AD$56,E1218=$AB$57,$AD$57,E1218=$AB$58,$AD$58,E1218=$AB$59,$AD$59,E1218=$AB$60,$AD$60,E1218=$AB$61,$AD$61,E1218=$AB$62,$AD$62,E1218=$AB$63,$AD$63,E1218=$AB$64,$AD$64,E1218=$AB$65,$AD$65,E1218=$AB$66,$AD$66,TRUE,"0")</f>
        <v xml:space="preserve">BFM </v>
      </c>
      <c r="E1218" s="163" t="s">
        <v>623</v>
      </c>
      <c r="F1218" s="2" t="s">
        <v>6</v>
      </c>
      <c r="G1218" s="2" t="s">
        <v>7</v>
      </c>
      <c r="H1218" s="3">
        <v>45409.625</v>
      </c>
      <c r="I1218" s="2" t="s">
        <v>163</v>
      </c>
      <c r="J1218" s="2" t="s">
        <v>9</v>
      </c>
      <c r="K1218" s="2">
        <v>5.6</v>
      </c>
      <c r="L1218" s="2">
        <v>20</v>
      </c>
      <c r="M1218" s="2">
        <v>3.45</v>
      </c>
      <c r="N1218" s="2">
        <v>23</v>
      </c>
      <c r="O1218" s="2">
        <v>0</v>
      </c>
      <c r="P1218" s="2">
        <v>10</v>
      </c>
      <c r="Q1218" s="2" t="s">
        <v>95</v>
      </c>
      <c r="R1218" s="10" t="s">
        <v>210</v>
      </c>
      <c r="S1218" s="10" t="s">
        <v>279</v>
      </c>
      <c r="T1218" s="188">
        <v>1000</v>
      </c>
      <c r="U1218" s="8">
        <f t="shared" si="138"/>
        <v>180</v>
      </c>
      <c r="V1218" s="234">
        <f t="shared" si="139"/>
        <v>118404.1552461603</v>
      </c>
      <c r="W1218" s="15">
        <v>25</v>
      </c>
      <c r="X1218" s="8">
        <f t="shared" si="140"/>
        <v>4.5</v>
      </c>
      <c r="Y1218" s="233">
        <f t="shared" si="141"/>
        <v>4826</v>
      </c>
    </row>
    <row r="1219" spans="1:25">
      <c r="A1219" s="156" t="e" cm="1">
        <f t="array" aca="1" ref="A1219" ca="1">_xlfn.IFS(E1219=$AB$42,$AC$42,E1219=$AB$43,$AC$43,E1219=$AB$44,$AC$44,E1219=$AB$45,$AC$45,E1219=$AB$46,$AC$46,E1219=$AB$47,$AC$47,E1219=$AB$48,$AC$48,E1219=$AB$49,$AC$49,E1219=$AB$50,$AC$50,E1219=$AB$51,$AC$51,E1219=$AB$52,$AC$52,E1219=$AB$53,$AC$53,E1219=$AB$54,$AC$54,E1219=$AB$55,$AC$55,E1219=$AB$56,$AC$56,E1219=$AB$57,$AC$57,E1219=$AB$58,$AC$58,E1219=$AB$59,$AC$59,E1219=$AB$60,$AC$60,E1219=$AB$61,$AC$61,E1219=$AB$62,$AC$62,E1219=$AB$63,$AC$63,E1219=$AB$64,$AC$64,E1219=$AB$65,$AC$65,E1219=$AB$66,$AC$66,TRUE,"0")</f>
        <v>#NAME?</v>
      </c>
      <c r="C1219" s="161" t="str" cm="1">
        <f t="array" ref="C1219">_xlfn.IFS(E1219=$AB$42,$AF$42,E1219=$AB$43,$AF$43,E1219=$AB$44,$AF$44,E1219=$AB$45,$AF$45,E1219=$AB$46,$AF$46,E1219=$AB$47,$AF$47,E1219=$AB$48,$AF$48,E1219=$AB$49,$AF$49,E1219=$AB$50,$AF$50,E1219=$AB$51,$AF$51,E1219=$AB$52,$AF$52,E1219=$AB$53,$AF$53,E1219=$AB$54,$AF$54,E1219=$AB$55,$AF$55,E1219=$AB$56,$AF$56,E1219=$AB$57,$AF$57,E1219=$AB$58,$AF$58,E1219=$AB$59,$AF$59,E1219=$AB$60,$AF$60,E1219=$AB$61,$AF$61,E1219=$AB$62,$AF$62,E1219=$AB$63,$AF$63,E1219=$AB$64,$AF$64,E1219=$AB$65,$AF$65,E1219=$AB$66,$AF$66,TRUE,"0")</f>
        <v>if 0-0, BACK+ 0.5 GOALS  @ 1.15+odds.  or @ 40 mins</v>
      </c>
      <c r="D1219" s="270" t="str" cm="1">
        <f t="array" ref="D1219">_xlfn.IFS(E1219=$AB$42,$AD$42,E1219=$AB$43,$AD$43,E1219=$AB$44,$AD$44,E1219=$AB$45,$AD$45,E1219=$AB$46,$AD$46,E1219=$AB$47,$AD$47,E1219=$AB$48,$AD$48,E1219=$AB$49,$AD$49,E1219=$AB$50,$AD$50,E1219=$AB$51,$AD$51,E1219=$AB$52,$AD$52,E1219=$AB$53,$AD$53,E1219=$AB$54,$AD$54,E1219=$AB$55,$AD$55,E1219=$AB$56,$AD$56,E1219=$AB$57,$AD$57,E1219=$AB$58,$AD$58,E1219=$AB$59,$AD$59,E1219=$AB$60,$AD$60,E1219=$AB$61,$AD$61,E1219=$AB$62,$AD$62,E1219=$AB$63,$AD$63,E1219=$AB$64,$AD$64,E1219=$AB$65,$AD$65,E1219=$AB$66,$AD$66,TRUE,"0")</f>
        <v>IP</v>
      </c>
      <c r="E1219" s="163" t="s">
        <v>270</v>
      </c>
      <c r="F1219" s="2" t="s">
        <v>6</v>
      </c>
      <c r="G1219" s="2" t="s">
        <v>62</v>
      </c>
      <c r="H1219" s="3">
        <v>45409.625</v>
      </c>
      <c r="I1219" s="2" t="s">
        <v>64</v>
      </c>
      <c r="J1219" s="2" t="s">
        <v>86</v>
      </c>
      <c r="K1219" s="2">
        <v>65</v>
      </c>
      <c r="L1219" s="2">
        <v>0</v>
      </c>
      <c r="M1219" s="2">
        <v>20</v>
      </c>
      <c r="N1219" s="2">
        <v>25</v>
      </c>
      <c r="O1219" s="2">
        <v>2.94</v>
      </c>
      <c r="P1219" s="2"/>
      <c r="Q1219" s="2" t="s">
        <v>95</v>
      </c>
      <c r="R1219" s="10" t="s">
        <v>214</v>
      </c>
      <c r="S1219" s="10" t="s">
        <v>222</v>
      </c>
      <c r="T1219" s="188">
        <v>1000</v>
      </c>
      <c r="U1219" s="8">
        <f t="shared" si="138"/>
        <v>180</v>
      </c>
      <c r="V1219" s="234">
        <f t="shared" si="139"/>
        <v>118584.1552461603</v>
      </c>
      <c r="W1219" s="15">
        <v>25</v>
      </c>
      <c r="X1219" s="8">
        <f t="shared" si="140"/>
        <v>4.5</v>
      </c>
      <c r="Y1219" s="233">
        <f t="shared" si="141"/>
        <v>4830.5</v>
      </c>
    </row>
    <row r="1220" spans="1:25">
      <c r="A1220" s="156" t="e" cm="1">
        <f t="array" aca="1" ref="A1220" ca="1">_xlfn.IFS(E1220=$AB$42,$AC$42,E1220=$AB$43,$AC$43,E1220=$AB$44,$AC$44,E1220=$AB$45,$AC$45,E1220=$AB$46,$AC$46,E1220=$AB$47,$AC$47,E1220=$AB$48,$AC$48,E1220=$AB$49,$AC$49,E1220=$AB$50,$AC$50,E1220=$AB$51,$AC$51,E1220=$AB$52,$AC$52,E1220=$AB$53,$AC$53,E1220=$AB$54,$AC$54,E1220=$AB$55,$AC$55,E1220=$AB$56,$AC$56,E1220=$AB$57,$AC$57,E1220=$AB$58,$AC$58,E1220=$AB$59,$AC$59,E1220=$AB$60,$AC$60,E1220=$AB$61,$AC$61,E1220=$AB$62,$AC$62,E1220=$AB$63,$AC$63,E1220=$AB$64,$AC$64,E1220=$AB$65,$AC$65,E1220=$AB$66,$AC$66,TRUE,"0")</f>
        <v>#NAME?</v>
      </c>
      <c r="C1220" s="161" t="str" cm="1">
        <f t="array" ref="C1220">_xlfn.IFS(E1220=$AB$42,$AF$42,E1220=$AB$43,$AF$43,E1220=$AB$44,$AF$44,E1220=$AB$45,$AF$45,E1220=$AB$46,$AF$46,E1220=$AB$47,$AF$47,E1220=$AB$48,$AF$48,E1220=$AB$49,$AF$49,E1220=$AB$50,$AF$50,E1220=$AB$51,$AF$51,E1220=$AB$52,$AF$52,E1220=$AB$53,$AF$53,E1220=$AB$54,$AF$54,E1220=$AB$55,$AF$55,E1220=$AB$56,$AF$56,E1220=$AB$57,$AF$57,E1220=$AB$58,$AF$58,E1220=$AB$59,$AF$59,E1220=$AB$60,$AF$60,E1220=$AB$61,$AF$61,E1220=$AB$62,$AF$62,E1220=$AB$63,$AF$63,E1220=$AB$64,$AF$64,E1220=$AB$65,$AF$65,E1220=$AB$66,$AF$66,TRUE,"0")</f>
        <v>40 mins Back ANother Goal</v>
      </c>
      <c r="D1220" s="270" t="str" cm="1">
        <f t="array" ref="D1220">_xlfn.IFS(E1220=$AB$42,$AD$42,E1220=$AB$43,$AD$43,E1220=$AB$44,$AD$44,E1220=$AB$45,$AD$45,E1220=$AB$46,$AD$46,E1220=$AB$47,$AD$47,E1220=$AB$48,$AD$48,E1220=$AB$49,$AD$49,E1220=$AB$50,$AD$50,E1220=$AB$51,$AD$51,E1220=$AB$52,$AD$52,E1220=$AB$53,$AD$53,E1220=$AB$54,$AD$54,E1220=$AB$55,$AD$55,E1220=$AB$56,$AD$56,E1220=$AB$57,$AD$57,E1220=$AB$58,$AD$58,E1220=$AB$59,$AD$59,E1220=$AB$60,$AD$60,E1220=$AB$61,$AD$61,E1220=$AB$62,$AD$62,E1220=$AB$63,$AD$63,E1220=$AB$64,$AD$64,E1220=$AB$65,$AD$65,E1220=$AB$66,$AD$66,TRUE,"0")</f>
        <v xml:space="preserve">  BANG</v>
      </c>
      <c r="E1220" s="163" t="s">
        <v>726</v>
      </c>
      <c r="F1220" s="2" t="s">
        <v>77</v>
      </c>
      <c r="G1220" s="2" t="s">
        <v>251</v>
      </c>
      <c r="H1220" s="3">
        <v>45409.645833333336</v>
      </c>
      <c r="I1220" s="2" t="s">
        <v>776</v>
      </c>
      <c r="J1220" s="2" t="s">
        <v>259</v>
      </c>
      <c r="K1220" s="2">
        <v>85</v>
      </c>
      <c r="L1220" s="2">
        <v>20</v>
      </c>
      <c r="M1220" s="2">
        <v>1.95</v>
      </c>
      <c r="N1220" s="2">
        <v>64</v>
      </c>
      <c r="O1220" s="2"/>
      <c r="P1220" s="2"/>
      <c r="Q1220" s="2" t="s">
        <v>95</v>
      </c>
      <c r="R1220" s="10" t="s">
        <v>193</v>
      </c>
      <c r="S1220" s="10" t="s">
        <v>216</v>
      </c>
      <c r="T1220" s="188">
        <v>1000</v>
      </c>
      <c r="U1220" s="8">
        <f t="shared" si="138"/>
        <v>180</v>
      </c>
      <c r="V1220" s="234">
        <f t="shared" si="139"/>
        <v>118764.1552461603</v>
      </c>
      <c r="W1220" s="15">
        <v>25</v>
      </c>
      <c r="X1220" s="8">
        <f t="shared" si="140"/>
        <v>4.5</v>
      </c>
      <c r="Y1220" s="233">
        <f t="shared" si="141"/>
        <v>4835</v>
      </c>
    </row>
    <row r="1221" spans="1:25">
      <c r="A1221" s="156" t="e" cm="1">
        <f t="array" aca="1" ref="A1221" ca="1">_xlfn.IFS(E1221=$AB$42,$AC$42,E1221=$AB$43,$AC$43,E1221=$AB$44,$AC$44,E1221=$AB$45,$AC$45,E1221=$AB$46,$AC$46,E1221=$AB$47,$AC$47,E1221=$AB$48,$AC$48,E1221=$AB$49,$AC$49,E1221=$AB$50,$AC$50,E1221=$AB$51,$AC$51,E1221=$AB$52,$AC$52,E1221=$AB$53,$AC$53,E1221=$AB$54,$AC$54,E1221=$AB$55,$AC$55,E1221=$AB$56,$AC$56,E1221=$AB$57,$AC$57,E1221=$AB$58,$AC$58,E1221=$AB$59,$AC$59,E1221=$AB$60,$AC$60,E1221=$AB$61,$AC$61,E1221=$AB$62,$AC$62,E1221=$AB$63,$AC$63,E1221=$AB$64,$AC$64,E1221=$AB$65,$AC$65,E1221=$AB$66,$AC$66,TRUE,"0")</f>
        <v>#NAME?</v>
      </c>
      <c r="C1221" s="161" t="str" cm="1">
        <f t="array" ref="C1221">_xlfn.IFS(E1221=$AB$42,$AF$42,E1221=$AB$43,$AF$43,E1221=$AB$44,$AF$44,E1221=$AB$45,$AF$45,E1221=$AB$46,$AF$46,E1221=$AB$47,$AF$47,E1221=$AB$48,$AF$48,E1221=$AB$49,$AF$49,E1221=$AB$50,$AF$50,E1221=$AB$51,$AF$51,E1221=$AB$52,$AF$52,E1221=$AB$53,$AF$53,E1221=$AB$54,$AF$54,E1221=$AB$55,$AF$55,E1221=$AB$56,$AF$56,E1221=$AB$57,$AF$57,E1221=$AB$58,$AF$58,E1221=$AB$59,$AF$59,E1221=$AB$60,$AF$60,E1221=$AB$61,$AF$61,E1221=$AB$62,$AF$62,E1221=$AB$63,$AF$63,E1221=$AB$64,$AF$64,E1221=$AB$65,$AF$65,E1221=$AB$66,$AF$66,TRUE,"0")</f>
        <v>B4 match BACK FT +1.5 goals. X AFTER  GOAL</v>
      </c>
      <c r="D1221" s="270" t="str" cm="1">
        <f t="array" ref="D1221">_xlfn.IFS(E1221=$AB$42,$AD$42,E1221=$AB$43,$AD$43,E1221=$AB$44,$AD$44,E1221=$AB$45,$AD$45,E1221=$AB$46,$AD$46,E1221=$AB$47,$AD$47,E1221=$AB$48,$AD$48,E1221=$AB$49,$AD$49,E1221=$AB$50,$AD$50,E1221=$AB$51,$AD$51,E1221=$AB$52,$AD$52,E1221=$AB$53,$AD$53,E1221=$AB$54,$AD$54,E1221=$AB$55,$AD$55,E1221=$AB$56,$AD$56,E1221=$AB$57,$AD$57,E1221=$AB$58,$AD$58,E1221=$AB$59,$AD$59,E1221=$AB$60,$AD$60,E1221=$AB$61,$AD$61,E1221=$AB$62,$AD$62,E1221=$AB$63,$AD$63,E1221=$AB$64,$AD$64,E1221=$AB$65,$AD$65,E1221=$AB$66,$AD$66,TRUE,"0")</f>
        <v xml:space="preserve">BFM </v>
      </c>
      <c r="E1221" s="163" t="s">
        <v>623</v>
      </c>
      <c r="F1221" s="2" t="s">
        <v>80</v>
      </c>
      <c r="G1221" s="2" t="s">
        <v>81</v>
      </c>
      <c r="H1221" s="3">
        <v>45409.708333333336</v>
      </c>
      <c r="I1221" s="2" t="s">
        <v>314</v>
      </c>
      <c r="J1221" s="2" t="s">
        <v>129</v>
      </c>
      <c r="K1221" s="2">
        <v>5.7</v>
      </c>
      <c r="L1221" s="2">
        <v>20</v>
      </c>
      <c r="M1221" s="2">
        <v>3.1</v>
      </c>
      <c r="N1221" s="2">
        <v>19</v>
      </c>
      <c r="O1221" s="2">
        <v>4</v>
      </c>
      <c r="P1221" s="2">
        <v>10</v>
      </c>
      <c r="Q1221" s="2" t="s">
        <v>95</v>
      </c>
      <c r="R1221" s="10" t="s">
        <v>214</v>
      </c>
      <c r="S1221" s="10" t="s">
        <v>222</v>
      </c>
      <c r="T1221" s="188">
        <v>1000</v>
      </c>
      <c r="U1221" s="8">
        <f t="shared" si="138"/>
        <v>180</v>
      </c>
      <c r="V1221" s="234">
        <f t="shared" si="139"/>
        <v>118944.1552461603</v>
      </c>
      <c r="W1221" s="15">
        <v>25</v>
      </c>
      <c r="X1221" s="8">
        <f t="shared" si="140"/>
        <v>4.5</v>
      </c>
      <c r="Y1221" s="233">
        <f t="shared" si="141"/>
        <v>4839.5</v>
      </c>
    </row>
    <row r="1222" spans="1:25">
      <c r="A1222" s="156" t="e" cm="1">
        <f t="array" aca="1" ref="A1222" ca="1">_xlfn.IFS(E1222=$AB$42,$AC$42,E1222=$AB$43,$AC$43,E1222=$AB$44,$AC$44,E1222=$AB$45,$AC$45,E1222=$AB$46,$AC$46,E1222=$AB$47,$AC$47,E1222=$AB$48,$AC$48,E1222=$AB$49,$AC$49,E1222=$AB$50,$AC$50,E1222=$AB$51,$AC$51,E1222=$AB$52,$AC$52,E1222=$AB$53,$AC$53,E1222=$AB$54,$AC$54,E1222=$AB$55,$AC$55,E1222=$AB$56,$AC$56,E1222=$AB$57,$AC$57,E1222=$AB$58,$AC$58,E1222=$AB$59,$AC$59,E1222=$AB$60,$AC$60,E1222=$AB$61,$AC$61,E1222=$AB$62,$AC$62,E1222=$AB$63,$AC$63,E1222=$AB$64,$AC$64,E1222=$AB$65,$AC$65,E1222=$AB$66,$AC$66,TRUE,"0")</f>
        <v>#NAME?</v>
      </c>
      <c r="C1222" s="161" t="str" cm="1">
        <f t="array" ref="C1222">_xlfn.IFS(E1222=$AB$42,$AF$42,E1222=$AB$43,$AF$43,E1222=$AB$44,$AF$44,E1222=$AB$45,$AF$45,E1222=$AB$46,$AF$46,E1222=$AB$47,$AF$47,E1222=$AB$48,$AF$48,E1222=$AB$49,$AF$49,E1222=$AB$50,$AF$50,E1222=$AB$51,$AF$51,E1222=$AB$52,$AF$52,E1222=$AB$53,$AF$53,E1222=$AB$54,$AF$54,E1222=$AB$55,$AF$55,E1222=$AB$56,$AF$56,E1222=$AB$57,$AF$57,E1222=$AB$58,$AF$58,E1222=$AB$59,$AF$59,E1222=$AB$60,$AF$60,E1222=$AB$61,$AF$61,E1222=$AB$62,$AF$62,E1222=$AB$63,$AF$63,E1222=$AB$64,$AF$64,E1222=$AB$65,$AF$65,E1222=$AB$66,$AF$66,TRUE,"0")</f>
        <v>40 mins Back ANother Goal</v>
      </c>
      <c r="D1222" s="270" t="str" cm="1">
        <f t="array" ref="D1222">_xlfn.IFS(E1222=$AB$42,$AD$42,E1222=$AB$43,$AD$43,E1222=$AB$44,$AD$44,E1222=$AB$45,$AD$45,E1222=$AB$46,$AD$46,E1222=$AB$47,$AD$47,E1222=$AB$48,$AD$48,E1222=$AB$49,$AD$49,E1222=$AB$50,$AD$50,E1222=$AB$51,$AD$51,E1222=$AB$52,$AD$52,E1222=$AB$53,$AD$53,E1222=$AB$54,$AD$54,E1222=$AB$55,$AD$55,E1222=$AB$56,$AD$56,E1222=$AB$57,$AD$57,E1222=$AB$58,$AD$58,E1222=$AB$59,$AD$59,E1222=$AB$60,$AD$60,E1222=$AB$61,$AD$61,E1222=$AB$62,$AD$62,E1222=$AB$63,$AD$63,E1222=$AB$64,$AD$64,E1222=$AB$65,$AD$65,E1222=$AB$66,$AD$66,TRUE,"0")</f>
        <v xml:space="preserve">  BANG</v>
      </c>
      <c r="E1222" s="163" t="s">
        <v>726</v>
      </c>
      <c r="F1222" s="2" t="s">
        <v>296</v>
      </c>
      <c r="G1222" s="2" t="s">
        <v>525</v>
      </c>
      <c r="H1222" s="3">
        <v>45409.708333333336</v>
      </c>
      <c r="I1222" s="2" t="s">
        <v>596</v>
      </c>
      <c r="J1222" s="2" t="s">
        <v>589</v>
      </c>
      <c r="K1222" s="2">
        <v>80</v>
      </c>
      <c r="L1222" s="2">
        <v>20</v>
      </c>
      <c r="M1222" s="2">
        <v>2.0499999999999998</v>
      </c>
      <c r="N1222" s="2">
        <v>64</v>
      </c>
      <c r="O1222" s="2"/>
      <c r="P1222" s="2"/>
      <c r="Q1222" s="2" t="s">
        <v>95</v>
      </c>
      <c r="R1222" s="10" t="s">
        <v>220</v>
      </c>
      <c r="S1222" s="10" t="s">
        <v>471</v>
      </c>
      <c r="T1222" s="188">
        <v>1000</v>
      </c>
      <c r="U1222" s="8">
        <f t="shared" si="138"/>
        <v>180</v>
      </c>
      <c r="V1222" s="234">
        <f t="shared" si="139"/>
        <v>119124.1552461603</v>
      </c>
      <c r="W1222" s="15">
        <v>25</v>
      </c>
      <c r="X1222" s="8">
        <f t="shared" si="140"/>
        <v>4.5</v>
      </c>
      <c r="Y1222" s="233">
        <f t="shared" si="141"/>
        <v>4844</v>
      </c>
    </row>
    <row r="1223" spans="1:25">
      <c r="A1223" s="156" t="e" cm="1">
        <f t="array" aca="1" ref="A1223" ca="1">_xlfn.IFS(E1223=$AB$42,$AC$42,E1223=$AB$43,$AC$43,E1223=$AB$44,$AC$44,E1223=$AB$45,$AC$45,E1223=$AB$46,$AC$46,E1223=$AB$47,$AC$47,E1223=$AB$48,$AC$48,E1223=$AB$49,$AC$49,E1223=$AB$50,$AC$50,E1223=$AB$51,$AC$51,E1223=$AB$52,$AC$52,E1223=$AB$53,$AC$53,E1223=$AB$54,$AC$54,E1223=$AB$55,$AC$55,E1223=$AB$56,$AC$56,E1223=$AB$57,$AC$57,E1223=$AB$58,$AC$58,E1223=$AB$59,$AC$59,E1223=$AB$60,$AC$60,E1223=$AB$61,$AC$61,E1223=$AB$62,$AC$62,E1223=$AB$63,$AC$63,E1223=$AB$64,$AC$64,E1223=$AB$65,$AC$65,E1223=$AB$66,$AC$66,TRUE,"0")</f>
        <v>#NAME?</v>
      </c>
      <c r="C1223" s="161" t="str" cm="1">
        <f t="array" ref="C1223">_xlfn.IFS(E1223=$AB$42,$AF$42,E1223=$AB$43,$AF$43,E1223=$AB$44,$AF$44,E1223=$AB$45,$AF$45,E1223=$AB$46,$AF$46,E1223=$AB$47,$AF$47,E1223=$AB$48,$AF$48,E1223=$AB$49,$AF$49,E1223=$AB$50,$AF$50,E1223=$AB$51,$AF$51,E1223=$AB$52,$AF$52,E1223=$AB$53,$AF$53,E1223=$AB$54,$AF$54,E1223=$AB$55,$AF$55,E1223=$AB$56,$AF$56,E1223=$AB$57,$AF$57,E1223=$AB$58,$AF$58,E1223=$AB$59,$AF$59,E1223=$AB$60,$AF$60,E1223=$AB$61,$AF$61,E1223=$AB$62,$AF$62,E1223=$AB$63,$AF$63,E1223=$AB$64,$AF$64,E1223=$AB$65,$AF$65,E1223=$AB$66,$AF$66,TRUE,"0")</f>
        <v>if 0-0, BACK+ 0.5 GOALS  @ 1.15+odds.  or @ 40 mins</v>
      </c>
      <c r="D1223" s="270" t="str" cm="1">
        <f t="array" ref="D1223">_xlfn.IFS(E1223=$AB$42,$AD$42,E1223=$AB$43,$AD$43,E1223=$AB$44,$AD$44,E1223=$AB$45,$AD$45,E1223=$AB$46,$AD$46,E1223=$AB$47,$AD$47,E1223=$AB$48,$AD$48,E1223=$AB$49,$AD$49,E1223=$AB$50,$AD$50,E1223=$AB$51,$AD$51,E1223=$AB$52,$AD$52,E1223=$AB$53,$AD$53,E1223=$AB$54,$AD$54,E1223=$AB$55,$AD$55,E1223=$AB$56,$AD$56,E1223=$AB$57,$AD$57,E1223=$AB$58,$AD$58,E1223=$AB$59,$AD$59,E1223=$AB$60,$AD$60,E1223=$AB$61,$AD$61,E1223=$AB$62,$AD$62,E1223=$AB$63,$AD$63,E1223=$AB$64,$AD$64,E1223=$AB$65,$AD$65,E1223=$AB$66,$AD$66,TRUE,"0")</f>
        <v>IP</v>
      </c>
      <c r="E1223" s="163" t="s">
        <v>270</v>
      </c>
      <c r="F1223" s="2" t="s">
        <v>296</v>
      </c>
      <c r="G1223" s="2" t="s">
        <v>525</v>
      </c>
      <c r="H1223" s="3">
        <v>45409.708333333336</v>
      </c>
      <c r="I1223" s="2" t="s">
        <v>596</v>
      </c>
      <c r="J1223" s="2" t="s">
        <v>589</v>
      </c>
      <c r="K1223" s="2">
        <v>61</v>
      </c>
      <c r="L1223" s="2">
        <v>0</v>
      </c>
      <c r="M1223" s="2">
        <v>20</v>
      </c>
      <c r="N1223" s="2">
        <v>27</v>
      </c>
      <c r="O1223" s="2">
        <v>0</v>
      </c>
      <c r="P1223" s="2"/>
      <c r="Q1223" s="2" t="s">
        <v>95</v>
      </c>
      <c r="R1223" s="10" t="s">
        <v>220</v>
      </c>
      <c r="S1223" s="10" t="s">
        <v>471</v>
      </c>
      <c r="T1223" s="188">
        <v>1000</v>
      </c>
      <c r="U1223" s="8">
        <f t="shared" si="138"/>
        <v>180</v>
      </c>
      <c r="V1223" s="234">
        <f t="shared" si="139"/>
        <v>119304.1552461603</v>
      </c>
      <c r="W1223" s="15">
        <v>25</v>
      </c>
      <c r="X1223" s="8">
        <f t="shared" si="140"/>
        <v>4.5</v>
      </c>
      <c r="Y1223" s="233">
        <f t="shared" si="141"/>
        <v>4848.5</v>
      </c>
    </row>
    <row r="1224" spans="1:25">
      <c r="A1224" s="156" t="e" cm="1">
        <f t="array" aca="1" ref="A1224" ca="1">_xlfn.IFS(E1224=$AB$42,$AC$42,E1224=$AB$43,$AC$43,E1224=$AB$44,$AC$44,E1224=$AB$45,$AC$45,E1224=$AB$46,$AC$46,E1224=$AB$47,$AC$47,E1224=$AB$48,$AC$48,E1224=$AB$49,$AC$49,E1224=$AB$50,$AC$50,E1224=$AB$51,$AC$51,E1224=$AB$52,$AC$52,E1224=$AB$53,$AC$53,E1224=$AB$54,$AC$54,E1224=$AB$55,$AC$55,E1224=$AB$56,$AC$56,E1224=$AB$57,$AC$57,E1224=$AB$58,$AC$58,E1224=$AB$59,$AC$59,E1224=$AB$60,$AC$60,E1224=$AB$61,$AC$61,E1224=$AB$62,$AC$62,E1224=$AB$63,$AC$63,E1224=$AB$64,$AC$64,E1224=$AB$65,$AC$65,E1224=$AB$66,$AC$66,TRUE,"0")</f>
        <v>#NAME?</v>
      </c>
      <c r="C1224" s="161" t="str" cm="1">
        <f t="array" ref="C1224">_xlfn.IFS(E1224=$AB$42,$AF$42,E1224=$AB$43,$AF$43,E1224=$AB$44,$AF$44,E1224=$AB$45,$AF$45,E1224=$AB$46,$AF$46,E1224=$AB$47,$AF$47,E1224=$AB$48,$AF$48,E1224=$AB$49,$AF$49,E1224=$AB$50,$AF$50,E1224=$AB$51,$AF$51,E1224=$AB$52,$AF$52,E1224=$AB$53,$AF$53,E1224=$AB$54,$AF$54,E1224=$AB$55,$AF$55,E1224=$AB$56,$AF$56,E1224=$AB$57,$AF$57,E1224=$AB$58,$AF$58,E1224=$AB$59,$AF$59,E1224=$AB$60,$AF$60,E1224=$AB$61,$AF$61,E1224=$AB$62,$AF$62,E1224=$AB$63,$AF$63,E1224=$AB$64,$AF$64,E1224=$AB$65,$AF$65,E1224=$AB$66,$AF$66,TRUE,"0")</f>
        <v>40 mins Back ANother Goal</v>
      </c>
      <c r="D1224" s="270" t="str" cm="1">
        <f t="array" ref="D1224">_xlfn.IFS(E1224=$AB$42,$AD$42,E1224=$AB$43,$AD$43,E1224=$AB$44,$AD$44,E1224=$AB$45,$AD$45,E1224=$AB$46,$AD$46,E1224=$AB$47,$AD$47,E1224=$AB$48,$AD$48,E1224=$AB$49,$AD$49,E1224=$AB$50,$AD$50,E1224=$AB$51,$AD$51,E1224=$AB$52,$AD$52,E1224=$AB$53,$AD$53,E1224=$AB$54,$AD$54,E1224=$AB$55,$AD$55,E1224=$AB$56,$AD$56,E1224=$AB$57,$AD$57,E1224=$AB$58,$AD$58,E1224=$AB$59,$AD$59,E1224=$AB$60,$AD$60,E1224=$AB$61,$AD$61,E1224=$AB$62,$AD$62,E1224=$AB$63,$AD$63,E1224=$AB$64,$AD$64,E1224=$AB$65,$AD$65,E1224=$AB$66,$AD$66,TRUE,"0")</f>
        <v xml:space="preserve">  BANG</v>
      </c>
      <c r="E1224" s="163" t="s">
        <v>726</v>
      </c>
      <c r="F1224" s="2" t="s">
        <v>31</v>
      </c>
      <c r="G1224" s="2" t="s">
        <v>32</v>
      </c>
      <c r="H1224" s="3">
        <v>45409.729166666664</v>
      </c>
      <c r="I1224" s="2" t="s">
        <v>584</v>
      </c>
      <c r="J1224" s="2" t="s">
        <v>620</v>
      </c>
      <c r="K1224" s="2">
        <v>85</v>
      </c>
      <c r="L1224" s="2">
        <v>20</v>
      </c>
      <c r="M1224" s="2">
        <v>1.9</v>
      </c>
      <c r="N1224" s="2">
        <v>60</v>
      </c>
      <c r="O1224" s="2"/>
      <c r="P1224" s="2"/>
      <c r="Q1224" s="2" t="s">
        <v>95</v>
      </c>
      <c r="R1224" s="10" t="s">
        <v>214</v>
      </c>
      <c r="S1224" s="10" t="s">
        <v>207</v>
      </c>
      <c r="T1224" s="188">
        <v>1000</v>
      </c>
      <c r="U1224" s="8">
        <f t="shared" si="138"/>
        <v>180</v>
      </c>
      <c r="V1224" s="234">
        <f t="shared" si="139"/>
        <v>119484.1552461603</v>
      </c>
      <c r="W1224" s="15">
        <v>25</v>
      </c>
      <c r="X1224" s="8">
        <f t="shared" si="140"/>
        <v>4.5</v>
      </c>
      <c r="Y1224" s="233">
        <f t="shared" si="141"/>
        <v>4853</v>
      </c>
    </row>
    <row r="1225" spans="1:25">
      <c r="A1225" s="156" t="e" cm="1">
        <f t="array" aca="1" ref="A1225" ca="1">_xlfn.IFS(E1225=$AB$42,$AC$42,E1225=$AB$43,$AC$43,E1225=$AB$44,$AC$44,E1225=$AB$45,$AC$45,E1225=$AB$46,$AC$46,E1225=$AB$47,$AC$47,E1225=$AB$48,$AC$48,E1225=$AB$49,$AC$49,E1225=$AB$50,$AC$50,E1225=$AB$51,$AC$51,E1225=$AB$52,$AC$52,E1225=$AB$53,$AC$53,E1225=$AB$54,$AC$54,E1225=$AB$55,$AC$55,E1225=$AB$56,$AC$56,E1225=$AB$57,$AC$57,E1225=$AB$58,$AC$58,E1225=$AB$59,$AC$59,E1225=$AB$60,$AC$60,E1225=$AB$61,$AC$61,E1225=$AB$62,$AC$62,E1225=$AB$63,$AC$63,E1225=$AB$64,$AC$64,E1225=$AB$65,$AC$65,E1225=$AB$66,$AC$66,TRUE,"0")</f>
        <v>#NAME?</v>
      </c>
      <c r="C1225" s="161" t="str" cm="1">
        <f t="array" ref="C1225">_xlfn.IFS(E1225=$AB$42,$AF$42,E1225=$AB$43,$AF$43,E1225=$AB$44,$AF$44,E1225=$AB$45,$AF$45,E1225=$AB$46,$AF$46,E1225=$AB$47,$AF$47,E1225=$AB$48,$AF$48,E1225=$AB$49,$AF$49,E1225=$AB$50,$AF$50,E1225=$AB$51,$AF$51,E1225=$AB$52,$AF$52,E1225=$AB$53,$AF$53,E1225=$AB$54,$AF$54,E1225=$AB$55,$AF$55,E1225=$AB$56,$AF$56,E1225=$AB$57,$AF$57,E1225=$AB$58,$AF$58,E1225=$AB$59,$AF$59,E1225=$AB$60,$AF$60,E1225=$AB$61,$AF$61,E1225=$AB$62,$AF$62,E1225=$AB$63,$AF$63,E1225=$AB$64,$AF$64,E1225=$AB$65,$AF$65,E1225=$AB$66,$AF$66,TRUE,"0")</f>
        <v>40 mins Back ANother Goal</v>
      </c>
      <c r="D1225" s="270" t="str" cm="1">
        <f t="array" ref="D1225">_xlfn.IFS(E1225=$AB$42,$AD$42,E1225=$AB$43,$AD$43,E1225=$AB$44,$AD$44,E1225=$AB$45,$AD$45,E1225=$AB$46,$AD$46,E1225=$AB$47,$AD$47,E1225=$AB$48,$AD$48,E1225=$AB$49,$AD$49,E1225=$AB$50,$AD$50,E1225=$AB$51,$AD$51,E1225=$AB$52,$AD$52,E1225=$AB$53,$AD$53,E1225=$AB$54,$AD$54,E1225=$AB$55,$AD$55,E1225=$AB$56,$AD$56,E1225=$AB$57,$AD$57,E1225=$AB$58,$AD$58,E1225=$AB$59,$AD$59,E1225=$AB$60,$AD$60,E1225=$AB$61,$AD$61,E1225=$AB$62,$AD$62,E1225=$AB$63,$AD$63,E1225=$AB$64,$AD$64,E1225=$AB$65,$AD$65,E1225=$AB$66,$AD$66,TRUE,"0")</f>
        <v xml:space="preserve">  BANG</v>
      </c>
      <c r="E1225" s="163" t="s">
        <v>726</v>
      </c>
      <c r="F1225" s="2" t="s">
        <v>31</v>
      </c>
      <c r="G1225" s="2" t="s">
        <v>32</v>
      </c>
      <c r="H1225" s="3">
        <v>45409.729166666664</v>
      </c>
      <c r="I1225" s="2" t="s">
        <v>777</v>
      </c>
      <c r="J1225" s="2" t="s">
        <v>261</v>
      </c>
      <c r="K1225" s="2">
        <v>85</v>
      </c>
      <c r="L1225" s="2">
        <v>20</v>
      </c>
      <c r="M1225" s="2">
        <v>2</v>
      </c>
      <c r="N1225" s="2">
        <v>62</v>
      </c>
      <c r="O1225" s="2"/>
      <c r="P1225" s="2"/>
      <c r="Q1225" s="2" t="s">
        <v>95</v>
      </c>
      <c r="R1225" s="10" t="s">
        <v>207</v>
      </c>
      <c r="S1225" s="10" t="s">
        <v>195</v>
      </c>
      <c r="T1225" s="188">
        <v>1000</v>
      </c>
      <c r="U1225" s="8">
        <f t="shared" si="138"/>
        <v>180</v>
      </c>
      <c r="V1225" s="234">
        <f t="shared" si="139"/>
        <v>119664.1552461603</v>
      </c>
      <c r="W1225" s="15">
        <v>25</v>
      </c>
      <c r="X1225" s="8">
        <f t="shared" si="140"/>
        <v>4.5</v>
      </c>
      <c r="Y1225" s="233">
        <f t="shared" si="141"/>
        <v>4857.5</v>
      </c>
    </row>
    <row r="1226" spans="1:25">
      <c r="A1226" s="156" t="e" cm="1">
        <f t="array" aca="1" ref="A1226" ca="1">_xlfn.IFS(E1226=$AB$42,$AC$42,E1226=$AB$43,$AC$43,E1226=$AB$44,$AC$44,E1226=$AB$45,$AC$45,E1226=$AB$46,$AC$46,E1226=$AB$47,$AC$47,E1226=$AB$48,$AC$48,E1226=$AB$49,$AC$49,E1226=$AB$50,$AC$50,E1226=$AB$51,$AC$51,E1226=$AB$52,$AC$52,E1226=$AB$53,$AC$53,E1226=$AB$54,$AC$54,E1226=$AB$55,$AC$55,E1226=$AB$56,$AC$56,E1226=$AB$57,$AC$57,E1226=$AB$58,$AC$58,E1226=$AB$59,$AC$59,E1226=$AB$60,$AC$60,E1226=$AB$61,$AC$61,E1226=$AB$62,$AC$62,E1226=$AB$63,$AC$63,E1226=$AB$64,$AC$64,E1226=$AB$65,$AC$65,E1226=$AB$66,$AC$66,TRUE,"0")</f>
        <v>#NAME?</v>
      </c>
      <c r="C1226" s="161" t="str" cm="1">
        <f t="array" ref="C1226">_xlfn.IFS(E1226=$AB$42,$AF$42,E1226=$AB$43,$AF$43,E1226=$AB$44,$AF$44,E1226=$AB$45,$AF$45,E1226=$AB$46,$AF$46,E1226=$AB$47,$AF$47,E1226=$AB$48,$AF$48,E1226=$AB$49,$AF$49,E1226=$AB$50,$AF$50,E1226=$AB$51,$AF$51,E1226=$AB$52,$AF$52,E1226=$AB$53,$AF$53,E1226=$AB$54,$AF$54,E1226=$AB$55,$AF$55,E1226=$AB$56,$AF$56,E1226=$AB$57,$AF$57,E1226=$AB$58,$AF$58,E1226=$AB$59,$AF$59,E1226=$AB$60,$AF$60,E1226=$AB$61,$AF$61,E1226=$AB$62,$AF$62,E1226=$AB$63,$AF$63,E1226=$AB$64,$AF$64,E1226=$AB$65,$AF$65,E1226=$AB$66,$AF$66,TRUE,"0")</f>
        <v>40 mins Back ANother Goal</v>
      </c>
      <c r="D1226" s="270" t="str" cm="1">
        <f t="array" ref="D1226">_xlfn.IFS(E1226=$AB$42,$AD$42,E1226=$AB$43,$AD$43,E1226=$AB$44,$AD$44,E1226=$AB$45,$AD$45,E1226=$AB$46,$AD$46,E1226=$AB$47,$AD$47,E1226=$AB$48,$AD$48,E1226=$AB$49,$AD$49,E1226=$AB$50,$AD$50,E1226=$AB$51,$AD$51,E1226=$AB$52,$AD$52,E1226=$AB$53,$AD$53,E1226=$AB$54,$AD$54,E1226=$AB$55,$AD$55,E1226=$AB$56,$AD$56,E1226=$AB$57,$AD$57,E1226=$AB$58,$AD$58,E1226=$AB$59,$AD$59,E1226=$AB$60,$AD$60,E1226=$AB$61,$AD$61,E1226=$AB$62,$AD$62,E1226=$AB$63,$AD$63,E1226=$AB$64,$AD$64,E1226=$AB$65,$AD$65,E1226=$AB$66,$AD$66,TRUE,"0")</f>
        <v xml:space="preserve">  BANG</v>
      </c>
      <c r="E1226" s="163" t="s">
        <v>726</v>
      </c>
      <c r="F1226" s="2" t="s">
        <v>31</v>
      </c>
      <c r="G1226" s="2" t="s">
        <v>32</v>
      </c>
      <c r="H1226" s="3">
        <v>45409.729166666664</v>
      </c>
      <c r="I1226" s="2" t="s">
        <v>690</v>
      </c>
      <c r="J1226" s="2" t="s">
        <v>419</v>
      </c>
      <c r="K1226" s="2">
        <v>90</v>
      </c>
      <c r="L1226" s="2">
        <v>20</v>
      </c>
      <c r="M1226" s="2">
        <v>2.2999999999999998</v>
      </c>
      <c r="N1226" s="2">
        <v>59</v>
      </c>
      <c r="O1226" s="2"/>
      <c r="P1226" s="2"/>
      <c r="Q1226" s="2" t="s">
        <v>95</v>
      </c>
      <c r="R1226" s="10" t="s">
        <v>221</v>
      </c>
      <c r="S1226" s="10" t="s">
        <v>216</v>
      </c>
      <c r="T1226" s="188">
        <v>1000</v>
      </c>
      <c r="U1226" s="8">
        <f t="shared" si="138"/>
        <v>180</v>
      </c>
      <c r="V1226" s="234">
        <f t="shared" si="139"/>
        <v>119844.1552461603</v>
      </c>
      <c r="W1226" s="15">
        <v>25</v>
      </c>
      <c r="X1226" s="8">
        <f t="shared" si="140"/>
        <v>4.5</v>
      </c>
      <c r="Y1226" s="233">
        <f t="shared" si="141"/>
        <v>4862</v>
      </c>
    </row>
    <row r="1227" spans="1:25">
      <c r="A1227" s="156" t="e" cm="1">
        <f t="array" aca="1" ref="A1227" ca="1">_xlfn.IFS(E1227=$AB$42,$AC$42,E1227=$AB$43,$AC$43,E1227=$AB$44,$AC$44,E1227=$AB$45,$AC$45,E1227=$AB$46,$AC$46,E1227=$AB$47,$AC$47,E1227=$AB$48,$AC$48,E1227=$AB$49,$AC$49,E1227=$AB$50,$AC$50,E1227=$AB$51,$AC$51,E1227=$AB$52,$AC$52,E1227=$AB$53,$AC$53,E1227=$AB$54,$AC$54,E1227=$AB$55,$AC$55,E1227=$AB$56,$AC$56,E1227=$AB$57,$AC$57,E1227=$AB$58,$AC$58,E1227=$AB$59,$AC$59,E1227=$AB$60,$AC$60,E1227=$AB$61,$AC$61,E1227=$AB$62,$AC$62,E1227=$AB$63,$AC$63,E1227=$AB$64,$AC$64,E1227=$AB$65,$AC$65,E1227=$AB$66,$AC$66,TRUE,"0")</f>
        <v>#NAME?</v>
      </c>
      <c r="C1227" s="161" t="str" cm="1">
        <f t="array" ref="C1227">_xlfn.IFS(E1227=$AB$42,$AF$42,E1227=$AB$43,$AF$43,E1227=$AB$44,$AF$44,E1227=$AB$45,$AF$45,E1227=$AB$46,$AF$46,E1227=$AB$47,$AF$47,E1227=$AB$48,$AF$48,E1227=$AB$49,$AF$49,E1227=$AB$50,$AF$50,E1227=$AB$51,$AF$51,E1227=$AB$52,$AF$52,E1227=$AB$53,$AF$53,E1227=$AB$54,$AF$54,E1227=$AB$55,$AF$55,E1227=$AB$56,$AF$56,E1227=$AB$57,$AF$57,E1227=$AB$58,$AF$58,E1227=$AB$59,$AF$59,E1227=$AB$60,$AF$60,E1227=$AB$61,$AF$61,E1227=$AB$62,$AF$62,E1227=$AB$63,$AF$63,E1227=$AB$64,$AF$64,E1227=$AB$65,$AF$65,E1227=$AB$66,$AF$66,TRUE,"0")</f>
        <v>B4 MATCH bet H1 'under 2.5goals'- X at 40 minutes</v>
      </c>
      <c r="D1227" s="270" t="str" cm="1">
        <f t="array" ref="D1227">_xlfn.IFS(E1227=$AB$42,$AD$42,E1227=$AB$43,$AD$43,E1227=$AB$44,$AD$44,E1227=$AB$45,$AD$45,E1227=$AB$46,$AD$46,E1227=$AB$47,$AD$47,E1227=$AB$48,$AD$48,E1227=$AB$49,$AD$49,E1227=$AB$50,$AD$50,E1227=$AB$51,$AD$51,E1227=$AB$52,$AD$52,E1227=$AB$53,$AD$53,E1227=$AB$54,$AD$54,E1227=$AB$55,$AD$55,E1227=$AB$56,$AD$56,E1227=$AB$57,$AD$57,E1227=$AB$58,$AD$58,E1227=$AB$59,$AD$59,E1227=$AB$60,$AD$60,E1227=$AB$61,$AD$61,E1227=$AB$62,$AD$62,E1227=$AB$63,$AD$63,E1227=$AB$64,$AD$64,E1227=$AB$65,$AD$65,E1227=$AB$66,$AD$66,TRUE,"0")</f>
        <v xml:space="preserve">BFM </v>
      </c>
      <c r="E1227" s="168" t="s">
        <v>458</v>
      </c>
      <c r="F1227" s="2" t="s">
        <v>145</v>
      </c>
      <c r="G1227" s="2" t="s">
        <v>268</v>
      </c>
      <c r="H1227" s="3">
        <v>45409.75</v>
      </c>
      <c r="I1227" s="2" t="s">
        <v>787</v>
      </c>
      <c r="J1227" s="2" t="s">
        <v>638</v>
      </c>
      <c r="K1227" s="2">
        <v>20</v>
      </c>
      <c r="L1227" s="2">
        <v>80</v>
      </c>
      <c r="M1227" s="2">
        <v>100</v>
      </c>
      <c r="N1227" s="2">
        <v>39</v>
      </c>
      <c r="O1227" s="2">
        <v>1.8</v>
      </c>
      <c r="P1227" s="2"/>
      <c r="Q1227" s="2" t="s">
        <v>95</v>
      </c>
      <c r="R1227" s="10" t="s">
        <v>221</v>
      </c>
      <c r="S1227" s="10" t="s">
        <v>221</v>
      </c>
      <c r="T1227" s="188">
        <v>1000</v>
      </c>
      <c r="U1227" s="8">
        <f t="shared" si="138"/>
        <v>180</v>
      </c>
      <c r="V1227" s="234">
        <f t="shared" si="139"/>
        <v>120024.1552461603</v>
      </c>
      <c r="W1227" s="15">
        <v>25</v>
      </c>
      <c r="X1227" s="8">
        <f t="shared" si="140"/>
        <v>4.5</v>
      </c>
      <c r="Y1227" s="233">
        <f t="shared" si="141"/>
        <v>4866.5</v>
      </c>
    </row>
    <row r="1228" spans="1:25" ht="15.75" thickBot="1">
      <c r="A1228" s="156" t="e" cm="1">
        <f t="array" aca="1" ref="A1228" ca="1">_xlfn.IFS(E1228=$AB$42,$AC$42,E1228=$AB$43,$AC$43,E1228=$AB$44,$AC$44,E1228=$AB$45,$AC$45,E1228=$AB$46,$AC$46,E1228=$AB$47,$AC$47,E1228=$AB$48,$AC$48,E1228=$AB$49,$AC$49,E1228=$AB$50,$AC$50,E1228=$AB$51,$AC$51,E1228=$AB$52,$AC$52,E1228=$AB$53,$AC$53,E1228=$AB$54,$AC$54,E1228=$AB$55,$AC$55,E1228=$AB$56,$AC$56,E1228=$AB$57,$AC$57,E1228=$AB$58,$AC$58,E1228=$AB$59,$AC$59,E1228=$AB$60,$AC$60,E1228=$AB$61,$AC$61,E1228=$AB$62,$AC$62,E1228=$AB$63,$AC$63,E1228=$AB$64,$AC$64,E1228=$AB$65,$AC$65,E1228=$AB$66,$AC$66,TRUE,"0")</f>
        <v>#NAME?</v>
      </c>
      <c r="C1228" s="161" t="str" cm="1">
        <f t="array" ref="C1228">_xlfn.IFS(E1228=$AB$42,$AF$42,E1228=$AB$43,$AF$43,E1228=$AB$44,$AF$44,E1228=$AB$45,$AF$45,E1228=$AB$46,$AF$46,E1228=$AB$47,$AF$47,E1228=$AB$48,$AF$48,E1228=$AB$49,$AF$49,E1228=$AB$50,$AF$50,E1228=$AB$51,$AF$51,E1228=$AB$52,$AF$52,E1228=$AB$53,$AF$53,E1228=$AB$54,$AF$54,E1228=$AB$55,$AF$55,E1228=$AB$56,$AF$56,E1228=$AB$57,$AF$57,E1228=$AB$58,$AF$58,E1228=$AB$59,$AF$59,E1228=$AB$60,$AF$60,E1228=$AB$61,$AF$61,E1228=$AB$62,$AF$62,E1228=$AB$63,$AF$63,E1228=$AB$64,$AF$64,E1228=$AB$65,$AF$65,E1228=$AB$66,$AF$66,TRUE,"0")</f>
        <v>40 mins Back ANother Goal</v>
      </c>
      <c r="D1228" s="270" t="str" cm="1">
        <f t="array" ref="D1228">_xlfn.IFS(E1228=$AB$42,$AD$42,E1228=$AB$43,$AD$43,E1228=$AB$44,$AD$44,E1228=$AB$45,$AD$45,E1228=$AB$46,$AD$46,E1228=$AB$47,$AD$47,E1228=$AB$48,$AD$48,E1228=$AB$49,$AD$49,E1228=$AB$50,$AD$50,E1228=$AB$51,$AD$51,E1228=$AB$52,$AD$52,E1228=$AB$53,$AD$53,E1228=$AB$54,$AD$54,E1228=$AB$55,$AD$55,E1228=$AB$56,$AD$56,E1228=$AB$57,$AD$57,E1228=$AB$58,$AD$58,E1228=$AB$59,$AD$59,E1228=$AB$60,$AD$60,E1228=$AB$61,$AD$61,E1228=$AB$62,$AD$62,E1228=$AB$63,$AD$63,E1228=$AB$64,$AD$64,E1228=$AB$65,$AD$65,E1228=$AB$66,$AD$66,TRUE,"0")</f>
        <v xml:space="preserve">  BANG</v>
      </c>
      <c r="E1228" s="163" t="s">
        <v>726</v>
      </c>
      <c r="F1228" s="2" t="s">
        <v>58</v>
      </c>
      <c r="G1228" s="2" t="s">
        <v>59</v>
      </c>
      <c r="H1228" s="3">
        <v>45409.75</v>
      </c>
      <c r="I1228" s="2" t="s">
        <v>60</v>
      </c>
      <c r="J1228" s="2" t="s">
        <v>112</v>
      </c>
      <c r="K1228" s="2">
        <v>90</v>
      </c>
      <c r="L1228" s="2">
        <v>20</v>
      </c>
      <c r="M1228" s="2">
        <v>2.0499999999999998</v>
      </c>
      <c r="N1228" s="2">
        <v>59</v>
      </c>
      <c r="O1228" s="2"/>
      <c r="P1228" s="2"/>
      <c r="Q1228" s="2" t="s">
        <v>95</v>
      </c>
      <c r="R1228" s="10" t="s">
        <v>193</v>
      </c>
      <c r="S1228" s="10" t="s">
        <v>215</v>
      </c>
      <c r="T1228" s="188">
        <v>1000</v>
      </c>
      <c r="U1228" s="8">
        <f t="shared" ref="U1228:U1291" si="142">IF(Q1228="won",T1228*0.18,-T1228)</f>
        <v>180</v>
      </c>
      <c r="V1228" s="234">
        <f t="shared" si="139"/>
        <v>120204.1552461603</v>
      </c>
      <c r="W1228" s="15">
        <v>25</v>
      </c>
      <c r="X1228" s="8">
        <f t="shared" si="140"/>
        <v>4.5</v>
      </c>
      <c r="Y1228" s="233">
        <f t="shared" si="141"/>
        <v>4871</v>
      </c>
    </row>
    <row r="1229" spans="1:25" ht="15.75" thickBot="1">
      <c r="A1229" s="156" t="e" cm="1">
        <f t="array" aca="1" ref="A1229" ca="1">_xlfn.IFS(E1229=$AB$42,$AC$42,E1229=$AB$43,$AC$43,E1229=$AB$44,$AC$44,E1229=$AB$45,$AC$45,E1229=$AB$46,$AC$46,E1229=$AB$47,$AC$47,E1229=$AB$48,$AC$48,E1229=$AB$49,$AC$49,E1229=$AB$50,$AC$50,E1229=$AB$51,$AC$51,E1229=$AB$52,$AC$52,E1229=$AB$53,$AC$53,E1229=$AB$54,$AC$54,E1229=$AB$55,$AC$55,E1229=$AB$56,$AC$56,E1229=$AB$57,$AC$57,E1229=$AB$58,$AC$58,E1229=$AB$59,$AC$59,E1229=$AB$60,$AC$60,E1229=$AB$61,$AC$61,E1229=$AB$62,$AC$62,E1229=$AB$63,$AC$63,E1229=$AB$64,$AC$64,E1229=$AB$65,$AC$65,E1229=$AB$66,$AC$66,TRUE,"0")</f>
        <v>#NAME?</v>
      </c>
      <c r="C1229" s="161" t="str" cm="1">
        <f t="array" ref="C1229">_xlfn.IFS(E1229=$AB$42,$AF$42,E1229=$AB$43,$AF$43,E1229=$AB$44,$AF$44,E1229=$AB$45,$AF$45,E1229=$AB$46,$AF$46,E1229=$AB$47,$AF$47,E1229=$AB$48,$AF$48,E1229=$AB$49,$AF$49,E1229=$AB$50,$AF$50,E1229=$AB$51,$AF$51,E1229=$AB$52,$AF$52,E1229=$AB$53,$AF$53,E1229=$AB$54,$AF$54,E1229=$AB$55,$AF$55,E1229=$AB$56,$AF$56,E1229=$AB$57,$AF$57,E1229=$AB$58,$AF$58,E1229=$AB$59,$AF$59,E1229=$AB$60,$AF$60,E1229=$AB$61,$AF$61,E1229=$AB$62,$AF$62,E1229=$AB$63,$AF$63,E1229=$AB$64,$AF$64,E1229=$AB$65,$AF$65,E1229=$AB$66,$AF$66,TRUE,"0")</f>
        <v>B4 match BACK FT +1.5 goals. X AFTER  GOAL</v>
      </c>
      <c r="D1229" s="270" t="str" cm="1">
        <f t="array" ref="D1229">_xlfn.IFS(E1229=$AB$42,$AD$42,E1229=$AB$43,$AD$43,E1229=$AB$44,$AD$44,E1229=$AB$45,$AD$45,E1229=$AB$46,$AD$46,E1229=$AB$47,$AD$47,E1229=$AB$48,$AD$48,E1229=$AB$49,$AD$49,E1229=$AB$50,$AD$50,E1229=$AB$51,$AD$51,E1229=$AB$52,$AD$52,E1229=$AB$53,$AD$53,E1229=$AB$54,$AD$54,E1229=$AB$55,$AD$55,E1229=$AB$56,$AD$56,E1229=$AB$57,$AD$57,E1229=$AB$58,$AD$58,E1229=$AB$59,$AD$59,E1229=$AB$60,$AD$60,E1229=$AB$61,$AD$61,E1229=$AB$62,$AD$62,E1229=$AB$63,$AD$63,E1229=$AB$64,$AD$64,E1229=$AB$65,$AD$65,E1229=$AB$66,$AD$66,TRUE,"0")</f>
        <v xml:space="preserve">BFM </v>
      </c>
      <c r="E1229" s="169" t="s">
        <v>623</v>
      </c>
      <c r="F1229" s="2" t="s">
        <v>133</v>
      </c>
      <c r="G1229" s="2" t="s">
        <v>78</v>
      </c>
      <c r="H1229" s="3">
        <v>45409.75</v>
      </c>
      <c r="I1229" s="2" t="s">
        <v>134</v>
      </c>
      <c r="J1229" s="2" t="s">
        <v>789</v>
      </c>
      <c r="K1229" s="2">
        <v>5.2</v>
      </c>
      <c r="L1229" s="2">
        <v>20</v>
      </c>
      <c r="M1229" s="2">
        <v>3.1</v>
      </c>
      <c r="N1229" s="2">
        <v>28</v>
      </c>
      <c r="O1229" s="2">
        <v>2</v>
      </c>
      <c r="P1229" s="2">
        <v>10</v>
      </c>
      <c r="Q1229" s="2" t="s">
        <v>95</v>
      </c>
      <c r="R1229" s="10" t="s">
        <v>221</v>
      </c>
      <c r="S1229" s="10" t="s">
        <v>193</v>
      </c>
      <c r="T1229" s="188">
        <v>1000</v>
      </c>
      <c r="U1229" s="8">
        <f t="shared" si="142"/>
        <v>180</v>
      </c>
      <c r="V1229" s="234">
        <f t="shared" si="139"/>
        <v>120384.1552461603</v>
      </c>
      <c r="W1229" s="15">
        <v>25</v>
      </c>
      <c r="X1229" s="8">
        <f t="shared" si="140"/>
        <v>4.5</v>
      </c>
      <c r="Y1229" s="233">
        <f t="shared" si="141"/>
        <v>4875.5</v>
      </c>
    </row>
    <row r="1230" spans="1:25">
      <c r="A1230" s="156" t="e" cm="1">
        <f t="array" aca="1" ref="A1230" ca="1">_xlfn.IFS(E1230=$AB$42,$AC$42,E1230=$AB$43,$AC$43,E1230=$AB$44,$AC$44,E1230=$AB$45,$AC$45,E1230=$AB$46,$AC$46,E1230=$AB$47,$AC$47,E1230=$AB$48,$AC$48,E1230=$AB$49,$AC$49,E1230=$AB$50,$AC$50,E1230=$AB$51,$AC$51,E1230=$AB$52,$AC$52,E1230=$AB$53,$AC$53,E1230=$AB$54,$AC$54,E1230=$AB$55,$AC$55,E1230=$AB$56,$AC$56,E1230=$AB$57,$AC$57,E1230=$AB$58,$AC$58,E1230=$AB$59,$AC$59,E1230=$AB$60,$AC$60,E1230=$AB$61,$AC$61,E1230=$AB$62,$AC$62,E1230=$AB$63,$AC$63,E1230=$AB$64,$AC$64,E1230=$AB$65,$AC$65,E1230=$AB$66,$AC$66,TRUE,"0")</f>
        <v>#NAME?</v>
      </c>
      <c r="C1230" s="161" t="str" cm="1">
        <f t="array" ref="C1230">_xlfn.IFS(E1230=$AB$42,$AF$42,E1230=$AB$43,$AF$43,E1230=$AB$44,$AF$44,E1230=$AB$45,$AF$45,E1230=$AB$46,$AF$46,E1230=$AB$47,$AF$47,E1230=$AB$48,$AF$48,E1230=$AB$49,$AF$49,E1230=$AB$50,$AF$50,E1230=$AB$51,$AF$51,E1230=$AB$52,$AF$52,E1230=$AB$53,$AF$53,E1230=$AB$54,$AF$54,E1230=$AB$55,$AF$55,E1230=$AB$56,$AF$56,E1230=$AB$57,$AF$57,E1230=$AB$58,$AF$58,E1230=$AB$59,$AF$59,E1230=$AB$60,$AF$60,E1230=$AB$61,$AF$61,E1230=$AB$62,$AF$62,E1230=$AB$63,$AF$63,E1230=$AB$64,$AF$64,E1230=$AB$65,$AF$65,E1230=$AB$66,$AF$66,TRUE,"0")</f>
        <v>AT HT IF 0-0 BACK +0.5 GOALS</v>
      </c>
      <c r="D1230" s="270" t="str" cm="1">
        <f t="array" ref="D1230">_xlfn.IFS(E1230=$AB$42,$AD$42,E1230=$AB$43,$AD$43,E1230=$AB$44,$AD$44,E1230=$AB$45,$AD$45,E1230=$AB$46,$AD$46,E1230=$AB$47,$AD$47,E1230=$AB$48,$AD$48,E1230=$AB$49,$AD$49,E1230=$AB$50,$AD$50,E1230=$AB$51,$AD$51,E1230=$AB$52,$AD$52,E1230=$AB$53,$AD$53,E1230=$AB$54,$AD$54,E1230=$AB$55,$AD$55,E1230=$AB$56,$AD$56,E1230=$AB$57,$AD$57,E1230=$AB$58,$AD$58,E1230=$AB$59,$AD$59,E1230=$AB$60,$AD$60,E1230=$AB$61,$AD$61,E1230=$AB$62,$AD$62,E1230=$AB$63,$AD$63,E1230=$AB$64,$AD$64,E1230=$AB$65,$AD$65,E1230=$AB$66,$AD$66,TRUE,"0")</f>
        <v>IP</v>
      </c>
      <c r="E1230" s="163" t="s">
        <v>514</v>
      </c>
      <c r="F1230" s="2" t="s">
        <v>133</v>
      </c>
      <c r="G1230" s="2" t="s">
        <v>78</v>
      </c>
      <c r="H1230" s="3">
        <v>45409.75</v>
      </c>
      <c r="I1230" s="2" t="s">
        <v>134</v>
      </c>
      <c r="J1230" s="2" t="s">
        <v>789</v>
      </c>
      <c r="K1230" s="2">
        <v>5.2</v>
      </c>
      <c r="L1230" s="2">
        <v>230</v>
      </c>
      <c r="M1230" s="2">
        <v>980</v>
      </c>
      <c r="N1230" s="2">
        <v>20</v>
      </c>
      <c r="O1230" s="2">
        <v>20</v>
      </c>
      <c r="P1230" s="2">
        <v>28</v>
      </c>
      <c r="Q1230" s="2" t="s">
        <v>95</v>
      </c>
      <c r="R1230" s="10" t="s">
        <v>221</v>
      </c>
      <c r="S1230" s="10" t="s">
        <v>193</v>
      </c>
      <c r="T1230" s="188">
        <v>1000</v>
      </c>
      <c r="U1230" s="8">
        <f t="shared" si="142"/>
        <v>180</v>
      </c>
      <c r="V1230" s="234">
        <f t="shared" si="139"/>
        <v>120564.1552461603</v>
      </c>
      <c r="W1230" s="15">
        <v>25</v>
      </c>
      <c r="X1230" s="8">
        <f t="shared" si="140"/>
        <v>4.5</v>
      </c>
      <c r="Y1230" s="233">
        <f t="shared" si="141"/>
        <v>4880</v>
      </c>
    </row>
    <row r="1231" spans="1:25">
      <c r="A1231" s="156" t="e" cm="1">
        <f t="array" aca="1" ref="A1231" ca="1">_xlfn.IFS(E1231=$AB$42,$AC$42,E1231=$AB$43,$AC$43,E1231=$AB$44,$AC$44,E1231=$AB$45,$AC$45,E1231=$AB$46,$AC$46,E1231=$AB$47,$AC$47,E1231=$AB$48,$AC$48,E1231=$AB$49,$AC$49,E1231=$AB$50,$AC$50,E1231=$AB$51,$AC$51,E1231=$AB$52,$AC$52,E1231=$AB$53,$AC$53,E1231=$AB$54,$AC$54,E1231=$AB$55,$AC$55,E1231=$AB$56,$AC$56,E1231=$AB$57,$AC$57,E1231=$AB$58,$AC$58,E1231=$AB$59,$AC$59,E1231=$AB$60,$AC$60,E1231=$AB$61,$AC$61,E1231=$AB$62,$AC$62,E1231=$AB$63,$AC$63,E1231=$AB$64,$AC$64,E1231=$AB$65,$AC$65,E1231=$AB$66,$AC$66,TRUE,"0")</f>
        <v>#NAME?</v>
      </c>
      <c r="C1231" s="161" t="str" cm="1">
        <f t="array" ref="C1231">_xlfn.IFS(E1231=$AB$42,$AF$42,E1231=$AB$43,$AF$43,E1231=$AB$44,$AF$44,E1231=$AB$45,$AF$45,E1231=$AB$46,$AF$46,E1231=$AB$47,$AF$47,E1231=$AB$48,$AF$48,E1231=$AB$49,$AF$49,E1231=$AB$50,$AF$50,E1231=$AB$51,$AF$51,E1231=$AB$52,$AF$52,E1231=$AB$53,$AF$53,E1231=$AB$54,$AF$54,E1231=$AB$55,$AF$55,E1231=$AB$56,$AF$56,E1231=$AB$57,$AF$57,E1231=$AB$58,$AF$58,E1231=$AB$59,$AF$59,E1231=$AB$60,$AF$60,E1231=$AB$61,$AF$61,E1231=$AB$62,$AF$62,E1231=$AB$63,$AF$63,E1231=$AB$64,$AF$64,E1231=$AB$65,$AF$65,E1231=$AB$66,$AF$66,TRUE,"0")</f>
        <v>40 mins Back ANother Goal</v>
      </c>
      <c r="D1231" s="270" t="str" cm="1">
        <f t="array" ref="D1231">_xlfn.IFS(E1231=$AB$42,$AD$42,E1231=$AB$43,$AD$43,E1231=$AB$44,$AD$44,E1231=$AB$45,$AD$45,E1231=$AB$46,$AD$46,E1231=$AB$47,$AD$47,E1231=$AB$48,$AD$48,E1231=$AB$49,$AD$49,E1231=$AB$50,$AD$50,E1231=$AB$51,$AD$51,E1231=$AB$52,$AD$52,E1231=$AB$53,$AD$53,E1231=$AB$54,$AD$54,E1231=$AB$55,$AD$55,E1231=$AB$56,$AD$56,E1231=$AB$57,$AD$57,E1231=$AB$58,$AD$58,E1231=$AB$59,$AD$59,E1231=$AB$60,$AD$60,E1231=$AB$61,$AD$61,E1231=$AB$62,$AD$62,E1231=$AB$63,$AD$63,E1231=$AB$64,$AD$64,E1231=$AB$65,$AD$65,E1231=$AB$66,$AD$66,TRUE,"0")</f>
        <v xml:space="preserve">  BANG</v>
      </c>
      <c r="E1231" s="163" t="s">
        <v>726</v>
      </c>
      <c r="F1231" s="2" t="s">
        <v>77</v>
      </c>
      <c r="G1231" s="2" t="s">
        <v>234</v>
      </c>
      <c r="H1231" s="3">
        <v>45409.8125</v>
      </c>
      <c r="I1231" s="2" t="s">
        <v>246</v>
      </c>
      <c r="J1231" s="2" t="s">
        <v>632</v>
      </c>
      <c r="K1231" s="2">
        <v>85</v>
      </c>
      <c r="L1231" s="2">
        <v>20</v>
      </c>
      <c r="M1231" s="2">
        <v>2</v>
      </c>
      <c r="N1231" s="2">
        <v>58</v>
      </c>
      <c r="O1231" s="2"/>
      <c r="P1231" s="2"/>
      <c r="Q1231" s="2" t="s">
        <v>95</v>
      </c>
      <c r="R1231" s="10" t="s">
        <v>221</v>
      </c>
      <c r="S1231" s="10" t="s">
        <v>216</v>
      </c>
      <c r="T1231" s="188">
        <v>1000</v>
      </c>
      <c r="U1231" s="8">
        <f t="shared" si="142"/>
        <v>180</v>
      </c>
      <c r="V1231" s="234">
        <f t="shared" si="139"/>
        <v>120744.1552461603</v>
      </c>
      <c r="W1231" s="15">
        <v>25</v>
      </c>
      <c r="X1231" s="8">
        <f t="shared" si="140"/>
        <v>4.5</v>
      </c>
      <c r="Y1231" s="233">
        <f t="shared" si="141"/>
        <v>4884.5</v>
      </c>
    </row>
    <row r="1232" spans="1:25">
      <c r="A1232" s="156" t="e" cm="1">
        <f t="array" aca="1" ref="A1232" ca="1">_xlfn.IFS(E1232=$AB$42,$AC$42,E1232=$AB$43,$AC$43,E1232=$AB$44,$AC$44,E1232=$AB$45,$AC$45,E1232=$AB$46,$AC$46,E1232=$AB$47,$AC$47,E1232=$AB$48,$AC$48,E1232=$AB$49,$AC$49,E1232=$AB$50,$AC$50,E1232=$AB$51,$AC$51,E1232=$AB$52,$AC$52,E1232=$AB$53,$AC$53,E1232=$AB$54,$AC$54,E1232=$AB$55,$AC$55,E1232=$AB$56,$AC$56,E1232=$AB$57,$AC$57,E1232=$AB$58,$AC$58,E1232=$AB$59,$AC$59,E1232=$AB$60,$AC$60,E1232=$AB$61,$AC$61,E1232=$AB$62,$AC$62,E1232=$AB$63,$AC$63,E1232=$AB$64,$AC$64,E1232=$AB$65,$AC$65,E1232=$AB$66,$AC$66,TRUE,"0")</f>
        <v>#NAME?</v>
      </c>
      <c r="C1232" s="161" t="str" cm="1">
        <f t="array" ref="C1232">_xlfn.IFS(E1232=$AB$42,$AF$42,E1232=$AB$43,$AF$43,E1232=$AB$44,$AF$44,E1232=$AB$45,$AF$45,E1232=$AB$46,$AF$46,E1232=$AB$47,$AF$47,E1232=$AB$48,$AF$48,E1232=$AB$49,$AF$49,E1232=$AB$50,$AF$50,E1232=$AB$51,$AF$51,E1232=$AB$52,$AF$52,E1232=$AB$53,$AF$53,E1232=$AB$54,$AF$54,E1232=$AB$55,$AF$55,E1232=$AB$56,$AF$56,E1232=$AB$57,$AF$57,E1232=$AB$58,$AF$58,E1232=$AB$59,$AF$59,E1232=$AB$60,$AF$60,E1232=$AB$61,$AF$61,E1232=$AB$62,$AF$62,E1232=$AB$63,$AF$63,E1232=$AB$64,$AF$64,E1232=$AB$65,$AF$65,E1232=$AB$66,$AF$66,TRUE,"0")</f>
        <v>40 mins Back ANother Goal</v>
      </c>
      <c r="D1232" s="270" t="str" cm="1">
        <f t="array" ref="D1232">_xlfn.IFS(E1232=$AB$42,$AD$42,E1232=$AB$43,$AD$43,E1232=$AB$44,$AD$44,E1232=$AB$45,$AD$45,E1232=$AB$46,$AD$46,E1232=$AB$47,$AD$47,E1232=$AB$48,$AD$48,E1232=$AB$49,$AD$49,E1232=$AB$50,$AD$50,E1232=$AB$51,$AD$51,E1232=$AB$52,$AD$52,E1232=$AB$53,$AD$53,E1232=$AB$54,$AD$54,E1232=$AB$55,$AD$55,E1232=$AB$56,$AD$56,E1232=$AB$57,$AD$57,E1232=$AB$58,$AD$58,E1232=$AB$59,$AD$59,E1232=$AB$60,$AD$60,E1232=$AB$61,$AD$61,E1232=$AB$62,$AD$62,E1232=$AB$63,$AD$63,E1232=$AB$64,$AD$64,E1232=$AB$65,$AD$65,E1232=$AB$66,$AD$66,TRUE,"0")</f>
        <v xml:space="preserve">  BANG</v>
      </c>
      <c r="E1232" s="163" t="s">
        <v>726</v>
      </c>
      <c r="F1232" s="2" t="s">
        <v>6</v>
      </c>
      <c r="G1232" s="2" t="s">
        <v>62</v>
      </c>
      <c r="H1232" s="3">
        <v>45409.833333333336</v>
      </c>
      <c r="I1232" s="2" t="s">
        <v>102</v>
      </c>
      <c r="J1232" s="2" t="s">
        <v>65</v>
      </c>
      <c r="K1232" s="2">
        <v>95</v>
      </c>
      <c r="L1232" s="2">
        <v>20</v>
      </c>
      <c r="M1232" s="2">
        <v>2.35</v>
      </c>
      <c r="N1232" s="2">
        <v>61</v>
      </c>
      <c r="O1232" s="2"/>
      <c r="P1232" s="2"/>
      <c r="Q1232" s="2" t="s">
        <v>95</v>
      </c>
      <c r="R1232" s="10" t="s">
        <v>220</v>
      </c>
      <c r="S1232" s="10" t="s">
        <v>210</v>
      </c>
      <c r="T1232" s="188">
        <v>1000</v>
      </c>
      <c r="U1232" s="8">
        <f t="shared" si="142"/>
        <v>180</v>
      </c>
      <c r="V1232" s="234">
        <f t="shared" si="139"/>
        <v>120924.1552461603</v>
      </c>
      <c r="W1232" s="15">
        <v>25</v>
      </c>
      <c r="X1232" s="8">
        <f t="shared" si="140"/>
        <v>4.5</v>
      </c>
      <c r="Y1232" s="233">
        <f t="shared" si="141"/>
        <v>4889</v>
      </c>
    </row>
    <row r="1233" spans="1:25">
      <c r="A1233" s="156" t="e" cm="1">
        <f t="array" aca="1" ref="A1233" ca="1">_xlfn.IFS(E1233=$AB$42,$AC$42,E1233=$AB$43,$AC$43,E1233=$AB$44,$AC$44,E1233=$AB$45,$AC$45,E1233=$AB$46,$AC$46,E1233=$AB$47,$AC$47,E1233=$AB$48,$AC$48,E1233=$AB$49,$AC$49,E1233=$AB$50,$AC$50,E1233=$AB$51,$AC$51,E1233=$AB$52,$AC$52,E1233=$AB$53,$AC$53,E1233=$AB$54,$AC$54,E1233=$AB$55,$AC$55,E1233=$AB$56,$AC$56,E1233=$AB$57,$AC$57,E1233=$AB$58,$AC$58,E1233=$AB$59,$AC$59,E1233=$AB$60,$AC$60,E1233=$AB$61,$AC$61,E1233=$AB$62,$AC$62,E1233=$AB$63,$AC$63,E1233=$AB$64,$AC$64,E1233=$AB$65,$AC$65,E1233=$AB$66,$AC$66,TRUE,"0")</f>
        <v>#NAME?</v>
      </c>
      <c r="C1233" s="161" t="str" cm="1">
        <f t="array" ref="C1233">_xlfn.IFS(E1233=$AB$42,$AF$42,E1233=$AB$43,$AF$43,E1233=$AB$44,$AF$44,E1233=$AB$45,$AF$45,E1233=$AB$46,$AF$46,E1233=$AB$47,$AF$47,E1233=$AB$48,$AF$48,E1233=$AB$49,$AF$49,E1233=$AB$50,$AF$50,E1233=$AB$51,$AF$51,E1233=$AB$52,$AF$52,E1233=$AB$53,$AF$53,E1233=$AB$54,$AF$54,E1233=$AB$55,$AF$55,E1233=$AB$56,$AF$56,E1233=$AB$57,$AF$57,E1233=$AB$58,$AF$58,E1233=$AB$59,$AF$59,E1233=$AB$60,$AF$60,E1233=$AB$61,$AF$61,E1233=$AB$62,$AF$62,E1233=$AB$63,$AF$63,E1233=$AB$64,$AF$64,E1233=$AB$65,$AF$65,E1233=$AB$66,$AF$66,TRUE,"0")</f>
        <v>if 0-0, BACK+ 0.5 GOALS  @ 1.15+odds.  or @ 40 mins</v>
      </c>
      <c r="D1233" s="270" t="str" cm="1">
        <f t="array" ref="D1233">_xlfn.IFS(E1233=$AB$42,$AD$42,E1233=$AB$43,$AD$43,E1233=$AB$44,$AD$44,E1233=$AB$45,$AD$45,E1233=$AB$46,$AD$46,E1233=$AB$47,$AD$47,E1233=$AB$48,$AD$48,E1233=$AB$49,$AD$49,E1233=$AB$50,$AD$50,E1233=$AB$51,$AD$51,E1233=$AB$52,$AD$52,E1233=$AB$53,$AD$53,E1233=$AB$54,$AD$54,E1233=$AB$55,$AD$55,E1233=$AB$56,$AD$56,E1233=$AB$57,$AD$57,E1233=$AB$58,$AD$58,E1233=$AB$59,$AD$59,E1233=$AB$60,$AD$60,E1233=$AB$61,$AD$61,E1233=$AB$62,$AD$62,E1233=$AB$63,$AD$63,E1233=$AB$64,$AD$64,E1233=$AB$65,$AD$65,E1233=$AB$66,$AD$66,TRUE,"0")</f>
        <v>IP</v>
      </c>
      <c r="E1233" s="163" t="s">
        <v>270</v>
      </c>
      <c r="F1233" s="2" t="s">
        <v>6</v>
      </c>
      <c r="G1233" s="2" t="s">
        <v>62</v>
      </c>
      <c r="H1233" s="3">
        <v>45409.833333333336</v>
      </c>
      <c r="I1233" s="2" t="s">
        <v>102</v>
      </c>
      <c r="J1233" s="2" t="s">
        <v>65</v>
      </c>
      <c r="K1233" s="2">
        <v>64</v>
      </c>
      <c r="L1233" s="2">
        <v>0</v>
      </c>
      <c r="M1233" s="2">
        <v>20</v>
      </c>
      <c r="N1233" s="2">
        <v>31</v>
      </c>
      <c r="O1233" s="2">
        <v>3.35</v>
      </c>
      <c r="P1233" s="2"/>
      <c r="Q1233" s="2" t="s">
        <v>95</v>
      </c>
      <c r="R1233" s="10" t="s">
        <v>220</v>
      </c>
      <c r="S1233" s="10" t="s">
        <v>210</v>
      </c>
      <c r="T1233" s="188">
        <v>1000</v>
      </c>
      <c r="U1233" s="8">
        <f t="shared" si="142"/>
        <v>180</v>
      </c>
      <c r="V1233" s="234">
        <f t="shared" si="139"/>
        <v>121104.1552461603</v>
      </c>
      <c r="W1233" s="15">
        <v>25</v>
      </c>
      <c r="X1233" s="8">
        <f t="shared" si="140"/>
        <v>4.5</v>
      </c>
      <c r="Y1233" s="233">
        <f t="shared" si="141"/>
        <v>4893.5</v>
      </c>
    </row>
    <row r="1234" spans="1:25">
      <c r="A1234" s="156" t="e" cm="1">
        <f t="array" aca="1" ref="A1234" ca="1">_xlfn.IFS(E1234=$AB$42,$AC$42,E1234=$AB$43,$AC$43,E1234=$AB$44,$AC$44,E1234=$AB$45,$AC$45,E1234=$AB$46,$AC$46,E1234=$AB$47,$AC$47,E1234=$AB$48,$AC$48,E1234=$AB$49,$AC$49,E1234=$AB$50,$AC$50,E1234=$AB$51,$AC$51,E1234=$AB$52,$AC$52,E1234=$AB$53,$AC$53,E1234=$AB$54,$AC$54,E1234=$AB$55,$AC$55,E1234=$AB$56,$AC$56,E1234=$AB$57,$AC$57,E1234=$AB$58,$AC$58,E1234=$AB$59,$AC$59,E1234=$AB$60,$AC$60,E1234=$AB$61,$AC$61,E1234=$AB$62,$AC$62,E1234=$AB$63,$AC$63,E1234=$AB$64,$AC$64,E1234=$AB$65,$AC$65,E1234=$AB$66,$AC$66,TRUE,"0")</f>
        <v>#NAME?</v>
      </c>
      <c r="C1234" s="161" t="str" cm="1">
        <f t="array" ref="C1234">_xlfn.IFS(E1234=$AB$42,$AF$42,E1234=$AB$43,$AF$43,E1234=$AB$44,$AF$44,E1234=$AB$45,$AF$45,E1234=$AB$46,$AF$46,E1234=$AB$47,$AF$47,E1234=$AB$48,$AF$48,E1234=$AB$49,$AF$49,E1234=$AB$50,$AF$50,E1234=$AB$51,$AF$51,E1234=$AB$52,$AF$52,E1234=$AB$53,$AF$53,E1234=$AB$54,$AF$54,E1234=$AB$55,$AF$55,E1234=$AB$56,$AF$56,E1234=$AB$57,$AF$57,E1234=$AB$58,$AF$58,E1234=$AB$59,$AF$59,E1234=$AB$60,$AF$60,E1234=$AB$61,$AF$61,E1234=$AB$62,$AF$62,E1234=$AB$63,$AF$63,E1234=$AB$64,$AF$64,E1234=$AB$65,$AF$65,E1234=$AB$66,$AF$66,TRUE,"0")</f>
        <v>B4 match BACK FT +1.5 goals. X AFTER  GOAL</v>
      </c>
      <c r="D1234" s="270" t="str" cm="1">
        <f t="array" ref="D1234">_xlfn.IFS(E1234=$AB$42,$AD$42,E1234=$AB$43,$AD$43,E1234=$AB$44,$AD$44,E1234=$AB$45,$AD$45,E1234=$AB$46,$AD$46,E1234=$AB$47,$AD$47,E1234=$AB$48,$AD$48,E1234=$AB$49,$AD$49,E1234=$AB$50,$AD$50,E1234=$AB$51,$AD$51,E1234=$AB$52,$AD$52,E1234=$AB$53,$AD$53,E1234=$AB$54,$AD$54,E1234=$AB$55,$AD$55,E1234=$AB$56,$AD$56,E1234=$AB$57,$AD$57,E1234=$AB$58,$AD$58,E1234=$AB$59,$AD$59,E1234=$AB$60,$AD$60,E1234=$AB$61,$AD$61,E1234=$AB$62,$AD$62,E1234=$AB$63,$AD$63,E1234=$AB$64,$AD$64,E1234=$AB$65,$AD$65,E1234=$AB$66,$AD$66,TRUE,"0")</f>
        <v xml:space="preserve">BFM </v>
      </c>
      <c r="E1234" s="163" t="s">
        <v>406</v>
      </c>
      <c r="F1234" s="2" t="s">
        <v>145</v>
      </c>
      <c r="G1234" s="2" t="s">
        <v>190</v>
      </c>
      <c r="H1234" s="3">
        <v>45409.833333333336</v>
      </c>
      <c r="I1234" s="2" t="s">
        <v>553</v>
      </c>
      <c r="J1234" s="2" t="s">
        <v>612</v>
      </c>
      <c r="K1234" s="2">
        <v>1.36</v>
      </c>
      <c r="L1234" s="2">
        <v>10.5</v>
      </c>
      <c r="M1234" s="2">
        <v>3.1</v>
      </c>
      <c r="N1234" s="2">
        <v>4.9000000000000004</v>
      </c>
      <c r="O1234" s="2">
        <v>2.65</v>
      </c>
      <c r="P1234" s="2"/>
      <c r="Q1234" s="2" t="s">
        <v>96</v>
      </c>
      <c r="R1234" s="10" t="s">
        <v>223</v>
      </c>
      <c r="S1234" s="10" t="s">
        <v>279</v>
      </c>
      <c r="T1234" s="188">
        <v>1000</v>
      </c>
      <c r="U1234" s="8">
        <f t="shared" si="142"/>
        <v>-1000</v>
      </c>
      <c r="V1234" s="234">
        <f t="shared" si="139"/>
        <v>120104.1552461603</v>
      </c>
      <c r="W1234" s="15">
        <v>25</v>
      </c>
      <c r="X1234" s="8">
        <f t="shared" si="140"/>
        <v>-25</v>
      </c>
      <c r="Y1234" s="233">
        <f t="shared" si="141"/>
        <v>4868.5</v>
      </c>
    </row>
    <row r="1235" spans="1:25">
      <c r="A1235" s="156" t="e" cm="1">
        <f t="array" aca="1" ref="A1235" ca="1">_xlfn.IFS(E1235=$AB$42,$AC$42,E1235=$AB$43,$AC$43,E1235=$AB$44,$AC$44,E1235=$AB$45,$AC$45,E1235=$AB$46,$AC$46,E1235=$AB$47,$AC$47,E1235=$AB$48,$AC$48,E1235=$AB$49,$AC$49,E1235=$AB$50,$AC$50,E1235=$AB$51,$AC$51,E1235=$AB$52,$AC$52,E1235=$AB$53,$AC$53,E1235=$AB$54,$AC$54,E1235=$AB$55,$AC$55,E1235=$AB$56,$AC$56,E1235=$AB$57,$AC$57,E1235=$AB$58,$AC$58,E1235=$AB$59,$AC$59,E1235=$AB$60,$AC$60,E1235=$AB$61,$AC$61,E1235=$AB$62,$AC$62,E1235=$AB$63,$AC$63,E1235=$AB$64,$AC$64,E1235=$AB$65,$AC$65,E1235=$AB$66,$AC$66,TRUE,"0")</f>
        <v>#NAME?</v>
      </c>
      <c r="C1235" s="161" t="str" cm="1">
        <f t="array" ref="C1235">_xlfn.IFS(E1235=$AB$42,$AF$42,E1235=$AB$43,$AF$43,E1235=$AB$44,$AF$44,E1235=$AB$45,$AF$45,E1235=$AB$46,$AF$46,E1235=$AB$47,$AF$47,E1235=$AB$48,$AF$48,E1235=$AB$49,$AF$49,E1235=$AB$50,$AF$50,E1235=$AB$51,$AF$51,E1235=$AB$52,$AF$52,E1235=$AB$53,$AF$53,E1235=$AB$54,$AF$54,E1235=$AB$55,$AF$55,E1235=$AB$56,$AF$56,E1235=$AB$57,$AF$57,E1235=$AB$58,$AF$58,E1235=$AB$59,$AF$59,E1235=$AB$60,$AF$60,E1235=$AB$61,$AF$61,E1235=$AB$62,$AF$62,E1235=$AB$63,$AF$63,E1235=$AB$64,$AF$64,E1235=$AB$65,$AF$65,E1235=$AB$66,$AF$66,TRUE,"0")</f>
        <v>B4 match BACK FT +1.5 goals. X AFTER  GOAL</v>
      </c>
      <c r="D1235" s="270" t="str" cm="1">
        <f t="array" ref="D1235">_xlfn.IFS(E1235=$AB$42,$AD$42,E1235=$AB$43,$AD$43,E1235=$AB$44,$AD$44,E1235=$AB$45,$AD$45,E1235=$AB$46,$AD$46,E1235=$AB$47,$AD$47,E1235=$AB$48,$AD$48,E1235=$AB$49,$AD$49,E1235=$AB$50,$AD$50,E1235=$AB$51,$AD$51,E1235=$AB$52,$AD$52,E1235=$AB$53,$AD$53,E1235=$AB$54,$AD$54,E1235=$AB$55,$AD$55,E1235=$AB$56,$AD$56,E1235=$AB$57,$AD$57,E1235=$AB$58,$AD$58,E1235=$AB$59,$AD$59,E1235=$AB$60,$AD$60,E1235=$AB$61,$AD$61,E1235=$AB$62,$AD$62,E1235=$AB$63,$AD$63,E1235=$AB$64,$AD$64,E1235=$AB$65,$AD$65,E1235=$AB$66,$AD$66,TRUE,"0")</f>
        <v xml:space="preserve">BFM </v>
      </c>
      <c r="E1235" s="163" t="s">
        <v>623</v>
      </c>
      <c r="F1235" s="2" t="s">
        <v>145</v>
      </c>
      <c r="G1235" s="2" t="s">
        <v>190</v>
      </c>
      <c r="H1235" s="3">
        <v>45409.833333333336</v>
      </c>
      <c r="I1235" s="2" t="s">
        <v>553</v>
      </c>
      <c r="J1235" s="2" t="s">
        <v>612</v>
      </c>
      <c r="K1235" s="2">
        <v>4.9000000000000004</v>
      </c>
      <c r="L1235" s="2">
        <v>20</v>
      </c>
      <c r="M1235" s="2">
        <v>3.1</v>
      </c>
      <c r="N1235" s="2">
        <v>28</v>
      </c>
      <c r="O1235" s="2">
        <v>2</v>
      </c>
      <c r="P1235" s="2">
        <v>10</v>
      </c>
      <c r="Q1235" s="2" t="s">
        <v>95</v>
      </c>
      <c r="R1235" s="10" t="s">
        <v>223</v>
      </c>
      <c r="S1235" s="10" t="s">
        <v>279</v>
      </c>
      <c r="T1235" s="188">
        <v>1000</v>
      </c>
      <c r="U1235" s="8">
        <f t="shared" si="142"/>
        <v>180</v>
      </c>
      <c r="V1235" s="234">
        <f t="shared" si="139"/>
        <v>120284.1552461603</v>
      </c>
      <c r="W1235" s="15">
        <v>25</v>
      </c>
      <c r="X1235" s="8">
        <f t="shared" si="140"/>
        <v>4.5</v>
      </c>
      <c r="Y1235" s="233">
        <f t="shared" si="141"/>
        <v>4873</v>
      </c>
    </row>
    <row r="1236" spans="1:25">
      <c r="A1236" s="156" t="e" cm="1">
        <f t="array" aca="1" ref="A1236" ca="1">_xlfn.IFS(E1236=$AB$42,$AC$42,E1236=$AB$43,$AC$43,E1236=$AB$44,$AC$44,E1236=$AB$45,$AC$45,E1236=$AB$46,$AC$46,E1236=$AB$47,$AC$47,E1236=$AB$48,$AC$48,E1236=$AB$49,$AC$49,E1236=$AB$50,$AC$50,E1236=$AB$51,$AC$51,E1236=$AB$52,$AC$52,E1236=$AB$53,$AC$53,E1236=$AB$54,$AC$54,E1236=$AB$55,$AC$55,E1236=$AB$56,$AC$56,E1236=$AB$57,$AC$57,E1236=$AB$58,$AC$58,E1236=$AB$59,$AC$59,E1236=$AB$60,$AC$60,E1236=$AB$61,$AC$61,E1236=$AB$62,$AC$62,E1236=$AB$63,$AC$63,E1236=$AB$64,$AC$64,E1236=$AB$65,$AC$65,E1236=$AB$66,$AC$66,TRUE,"0")</f>
        <v>#NAME?</v>
      </c>
      <c r="C1236" s="161" t="str" cm="1">
        <f t="array" ref="C1236">_xlfn.IFS(E1236=$AB$42,$AF$42,E1236=$AB$43,$AF$43,E1236=$AB$44,$AF$44,E1236=$AB$45,$AF$45,E1236=$AB$46,$AF$46,E1236=$AB$47,$AF$47,E1236=$AB$48,$AF$48,E1236=$AB$49,$AF$49,E1236=$AB$50,$AF$50,E1236=$AB$51,$AF$51,E1236=$AB$52,$AF$52,E1236=$AB$53,$AF$53,E1236=$AB$54,$AF$54,E1236=$AB$55,$AF$55,E1236=$AB$56,$AF$56,E1236=$AB$57,$AF$57,E1236=$AB$58,$AF$58,E1236=$AB$59,$AF$59,E1236=$AB$60,$AF$60,E1236=$AB$61,$AF$61,E1236=$AB$62,$AF$62,E1236=$AB$63,$AF$63,E1236=$AB$64,$AF$64,E1236=$AB$65,$AF$65,E1236=$AB$66,$AF$66,TRUE,"0")</f>
        <v>15mins if  0-0, BACK over 1.5 goals X after goal OR LET RUN</v>
      </c>
      <c r="D1236" s="270" t="str" cm="1">
        <f t="array" ref="D1236">_xlfn.IFS(E1236=$AB$42,$AD$42,E1236=$AB$43,$AD$43,E1236=$AB$44,$AD$44,E1236=$AB$45,$AD$45,E1236=$AB$46,$AD$46,E1236=$AB$47,$AD$47,E1236=$AB$48,$AD$48,E1236=$AB$49,$AD$49,E1236=$AB$50,$AD$50,E1236=$AB$51,$AD$51,E1236=$AB$52,$AD$52,E1236=$AB$53,$AD$53,E1236=$AB$54,$AD$54,E1236=$AB$55,$AD$55,E1236=$AB$56,$AD$56,E1236=$AB$57,$AD$57,E1236=$AB$58,$AD$58,E1236=$AB$59,$AD$59,E1236=$AB$60,$AD$60,E1236=$AB$61,$AD$61,E1236=$AB$62,$AD$62,E1236=$AB$63,$AD$63,E1236=$AB$64,$AD$64,E1236=$AB$65,$AD$65,E1236=$AB$66,$AD$66,TRUE,"0")</f>
        <v>IP</v>
      </c>
      <c r="E1236" s="163" t="s">
        <v>473</v>
      </c>
      <c r="F1236" s="2" t="s">
        <v>778</v>
      </c>
      <c r="G1236" s="2" t="s">
        <v>21</v>
      </c>
      <c r="H1236" s="3">
        <v>45410.041666666664</v>
      </c>
      <c r="I1236" s="2" t="s">
        <v>779</v>
      </c>
      <c r="J1236" s="2" t="s">
        <v>780</v>
      </c>
      <c r="K1236" s="2">
        <v>65</v>
      </c>
      <c r="L1236" s="2">
        <v>85</v>
      </c>
      <c r="M1236" s="2">
        <v>20</v>
      </c>
      <c r="N1236" s="2">
        <v>3.45</v>
      </c>
      <c r="O1236" s="2"/>
      <c r="P1236" s="2"/>
      <c r="Q1236" s="2" t="s">
        <v>95</v>
      </c>
      <c r="R1236" s="10" t="s">
        <v>214</v>
      </c>
      <c r="S1236" s="10" t="s">
        <v>214</v>
      </c>
      <c r="T1236" s="188">
        <v>1000</v>
      </c>
      <c r="U1236" s="8">
        <f t="shared" si="142"/>
        <v>180</v>
      </c>
      <c r="V1236" s="234">
        <f t="shared" si="139"/>
        <v>120464.1552461603</v>
      </c>
      <c r="W1236" s="15">
        <v>25</v>
      </c>
      <c r="X1236" s="8">
        <f t="shared" si="140"/>
        <v>4.5</v>
      </c>
      <c r="Y1236" s="233">
        <f t="shared" si="141"/>
        <v>4877.5</v>
      </c>
    </row>
    <row r="1237" spans="1:25">
      <c r="A1237" s="156" t="e" cm="1">
        <f t="array" aca="1" ref="A1237" ca="1">_xlfn.IFS(E1237=$AB$42,$AC$42,E1237=$AB$43,$AC$43,E1237=$AB$44,$AC$44,E1237=$AB$45,$AC$45,E1237=$AB$46,$AC$46,E1237=$AB$47,$AC$47,E1237=$AB$48,$AC$48,E1237=$AB$49,$AC$49,E1237=$AB$50,$AC$50,E1237=$AB$51,$AC$51,E1237=$AB$52,$AC$52,E1237=$AB$53,$AC$53,E1237=$AB$54,$AC$54,E1237=$AB$55,$AC$55,E1237=$AB$56,$AC$56,E1237=$AB$57,$AC$57,E1237=$AB$58,$AC$58,E1237=$AB$59,$AC$59,E1237=$AB$60,$AC$60,E1237=$AB$61,$AC$61,E1237=$AB$62,$AC$62,E1237=$AB$63,$AC$63,E1237=$AB$64,$AC$64,E1237=$AB$65,$AC$65,E1237=$AB$66,$AC$66,TRUE,"0")</f>
        <v>#NAME?</v>
      </c>
      <c r="C1237" s="161" t="str" cm="1">
        <f t="array" ref="C1237">_xlfn.IFS(E1237=$AB$42,$AF$42,E1237=$AB$43,$AF$43,E1237=$AB$44,$AF$44,E1237=$AB$45,$AF$45,E1237=$AB$46,$AF$46,E1237=$AB$47,$AF$47,E1237=$AB$48,$AF$48,E1237=$AB$49,$AF$49,E1237=$AB$50,$AF$50,E1237=$AB$51,$AF$51,E1237=$AB$52,$AF$52,E1237=$AB$53,$AF$53,E1237=$AB$54,$AF$54,E1237=$AB$55,$AF$55,E1237=$AB$56,$AF$56,E1237=$AB$57,$AF$57,E1237=$AB$58,$AF$58,E1237=$AB$59,$AF$59,E1237=$AB$60,$AF$60,E1237=$AB$61,$AF$61,E1237=$AB$62,$AF$62,E1237=$AB$63,$AF$63,E1237=$AB$64,$AF$64,E1237=$AB$65,$AF$65,E1237=$AB$66,$AF$66,TRUE,"0")</f>
        <v>if 0-0, BACK+ 0.5 GOALS  @ 1.15+odds.  or @ 40 mins</v>
      </c>
      <c r="D1237" s="270" t="str" cm="1">
        <f t="array" ref="D1237">_xlfn.IFS(E1237=$AB$42,$AD$42,E1237=$AB$43,$AD$43,E1237=$AB$44,$AD$44,E1237=$AB$45,$AD$45,E1237=$AB$46,$AD$46,E1237=$AB$47,$AD$47,E1237=$AB$48,$AD$48,E1237=$AB$49,$AD$49,E1237=$AB$50,$AD$50,E1237=$AB$51,$AD$51,E1237=$AB$52,$AD$52,E1237=$AB$53,$AD$53,E1237=$AB$54,$AD$54,E1237=$AB$55,$AD$55,E1237=$AB$56,$AD$56,E1237=$AB$57,$AD$57,E1237=$AB$58,$AD$58,E1237=$AB$59,$AD$59,E1237=$AB$60,$AD$60,E1237=$AB$61,$AD$61,E1237=$AB$62,$AD$62,E1237=$AB$63,$AD$63,E1237=$AB$64,$AD$64,E1237=$AB$65,$AD$65,E1237=$AB$66,$AD$66,TRUE,"0")</f>
        <v>IP</v>
      </c>
      <c r="E1237" s="163" t="s">
        <v>270</v>
      </c>
      <c r="F1237" s="2" t="s">
        <v>44</v>
      </c>
      <c r="G1237" s="2" t="s">
        <v>45</v>
      </c>
      <c r="H1237" s="3">
        <v>45410.25</v>
      </c>
      <c r="I1237" s="2" t="s">
        <v>46</v>
      </c>
      <c r="J1237" s="2" t="s">
        <v>131</v>
      </c>
      <c r="K1237" s="2">
        <v>63</v>
      </c>
      <c r="L1237" s="2">
        <v>0</v>
      </c>
      <c r="M1237" s="2">
        <v>20</v>
      </c>
      <c r="N1237" s="2">
        <v>33</v>
      </c>
      <c r="O1237" s="2">
        <v>2.99</v>
      </c>
      <c r="P1237" s="2"/>
      <c r="Q1237" s="2" t="s">
        <v>95</v>
      </c>
      <c r="R1237" s="10" t="s">
        <v>207</v>
      </c>
      <c r="S1237" s="10" t="s">
        <v>472</v>
      </c>
      <c r="T1237" s="188">
        <v>1000</v>
      </c>
      <c r="U1237" s="8">
        <f t="shared" si="142"/>
        <v>180</v>
      </c>
      <c r="V1237" s="234">
        <f t="shared" si="139"/>
        <v>120644.1552461603</v>
      </c>
      <c r="W1237" s="15">
        <v>25</v>
      </c>
      <c r="X1237" s="8">
        <f t="shared" si="140"/>
        <v>4.5</v>
      </c>
      <c r="Y1237" s="233">
        <f t="shared" si="141"/>
        <v>4882</v>
      </c>
    </row>
    <row r="1238" spans="1:25" ht="15.75" thickBot="1">
      <c r="A1238" s="156" t="e" cm="1">
        <f t="array" aca="1" ref="A1238" ca="1">_xlfn.IFS(E1238=$AB$42,$AC$42,E1238=$AB$43,$AC$43,E1238=$AB$44,$AC$44,E1238=$AB$45,$AC$45,E1238=$AB$46,$AC$46,E1238=$AB$47,$AC$47,E1238=$AB$48,$AC$48,E1238=$AB$49,$AC$49,E1238=$AB$50,$AC$50,E1238=$AB$51,$AC$51,E1238=$AB$52,$AC$52,E1238=$AB$53,$AC$53,E1238=$AB$54,$AC$54,E1238=$AB$55,$AC$55,E1238=$AB$56,$AC$56,E1238=$AB$57,$AC$57,E1238=$AB$58,$AC$58,E1238=$AB$59,$AC$59,E1238=$AB$60,$AC$60,E1238=$AB$61,$AC$61,E1238=$AB$62,$AC$62,E1238=$AB$63,$AC$63,E1238=$AB$64,$AC$64,E1238=$AB$65,$AC$65,E1238=$AB$66,$AC$66,TRUE,"0")</f>
        <v>#NAME?</v>
      </c>
      <c r="C1238" s="161" t="str" cm="1">
        <f t="array" ref="C1238">_xlfn.IFS(E1238=$AB$42,$AF$42,E1238=$AB$43,$AF$43,E1238=$AB$44,$AF$44,E1238=$AB$45,$AF$45,E1238=$AB$46,$AF$46,E1238=$AB$47,$AF$47,E1238=$AB$48,$AF$48,E1238=$AB$49,$AF$49,E1238=$AB$50,$AF$50,E1238=$AB$51,$AF$51,E1238=$AB$52,$AF$52,E1238=$AB$53,$AF$53,E1238=$AB$54,$AF$54,E1238=$AB$55,$AF$55,E1238=$AB$56,$AF$56,E1238=$AB$57,$AF$57,E1238=$AB$58,$AF$58,E1238=$AB$59,$AF$59,E1238=$AB$60,$AF$60,E1238=$AB$61,$AF$61,E1238=$AB$62,$AF$62,E1238=$AB$63,$AF$63,E1238=$AB$64,$AF$64,E1238=$AB$65,$AF$65,E1238=$AB$66,$AF$66,TRUE,"0")</f>
        <v>40 mins Back ANother Goal</v>
      </c>
      <c r="D1238" s="270" t="str" cm="1">
        <f t="array" ref="D1238">_xlfn.IFS(E1238=$AB$42,$AD$42,E1238=$AB$43,$AD$43,E1238=$AB$44,$AD$44,E1238=$AB$45,$AD$45,E1238=$AB$46,$AD$46,E1238=$AB$47,$AD$47,E1238=$AB$48,$AD$48,E1238=$AB$49,$AD$49,E1238=$AB$50,$AD$50,E1238=$AB$51,$AD$51,E1238=$AB$52,$AD$52,E1238=$AB$53,$AD$53,E1238=$AB$54,$AD$54,E1238=$AB$55,$AD$55,E1238=$AB$56,$AD$56,E1238=$AB$57,$AD$57,E1238=$AB$58,$AD$58,E1238=$AB$59,$AD$59,E1238=$AB$60,$AD$60,E1238=$AB$61,$AD$61,E1238=$AB$62,$AD$62,E1238=$AB$63,$AD$63,E1238=$AB$64,$AD$64,E1238=$AB$65,$AD$65,E1238=$AB$66,$AD$66,TRUE,"0")</f>
        <v xml:space="preserve">  BANG</v>
      </c>
      <c r="E1238" s="163" t="s">
        <v>792</v>
      </c>
      <c r="F1238" s="2" t="s">
        <v>149</v>
      </c>
      <c r="G1238" s="2" t="s">
        <v>153</v>
      </c>
      <c r="H1238" s="3">
        <v>45410.46875</v>
      </c>
      <c r="I1238" s="2" t="s">
        <v>241</v>
      </c>
      <c r="J1238" s="2" t="s">
        <v>245</v>
      </c>
      <c r="K1238" s="2">
        <v>1.9</v>
      </c>
      <c r="L1238" s="2">
        <v>85</v>
      </c>
      <c r="M1238" s="2">
        <v>65</v>
      </c>
      <c r="N1238" s="2">
        <v>58</v>
      </c>
      <c r="O1238" s="2">
        <v>20</v>
      </c>
      <c r="P1238" s="2"/>
      <c r="Q1238" s="2" t="s">
        <v>95</v>
      </c>
      <c r="R1238" s="10" t="s">
        <v>193</v>
      </c>
      <c r="S1238" s="10" t="s">
        <v>218</v>
      </c>
      <c r="T1238" s="188">
        <v>1000</v>
      </c>
      <c r="U1238" s="8">
        <f t="shared" si="142"/>
        <v>180</v>
      </c>
      <c r="V1238" s="234">
        <f t="shared" si="139"/>
        <v>120824.1552461603</v>
      </c>
      <c r="W1238" s="15">
        <v>25</v>
      </c>
      <c r="X1238" s="8">
        <f t="shared" si="140"/>
        <v>4.5</v>
      </c>
      <c r="Y1238" s="233">
        <f t="shared" si="141"/>
        <v>4886.5</v>
      </c>
    </row>
    <row r="1239" spans="1:25" ht="15.75" thickBot="1">
      <c r="A1239" s="156" t="e" cm="1">
        <f t="array" aca="1" ref="A1239" ca="1">_xlfn.IFS(E1239=$AB$42,$AC$42,E1239=$AB$43,$AC$43,E1239=$AB$44,$AC$44,E1239=$AB$45,$AC$45,E1239=$AB$46,$AC$46,E1239=$AB$47,$AC$47,E1239=$AB$48,$AC$48,E1239=$AB$49,$AC$49,E1239=$AB$50,$AC$50,E1239=$AB$51,$AC$51,E1239=$AB$52,$AC$52,E1239=$AB$53,$AC$53,E1239=$AB$54,$AC$54,E1239=$AB$55,$AC$55,E1239=$AB$56,$AC$56,E1239=$AB$57,$AC$57,E1239=$AB$58,$AC$58,E1239=$AB$59,$AC$59,E1239=$AB$60,$AC$60,E1239=$AB$61,$AC$61,E1239=$AB$62,$AC$62,E1239=$AB$63,$AC$63,E1239=$AB$64,$AC$64,E1239=$AB$65,$AC$65,E1239=$AB$66,$AC$66,TRUE,"0")</f>
        <v>#NAME?</v>
      </c>
      <c r="C1239" s="161" t="str" cm="1">
        <f t="array" ref="C1239">_xlfn.IFS(E1239=$AB$42,$AF$42,E1239=$AB$43,$AF$43,E1239=$AB$44,$AF$44,E1239=$AB$45,$AF$45,E1239=$AB$46,$AF$46,E1239=$AB$47,$AF$47,E1239=$AB$48,$AF$48,E1239=$AB$49,$AF$49,E1239=$AB$50,$AF$50,E1239=$AB$51,$AF$51,E1239=$AB$52,$AF$52,E1239=$AB$53,$AF$53,E1239=$AB$54,$AF$54,E1239=$AB$55,$AF$55,E1239=$AB$56,$AF$56,E1239=$AB$57,$AF$57,E1239=$AB$58,$AF$58,E1239=$AB$59,$AF$59,E1239=$AB$60,$AF$60,E1239=$AB$61,$AF$61,E1239=$AB$62,$AF$62,E1239=$AB$63,$AF$63,E1239=$AB$64,$AF$64,E1239=$AB$65,$AF$65,E1239=$AB$66,$AF$66,TRUE,"0")</f>
        <v>40 mins Back ANother Goal</v>
      </c>
      <c r="D1239" s="270" t="str" cm="1">
        <f t="array" ref="D1239">_xlfn.IFS(E1239=$AB$42,$AD$42,E1239=$AB$43,$AD$43,E1239=$AB$44,$AD$44,E1239=$AB$45,$AD$45,E1239=$AB$46,$AD$46,E1239=$AB$47,$AD$47,E1239=$AB$48,$AD$48,E1239=$AB$49,$AD$49,E1239=$AB$50,$AD$50,E1239=$AB$51,$AD$51,E1239=$AB$52,$AD$52,E1239=$AB$53,$AD$53,E1239=$AB$54,$AD$54,E1239=$AB$55,$AD$55,E1239=$AB$56,$AD$56,E1239=$AB$57,$AD$57,E1239=$AB$58,$AD$58,E1239=$AB$59,$AD$59,E1239=$AB$60,$AD$60,E1239=$AB$61,$AD$61,E1239=$AB$62,$AD$62,E1239=$AB$63,$AD$63,E1239=$AB$64,$AD$64,E1239=$AB$65,$AD$65,E1239=$AB$66,$AD$66,TRUE,"0")</f>
        <v xml:space="preserve">  BANG</v>
      </c>
      <c r="E1239" s="169" t="s">
        <v>726</v>
      </c>
      <c r="F1239" s="2" t="s">
        <v>149</v>
      </c>
      <c r="G1239" s="2" t="s">
        <v>153</v>
      </c>
      <c r="H1239" s="3">
        <v>45410.46875</v>
      </c>
      <c r="I1239" s="2" t="s">
        <v>241</v>
      </c>
      <c r="J1239" s="2" t="s">
        <v>245</v>
      </c>
      <c r="K1239" s="2">
        <v>85</v>
      </c>
      <c r="L1239" s="2">
        <v>20</v>
      </c>
      <c r="M1239" s="2">
        <v>1.9</v>
      </c>
      <c r="N1239" s="2">
        <v>58</v>
      </c>
      <c r="O1239" s="2"/>
      <c r="P1239" s="2"/>
      <c r="Q1239" s="2" t="s">
        <v>95</v>
      </c>
      <c r="R1239" s="10" t="s">
        <v>193</v>
      </c>
      <c r="S1239" s="10" t="s">
        <v>218</v>
      </c>
      <c r="T1239" s="188">
        <v>1000</v>
      </c>
      <c r="U1239" s="8">
        <f t="shared" si="142"/>
        <v>180</v>
      </c>
      <c r="V1239" s="234">
        <f t="shared" si="139"/>
        <v>121004.1552461603</v>
      </c>
      <c r="W1239" s="15">
        <v>25</v>
      </c>
      <c r="X1239" s="8">
        <f t="shared" si="140"/>
        <v>4.5</v>
      </c>
      <c r="Y1239" s="233">
        <f t="shared" si="141"/>
        <v>4891</v>
      </c>
    </row>
    <row r="1240" spans="1:25">
      <c r="A1240" s="156" t="e" cm="1">
        <f t="array" aca="1" ref="A1240" ca="1">_xlfn.IFS(E1240=$AB$42,$AC$42,E1240=$AB$43,$AC$43,E1240=$AB$44,$AC$44,E1240=$AB$45,$AC$45,E1240=$AB$46,$AC$46,E1240=$AB$47,$AC$47,E1240=$AB$48,$AC$48,E1240=$AB$49,$AC$49,E1240=$AB$50,$AC$50,E1240=$AB$51,$AC$51,E1240=$AB$52,$AC$52,E1240=$AB$53,$AC$53,E1240=$AB$54,$AC$54,E1240=$AB$55,$AC$55,E1240=$AB$56,$AC$56,E1240=$AB$57,$AC$57,E1240=$AB$58,$AC$58,E1240=$AB$59,$AC$59,E1240=$AB$60,$AC$60,E1240=$AB$61,$AC$61,E1240=$AB$62,$AC$62,E1240=$AB$63,$AC$63,E1240=$AB$64,$AC$64,E1240=$AB$65,$AC$65,E1240=$AB$66,$AC$66,TRUE,"0")</f>
        <v>#NAME?</v>
      </c>
      <c r="C1240" s="161" t="str" cm="1">
        <f t="array" ref="C1240">_xlfn.IFS(E1240=$AB$42,$AF$42,E1240=$AB$43,$AF$43,E1240=$AB$44,$AF$44,E1240=$AB$45,$AF$45,E1240=$AB$46,$AF$46,E1240=$AB$47,$AF$47,E1240=$AB$48,$AF$48,E1240=$AB$49,$AF$49,E1240=$AB$50,$AF$50,E1240=$AB$51,$AF$51,E1240=$AB$52,$AF$52,E1240=$AB$53,$AF$53,E1240=$AB$54,$AF$54,E1240=$AB$55,$AF$55,E1240=$AB$56,$AF$56,E1240=$AB$57,$AF$57,E1240=$AB$58,$AF$58,E1240=$AB$59,$AF$59,E1240=$AB$60,$AF$60,E1240=$AB$61,$AF$61,E1240=$AB$62,$AF$62,E1240=$AB$63,$AF$63,E1240=$AB$64,$AF$64,E1240=$AB$65,$AF$65,E1240=$AB$66,$AF$66,TRUE,"0")</f>
        <v>40 mins Back ANother Goal</v>
      </c>
      <c r="D1240" s="270" t="str" cm="1">
        <f t="array" ref="D1240">_xlfn.IFS(E1240=$AB$42,$AD$42,E1240=$AB$43,$AD$43,E1240=$AB$44,$AD$44,E1240=$AB$45,$AD$45,E1240=$AB$46,$AD$46,E1240=$AB$47,$AD$47,E1240=$AB$48,$AD$48,E1240=$AB$49,$AD$49,E1240=$AB$50,$AD$50,E1240=$AB$51,$AD$51,E1240=$AB$52,$AD$52,E1240=$AB$53,$AD$53,E1240=$AB$54,$AD$54,E1240=$AB$55,$AD$55,E1240=$AB$56,$AD$56,E1240=$AB$57,$AD$57,E1240=$AB$58,$AD$58,E1240=$AB$59,$AD$59,E1240=$AB$60,$AD$60,E1240=$AB$61,$AD$61,E1240=$AB$62,$AD$62,E1240=$AB$63,$AD$63,E1240=$AB$64,$AD$64,E1240=$AB$65,$AD$65,E1240=$AB$66,$AD$66,TRUE,"0")</f>
        <v xml:space="preserve">  BANG</v>
      </c>
      <c r="E1240" s="163" t="s">
        <v>726</v>
      </c>
      <c r="F1240" s="2" t="s">
        <v>149</v>
      </c>
      <c r="G1240" s="2" t="s">
        <v>153</v>
      </c>
      <c r="H1240" s="3">
        <v>45410.46875</v>
      </c>
      <c r="I1240" s="2" t="s">
        <v>205</v>
      </c>
      <c r="J1240" s="2" t="s">
        <v>155</v>
      </c>
      <c r="K1240" s="2">
        <v>95</v>
      </c>
      <c r="L1240" s="2">
        <v>20</v>
      </c>
      <c r="M1240" s="2">
        <v>1.85</v>
      </c>
      <c r="N1240" s="2">
        <v>63</v>
      </c>
      <c r="O1240" s="2"/>
      <c r="P1240" s="2"/>
      <c r="Q1240" s="2" t="s">
        <v>95</v>
      </c>
      <c r="R1240" s="10" t="s">
        <v>216</v>
      </c>
      <c r="S1240" s="10" t="s">
        <v>215</v>
      </c>
      <c r="T1240" s="188">
        <v>1000</v>
      </c>
      <c r="U1240" s="8">
        <f t="shared" si="142"/>
        <v>180</v>
      </c>
      <c r="V1240" s="234">
        <f t="shared" si="139"/>
        <v>121184.1552461603</v>
      </c>
      <c r="W1240" s="15">
        <v>25</v>
      </c>
      <c r="X1240" s="8">
        <f t="shared" si="140"/>
        <v>4.5</v>
      </c>
      <c r="Y1240" s="233">
        <f t="shared" si="141"/>
        <v>4895.5</v>
      </c>
    </row>
    <row r="1241" spans="1:25">
      <c r="A1241" s="156" t="e" cm="1">
        <f t="array" aca="1" ref="A1241" ca="1">_xlfn.IFS(E1241=$AB$42,$AC$42,E1241=$AB$43,$AC$43,E1241=$AB$44,$AC$44,E1241=$AB$45,$AC$45,E1241=$AB$46,$AC$46,E1241=$AB$47,$AC$47,E1241=$AB$48,$AC$48,E1241=$AB$49,$AC$49,E1241=$AB$50,$AC$50,E1241=$AB$51,$AC$51,E1241=$AB$52,$AC$52,E1241=$AB$53,$AC$53,E1241=$AB$54,$AC$54,E1241=$AB$55,$AC$55,E1241=$AB$56,$AC$56,E1241=$AB$57,$AC$57,E1241=$AB$58,$AC$58,E1241=$AB$59,$AC$59,E1241=$AB$60,$AC$60,E1241=$AB$61,$AC$61,E1241=$AB$62,$AC$62,E1241=$AB$63,$AC$63,E1241=$AB$64,$AC$64,E1241=$AB$65,$AC$65,E1241=$AB$66,$AC$66,TRUE,"0")</f>
        <v>#NAME?</v>
      </c>
      <c r="C1241" s="161" t="str" cm="1">
        <f t="array" ref="C1241">_xlfn.IFS(E1241=$AB$42,$AF$42,E1241=$AB$43,$AF$43,E1241=$AB$44,$AF$44,E1241=$AB$45,$AF$45,E1241=$AB$46,$AF$46,E1241=$AB$47,$AF$47,E1241=$AB$48,$AF$48,E1241=$AB$49,$AF$49,E1241=$AB$50,$AF$50,E1241=$AB$51,$AF$51,E1241=$AB$52,$AF$52,E1241=$AB$53,$AF$53,E1241=$AB$54,$AF$54,E1241=$AB$55,$AF$55,E1241=$AB$56,$AF$56,E1241=$AB$57,$AF$57,E1241=$AB$58,$AF$58,E1241=$AB$59,$AF$59,E1241=$AB$60,$AF$60,E1241=$AB$61,$AF$61,E1241=$AB$62,$AF$62,E1241=$AB$63,$AF$63,E1241=$AB$64,$AF$64,E1241=$AB$65,$AF$65,E1241=$AB$66,$AF$66,TRUE,"0")</f>
        <v>40 mins Back ANother Goal</v>
      </c>
      <c r="D1241" s="270" t="str" cm="1">
        <f t="array" ref="D1241">_xlfn.IFS(E1241=$AB$42,$AD$42,E1241=$AB$43,$AD$43,E1241=$AB$44,$AD$44,E1241=$AB$45,$AD$45,E1241=$AB$46,$AD$46,E1241=$AB$47,$AD$47,E1241=$AB$48,$AD$48,E1241=$AB$49,$AD$49,E1241=$AB$50,$AD$50,E1241=$AB$51,$AD$51,E1241=$AB$52,$AD$52,E1241=$AB$53,$AD$53,E1241=$AB$54,$AD$54,E1241=$AB$55,$AD$55,E1241=$AB$56,$AD$56,E1241=$AB$57,$AD$57,E1241=$AB$58,$AD$58,E1241=$AB$59,$AD$59,E1241=$AB$60,$AD$60,E1241=$AB$61,$AD$61,E1241=$AB$62,$AD$62,E1241=$AB$63,$AD$63,E1241=$AB$64,$AD$64,E1241=$AB$65,$AD$65,E1241=$AB$66,$AD$66,TRUE,"0")</f>
        <v xml:space="preserve">  BANG</v>
      </c>
      <c r="E1241" s="163" t="s">
        <v>726</v>
      </c>
      <c r="F1241" s="2" t="s">
        <v>77</v>
      </c>
      <c r="G1241" s="2" t="s">
        <v>251</v>
      </c>
      <c r="H1241" s="3">
        <v>45410.520833333336</v>
      </c>
      <c r="I1241" s="2" t="s">
        <v>294</v>
      </c>
      <c r="J1241" s="2" t="s">
        <v>788</v>
      </c>
      <c r="K1241" s="2">
        <v>85</v>
      </c>
      <c r="L1241" s="2">
        <v>20</v>
      </c>
      <c r="M1241" s="2">
        <v>2</v>
      </c>
      <c r="N1241" s="2">
        <v>61</v>
      </c>
      <c r="O1241" s="2"/>
      <c r="P1241" s="2"/>
      <c r="Q1241" s="2" t="s">
        <v>95</v>
      </c>
      <c r="R1241" s="10" t="s">
        <v>207</v>
      </c>
      <c r="S1241" s="10" t="s">
        <v>194</v>
      </c>
      <c r="T1241" s="188">
        <v>1000</v>
      </c>
      <c r="U1241" s="8">
        <f t="shared" si="142"/>
        <v>180</v>
      </c>
      <c r="V1241" s="234">
        <f t="shared" si="139"/>
        <v>121364.1552461603</v>
      </c>
      <c r="W1241" s="15">
        <v>25</v>
      </c>
      <c r="X1241" s="8">
        <f t="shared" si="140"/>
        <v>4.5</v>
      </c>
      <c r="Y1241" s="233">
        <f t="shared" si="141"/>
        <v>4900</v>
      </c>
    </row>
    <row r="1242" spans="1:25">
      <c r="A1242" s="156" t="e" cm="1">
        <f t="array" aca="1" ref="A1242" ca="1">_xlfn.IFS(E1242=$AB$42,$AC$42,E1242=$AB$43,$AC$43,E1242=$AB$44,$AC$44,E1242=$AB$45,$AC$45,E1242=$AB$46,$AC$46,E1242=$AB$47,$AC$47,E1242=$AB$48,$AC$48,E1242=$AB$49,$AC$49,E1242=$AB$50,$AC$50,E1242=$AB$51,$AC$51,E1242=$AB$52,$AC$52,E1242=$AB$53,$AC$53,E1242=$AB$54,$AC$54,E1242=$AB$55,$AC$55,E1242=$AB$56,$AC$56,E1242=$AB$57,$AC$57,E1242=$AB$58,$AC$58,E1242=$AB$59,$AC$59,E1242=$AB$60,$AC$60,E1242=$AB$61,$AC$61,E1242=$AB$62,$AC$62,E1242=$AB$63,$AC$63,E1242=$AB$64,$AC$64,E1242=$AB$65,$AC$65,E1242=$AB$66,$AC$66,TRUE,"0")</f>
        <v>#NAME?</v>
      </c>
      <c r="C1242" s="161" t="str" cm="1">
        <f t="array" ref="C1242">_xlfn.IFS(E1242=$AB$42,$AF$42,E1242=$AB$43,$AF$43,E1242=$AB$44,$AF$44,E1242=$AB$45,$AF$45,E1242=$AB$46,$AF$46,E1242=$AB$47,$AF$47,E1242=$AB$48,$AF$48,E1242=$AB$49,$AF$49,E1242=$AB$50,$AF$50,E1242=$AB$51,$AF$51,E1242=$AB$52,$AF$52,E1242=$AB$53,$AF$53,E1242=$AB$54,$AF$54,E1242=$AB$55,$AF$55,E1242=$AB$56,$AF$56,E1242=$AB$57,$AF$57,E1242=$AB$58,$AF$58,E1242=$AB$59,$AF$59,E1242=$AB$60,$AF$60,E1242=$AB$61,$AF$61,E1242=$AB$62,$AF$62,E1242=$AB$63,$AF$63,E1242=$AB$64,$AF$64,E1242=$AB$65,$AF$65,E1242=$AB$66,$AF$66,TRUE,"0")</f>
        <v>B4 match BACK FT +1.5 goals. X AFTER  GOAL</v>
      </c>
      <c r="D1242" s="270" t="str" cm="1">
        <f t="array" ref="D1242">_xlfn.IFS(E1242=$AB$42,$AD$42,E1242=$AB$43,$AD$43,E1242=$AB$44,$AD$44,E1242=$AB$45,$AD$45,E1242=$AB$46,$AD$46,E1242=$AB$47,$AD$47,E1242=$AB$48,$AD$48,E1242=$AB$49,$AD$49,E1242=$AB$50,$AD$50,E1242=$AB$51,$AD$51,E1242=$AB$52,$AD$52,E1242=$AB$53,$AD$53,E1242=$AB$54,$AD$54,E1242=$AB$55,$AD$55,E1242=$AB$56,$AD$56,E1242=$AB$57,$AD$57,E1242=$AB$58,$AD$58,E1242=$AB$59,$AD$59,E1242=$AB$60,$AD$60,E1242=$AB$61,$AD$61,E1242=$AB$62,$AD$62,E1242=$AB$63,$AD$63,E1242=$AB$64,$AD$64,E1242=$AB$65,$AD$65,E1242=$AB$66,$AD$66,TRUE,"0")</f>
        <v xml:space="preserve">BFM </v>
      </c>
      <c r="E1242" s="163" t="s">
        <v>531</v>
      </c>
      <c r="F1242" s="2" t="s">
        <v>13</v>
      </c>
      <c r="G1242" s="2" t="s">
        <v>37</v>
      </c>
      <c r="H1242" s="3">
        <v>45410.520833333336</v>
      </c>
      <c r="I1242" s="2" t="s">
        <v>351</v>
      </c>
      <c r="J1242" s="2" t="s">
        <v>79</v>
      </c>
      <c r="K1242" s="2">
        <v>6</v>
      </c>
      <c r="L1242" s="2">
        <v>32</v>
      </c>
      <c r="M1242" s="2">
        <v>2.34</v>
      </c>
      <c r="N1242" s="2">
        <v>25</v>
      </c>
      <c r="O1242" s="2">
        <v>1</v>
      </c>
      <c r="P1242" s="2">
        <v>16</v>
      </c>
      <c r="Q1242" s="2" t="s">
        <v>95</v>
      </c>
      <c r="R1242" s="10" t="s">
        <v>216</v>
      </c>
      <c r="S1242" s="10" t="s">
        <v>223</v>
      </c>
      <c r="T1242" s="188">
        <v>1000</v>
      </c>
      <c r="U1242" s="8">
        <f t="shared" si="142"/>
        <v>180</v>
      </c>
      <c r="V1242" s="234">
        <f t="shared" ref="V1242:V1273" si="143">SUM(V1241,U1242)</f>
        <v>121544.1552461603</v>
      </c>
      <c r="W1242" s="15">
        <v>25</v>
      </c>
      <c r="X1242" s="8">
        <f t="shared" si="140"/>
        <v>4.5</v>
      </c>
      <c r="Y1242" s="233">
        <f t="shared" si="141"/>
        <v>4904.5</v>
      </c>
    </row>
    <row r="1243" spans="1:25">
      <c r="A1243" s="156" t="e" cm="1">
        <f t="array" aca="1" ref="A1243" ca="1">_xlfn.IFS(E1243=$AB$42,$AC$42,E1243=$AB$43,$AC$43,E1243=$AB$44,$AC$44,E1243=$AB$45,$AC$45,E1243=$AB$46,$AC$46,E1243=$AB$47,$AC$47,E1243=$AB$48,$AC$48,E1243=$AB$49,$AC$49,E1243=$AB$50,$AC$50,E1243=$AB$51,$AC$51,E1243=$AB$52,$AC$52,E1243=$AB$53,$AC$53,E1243=$AB$54,$AC$54,E1243=$AB$55,$AC$55,E1243=$AB$56,$AC$56,E1243=$AB$57,$AC$57,E1243=$AB$58,$AC$58,E1243=$AB$59,$AC$59,E1243=$AB$60,$AC$60,E1243=$AB$61,$AC$61,E1243=$AB$62,$AC$62,E1243=$AB$63,$AC$63,E1243=$AB$64,$AC$64,E1243=$AB$65,$AC$65,E1243=$AB$66,$AC$66,TRUE,"0")</f>
        <v>#NAME?</v>
      </c>
      <c r="C1243" s="161" t="str" cm="1">
        <f t="array" ref="C1243">_xlfn.IFS(E1243=$AB$42,$AF$42,E1243=$AB$43,$AF$43,E1243=$AB$44,$AF$44,E1243=$AB$45,$AF$45,E1243=$AB$46,$AF$46,E1243=$AB$47,$AF$47,E1243=$AB$48,$AF$48,E1243=$AB$49,$AF$49,E1243=$AB$50,$AF$50,E1243=$AB$51,$AF$51,E1243=$AB$52,$AF$52,E1243=$AB$53,$AF$53,E1243=$AB$54,$AF$54,E1243=$AB$55,$AF$55,E1243=$AB$56,$AF$56,E1243=$AB$57,$AF$57,E1243=$AB$58,$AF$58,E1243=$AB$59,$AF$59,E1243=$AB$60,$AF$60,E1243=$AB$61,$AF$61,E1243=$AB$62,$AF$62,E1243=$AB$63,$AF$63,E1243=$AB$64,$AF$64,E1243=$AB$65,$AF$65,E1243=$AB$66,$AF$66,TRUE,"0")</f>
        <v>if 0-0, BACK+ 0.5 GOALS  @ 1.15+odds.  or @ 40 mins</v>
      </c>
      <c r="D1243" s="270" t="str" cm="1">
        <f t="array" ref="D1243">_xlfn.IFS(E1243=$AB$42,$AD$42,E1243=$AB$43,$AD$43,E1243=$AB$44,$AD$44,E1243=$AB$45,$AD$45,E1243=$AB$46,$AD$46,E1243=$AB$47,$AD$47,E1243=$AB$48,$AD$48,E1243=$AB$49,$AD$49,E1243=$AB$50,$AD$50,E1243=$AB$51,$AD$51,E1243=$AB$52,$AD$52,E1243=$AB$53,$AD$53,E1243=$AB$54,$AD$54,E1243=$AB$55,$AD$55,E1243=$AB$56,$AD$56,E1243=$AB$57,$AD$57,E1243=$AB$58,$AD$58,E1243=$AB$59,$AD$59,E1243=$AB$60,$AD$60,E1243=$AB$61,$AD$61,E1243=$AB$62,$AD$62,E1243=$AB$63,$AD$63,E1243=$AB$64,$AD$64,E1243=$AB$65,$AD$65,E1243=$AB$66,$AD$66,TRUE,"0")</f>
        <v>IP</v>
      </c>
      <c r="E1243" s="163" t="s">
        <v>270</v>
      </c>
      <c r="F1243" s="2" t="s">
        <v>434</v>
      </c>
      <c r="G1243" s="2" t="s">
        <v>435</v>
      </c>
      <c r="H1243" s="3">
        <v>45410.541666666664</v>
      </c>
      <c r="I1243" s="2" t="s">
        <v>599</v>
      </c>
      <c r="J1243" s="2" t="s">
        <v>781</v>
      </c>
      <c r="K1243" s="2">
        <v>59</v>
      </c>
      <c r="L1243" s="2">
        <v>0</v>
      </c>
      <c r="M1243" s="2">
        <v>20</v>
      </c>
      <c r="N1243" s="2">
        <v>27</v>
      </c>
      <c r="O1243" s="2">
        <v>2.56</v>
      </c>
      <c r="P1243" s="2"/>
      <c r="Q1243" s="2" t="s">
        <v>96</v>
      </c>
      <c r="R1243" s="10" t="s">
        <v>221</v>
      </c>
      <c r="S1243" s="10" t="s">
        <v>221</v>
      </c>
      <c r="T1243" s="188">
        <v>1000</v>
      </c>
      <c r="U1243" s="8">
        <f t="shared" si="142"/>
        <v>-1000</v>
      </c>
      <c r="V1243" s="234">
        <f t="shared" si="143"/>
        <v>120544.1552461603</v>
      </c>
      <c r="W1243" s="15">
        <v>25</v>
      </c>
      <c r="X1243" s="8">
        <f t="shared" si="140"/>
        <v>-25</v>
      </c>
      <c r="Y1243" s="233">
        <f t="shared" si="141"/>
        <v>4879.5</v>
      </c>
    </row>
    <row r="1244" spans="1:25">
      <c r="A1244" s="156" t="e" cm="1">
        <f t="array" aca="1" ref="A1244" ca="1">_xlfn.IFS(E1244=$AB$42,$AC$42,E1244=$AB$43,$AC$43,E1244=$AB$44,$AC$44,E1244=$AB$45,$AC$45,E1244=$AB$46,$AC$46,E1244=$AB$47,$AC$47,E1244=$AB$48,$AC$48,E1244=$AB$49,$AC$49,E1244=$AB$50,$AC$50,E1244=$AB$51,$AC$51,E1244=$AB$52,$AC$52,E1244=$AB$53,$AC$53,E1244=$AB$54,$AC$54,E1244=$AB$55,$AC$55,E1244=$AB$56,$AC$56,E1244=$AB$57,$AC$57,E1244=$AB$58,$AC$58,E1244=$AB$59,$AC$59,E1244=$AB$60,$AC$60,E1244=$AB$61,$AC$61,E1244=$AB$62,$AC$62,E1244=$AB$63,$AC$63,E1244=$AB$64,$AC$64,E1244=$AB$65,$AC$65,E1244=$AB$66,$AC$66,TRUE,"0")</f>
        <v>#NAME?</v>
      </c>
      <c r="C1244" s="161" t="str" cm="1">
        <f t="array" ref="C1244">_xlfn.IFS(E1244=$AB$42,$AF$42,E1244=$AB$43,$AF$43,E1244=$AB$44,$AF$44,E1244=$AB$45,$AF$45,E1244=$AB$46,$AF$46,E1244=$AB$47,$AF$47,E1244=$AB$48,$AF$48,E1244=$AB$49,$AF$49,E1244=$AB$50,$AF$50,E1244=$AB$51,$AF$51,E1244=$AB$52,$AF$52,E1244=$AB$53,$AF$53,E1244=$AB$54,$AF$54,E1244=$AB$55,$AF$55,E1244=$AB$56,$AF$56,E1244=$AB$57,$AF$57,E1244=$AB$58,$AF$58,E1244=$AB$59,$AF$59,E1244=$AB$60,$AF$60,E1244=$AB$61,$AF$61,E1244=$AB$62,$AF$62,E1244=$AB$63,$AF$63,E1244=$AB$64,$AF$64,E1244=$AB$65,$AF$65,E1244=$AB$66,$AF$66,TRUE,"0")</f>
        <v>40 mins Back ANother Goal</v>
      </c>
      <c r="D1244" s="270" t="str" cm="1">
        <f t="array" ref="D1244">_xlfn.IFS(E1244=$AB$42,$AD$42,E1244=$AB$43,$AD$43,E1244=$AB$44,$AD$44,E1244=$AB$45,$AD$45,E1244=$AB$46,$AD$46,E1244=$AB$47,$AD$47,E1244=$AB$48,$AD$48,E1244=$AB$49,$AD$49,E1244=$AB$50,$AD$50,E1244=$AB$51,$AD$51,E1244=$AB$52,$AD$52,E1244=$AB$53,$AD$53,E1244=$AB$54,$AD$54,E1244=$AB$55,$AD$55,E1244=$AB$56,$AD$56,E1244=$AB$57,$AD$57,E1244=$AB$58,$AD$58,E1244=$AB$59,$AD$59,E1244=$AB$60,$AD$60,E1244=$AB$61,$AD$61,E1244=$AB$62,$AD$62,E1244=$AB$63,$AD$63,E1244=$AB$64,$AD$64,E1244=$AB$65,$AD$65,E1244=$AB$66,$AD$66,TRUE,"0")</f>
        <v xml:space="preserve">  BANG</v>
      </c>
      <c r="E1244" s="163" t="s">
        <v>792</v>
      </c>
      <c r="F1244" s="2" t="s">
        <v>149</v>
      </c>
      <c r="G1244" s="2" t="s">
        <v>153</v>
      </c>
      <c r="H1244" s="3">
        <v>45410.5625</v>
      </c>
      <c r="I1244" s="2" t="s">
        <v>395</v>
      </c>
      <c r="J1244" s="2" t="s">
        <v>244</v>
      </c>
      <c r="K1244" s="2">
        <v>1.95</v>
      </c>
      <c r="L1244" s="2">
        <v>95</v>
      </c>
      <c r="M1244" s="2">
        <v>70</v>
      </c>
      <c r="N1244" s="2">
        <v>62</v>
      </c>
      <c r="O1244" s="2">
        <v>20</v>
      </c>
      <c r="P1244" s="2"/>
      <c r="Q1244" s="2" t="s">
        <v>95</v>
      </c>
      <c r="R1244" s="10" t="s">
        <v>221</v>
      </c>
      <c r="S1244" s="10" t="s">
        <v>214</v>
      </c>
      <c r="T1244" s="188">
        <v>1000</v>
      </c>
      <c r="U1244" s="8">
        <f t="shared" si="142"/>
        <v>180</v>
      </c>
      <c r="V1244" s="234">
        <f t="shared" si="143"/>
        <v>120724.1552461603</v>
      </c>
      <c r="W1244" s="15">
        <v>25</v>
      </c>
      <c r="X1244" s="8">
        <f t="shared" si="140"/>
        <v>4.5</v>
      </c>
      <c r="Y1244" s="233">
        <f t="shared" si="141"/>
        <v>4884</v>
      </c>
    </row>
    <row r="1245" spans="1:25">
      <c r="A1245" s="156" t="e" cm="1">
        <f t="array" aca="1" ref="A1245" ca="1">_xlfn.IFS(E1245=$AB$42,$AC$42,E1245=$AB$43,$AC$43,E1245=$AB$44,$AC$44,E1245=$AB$45,$AC$45,E1245=$AB$46,$AC$46,E1245=$AB$47,$AC$47,E1245=$AB$48,$AC$48,E1245=$AB$49,$AC$49,E1245=$AB$50,$AC$50,E1245=$AB$51,$AC$51,E1245=$AB$52,$AC$52,E1245=$AB$53,$AC$53,E1245=$AB$54,$AC$54,E1245=$AB$55,$AC$55,E1245=$AB$56,$AC$56,E1245=$AB$57,$AC$57,E1245=$AB$58,$AC$58,E1245=$AB$59,$AC$59,E1245=$AB$60,$AC$60,E1245=$AB$61,$AC$61,E1245=$AB$62,$AC$62,E1245=$AB$63,$AC$63,E1245=$AB$64,$AC$64,E1245=$AB$65,$AC$65,E1245=$AB$66,$AC$66,TRUE,"0")</f>
        <v>#NAME?</v>
      </c>
      <c r="C1245" s="161" t="str" cm="1">
        <f t="array" ref="C1245">_xlfn.IFS(E1245=$AB$42,$AF$42,E1245=$AB$43,$AF$43,E1245=$AB$44,$AF$44,E1245=$AB$45,$AF$45,E1245=$AB$46,$AF$46,E1245=$AB$47,$AF$47,E1245=$AB$48,$AF$48,E1245=$AB$49,$AF$49,E1245=$AB$50,$AF$50,E1245=$AB$51,$AF$51,E1245=$AB$52,$AF$52,E1245=$AB$53,$AF$53,E1245=$AB$54,$AF$54,E1245=$AB$55,$AF$55,E1245=$AB$56,$AF$56,E1245=$AB$57,$AF$57,E1245=$AB$58,$AF$58,E1245=$AB$59,$AF$59,E1245=$AB$60,$AF$60,E1245=$AB$61,$AF$61,E1245=$AB$62,$AF$62,E1245=$AB$63,$AF$63,E1245=$AB$64,$AF$64,E1245=$AB$65,$AF$65,E1245=$AB$66,$AF$66,TRUE,"0")</f>
        <v>40 mins Back ANother Goal</v>
      </c>
      <c r="D1245" s="270" t="str" cm="1">
        <f t="array" ref="D1245">_xlfn.IFS(E1245=$AB$42,$AD$42,E1245=$AB$43,$AD$43,E1245=$AB$44,$AD$44,E1245=$AB$45,$AD$45,E1245=$AB$46,$AD$46,E1245=$AB$47,$AD$47,E1245=$AB$48,$AD$48,E1245=$AB$49,$AD$49,E1245=$AB$50,$AD$50,E1245=$AB$51,$AD$51,E1245=$AB$52,$AD$52,E1245=$AB$53,$AD$53,E1245=$AB$54,$AD$54,E1245=$AB$55,$AD$55,E1245=$AB$56,$AD$56,E1245=$AB$57,$AD$57,E1245=$AB$58,$AD$58,E1245=$AB$59,$AD$59,E1245=$AB$60,$AD$60,E1245=$AB$61,$AD$61,E1245=$AB$62,$AD$62,E1245=$AB$63,$AD$63,E1245=$AB$64,$AD$64,E1245=$AB$65,$AD$65,E1245=$AB$66,$AD$66,TRUE,"0")</f>
        <v xml:space="preserve">  BANG</v>
      </c>
      <c r="E1245" s="163" t="s">
        <v>726</v>
      </c>
      <c r="F1245" s="2" t="s">
        <v>149</v>
      </c>
      <c r="G1245" s="2" t="s">
        <v>153</v>
      </c>
      <c r="H1245" s="3">
        <v>45410.5625</v>
      </c>
      <c r="I1245" s="2" t="s">
        <v>395</v>
      </c>
      <c r="J1245" s="2" t="s">
        <v>244</v>
      </c>
      <c r="K1245" s="2">
        <v>95</v>
      </c>
      <c r="L1245" s="2">
        <v>20</v>
      </c>
      <c r="M1245" s="2">
        <v>1.95</v>
      </c>
      <c r="N1245" s="2">
        <v>62</v>
      </c>
      <c r="O1245" s="2"/>
      <c r="P1245" s="2"/>
      <c r="Q1245" s="2" t="s">
        <v>95</v>
      </c>
      <c r="R1245" s="10" t="s">
        <v>221</v>
      </c>
      <c r="S1245" s="10" t="s">
        <v>214</v>
      </c>
      <c r="T1245" s="188">
        <v>1000</v>
      </c>
      <c r="U1245" s="8">
        <f t="shared" si="142"/>
        <v>180</v>
      </c>
      <c r="V1245" s="234">
        <f t="shared" si="143"/>
        <v>120904.1552461603</v>
      </c>
      <c r="W1245" s="15">
        <v>25</v>
      </c>
      <c r="X1245" s="8">
        <f t="shared" si="140"/>
        <v>4.5</v>
      </c>
      <c r="Y1245" s="233">
        <f t="shared" si="141"/>
        <v>4888.5</v>
      </c>
    </row>
    <row r="1246" spans="1:25">
      <c r="A1246" s="156" t="e" cm="1">
        <f t="array" aca="1" ref="A1246" ca="1">_xlfn.IFS(E1246=$AB$42,$AC$42,E1246=$AB$43,$AC$43,E1246=$AB$44,$AC$44,E1246=$AB$45,$AC$45,E1246=$AB$46,$AC$46,E1246=$AB$47,$AC$47,E1246=$AB$48,$AC$48,E1246=$AB$49,$AC$49,E1246=$AB$50,$AC$50,E1246=$AB$51,$AC$51,E1246=$AB$52,$AC$52,E1246=$AB$53,$AC$53,E1246=$AB$54,$AC$54,E1246=$AB$55,$AC$55,E1246=$AB$56,$AC$56,E1246=$AB$57,$AC$57,E1246=$AB$58,$AC$58,E1246=$AB$59,$AC$59,E1246=$AB$60,$AC$60,E1246=$AB$61,$AC$61,E1246=$AB$62,$AC$62,E1246=$AB$63,$AC$63,E1246=$AB$64,$AC$64,E1246=$AB$65,$AC$65,E1246=$AB$66,$AC$66,TRUE,"0")</f>
        <v>#NAME?</v>
      </c>
      <c r="C1246" s="161" t="str" cm="1">
        <f t="array" ref="C1246">_xlfn.IFS(E1246=$AB$42,$AF$42,E1246=$AB$43,$AF$43,E1246=$AB$44,$AF$44,E1246=$AB$45,$AF$45,E1246=$AB$46,$AF$46,E1246=$AB$47,$AF$47,E1246=$AB$48,$AF$48,E1246=$AB$49,$AF$49,E1246=$AB$50,$AF$50,E1246=$AB$51,$AF$51,E1246=$AB$52,$AF$52,E1246=$AB$53,$AF$53,E1246=$AB$54,$AF$54,E1246=$AB$55,$AF$55,E1246=$AB$56,$AF$56,E1246=$AB$57,$AF$57,E1246=$AB$58,$AF$58,E1246=$AB$59,$AF$59,E1246=$AB$60,$AF$60,E1246=$AB$61,$AF$61,E1246=$AB$62,$AF$62,E1246=$AB$63,$AF$63,E1246=$AB$64,$AF$64,E1246=$AB$65,$AF$65,E1246=$AB$66,$AF$66,TRUE,"0")</f>
        <v>B4 match BACK FT +1.5 goals. X AFTER  GOAL</v>
      </c>
      <c r="D1246" s="270" t="str" cm="1">
        <f t="array" ref="D1246">_xlfn.IFS(E1246=$AB$42,$AD$42,E1246=$AB$43,$AD$43,E1246=$AB$44,$AD$44,E1246=$AB$45,$AD$45,E1246=$AB$46,$AD$46,E1246=$AB$47,$AD$47,E1246=$AB$48,$AD$48,E1246=$AB$49,$AD$49,E1246=$AB$50,$AD$50,E1246=$AB$51,$AD$51,E1246=$AB$52,$AD$52,E1246=$AB$53,$AD$53,E1246=$AB$54,$AD$54,E1246=$AB$55,$AD$55,E1246=$AB$56,$AD$56,E1246=$AB$57,$AD$57,E1246=$AB$58,$AD$58,E1246=$AB$59,$AD$59,E1246=$AB$60,$AD$60,E1246=$AB$61,$AD$61,E1246=$AB$62,$AD$62,E1246=$AB$63,$AD$63,E1246=$AB$64,$AD$64,E1246=$AB$65,$AD$65,E1246=$AB$66,$AD$66,TRUE,"0")</f>
        <v xml:space="preserve">BFM </v>
      </c>
      <c r="E1246" s="163" t="s">
        <v>623</v>
      </c>
      <c r="F1246" s="2" t="s">
        <v>149</v>
      </c>
      <c r="G1246" s="2" t="s">
        <v>153</v>
      </c>
      <c r="H1246" s="3">
        <v>45410.5625</v>
      </c>
      <c r="I1246" s="2" t="s">
        <v>395</v>
      </c>
      <c r="J1246" s="2" t="s">
        <v>244</v>
      </c>
      <c r="K1246" s="2">
        <v>2.92</v>
      </c>
      <c r="L1246" s="2">
        <v>20</v>
      </c>
      <c r="M1246" s="2">
        <v>3.35</v>
      </c>
      <c r="N1246" s="2">
        <v>23</v>
      </c>
      <c r="O1246" s="2">
        <v>2</v>
      </c>
      <c r="P1246" s="2">
        <v>10</v>
      </c>
      <c r="Q1246" s="2" t="s">
        <v>95</v>
      </c>
      <c r="R1246" s="10" t="s">
        <v>221</v>
      </c>
      <c r="S1246" s="10" t="s">
        <v>214</v>
      </c>
      <c r="T1246" s="188">
        <v>1000</v>
      </c>
      <c r="U1246" s="8">
        <f t="shared" si="142"/>
        <v>180</v>
      </c>
      <c r="V1246" s="234">
        <f t="shared" si="143"/>
        <v>121084.1552461603</v>
      </c>
      <c r="W1246" s="15">
        <v>25</v>
      </c>
      <c r="X1246" s="8">
        <f t="shared" si="140"/>
        <v>4.5</v>
      </c>
      <c r="Y1246" s="233">
        <f t="shared" si="141"/>
        <v>4893</v>
      </c>
    </row>
    <row r="1247" spans="1:25">
      <c r="A1247" s="156" t="e" cm="1">
        <f t="array" aca="1" ref="A1247" ca="1">_xlfn.IFS(E1247=$AB$42,$AC$42,E1247=$AB$43,$AC$43,E1247=$AB$44,$AC$44,E1247=$AB$45,$AC$45,E1247=$AB$46,$AC$46,E1247=$AB$47,$AC$47,E1247=$AB$48,$AC$48,E1247=$AB$49,$AC$49,E1247=$AB$50,$AC$50,E1247=$AB$51,$AC$51,E1247=$AB$52,$AC$52,E1247=$AB$53,$AC$53,E1247=$AB$54,$AC$54,E1247=$AB$55,$AC$55,E1247=$AB$56,$AC$56,E1247=$AB$57,$AC$57,E1247=$AB$58,$AC$58,E1247=$AB$59,$AC$59,E1247=$AB$60,$AC$60,E1247=$AB$61,$AC$61,E1247=$AB$62,$AC$62,E1247=$AB$63,$AC$63,E1247=$AB$64,$AC$64,E1247=$AB$65,$AC$65,E1247=$AB$66,$AC$66,TRUE,"0")</f>
        <v>#NAME?</v>
      </c>
      <c r="C1247" s="161" t="str" cm="1">
        <f t="array" ref="C1247">_xlfn.IFS(E1247=$AB$42,$AF$42,E1247=$AB$43,$AF$43,E1247=$AB$44,$AF$44,E1247=$AB$45,$AF$45,E1247=$AB$46,$AF$46,E1247=$AB$47,$AF$47,E1247=$AB$48,$AF$48,E1247=$AB$49,$AF$49,E1247=$AB$50,$AF$50,E1247=$AB$51,$AF$51,E1247=$AB$52,$AF$52,E1247=$AB$53,$AF$53,E1247=$AB$54,$AF$54,E1247=$AB$55,$AF$55,E1247=$AB$56,$AF$56,E1247=$AB$57,$AF$57,E1247=$AB$58,$AF$58,E1247=$AB$59,$AF$59,E1247=$AB$60,$AF$60,E1247=$AB$61,$AF$61,E1247=$AB$62,$AF$62,E1247=$AB$63,$AF$63,E1247=$AB$64,$AF$64,E1247=$AB$65,$AF$65,E1247=$AB$66,$AF$66,TRUE,"0")</f>
        <v>AT HT IF 0-0 BACK +0.5 GOALS</v>
      </c>
      <c r="D1247" s="270" t="str" cm="1">
        <f t="array" ref="D1247">_xlfn.IFS(E1247=$AB$42,$AD$42,E1247=$AB$43,$AD$43,E1247=$AB$44,$AD$44,E1247=$AB$45,$AD$45,E1247=$AB$46,$AD$46,E1247=$AB$47,$AD$47,E1247=$AB$48,$AD$48,E1247=$AB$49,$AD$49,E1247=$AB$50,$AD$50,E1247=$AB$51,$AD$51,E1247=$AB$52,$AD$52,E1247=$AB$53,$AD$53,E1247=$AB$54,$AD$54,E1247=$AB$55,$AD$55,E1247=$AB$56,$AD$56,E1247=$AB$57,$AD$57,E1247=$AB$58,$AD$58,E1247=$AB$59,$AD$59,E1247=$AB$60,$AD$60,E1247=$AB$61,$AD$61,E1247=$AB$62,$AD$62,E1247=$AB$63,$AD$63,E1247=$AB$64,$AD$64,E1247=$AB$65,$AD$65,E1247=$AB$66,$AD$66,TRUE,"0")</f>
        <v>IP</v>
      </c>
      <c r="E1247" s="163" t="s">
        <v>514</v>
      </c>
      <c r="F1247" s="2" t="s">
        <v>149</v>
      </c>
      <c r="G1247" s="2" t="s">
        <v>153</v>
      </c>
      <c r="H1247" s="3">
        <v>45410.5625</v>
      </c>
      <c r="I1247" s="2" t="s">
        <v>395</v>
      </c>
      <c r="J1247" s="2" t="s">
        <v>244</v>
      </c>
      <c r="K1247" s="2">
        <v>2.92</v>
      </c>
      <c r="L1247" s="2">
        <v>80</v>
      </c>
      <c r="M1247" s="2">
        <v>0</v>
      </c>
      <c r="N1247" s="2">
        <v>20</v>
      </c>
      <c r="O1247" s="2">
        <v>20</v>
      </c>
      <c r="P1247" s="2">
        <v>23</v>
      </c>
      <c r="Q1247" s="2" t="s">
        <v>95</v>
      </c>
      <c r="R1247" s="10" t="s">
        <v>221</v>
      </c>
      <c r="S1247" s="10" t="s">
        <v>214</v>
      </c>
      <c r="T1247" s="188">
        <v>1000</v>
      </c>
      <c r="U1247" s="8">
        <f t="shared" si="142"/>
        <v>180</v>
      </c>
      <c r="V1247" s="234">
        <f t="shared" si="143"/>
        <v>121264.1552461603</v>
      </c>
      <c r="W1247" s="15">
        <v>25</v>
      </c>
      <c r="X1247" s="8">
        <f t="shared" si="140"/>
        <v>4.5</v>
      </c>
      <c r="Y1247" s="233">
        <f t="shared" si="141"/>
        <v>4897.5</v>
      </c>
    </row>
    <row r="1248" spans="1:25" ht="15.75" thickBot="1">
      <c r="A1248" s="156" t="e" cm="1">
        <f t="array" aca="1" ref="A1248" ca="1">_xlfn.IFS(E1248=$AB$42,$AC$42,E1248=$AB$43,$AC$43,E1248=$AB$44,$AC$44,E1248=$AB$45,$AC$45,E1248=$AB$46,$AC$46,E1248=$AB$47,$AC$47,E1248=$AB$48,$AC$48,E1248=$AB$49,$AC$49,E1248=$AB$50,$AC$50,E1248=$AB$51,$AC$51,E1248=$AB$52,$AC$52,E1248=$AB$53,$AC$53,E1248=$AB$54,$AC$54,E1248=$AB$55,$AC$55,E1248=$AB$56,$AC$56,E1248=$AB$57,$AC$57,E1248=$AB$58,$AC$58,E1248=$AB$59,$AC$59,E1248=$AB$60,$AC$60,E1248=$AB$61,$AC$61,E1248=$AB$62,$AC$62,E1248=$AB$63,$AC$63,E1248=$AB$64,$AC$64,E1248=$AB$65,$AC$65,E1248=$AB$66,$AC$66,TRUE,"0")</f>
        <v>#NAME?</v>
      </c>
      <c r="C1248" s="161" t="str" cm="1">
        <f t="array" ref="C1248">_xlfn.IFS(E1248=$AB$42,$AF$42,E1248=$AB$43,$AF$43,E1248=$AB$44,$AF$44,E1248=$AB$45,$AF$45,E1248=$AB$46,$AF$46,E1248=$AB$47,$AF$47,E1248=$AB$48,$AF$48,E1248=$AB$49,$AF$49,E1248=$AB$50,$AF$50,E1248=$AB$51,$AF$51,E1248=$AB$52,$AF$52,E1248=$AB$53,$AF$53,E1248=$AB$54,$AF$54,E1248=$AB$55,$AF$55,E1248=$AB$56,$AF$56,E1248=$AB$57,$AF$57,E1248=$AB$58,$AF$58,E1248=$AB$59,$AF$59,E1248=$AB$60,$AF$60,E1248=$AB$61,$AF$61,E1248=$AB$62,$AF$62,E1248=$AB$63,$AF$63,E1248=$AB$64,$AF$64,E1248=$AB$65,$AF$65,E1248=$AB$66,$AF$66,TRUE,"0")</f>
        <v>B4 match BACK FT +1.5 goals. X AFTER  GOAL</v>
      </c>
      <c r="D1248" s="270" t="str" cm="1">
        <f t="array" ref="D1248">_xlfn.IFS(E1248=$AB$42,$AD$42,E1248=$AB$43,$AD$43,E1248=$AB$44,$AD$44,E1248=$AB$45,$AD$45,E1248=$AB$46,$AD$46,E1248=$AB$47,$AD$47,E1248=$AB$48,$AD$48,E1248=$AB$49,$AD$49,E1248=$AB$50,$AD$50,E1248=$AB$51,$AD$51,E1248=$AB$52,$AD$52,E1248=$AB$53,$AD$53,E1248=$AB$54,$AD$54,E1248=$AB$55,$AD$55,E1248=$AB$56,$AD$56,E1248=$AB$57,$AD$57,E1248=$AB$58,$AD$58,E1248=$AB$59,$AD$59,E1248=$AB$60,$AD$60,E1248=$AB$61,$AD$61,E1248=$AB$62,$AD$62,E1248=$AB$63,$AD$63,E1248=$AB$64,$AD$64,E1248=$AB$65,$AD$65,E1248=$AB$66,$AD$66,TRUE,"0")</f>
        <v xml:space="preserve">BFM </v>
      </c>
      <c r="E1248" s="163" t="s">
        <v>623</v>
      </c>
      <c r="F1248" s="2" t="s">
        <v>80</v>
      </c>
      <c r="G1248" s="2" t="s">
        <v>81</v>
      </c>
      <c r="H1248" s="3">
        <v>45410.583333333336</v>
      </c>
      <c r="I1248" s="2" t="s">
        <v>293</v>
      </c>
      <c r="J1248" s="2" t="s">
        <v>310</v>
      </c>
      <c r="K1248" s="2">
        <v>4.2</v>
      </c>
      <c r="L1248" s="2">
        <v>20</v>
      </c>
      <c r="M1248" s="2">
        <v>2.9</v>
      </c>
      <c r="N1248" s="2">
        <v>49</v>
      </c>
      <c r="O1248" s="2">
        <v>1</v>
      </c>
      <c r="P1248" s="2">
        <v>10</v>
      </c>
      <c r="Q1248" s="2" t="s">
        <v>95</v>
      </c>
      <c r="R1248" s="10" t="s">
        <v>207</v>
      </c>
      <c r="S1248" s="10" t="s">
        <v>471</v>
      </c>
      <c r="T1248" s="188">
        <v>1000</v>
      </c>
      <c r="U1248" s="8">
        <f t="shared" si="142"/>
        <v>180</v>
      </c>
      <c r="V1248" s="234">
        <f t="shared" si="143"/>
        <v>121444.1552461603</v>
      </c>
      <c r="W1248" s="15">
        <v>25</v>
      </c>
      <c r="X1248" s="8">
        <f t="shared" si="140"/>
        <v>4.5</v>
      </c>
      <c r="Y1248" s="233">
        <f t="shared" si="141"/>
        <v>4902</v>
      </c>
    </row>
    <row r="1249" spans="1:25" ht="15.75" thickBot="1">
      <c r="A1249" s="156" t="e" cm="1">
        <f t="array" aca="1" ref="A1249" ca="1">_xlfn.IFS(E1249=$AB$42,$AC$42,E1249=$AB$43,$AC$43,E1249=$AB$44,$AC$44,E1249=$AB$45,$AC$45,E1249=$AB$46,$AC$46,E1249=$AB$47,$AC$47,E1249=$AB$48,$AC$48,E1249=$AB$49,$AC$49,E1249=$AB$50,$AC$50,E1249=$AB$51,$AC$51,E1249=$AB$52,$AC$52,E1249=$AB$53,$AC$53,E1249=$AB$54,$AC$54,E1249=$AB$55,$AC$55,E1249=$AB$56,$AC$56,E1249=$AB$57,$AC$57,E1249=$AB$58,$AC$58,E1249=$AB$59,$AC$59,E1249=$AB$60,$AC$60,E1249=$AB$61,$AC$61,E1249=$AB$62,$AC$62,E1249=$AB$63,$AC$63,E1249=$AB$64,$AC$64,E1249=$AB$65,$AC$65,E1249=$AB$66,$AC$66,TRUE,"0")</f>
        <v>#NAME?</v>
      </c>
      <c r="C1249" s="161" t="str" cm="1">
        <f t="array" ref="C1249">_xlfn.IFS(E1249=$AB$42,$AF$42,E1249=$AB$43,$AF$43,E1249=$AB$44,$AF$44,E1249=$AB$45,$AF$45,E1249=$AB$46,$AF$46,E1249=$AB$47,$AF$47,E1249=$AB$48,$AF$48,E1249=$AB$49,$AF$49,E1249=$AB$50,$AF$50,E1249=$AB$51,$AF$51,E1249=$AB$52,$AF$52,E1249=$AB$53,$AF$53,E1249=$AB$54,$AF$54,E1249=$AB$55,$AF$55,E1249=$AB$56,$AF$56,E1249=$AB$57,$AF$57,E1249=$AB$58,$AF$58,E1249=$AB$59,$AF$59,E1249=$AB$60,$AF$60,E1249=$AB$61,$AF$61,E1249=$AB$62,$AF$62,E1249=$AB$63,$AF$63,E1249=$AB$64,$AF$64,E1249=$AB$65,$AF$65,E1249=$AB$66,$AF$66,TRUE,"0")</f>
        <v>if 0-0, BACK+ 0.5 GOALS  @ 1.15+odds.  or @ 40 mins</v>
      </c>
      <c r="D1249" s="270" t="str" cm="1">
        <f t="array" ref="D1249">_xlfn.IFS(E1249=$AB$42,$AD$42,E1249=$AB$43,$AD$43,E1249=$AB$44,$AD$44,E1249=$AB$45,$AD$45,E1249=$AB$46,$AD$46,E1249=$AB$47,$AD$47,E1249=$AB$48,$AD$48,E1249=$AB$49,$AD$49,E1249=$AB$50,$AD$50,E1249=$AB$51,$AD$51,E1249=$AB$52,$AD$52,E1249=$AB$53,$AD$53,E1249=$AB$54,$AD$54,E1249=$AB$55,$AD$55,E1249=$AB$56,$AD$56,E1249=$AB$57,$AD$57,E1249=$AB$58,$AD$58,E1249=$AB$59,$AD$59,E1249=$AB$60,$AD$60,E1249=$AB$61,$AD$61,E1249=$AB$62,$AD$62,E1249=$AB$63,$AD$63,E1249=$AB$64,$AD$64,E1249=$AB$65,$AD$65,E1249=$AB$66,$AD$66,TRUE,"0")</f>
        <v>IP</v>
      </c>
      <c r="E1249" s="169" t="s">
        <v>270</v>
      </c>
      <c r="F1249" s="2" t="s">
        <v>80</v>
      </c>
      <c r="G1249" s="2" t="s">
        <v>81</v>
      </c>
      <c r="H1249" s="3">
        <v>45410.583333333336</v>
      </c>
      <c r="I1249" s="2" t="s">
        <v>293</v>
      </c>
      <c r="J1249" s="2" t="s">
        <v>310</v>
      </c>
      <c r="K1249" s="2">
        <v>67</v>
      </c>
      <c r="L1249" s="2">
        <v>0</v>
      </c>
      <c r="M1249" s="2">
        <v>20</v>
      </c>
      <c r="N1249" s="2">
        <v>49</v>
      </c>
      <c r="O1249" s="2">
        <v>2.68</v>
      </c>
      <c r="P1249" s="2"/>
      <c r="Q1249" s="2" t="s">
        <v>95</v>
      </c>
      <c r="R1249" s="10" t="s">
        <v>207</v>
      </c>
      <c r="S1249" s="10" t="s">
        <v>471</v>
      </c>
      <c r="T1249" s="188">
        <v>1000</v>
      </c>
      <c r="U1249" s="8">
        <f t="shared" si="142"/>
        <v>180</v>
      </c>
      <c r="V1249" s="234">
        <f t="shared" si="143"/>
        <v>121624.1552461603</v>
      </c>
      <c r="W1249" s="15">
        <v>25</v>
      </c>
      <c r="X1249" s="8">
        <f t="shared" ref="X1249:X1312" si="144">IF(Q1249="won",W1249*0.18,-W1249)</f>
        <v>4.5</v>
      </c>
      <c r="Y1249" s="233">
        <f t="shared" si="141"/>
        <v>4906.5</v>
      </c>
    </row>
    <row r="1250" spans="1:25">
      <c r="A1250" s="156" t="e" cm="1">
        <f t="array" aca="1" ref="A1250" ca="1">_xlfn.IFS(E1250=$AB$42,$AC$42,E1250=$AB$43,$AC$43,E1250=$AB$44,$AC$44,E1250=$AB$45,$AC$45,E1250=$AB$46,$AC$46,E1250=$AB$47,$AC$47,E1250=$AB$48,$AC$48,E1250=$AB$49,$AC$49,E1250=$AB$50,$AC$50,E1250=$AB$51,$AC$51,E1250=$AB$52,$AC$52,E1250=$AB$53,$AC$53,E1250=$AB$54,$AC$54,E1250=$AB$55,$AC$55,E1250=$AB$56,$AC$56,E1250=$AB$57,$AC$57,E1250=$AB$58,$AC$58,E1250=$AB$59,$AC$59,E1250=$AB$60,$AC$60,E1250=$AB$61,$AC$61,E1250=$AB$62,$AC$62,E1250=$AB$63,$AC$63,E1250=$AB$64,$AC$64,E1250=$AB$65,$AC$65,E1250=$AB$66,$AC$66,TRUE,"0")</f>
        <v>#NAME?</v>
      </c>
      <c r="C1250" s="161" t="str" cm="1">
        <f t="array" ref="C1250">_xlfn.IFS(E1250=$AB$42,$AF$42,E1250=$AB$43,$AF$43,E1250=$AB$44,$AF$44,E1250=$AB$45,$AF$45,E1250=$AB$46,$AF$46,E1250=$AB$47,$AF$47,E1250=$AB$48,$AF$48,E1250=$AB$49,$AF$49,E1250=$AB$50,$AF$50,E1250=$AB$51,$AF$51,E1250=$AB$52,$AF$52,E1250=$AB$53,$AF$53,E1250=$AB$54,$AF$54,E1250=$AB$55,$AF$55,E1250=$AB$56,$AF$56,E1250=$AB$57,$AF$57,E1250=$AB$58,$AF$58,E1250=$AB$59,$AF$59,E1250=$AB$60,$AF$60,E1250=$AB$61,$AF$61,E1250=$AB$62,$AF$62,E1250=$AB$63,$AF$63,E1250=$AB$64,$AF$64,E1250=$AB$65,$AF$65,E1250=$AB$66,$AF$66,TRUE,"0")</f>
        <v>40 mins Back ANother Goal</v>
      </c>
      <c r="D1250" s="270" t="str" cm="1">
        <f t="array" ref="D1250">_xlfn.IFS(E1250=$AB$42,$AD$42,E1250=$AB$43,$AD$43,E1250=$AB$44,$AD$44,E1250=$AB$45,$AD$45,E1250=$AB$46,$AD$46,E1250=$AB$47,$AD$47,E1250=$AB$48,$AD$48,E1250=$AB$49,$AD$49,E1250=$AB$50,$AD$50,E1250=$AB$51,$AD$51,E1250=$AB$52,$AD$52,E1250=$AB$53,$AD$53,E1250=$AB$54,$AD$54,E1250=$AB$55,$AD$55,E1250=$AB$56,$AD$56,E1250=$AB$57,$AD$57,E1250=$AB$58,$AD$58,E1250=$AB$59,$AD$59,E1250=$AB$60,$AD$60,E1250=$AB$61,$AD$61,E1250=$AB$62,$AD$62,E1250=$AB$63,$AD$63,E1250=$AB$64,$AD$64,E1250=$AB$65,$AD$65,E1250=$AB$66,$AD$66,TRUE,"0")</f>
        <v xml:space="preserve">  BANG</v>
      </c>
      <c r="E1250" s="163" t="s">
        <v>792</v>
      </c>
      <c r="F1250" s="2" t="s">
        <v>6</v>
      </c>
      <c r="G1250" s="2" t="s">
        <v>62</v>
      </c>
      <c r="H1250" s="3">
        <v>45410.583333333336</v>
      </c>
      <c r="I1250" s="2" t="s">
        <v>116</v>
      </c>
      <c r="J1250" s="2" t="s">
        <v>73</v>
      </c>
      <c r="K1250" s="2">
        <v>1.9</v>
      </c>
      <c r="L1250" s="2">
        <v>85</v>
      </c>
      <c r="M1250" s="2">
        <v>65</v>
      </c>
      <c r="N1250" s="2">
        <v>60</v>
      </c>
      <c r="O1250" s="2">
        <v>20</v>
      </c>
      <c r="P1250" s="2"/>
      <c r="Q1250" s="2" t="s">
        <v>95</v>
      </c>
      <c r="R1250" s="10" t="s">
        <v>218</v>
      </c>
      <c r="S1250" s="10" t="s">
        <v>213</v>
      </c>
      <c r="T1250" s="188">
        <v>1000</v>
      </c>
      <c r="U1250" s="8">
        <f t="shared" si="142"/>
        <v>180</v>
      </c>
      <c r="V1250" s="234">
        <f t="shared" si="143"/>
        <v>121804.1552461603</v>
      </c>
      <c r="W1250" s="15">
        <v>25</v>
      </c>
      <c r="X1250" s="8">
        <f t="shared" si="144"/>
        <v>4.5</v>
      </c>
      <c r="Y1250" s="233">
        <f t="shared" si="141"/>
        <v>4911</v>
      </c>
    </row>
    <row r="1251" spans="1:25">
      <c r="A1251" s="156" t="e" cm="1">
        <f t="array" aca="1" ref="A1251" ca="1">_xlfn.IFS(E1251=$AB$42,$AC$42,E1251=$AB$43,$AC$43,E1251=$AB$44,$AC$44,E1251=$AB$45,$AC$45,E1251=$AB$46,$AC$46,E1251=$AB$47,$AC$47,E1251=$AB$48,$AC$48,E1251=$AB$49,$AC$49,E1251=$AB$50,$AC$50,E1251=$AB$51,$AC$51,E1251=$AB$52,$AC$52,E1251=$AB$53,$AC$53,E1251=$AB$54,$AC$54,E1251=$AB$55,$AC$55,E1251=$AB$56,$AC$56,E1251=$AB$57,$AC$57,E1251=$AB$58,$AC$58,E1251=$AB$59,$AC$59,E1251=$AB$60,$AC$60,E1251=$AB$61,$AC$61,E1251=$AB$62,$AC$62,E1251=$AB$63,$AC$63,E1251=$AB$64,$AC$64,E1251=$AB$65,$AC$65,E1251=$AB$66,$AC$66,TRUE,"0")</f>
        <v>#NAME?</v>
      </c>
      <c r="C1251" s="161" t="str" cm="1">
        <f t="array" ref="C1251">_xlfn.IFS(E1251=$AB$42,$AF$42,E1251=$AB$43,$AF$43,E1251=$AB$44,$AF$44,E1251=$AB$45,$AF$45,E1251=$AB$46,$AF$46,E1251=$AB$47,$AF$47,E1251=$AB$48,$AF$48,E1251=$AB$49,$AF$49,E1251=$AB$50,$AF$50,E1251=$AB$51,$AF$51,E1251=$AB$52,$AF$52,E1251=$AB$53,$AF$53,E1251=$AB$54,$AF$54,E1251=$AB$55,$AF$55,E1251=$AB$56,$AF$56,E1251=$AB$57,$AF$57,E1251=$AB$58,$AF$58,E1251=$AB$59,$AF$59,E1251=$AB$60,$AF$60,E1251=$AB$61,$AF$61,E1251=$AB$62,$AF$62,E1251=$AB$63,$AF$63,E1251=$AB$64,$AF$64,E1251=$AB$65,$AF$65,E1251=$AB$66,$AF$66,TRUE,"0")</f>
        <v>40 mins Back ANother Goal</v>
      </c>
      <c r="D1251" s="270" t="str" cm="1">
        <f t="array" ref="D1251">_xlfn.IFS(E1251=$AB$42,$AD$42,E1251=$AB$43,$AD$43,E1251=$AB$44,$AD$44,E1251=$AB$45,$AD$45,E1251=$AB$46,$AD$46,E1251=$AB$47,$AD$47,E1251=$AB$48,$AD$48,E1251=$AB$49,$AD$49,E1251=$AB$50,$AD$50,E1251=$AB$51,$AD$51,E1251=$AB$52,$AD$52,E1251=$AB$53,$AD$53,E1251=$AB$54,$AD$54,E1251=$AB$55,$AD$55,E1251=$AB$56,$AD$56,E1251=$AB$57,$AD$57,E1251=$AB$58,$AD$58,E1251=$AB$59,$AD$59,E1251=$AB$60,$AD$60,E1251=$AB$61,$AD$61,E1251=$AB$62,$AD$62,E1251=$AB$63,$AD$63,E1251=$AB$64,$AD$64,E1251=$AB$65,$AD$65,E1251=$AB$66,$AD$66,TRUE,"0")</f>
        <v xml:space="preserve">  BANG</v>
      </c>
      <c r="E1251" s="163" t="s">
        <v>726</v>
      </c>
      <c r="F1251" s="2" t="s">
        <v>6</v>
      </c>
      <c r="G1251" s="2" t="s">
        <v>62</v>
      </c>
      <c r="H1251" s="3">
        <v>45410.583333333336</v>
      </c>
      <c r="I1251" s="2" t="s">
        <v>116</v>
      </c>
      <c r="J1251" s="2" t="s">
        <v>73</v>
      </c>
      <c r="K1251" s="2">
        <v>85</v>
      </c>
      <c r="L1251" s="2">
        <v>20</v>
      </c>
      <c r="M1251" s="2">
        <v>1.9</v>
      </c>
      <c r="N1251" s="2">
        <v>60</v>
      </c>
      <c r="O1251" s="2"/>
      <c r="P1251" s="2"/>
      <c r="Q1251" s="2" t="s">
        <v>95</v>
      </c>
      <c r="R1251" s="10" t="s">
        <v>218</v>
      </c>
      <c r="S1251" s="10" t="s">
        <v>213</v>
      </c>
      <c r="T1251" s="188">
        <v>1000</v>
      </c>
      <c r="U1251" s="8">
        <f t="shared" si="142"/>
        <v>180</v>
      </c>
      <c r="V1251" s="234">
        <f t="shared" si="143"/>
        <v>121984.1552461603</v>
      </c>
      <c r="W1251" s="15">
        <v>25</v>
      </c>
      <c r="X1251" s="8">
        <f t="shared" si="144"/>
        <v>4.5</v>
      </c>
      <c r="Y1251" s="233">
        <f t="shared" si="141"/>
        <v>4915.5</v>
      </c>
    </row>
    <row r="1252" spans="1:25">
      <c r="A1252" s="156" t="e" cm="1">
        <f t="array" aca="1" ref="A1252" ca="1">_xlfn.IFS(E1252=$AB$42,$AC$42,E1252=$AB$43,$AC$43,E1252=$AB$44,$AC$44,E1252=$AB$45,$AC$45,E1252=$AB$46,$AC$46,E1252=$AB$47,$AC$47,E1252=$AB$48,$AC$48,E1252=$AB$49,$AC$49,E1252=$AB$50,$AC$50,E1252=$AB$51,$AC$51,E1252=$AB$52,$AC$52,E1252=$AB$53,$AC$53,E1252=$AB$54,$AC$54,E1252=$AB$55,$AC$55,E1252=$AB$56,$AC$56,E1252=$AB$57,$AC$57,E1252=$AB$58,$AC$58,E1252=$AB$59,$AC$59,E1252=$AB$60,$AC$60,E1252=$AB$61,$AC$61,E1252=$AB$62,$AC$62,E1252=$AB$63,$AC$63,E1252=$AB$64,$AC$64,E1252=$AB$65,$AC$65,E1252=$AB$66,$AC$66,TRUE,"0")</f>
        <v>#NAME?</v>
      </c>
      <c r="C1252" s="161" t="str" cm="1">
        <f t="array" ref="C1252">_xlfn.IFS(E1252=$AB$42,$AF$42,E1252=$AB$43,$AF$43,E1252=$AB$44,$AF$44,E1252=$AB$45,$AF$45,E1252=$AB$46,$AF$46,E1252=$AB$47,$AF$47,E1252=$AB$48,$AF$48,E1252=$AB$49,$AF$49,E1252=$AB$50,$AF$50,E1252=$AB$51,$AF$51,E1252=$AB$52,$AF$52,E1252=$AB$53,$AF$53,E1252=$AB$54,$AF$54,E1252=$AB$55,$AF$55,E1252=$AB$56,$AF$56,E1252=$AB$57,$AF$57,E1252=$AB$58,$AF$58,E1252=$AB$59,$AF$59,E1252=$AB$60,$AF$60,E1252=$AB$61,$AF$61,E1252=$AB$62,$AF$62,E1252=$AB$63,$AF$63,E1252=$AB$64,$AF$64,E1252=$AB$65,$AF$65,E1252=$AB$66,$AF$66,TRUE,"0")</f>
        <v>40 mins Back ANother Goal</v>
      </c>
      <c r="D1252" s="270" t="str" cm="1">
        <f t="array" ref="D1252">_xlfn.IFS(E1252=$AB$42,$AD$42,E1252=$AB$43,$AD$43,E1252=$AB$44,$AD$44,E1252=$AB$45,$AD$45,E1252=$AB$46,$AD$46,E1252=$AB$47,$AD$47,E1252=$AB$48,$AD$48,E1252=$AB$49,$AD$49,E1252=$AB$50,$AD$50,E1252=$AB$51,$AD$51,E1252=$AB$52,$AD$52,E1252=$AB$53,$AD$53,E1252=$AB$54,$AD$54,E1252=$AB$55,$AD$55,E1252=$AB$56,$AD$56,E1252=$AB$57,$AD$57,E1252=$AB$58,$AD$58,E1252=$AB$59,$AD$59,E1252=$AB$60,$AD$60,E1252=$AB$61,$AD$61,E1252=$AB$62,$AD$62,E1252=$AB$63,$AD$63,E1252=$AB$64,$AD$64,E1252=$AB$65,$AD$65,E1252=$AB$66,$AD$66,TRUE,"0")</f>
        <v xml:space="preserve">  BANG</v>
      </c>
      <c r="E1252" s="163" t="s">
        <v>792</v>
      </c>
      <c r="F1252" s="2" t="s">
        <v>13</v>
      </c>
      <c r="G1252" s="2" t="s">
        <v>37</v>
      </c>
      <c r="H1252" s="3">
        <v>45410.625</v>
      </c>
      <c r="I1252" s="2" t="s">
        <v>306</v>
      </c>
      <c r="J1252" s="2" t="s">
        <v>99</v>
      </c>
      <c r="K1252" s="2">
        <v>2.25</v>
      </c>
      <c r="L1252" s="2">
        <v>95</v>
      </c>
      <c r="M1252" s="2">
        <v>75</v>
      </c>
      <c r="N1252" s="2">
        <v>60</v>
      </c>
      <c r="O1252" s="2">
        <v>20</v>
      </c>
      <c r="P1252" s="2"/>
      <c r="Q1252" s="2" t="s">
        <v>95</v>
      </c>
      <c r="R1252" s="10" t="s">
        <v>193</v>
      </c>
      <c r="S1252" s="10" t="s">
        <v>223</v>
      </c>
      <c r="T1252" s="188">
        <v>1000</v>
      </c>
      <c r="U1252" s="8">
        <f t="shared" si="142"/>
        <v>180</v>
      </c>
      <c r="V1252" s="234">
        <f t="shared" si="143"/>
        <v>122164.1552461603</v>
      </c>
      <c r="W1252" s="15">
        <v>25</v>
      </c>
      <c r="X1252" s="8">
        <f t="shared" si="144"/>
        <v>4.5</v>
      </c>
      <c r="Y1252" s="233">
        <f t="shared" si="141"/>
        <v>4920</v>
      </c>
    </row>
    <row r="1253" spans="1:25">
      <c r="A1253" s="156" t="e" cm="1">
        <f t="array" aca="1" ref="A1253" ca="1">_xlfn.IFS(E1253=$AB$42,$AC$42,E1253=$AB$43,$AC$43,E1253=$AB$44,$AC$44,E1253=$AB$45,$AC$45,E1253=$AB$46,$AC$46,E1253=$AB$47,$AC$47,E1253=$AB$48,$AC$48,E1253=$AB$49,$AC$49,E1253=$AB$50,$AC$50,E1253=$AB$51,$AC$51,E1253=$AB$52,$AC$52,E1253=$AB$53,$AC$53,E1253=$AB$54,$AC$54,E1253=$AB$55,$AC$55,E1253=$AB$56,$AC$56,E1253=$AB$57,$AC$57,E1253=$AB$58,$AC$58,E1253=$AB$59,$AC$59,E1253=$AB$60,$AC$60,E1253=$AB$61,$AC$61,E1253=$AB$62,$AC$62,E1253=$AB$63,$AC$63,E1253=$AB$64,$AC$64,E1253=$AB$65,$AC$65,E1253=$AB$66,$AC$66,TRUE,"0")</f>
        <v>#NAME?</v>
      </c>
      <c r="C1253" s="161" t="str" cm="1">
        <f t="array" ref="C1253">_xlfn.IFS(E1253=$AB$42,$AF$42,E1253=$AB$43,$AF$43,E1253=$AB$44,$AF$44,E1253=$AB$45,$AF$45,E1253=$AB$46,$AF$46,E1253=$AB$47,$AF$47,E1253=$AB$48,$AF$48,E1253=$AB$49,$AF$49,E1253=$AB$50,$AF$50,E1253=$AB$51,$AF$51,E1253=$AB$52,$AF$52,E1253=$AB$53,$AF$53,E1253=$AB$54,$AF$54,E1253=$AB$55,$AF$55,E1253=$AB$56,$AF$56,E1253=$AB$57,$AF$57,E1253=$AB$58,$AF$58,E1253=$AB$59,$AF$59,E1253=$AB$60,$AF$60,E1253=$AB$61,$AF$61,E1253=$AB$62,$AF$62,E1253=$AB$63,$AF$63,E1253=$AB$64,$AF$64,E1253=$AB$65,$AF$65,E1253=$AB$66,$AF$66,TRUE,"0")</f>
        <v>B4 match BACK FT +1.5 goals. X AFTER  GOAL</v>
      </c>
      <c r="D1253" s="270" t="str" cm="1">
        <f t="array" ref="D1253">_xlfn.IFS(E1253=$AB$42,$AD$42,E1253=$AB$43,$AD$43,E1253=$AB$44,$AD$44,E1253=$AB$45,$AD$45,E1253=$AB$46,$AD$46,E1253=$AB$47,$AD$47,E1253=$AB$48,$AD$48,E1253=$AB$49,$AD$49,E1253=$AB$50,$AD$50,E1253=$AB$51,$AD$51,E1253=$AB$52,$AD$52,E1253=$AB$53,$AD$53,E1253=$AB$54,$AD$54,E1253=$AB$55,$AD$55,E1253=$AB$56,$AD$56,E1253=$AB$57,$AD$57,E1253=$AB$58,$AD$58,E1253=$AB$59,$AD$59,E1253=$AB$60,$AD$60,E1253=$AB$61,$AD$61,E1253=$AB$62,$AD$62,E1253=$AB$63,$AD$63,E1253=$AB$64,$AD$64,E1253=$AB$65,$AD$65,E1253=$AB$66,$AD$66,TRUE,"0")</f>
        <v xml:space="preserve">BFM </v>
      </c>
      <c r="E1253" s="163" t="s">
        <v>531</v>
      </c>
      <c r="F1253" s="2" t="s">
        <v>13</v>
      </c>
      <c r="G1253" s="2" t="s">
        <v>37</v>
      </c>
      <c r="H1253" s="3">
        <v>45410.625</v>
      </c>
      <c r="I1253" s="2" t="s">
        <v>306</v>
      </c>
      <c r="J1253" s="2" t="s">
        <v>99</v>
      </c>
      <c r="K1253" s="2">
        <v>3.45</v>
      </c>
      <c r="L1253" s="2">
        <v>33</v>
      </c>
      <c r="M1253" s="2">
        <v>2.88</v>
      </c>
      <c r="N1253" s="2">
        <v>33</v>
      </c>
      <c r="O1253" s="2">
        <v>1</v>
      </c>
      <c r="P1253" s="2">
        <v>17</v>
      </c>
      <c r="Q1253" s="2" t="s">
        <v>95</v>
      </c>
      <c r="R1253" s="10" t="s">
        <v>193</v>
      </c>
      <c r="S1253" s="10" t="s">
        <v>223</v>
      </c>
      <c r="T1253" s="188">
        <v>1000</v>
      </c>
      <c r="U1253" s="8">
        <f t="shared" si="142"/>
        <v>180</v>
      </c>
      <c r="V1253" s="234">
        <f t="shared" si="143"/>
        <v>122344.1552461603</v>
      </c>
      <c r="W1253" s="15">
        <v>25</v>
      </c>
      <c r="X1253" s="8">
        <f t="shared" si="144"/>
        <v>4.5</v>
      </c>
      <c r="Y1253" s="233">
        <f t="shared" ref="Y1253:Y1316" si="145">SUM(Y1252,X1253)</f>
        <v>4924.5</v>
      </c>
    </row>
    <row r="1254" spans="1:25">
      <c r="A1254" s="156" t="e" cm="1">
        <f t="array" aca="1" ref="A1254" ca="1">_xlfn.IFS(E1254=$AB$42,$AC$42,E1254=$AB$43,$AC$43,E1254=$AB$44,$AC$44,E1254=$AB$45,$AC$45,E1254=$AB$46,$AC$46,E1254=$AB$47,$AC$47,E1254=$AB$48,$AC$48,E1254=$AB$49,$AC$49,E1254=$AB$50,$AC$50,E1254=$AB$51,$AC$51,E1254=$AB$52,$AC$52,E1254=$AB$53,$AC$53,E1254=$AB$54,$AC$54,E1254=$AB$55,$AC$55,E1254=$AB$56,$AC$56,E1254=$AB$57,$AC$57,E1254=$AB$58,$AC$58,E1254=$AB$59,$AC$59,E1254=$AB$60,$AC$60,E1254=$AB$61,$AC$61,E1254=$AB$62,$AC$62,E1254=$AB$63,$AC$63,E1254=$AB$64,$AC$64,E1254=$AB$65,$AC$65,E1254=$AB$66,$AC$66,TRUE,"0")</f>
        <v>#NAME?</v>
      </c>
      <c r="C1254" s="161" t="str" cm="1">
        <f t="array" ref="C1254">_xlfn.IFS(E1254=$AB$42,$AF$42,E1254=$AB$43,$AF$43,E1254=$AB$44,$AF$44,E1254=$AB$45,$AF$45,E1254=$AB$46,$AF$46,E1254=$AB$47,$AF$47,E1254=$AB$48,$AF$48,E1254=$AB$49,$AF$49,E1254=$AB$50,$AF$50,E1254=$AB$51,$AF$51,E1254=$AB$52,$AF$52,E1254=$AB$53,$AF$53,E1254=$AB$54,$AF$54,E1254=$AB$55,$AF$55,E1254=$AB$56,$AF$56,E1254=$AB$57,$AF$57,E1254=$AB$58,$AF$58,E1254=$AB$59,$AF$59,E1254=$AB$60,$AF$60,E1254=$AB$61,$AF$61,E1254=$AB$62,$AF$62,E1254=$AB$63,$AF$63,E1254=$AB$64,$AF$64,E1254=$AB$65,$AF$65,E1254=$AB$66,$AF$66,TRUE,"0")</f>
        <v>40 mins Back ANother Goal</v>
      </c>
      <c r="D1254" s="270" t="str" cm="1">
        <f t="array" ref="D1254">_xlfn.IFS(E1254=$AB$42,$AD$42,E1254=$AB$43,$AD$43,E1254=$AB$44,$AD$44,E1254=$AB$45,$AD$45,E1254=$AB$46,$AD$46,E1254=$AB$47,$AD$47,E1254=$AB$48,$AD$48,E1254=$AB$49,$AD$49,E1254=$AB$50,$AD$50,E1254=$AB$51,$AD$51,E1254=$AB$52,$AD$52,E1254=$AB$53,$AD$53,E1254=$AB$54,$AD$54,E1254=$AB$55,$AD$55,E1254=$AB$56,$AD$56,E1254=$AB$57,$AD$57,E1254=$AB$58,$AD$58,E1254=$AB$59,$AD$59,E1254=$AB$60,$AD$60,E1254=$AB$61,$AD$61,E1254=$AB$62,$AD$62,E1254=$AB$63,$AD$63,E1254=$AB$64,$AD$64,E1254=$AB$65,$AD$65,E1254=$AB$66,$AD$66,TRUE,"0")</f>
        <v xml:space="preserve">  BANG</v>
      </c>
      <c r="E1254" s="163" t="s">
        <v>522</v>
      </c>
      <c r="F1254" s="2" t="s">
        <v>13</v>
      </c>
      <c r="G1254" s="2" t="s">
        <v>37</v>
      </c>
      <c r="H1254" s="3">
        <v>45410.625</v>
      </c>
      <c r="I1254" s="2" t="s">
        <v>306</v>
      </c>
      <c r="J1254" s="2" t="s">
        <v>99</v>
      </c>
      <c r="K1254" s="2">
        <v>71</v>
      </c>
      <c r="L1254" s="2">
        <v>20</v>
      </c>
      <c r="M1254" s="2">
        <v>95</v>
      </c>
      <c r="N1254" s="2">
        <v>75</v>
      </c>
      <c r="O1254" s="2">
        <v>2.25</v>
      </c>
      <c r="P1254" s="2"/>
      <c r="Q1254" s="2" t="s">
        <v>95</v>
      </c>
      <c r="R1254" s="10" t="s">
        <v>193</v>
      </c>
      <c r="S1254" s="10" t="s">
        <v>223</v>
      </c>
      <c r="T1254" s="188">
        <v>1000</v>
      </c>
      <c r="U1254" s="8">
        <f t="shared" si="142"/>
        <v>180</v>
      </c>
      <c r="V1254" s="234">
        <f t="shared" si="143"/>
        <v>122524.1552461603</v>
      </c>
      <c r="W1254" s="15">
        <v>25</v>
      </c>
      <c r="X1254" s="8">
        <f t="shared" si="144"/>
        <v>4.5</v>
      </c>
      <c r="Y1254" s="233">
        <f t="shared" si="145"/>
        <v>4929</v>
      </c>
    </row>
    <row r="1255" spans="1:25">
      <c r="A1255" s="156" t="e" cm="1">
        <f t="array" aca="1" ref="A1255" ca="1">_xlfn.IFS(E1255=$AB$42,$AC$42,E1255=$AB$43,$AC$43,E1255=$AB$44,$AC$44,E1255=$AB$45,$AC$45,E1255=$AB$46,$AC$46,E1255=$AB$47,$AC$47,E1255=$AB$48,$AC$48,E1255=$AB$49,$AC$49,E1255=$AB$50,$AC$50,E1255=$AB$51,$AC$51,E1255=$AB$52,$AC$52,E1255=$AB$53,$AC$53,E1255=$AB$54,$AC$54,E1255=$AB$55,$AC$55,E1255=$AB$56,$AC$56,E1255=$AB$57,$AC$57,E1255=$AB$58,$AC$58,E1255=$AB$59,$AC$59,E1255=$AB$60,$AC$60,E1255=$AB$61,$AC$61,E1255=$AB$62,$AC$62,E1255=$AB$63,$AC$63,E1255=$AB$64,$AC$64,E1255=$AB$65,$AC$65,E1255=$AB$66,$AC$66,TRUE,"0")</f>
        <v>#NAME?</v>
      </c>
      <c r="C1255" s="161" t="str" cm="1">
        <f t="array" ref="C1255">_xlfn.IFS(E1255=$AB$42,$AF$42,E1255=$AB$43,$AF$43,E1255=$AB$44,$AF$44,E1255=$AB$45,$AF$45,E1255=$AB$46,$AF$46,E1255=$AB$47,$AF$47,E1255=$AB$48,$AF$48,E1255=$AB$49,$AF$49,E1255=$AB$50,$AF$50,E1255=$AB$51,$AF$51,E1255=$AB$52,$AF$52,E1255=$AB$53,$AF$53,E1255=$AB$54,$AF$54,E1255=$AB$55,$AF$55,E1255=$AB$56,$AF$56,E1255=$AB$57,$AF$57,E1255=$AB$58,$AF$58,E1255=$AB$59,$AF$59,E1255=$AB$60,$AF$60,E1255=$AB$61,$AF$61,E1255=$AB$62,$AF$62,E1255=$AB$63,$AF$63,E1255=$AB$64,$AF$64,E1255=$AB$65,$AF$65,E1255=$AB$66,$AF$66,TRUE,"0")</f>
        <v>40 mins Back ANother Goal</v>
      </c>
      <c r="D1255" s="270" t="str" cm="1">
        <f t="array" ref="D1255">_xlfn.IFS(E1255=$AB$42,$AD$42,E1255=$AB$43,$AD$43,E1255=$AB$44,$AD$44,E1255=$AB$45,$AD$45,E1255=$AB$46,$AD$46,E1255=$AB$47,$AD$47,E1255=$AB$48,$AD$48,E1255=$AB$49,$AD$49,E1255=$AB$50,$AD$50,E1255=$AB$51,$AD$51,E1255=$AB$52,$AD$52,E1255=$AB$53,$AD$53,E1255=$AB$54,$AD$54,E1255=$AB$55,$AD$55,E1255=$AB$56,$AD$56,E1255=$AB$57,$AD$57,E1255=$AB$58,$AD$58,E1255=$AB$59,$AD$59,E1255=$AB$60,$AD$60,E1255=$AB$61,$AD$61,E1255=$AB$62,$AD$62,E1255=$AB$63,$AD$63,E1255=$AB$64,$AD$64,E1255=$AB$65,$AD$65,E1255=$AB$66,$AD$66,TRUE,"0")</f>
        <v xml:space="preserve">  BANG</v>
      </c>
      <c r="E1255" s="163" t="s">
        <v>515</v>
      </c>
      <c r="F1255" s="2" t="s">
        <v>13</v>
      </c>
      <c r="G1255" s="2" t="s">
        <v>37</v>
      </c>
      <c r="H1255" s="3">
        <v>45410.625</v>
      </c>
      <c r="I1255" s="2" t="s">
        <v>306</v>
      </c>
      <c r="J1255" s="2" t="s">
        <v>99</v>
      </c>
      <c r="K1255" s="2">
        <v>20</v>
      </c>
      <c r="L1255" s="2">
        <v>71</v>
      </c>
      <c r="M1255" s="2">
        <v>2.25</v>
      </c>
      <c r="N1255" s="2"/>
      <c r="O1255" s="2"/>
      <c r="P1255" s="2"/>
      <c r="Q1255" s="2" t="s">
        <v>95</v>
      </c>
      <c r="R1255" s="10" t="s">
        <v>193</v>
      </c>
      <c r="S1255" s="10" t="s">
        <v>223</v>
      </c>
      <c r="T1255" s="188">
        <v>1000</v>
      </c>
      <c r="U1255" s="8">
        <f t="shared" si="142"/>
        <v>180</v>
      </c>
      <c r="V1255" s="234">
        <f t="shared" si="143"/>
        <v>122704.1552461603</v>
      </c>
      <c r="W1255" s="15">
        <v>25</v>
      </c>
      <c r="X1255" s="8">
        <f t="shared" si="144"/>
        <v>4.5</v>
      </c>
      <c r="Y1255" s="233">
        <f t="shared" si="145"/>
        <v>4933.5</v>
      </c>
    </row>
    <row r="1256" spans="1:25">
      <c r="A1256" s="156" t="e" cm="1">
        <f t="array" aca="1" ref="A1256" ca="1">_xlfn.IFS(E1256=$AB$42,$AC$42,E1256=$AB$43,$AC$43,E1256=$AB$44,$AC$44,E1256=$AB$45,$AC$45,E1256=$AB$46,$AC$46,E1256=$AB$47,$AC$47,E1256=$AB$48,$AC$48,E1256=$AB$49,$AC$49,E1256=$AB$50,$AC$50,E1256=$AB$51,$AC$51,E1256=$AB$52,$AC$52,E1256=$AB$53,$AC$53,E1256=$AB$54,$AC$54,E1256=$AB$55,$AC$55,E1256=$AB$56,$AC$56,E1256=$AB$57,$AC$57,E1256=$AB$58,$AC$58,E1256=$AB$59,$AC$59,E1256=$AB$60,$AC$60,E1256=$AB$61,$AC$61,E1256=$AB$62,$AC$62,E1256=$AB$63,$AC$63,E1256=$AB$64,$AC$64,E1256=$AB$65,$AC$65,E1256=$AB$66,$AC$66,TRUE,"0")</f>
        <v>#NAME?</v>
      </c>
      <c r="C1256" s="161" t="str" cm="1">
        <f t="array" ref="C1256">_xlfn.IFS(E1256=$AB$42,$AF$42,E1256=$AB$43,$AF$43,E1256=$AB$44,$AF$44,E1256=$AB$45,$AF$45,E1256=$AB$46,$AF$46,E1256=$AB$47,$AF$47,E1256=$AB$48,$AF$48,E1256=$AB$49,$AF$49,E1256=$AB$50,$AF$50,E1256=$AB$51,$AF$51,E1256=$AB$52,$AF$52,E1256=$AB$53,$AF$53,E1256=$AB$54,$AF$54,E1256=$AB$55,$AF$55,E1256=$AB$56,$AF$56,E1256=$AB$57,$AF$57,E1256=$AB$58,$AF$58,E1256=$AB$59,$AF$59,E1256=$AB$60,$AF$60,E1256=$AB$61,$AF$61,E1256=$AB$62,$AF$62,E1256=$AB$63,$AF$63,E1256=$AB$64,$AF$64,E1256=$AB$65,$AF$65,E1256=$AB$66,$AF$66,TRUE,"0")</f>
        <v>40 mins Back ANother Goal</v>
      </c>
      <c r="D1256" s="270" t="str" cm="1">
        <f t="array" ref="D1256">_xlfn.IFS(E1256=$AB$42,$AD$42,E1256=$AB$43,$AD$43,E1256=$AB$44,$AD$44,E1256=$AB$45,$AD$45,E1256=$AB$46,$AD$46,E1256=$AB$47,$AD$47,E1256=$AB$48,$AD$48,E1256=$AB$49,$AD$49,E1256=$AB$50,$AD$50,E1256=$AB$51,$AD$51,E1256=$AB$52,$AD$52,E1256=$AB$53,$AD$53,E1256=$AB$54,$AD$54,E1256=$AB$55,$AD$55,E1256=$AB$56,$AD$56,E1256=$AB$57,$AD$57,E1256=$AB$58,$AD$58,E1256=$AB$59,$AD$59,E1256=$AB$60,$AD$60,E1256=$AB$61,$AD$61,E1256=$AB$62,$AD$62,E1256=$AB$63,$AD$63,E1256=$AB$64,$AD$64,E1256=$AB$65,$AD$65,E1256=$AB$66,$AD$66,TRUE,"0")</f>
        <v xml:space="preserve">  BANG</v>
      </c>
      <c r="E1256" s="163" t="s">
        <v>792</v>
      </c>
      <c r="F1256" s="2" t="s">
        <v>133</v>
      </c>
      <c r="G1256" s="2" t="s">
        <v>78</v>
      </c>
      <c r="H1256" s="3">
        <v>45410.625</v>
      </c>
      <c r="I1256" s="2" t="s">
        <v>488</v>
      </c>
      <c r="J1256" s="2" t="s">
        <v>394</v>
      </c>
      <c r="K1256" s="2">
        <v>2</v>
      </c>
      <c r="L1256" s="2">
        <v>90</v>
      </c>
      <c r="M1256" s="2">
        <v>65</v>
      </c>
      <c r="N1256" s="2">
        <v>62</v>
      </c>
      <c r="O1256" s="2">
        <v>20</v>
      </c>
      <c r="P1256" s="2"/>
      <c r="Q1256" s="2" t="s">
        <v>95</v>
      </c>
      <c r="R1256" s="10" t="s">
        <v>220</v>
      </c>
      <c r="S1256" s="10" t="s">
        <v>196</v>
      </c>
      <c r="T1256" s="188">
        <v>1000</v>
      </c>
      <c r="U1256" s="8">
        <f t="shared" si="142"/>
        <v>180</v>
      </c>
      <c r="V1256" s="234">
        <f t="shared" si="143"/>
        <v>122884.1552461603</v>
      </c>
      <c r="W1256" s="15">
        <v>25</v>
      </c>
      <c r="X1256" s="8">
        <f t="shared" si="144"/>
        <v>4.5</v>
      </c>
      <c r="Y1256" s="233">
        <f t="shared" si="145"/>
        <v>4938</v>
      </c>
    </row>
    <row r="1257" spans="1:25">
      <c r="A1257" s="156" t="e" cm="1">
        <f t="array" aca="1" ref="A1257" ca="1">_xlfn.IFS(E1257=$AB$42,$AC$42,E1257=$AB$43,$AC$43,E1257=$AB$44,$AC$44,E1257=$AB$45,$AC$45,E1257=$AB$46,$AC$46,E1257=$AB$47,$AC$47,E1257=$AB$48,$AC$48,E1257=$AB$49,$AC$49,E1257=$AB$50,$AC$50,E1257=$AB$51,$AC$51,E1257=$AB$52,$AC$52,E1257=$AB$53,$AC$53,E1257=$AB$54,$AC$54,E1257=$AB$55,$AC$55,E1257=$AB$56,$AC$56,E1257=$AB$57,$AC$57,E1257=$AB$58,$AC$58,E1257=$AB$59,$AC$59,E1257=$AB$60,$AC$60,E1257=$AB$61,$AC$61,E1257=$AB$62,$AC$62,E1257=$AB$63,$AC$63,E1257=$AB$64,$AC$64,E1257=$AB$65,$AC$65,E1257=$AB$66,$AC$66,TRUE,"0")</f>
        <v>#NAME?</v>
      </c>
      <c r="C1257" s="161" t="str" cm="1">
        <f t="array" ref="C1257">_xlfn.IFS(E1257=$AB$42,$AF$42,E1257=$AB$43,$AF$43,E1257=$AB$44,$AF$44,E1257=$AB$45,$AF$45,E1257=$AB$46,$AF$46,E1257=$AB$47,$AF$47,E1257=$AB$48,$AF$48,E1257=$AB$49,$AF$49,E1257=$AB$50,$AF$50,E1257=$AB$51,$AF$51,E1257=$AB$52,$AF$52,E1257=$AB$53,$AF$53,E1257=$AB$54,$AF$54,E1257=$AB$55,$AF$55,E1257=$AB$56,$AF$56,E1257=$AB$57,$AF$57,E1257=$AB$58,$AF$58,E1257=$AB$59,$AF$59,E1257=$AB$60,$AF$60,E1257=$AB$61,$AF$61,E1257=$AB$62,$AF$62,E1257=$AB$63,$AF$63,E1257=$AB$64,$AF$64,E1257=$AB$65,$AF$65,E1257=$AB$66,$AF$66,TRUE,"0")</f>
        <v>40 mins Back ANother Goal</v>
      </c>
      <c r="D1257" s="270" t="str" cm="1">
        <f t="array" ref="D1257">_xlfn.IFS(E1257=$AB$42,$AD$42,E1257=$AB$43,$AD$43,E1257=$AB$44,$AD$44,E1257=$AB$45,$AD$45,E1257=$AB$46,$AD$46,E1257=$AB$47,$AD$47,E1257=$AB$48,$AD$48,E1257=$AB$49,$AD$49,E1257=$AB$50,$AD$50,E1257=$AB$51,$AD$51,E1257=$AB$52,$AD$52,E1257=$AB$53,$AD$53,E1257=$AB$54,$AD$54,E1257=$AB$55,$AD$55,E1257=$AB$56,$AD$56,E1257=$AB$57,$AD$57,E1257=$AB$58,$AD$58,E1257=$AB$59,$AD$59,E1257=$AB$60,$AD$60,E1257=$AB$61,$AD$61,E1257=$AB$62,$AD$62,E1257=$AB$63,$AD$63,E1257=$AB$64,$AD$64,E1257=$AB$65,$AD$65,E1257=$AB$66,$AD$66,TRUE,"0")</f>
        <v xml:space="preserve">  BANG</v>
      </c>
      <c r="E1257" s="163" t="s">
        <v>726</v>
      </c>
      <c r="F1257" s="2" t="s">
        <v>133</v>
      </c>
      <c r="G1257" s="2" t="s">
        <v>78</v>
      </c>
      <c r="H1257" s="3">
        <v>45410.625</v>
      </c>
      <c r="I1257" s="2" t="s">
        <v>488</v>
      </c>
      <c r="J1257" s="2" t="s">
        <v>394</v>
      </c>
      <c r="K1257" s="2">
        <v>90</v>
      </c>
      <c r="L1257" s="2">
        <v>20</v>
      </c>
      <c r="M1257" s="2">
        <v>2</v>
      </c>
      <c r="N1257" s="2">
        <v>62</v>
      </c>
      <c r="O1257" s="2"/>
      <c r="P1257" s="2"/>
      <c r="Q1257" s="2" t="s">
        <v>95</v>
      </c>
      <c r="R1257" s="10" t="s">
        <v>220</v>
      </c>
      <c r="S1257" s="10" t="s">
        <v>196</v>
      </c>
      <c r="T1257" s="188">
        <v>1000</v>
      </c>
      <c r="U1257" s="8">
        <f t="shared" si="142"/>
        <v>180</v>
      </c>
      <c r="V1257" s="234">
        <f t="shared" si="143"/>
        <v>123064.1552461603</v>
      </c>
      <c r="W1257" s="15">
        <v>25</v>
      </c>
      <c r="X1257" s="8">
        <f t="shared" si="144"/>
        <v>4.5</v>
      </c>
      <c r="Y1257" s="233">
        <f t="shared" si="145"/>
        <v>4942.5</v>
      </c>
    </row>
    <row r="1258" spans="1:25">
      <c r="A1258" s="156" t="e" cm="1">
        <f t="array" aca="1" ref="A1258" ca="1">_xlfn.IFS(E1258=$AB$42,$AC$42,E1258=$AB$43,$AC$43,E1258=$AB$44,$AC$44,E1258=$AB$45,$AC$45,E1258=$AB$46,$AC$46,E1258=$AB$47,$AC$47,E1258=$AB$48,$AC$48,E1258=$AB$49,$AC$49,E1258=$AB$50,$AC$50,E1258=$AB$51,$AC$51,E1258=$AB$52,$AC$52,E1258=$AB$53,$AC$53,E1258=$AB$54,$AC$54,E1258=$AB$55,$AC$55,E1258=$AB$56,$AC$56,E1258=$AB$57,$AC$57,E1258=$AB$58,$AC$58,E1258=$AB$59,$AC$59,E1258=$AB$60,$AC$60,E1258=$AB$61,$AC$61,E1258=$AB$62,$AC$62,E1258=$AB$63,$AC$63,E1258=$AB$64,$AC$64,E1258=$AB$65,$AC$65,E1258=$AB$66,$AC$66,TRUE,"0")</f>
        <v>#NAME?</v>
      </c>
      <c r="C1258" s="161" t="str" cm="1">
        <f t="array" ref="C1258">_xlfn.IFS(E1258=$AB$42,$AF$42,E1258=$AB$43,$AF$43,E1258=$AB$44,$AF$44,E1258=$AB$45,$AF$45,E1258=$AB$46,$AF$46,E1258=$AB$47,$AF$47,E1258=$AB$48,$AF$48,E1258=$AB$49,$AF$49,E1258=$AB$50,$AF$50,E1258=$AB$51,$AF$51,E1258=$AB$52,$AF$52,E1258=$AB$53,$AF$53,E1258=$AB$54,$AF$54,E1258=$AB$55,$AF$55,E1258=$AB$56,$AF$56,E1258=$AB$57,$AF$57,E1258=$AB$58,$AF$58,E1258=$AB$59,$AF$59,E1258=$AB$60,$AF$60,E1258=$AB$61,$AF$61,E1258=$AB$62,$AF$62,E1258=$AB$63,$AF$63,E1258=$AB$64,$AF$64,E1258=$AB$65,$AF$65,E1258=$AB$66,$AF$66,TRUE,"0")</f>
        <v>20mins if  0-0, BACK over 1.5 goals X after goal OR LET RUN</v>
      </c>
      <c r="D1258" s="270" t="str" cm="1">
        <f t="array" ref="D1258">_xlfn.IFS(E1258=$AB$42,$AD$42,E1258=$AB$43,$AD$43,E1258=$AB$44,$AD$44,E1258=$AB$45,$AD$45,E1258=$AB$46,$AD$46,E1258=$AB$47,$AD$47,E1258=$AB$48,$AD$48,E1258=$AB$49,$AD$49,E1258=$AB$50,$AD$50,E1258=$AB$51,$AD$51,E1258=$AB$52,$AD$52,E1258=$AB$53,$AD$53,E1258=$AB$54,$AD$54,E1258=$AB$55,$AD$55,E1258=$AB$56,$AD$56,E1258=$AB$57,$AD$57,E1258=$AB$58,$AD$58,E1258=$AB$59,$AD$59,E1258=$AB$60,$AD$60,E1258=$AB$61,$AD$61,E1258=$AB$62,$AD$62,E1258=$AB$63,$AD$63,E1258=$AB$64,$AD$64,E1258=$AB$65,$AD$65,E1258=$AB$66,$AD$66,TRUE,"0")</f>
        <v>IP</v>
      </c>
      <c r="E1258" s="163" t="s">
        <v>474</v>
      </c>
      <c r="F1258" s="2" t="s">
        <v>133</v>
      </c>
      <c r="G1258" s="2" t="s">
        <v>78</v>
      </c>
      <c r="H1258" s="3">
        <v>45410.625</v>
      </c>
      <c r="I1258" s="2" t="s">
        <v>488</v>
      </c>
      <c r="J1258" s="2" t="s">
        <v>394</v>
      </c>
      <c r="K1258" s="2">
        <v>52</v>
      </c>
      <c r="L1258" s="2">
        <v>3.7</v>
      </c>
      <c r="M1258" s="2">
        <v>20</v>
      </c>
      <c r="N1258" s="2">
        <v>95</v>
      </c>
      <c r="O1258" s="2">
        <v>100</v>
      </c>
      <c r="P1258" s="2"/>
      <c r="Q1258" s="2" t="s">
        <v>95</v>
      </c>
      <c r="R1258" s="10" t="s">
        <v>220</v>
      </c>
      <c r="S1258" s="10" t="s">
        <v>196</v>
      </c>
      <c r="T1258" s="188">
        <v>1000</v>
      </c>
      <c r="U1258" s="8">
        <f t="shared" si="142"/>
        <v>180</v>
      </c>
      <c r="V1258" s="234">
        <f t="shared" si="143"/>
        <v>123244.1552461603</v>
      </c>
      <c r="W1258" s="15">
        <v>25</v>
      </c>
      <c r="X1258" s="8">
        <f t="shared" si="144"/>
        <v>4.5</v>
      </c>
      <c r="Y1258" s="233">
        <f t="shared" si="145"/>
        <v>4947</v>
      </c>
    </row>
    <row r="1259" spans="1:25">
      <c r="A1259" s="156" t="e" cm="1">
        <f t="array" aca="1" ref="A1259" ca="1">_xlfn.IFS(E1259=$AB$42,$AC$42,E1259=$AB$43,$AC$43,E1259=$AB$44,$AC$44,E1259=$AB$45,$AC$45,E1259=$AB$46,$AC$46,E1259=$AB$47,$AC$47,E1259=$AB$48,$AC$48,E1259=$AB$49,$AC$49,E1259=$AB$50,$AC$50,E1259=$AB$51,$AC$51,E1259=$AB$52,$AC$52,E1259=$AB$53,$AC$53,E1259=$AB$54,$AC$54,E1259=$AB$55,$AC$55,E1259=$AB$56,$AC$56,E1259=$AB$57,$AC$57,E1259=$AB$58,$AC$58,E1259=$AB$59,$AC$59,E1259=$AB$60,$AC$60,E1259=$AB$61,$AC$61,E1259=$AB$62,$AC$62,E1259=$AB$63,$AC$63,E1259=$AB$64,$AC$64,E1259=$AB$65,$AC$65,E1259=$AB$66,$AC$66,TRUE,"0")</f>
        <v>#NAME?</v>
      </c>
      <c r="C1259" s="161" t="str" cm="1">
        <f t="array" ref="C1259">_xlfn.IFS(E1259=$AB$42,$AF$42,E1259=$AB$43,$AF$43,E1259=$AB$44,$AF$44,E1259=$AB$45,$AF$45,E1259=$AB$46,$AF$46,E1259=$AB$47,$AF$47,E1259=$AB$48,$AF$48,E1259=$AB$49,$AF$49,E1259=$AB$50,$AF$50,E1259=$AB$51,$AF$51,E1259=$AB$52,$AF$52,E1259=$AB$53,$AF$53,E1259=$AB$54,$AF$54,E1259=$AB$55,$AF$55,E1259=$AB$56,$AF$56,E1259=$AB$57,$AF$57,E1259=$AB$58,$AF$58,E1259=$AB$59,$AF$59,E1259=$AB$60,$AF$60,E1259=$AB$61,$AF$61,E1259=$AB$62,$AF$62,E1259=$AB$63,$AF$63,E1259=$AB$64,$AF$64,E1259=$AB$65,$AF$65,E1259=$AB$66,$AF$66,TRUE,"0")</f>
        <v>B4 MATCH bet H1 'under 2.5goals'- X at 40 minutes</v>
      </c>
      <c r="D1259" s="270" t="str" cm="1">
        <f t="array" ref="D1259">_xlfn.IFS(E1259=$AB$42,$AD$42,E1259=$AB$43,$AD$43,E1259=$AB$44,$AD$44,E1259=$AB$45,$AD$45,E1259=$AB$46,$AD$46,E1259=$AB$47,$AD$47,E1259=$AB$48,$AD$48,E1259=$AB$49,$AD$49,E1259=$AB$50,$AD$50,E1259=$AB$51,$AD$51,E1259=$AB$52,$AD$52,E1259=$AB$53,$AD$53,E1259=$AB$54,$AD$54,E1259=$AB$55,$AD$55,E1259=$AB$56,$AD$56,E1259=$AB$57,$AD$57,E1259=$AB$58,$AD$58,E1259=$AB$59,$AD$59,E1259=$AB$60,$AD$60,E1259=$AB$61,$AD$61,E1259=$AB$62,$AD$62,E1259=$AB$63,$AD$63,E1259=$AB$64,$AD$64,E1259=$AB$65,$AD$65,E1259=$AB$66,$AD$66,TRUE,"0")</f>
        <v xml:space="preserve">BFM </v>
      </c>
      <c r="E1259" s="168" t="s">
        <v>458</v>
      </c>
      <c r="F1259" s="2" t="s">
        <v>119</v>
      </c>
      <c r="G1259" s="2" t="s">
        <v>166</v>
      </c>
      <c r="H1259" s="3">
        <v>45410.635416666664</v>
      </c>
      <c r="I1259" s="2" t="s">
        <v>651</v>
      </c>
      <c r="J1259" s="2" t="s">
        <v>790</v>
      </c>
      <c r="K1259" s="2">
        <v>20</v>
      </c>
      <c r="L1259" s="2">
        <v>85</v>
      </c>
      <c r="M1259" s="2">
        <v>100</v>
      </c>
      <c r="N1259" s="2">
        <v>34</v>
      </c>
      <c r="O1259" s="2">
        <v>1.85</v>
      </c>
      <c r="P1259" s="2"/>
      <c r="Q1259" s="2" t="s">
        <v>95</v>
      </c>
      <c r="R1259" s="10" t="s">
        <v>221</v>
      </c>
      <c r="S1259" s="10" t="s">
        <v>221</v>
      </c>
      <c r="T1259" s="188">
        <v>1000</v>
      </c>
      <c r="U1259" s="8">
        <f t="shared" si="142"/>
        <v>180</v>
      </c>
      <c r="V1259" s="234">
        <f t="shared" si="143"/>
        <v>123424.1552461603</v>
      </c>
      <c r="W1259" s="15">
        <v>25</v>
      </c>
      <c r="X1259" s="8">
        <f t="shared" si="144"/>
        <v>4.5</v>
      </c>
      <c r="Y1259" s="233">
        <f t="shared" si="145"/>
        <v>4951.5</v>
      </c>
    </row>
    <row r="1260" spans="1:25">
      <c r="A1260" s="156" t="e" cm="1">
        <f t="array" aca="1" ref="A1260" ca="1">_xlfn.IFS(E1260=$AB$42,$AC$42,E1260=$AB$43,$AC$43,E1260=$AB$44,$AC$44,E1260=$AB$45,$AC$45,E1260=$AB$46,$AC$46,E1260=$AB$47,$AC$47,E1260=$AB$48,$AC$48,E1260=$AB$49,$AC$49,E1260=$AB$50,$AC$50,E1260=$AB$51,$AC$51,E1260=$AB$52,$AC$52,E1260=$AB$53,$AC$53,E1260=$AB$54,$AC$54,E1260=$AB$55,$AC$55,E1260=$AB$56,$AC$56,E1260=$AB$57,$AC$57,E1260=$AB$58,$AC$58,E1260=$AB$59,$AC$59,E1260=$AB$60,$AC$60,E1260=$AB$61,$AC$61,E1260=$AB$62,$AC$62,E1260=$AB$63,$AC$63,E1260=$AB$64,$AC$64,E1260=$AB$65,$AC$65,E1260=$AB$66,$AC$66,TRUE,"0")</f>
        <v>#NAME?</v>
      </c>
      <c r="C1260" s="161" t="str" cm="1">
        <f t="array" ref="C1260">_xlfn.IFS(E1260=$AB$42,$AF$42,E1260=$AB$43,$AF$43,E1260=$AB$44,$AF$44,E1260=$AB$45,$AF$45,E1260=$AB$46,$AF$46,E1260=$AB$47,$AF$47,E1260=$AB$48,$AF$48,E1260=$AB$49,$AF$49,E1260=$AB$50,$AF$50,E1260=$AB$51,$AF$51,E1260=$AB$52,$AF$52,E1260=$AB$53,$AF$53,E1260=$AB$54,$AF$54,E1260=$AB$55,$AF$55,E1260=$AB$56,$AF$56,E1260=$AB$57,$AF$57,E1260=$AB$58,$AF$58,E1260=$AB$59,$AF$59,E1260=$AB$60,$AF$60,E1260=$AB$61,$AF$61,E1260=$AB$62,$AF$62,E1260=$AB$63,$AF$63,E1260=$AB$64,$AF$64,E1260=$AB$65,$AF$65,E1260=$AB$66,$AF$66,TRUE,"0")</f>
        <v>40 mins Back ANother Goal</v>
      </c>
      <c r="D1260" s="270" t="str" cm="1">
        <f t="array" ref="D1260">_xlfn.IFS(E1260=$AB$42,$AD$42,E1260=$AB$43,$AD$43,E1260=$AB$44,$AD$44,E1260=$AB$45,$AD$45,E1260=$AB$46,$AD$46,E1260=$AB$47,$AD$47,E1260=$AB$48,$AD$48,E1260=$AB$49,$AD$49,E1260=$AB$50,$AD$50,E1260=$AB$51,$AD$51,E1260=$AB$52,$AD$52,E1260=$AB$53,$AD$53,E1260=$AB$54,$AD$54,E1260=$AB$55,$AD$55,E1260=$AB$56,$AD$56,E1260=$AB$57,$AD$57,E1260=$AB$58,$AD$58,E1260=$AB$59,$AD$59,E1260=$AB$60,$AD$60,E1260=$AB$61,$AD$61,E1260=$AB$62,$AD$62,E1260=$AB$63,$AD$63,E1260=$AB$64,$AD$64,E1260=$AB$65,$AD$65,E1260=$AB$66,$AD$66,TRUE,"0")</f>
        <v xml:space="preserve">  BANG</v>
      </c>
      <c r="E1260" s="163" t="s">
        <v>726</v>
      </c>
      <c r="F1260" s="2" t="s">
        <v>149</v>
      </c>
      <c r="G1260" s="2" t="s">
        <v>150</v>
      </c>
      <c r="H1260" s="3">
        <v>45410.65625</v>
      </c>
      <c r="I1260" s="2" t="s">
        <v>746</v>
      </c>
      <c r="J1260" s="2" t="s">
        <v>493</v>
      </c>
      <c r="K1260" s="2">
        <v>90</v>
      </c>
      <c r="L1260" s="2">
        <v>20</v>
      </c>
      <c r="M1260" s="2">
        <v>1.95</v>
      </c>
      <c r="N1260" s="2">
        <v>62</v>
      </c>
      <c r="O1260" s="2"/>
      <c r="P1260" s="2"/>
      <c r="Q1260" s="2" t="s">
        <v>95</v>
      </c>
      <c r="R1260" s="10" t="s">
        <v>214</v>
      </c>
      <c r="S1260" s="10" t="s">
        <v>220</v>
      </c>
      <c r="T1260" s="188">
        <v>1000</v>
      </c>
      <c r="U1260" s="8">
        <f t="shared" si="142"/>
        <v>180</v>
      </c>
      <c r="V1260" s="234">
        <f t="shared" si="143"/>
        <v>123604.1552461603</v>
      </c>
      <c r="W1260" s="15">
        <v>25</v>
      </c>
      <c r="X1260" s="8">
        <f t="shared" si="144"/>
        <v>4.5</v>
      </c>
      <c r="Y1260" s="233">
        <f t="shared" si="145"/>
        <v>4956</v>
      </c>
    </row>
    <row r="1261" spans="1:25">
      <c r="A1261" s="156" t="e" cm="1">
        <f t="array" aca="1" ref="A1261" ca="1">_xlfn.IFS(E1261=$AB$42,$AC$42,E1261=$AB$43,$AC$43,E1261=$AB$44,$AC$44,E1261=$AB$45,$AC$45,E1261=$AB$46,$AC$46,E1261=$AB$47,$AC$47,E1261=$AB$48,$AC$48,E1261=$AB$49,$AC$49,E1261=$AB$50,$AC$50,E1261=$AB$51,$AC$51,E1261=$AB$52,$AC$52,E1261=$AB$53,$AC$53,E1261=$AB$54,$AC$54,E1261=$AB$55,$AC$55,E1261=$AB$56,$AC$56,E1261=$AB$57,$AC$57,E1261=$AB$58,$AC$58,E1261=$AB$59,$AC$59,E1261=$AB$60,$AC$60,E1261=$AB$61,$AC$61,E1261=$AB$62,$AC$62,E1261=$AB$63,$AC$63,E1261=$AB$64,$AC$64,E1261=$AB$65,$AC$65,E1261=$AB$66,$AC$66,TRUE,"0")</f>
        <v>#NAME?</v>
      </c>
      <c r="C1261" s="161" t="str" cm="1">
        <f t="array" ref="C1261">_xlfn.IFS(E1261=$AB$42,$AF$42,E1261=$AB$43,$AF$43,E1261=$AB$44,$AF$44,E1261=$AB$45,$AF$45,E1261=$AB$46,$AF$46,E1261=$AB$47,$AF$47,E1261=$AB$48,$AF$48,E1261=$AB$49,$AF$49,E1261=$AB$50,$AF$50,E1261=$AB$51,$AF$51,E1261=$AB$52,$AF$52,E1261=$AB$53,$AF$53,E1261=$AB$54,$AF$54,E1261=$AB$55,$AF$55,E1261=$AB$56,$AF$56,E1261=$AB$57,$AF$57,E1261=$AB$58,$AF$58,E1261=$AB$59,$AF$59,E1261=$AB$60,$AF$60,E1261=$AB$61,$AF$61,E1261=$AB$62,$AF$62,E1261=$AB$63,$AF$63,E1261=$AB$64,$AF$64,E1261=$AB$65,$AF$65,E1261=$AB$66,$AF$66,TRUE,"0")</f>
        <v>B4 match BACK FT +1.5 goals. X AFTER  GOAL</v>
      </c>
      <c r="D1261" s="270" t="str" cm="1">
        <f t="array" ref="D1261">_xlfn.IFS(E1261=$AB$42,$AD$42,E1261=$AB$43,$AD$43,E1261=$AB$44,$AD$44,E1261=$AB$45,$AD$45,E1261=$AB$46,$AD$46,E1261=$AB$47,$AD$47,E1261=$AB$48,$AD$48,E1261=$AB$49,$AD$49,E1261=$AB$50,$AD$50,E1261=$AB$51,$AD$51,E1261=$AB$52,$AD$52,E1261=$AB$53,$AD$53,E1261=$AB$54,$AD$54,E1261=$AB$55,$AD$55,E1261=$AB$56,$AD$56,E1261=$AB$57,$AD$57,E1261=$AB$58,$AD$58,E1261=$AB$59,$AD$59,E1261=$AB$60,$AD$60,E1261=$AB$61,$AD$61,E1261=$AB$62,$AD$62,E1261=$AB$63,$AD$63,E1261=$AB$64,$AD$64,E1261=$AB$65,$AD$65,E1261=$AB$66,$AD$66,TRUE,"0")</f>
        <v xml:space="preserve">BFM </v>
      </c>
      <c r="E1261" s="163" t="s">
        <v>406</v>
      </c>
      <c r="F1261" s="2" t="s">
        <v>640</v>
      </c>
      <c r="G1261" s="2" t="s">
        <v>641</v>
      </c>
      <c r="H1261" s="3">
        <v>45410.666666666664</v>
      </c>
      <c r="I1261" s="2" t="s">
        <v>745</v>
      </c>
      <c r="J1261" s="2" t="s">
        <v>721</v>
      </c>
      <c r="K1261" s="2">
        <v>1.29</v>
      </c>
      <c r="L1261" s="2">
        <v>13.5</v>
      </c>
      <c r="M1261" s="2">
        <v>2.6</v>
      </c>
      <c r="N1261" s="2">
        <v>4.4000000000000004</v>
      </c>
      <c r="O1261" s="2">
        <v>2.85</v>
      </c>
      <c r="P1261" s="2"/>
      <c r="Q1261" s="2" t="s">
        <v>95</v>
      </c>
      <c r="R1261" s="10" t="s">
        <v>220</v>
      </c>
      <c r="S1261" s="10" t="s">
        <v>222</v>
      </c>
      <c r="T1261" s="188">
        <v>1000</v>
      </c>
      <c r="U1261" s="8">
        <f t="shared" si="142"/>
        <v>180</v>
      </c>
      <c r="V1261" s="234">
        <f t="shared" si="143"/>
        <v>123784.1552461603</v>
      </c>
      <c r="W1261" s="15">
        <v>25</v>
      </c>
      <c r="X1261" s="8">
        <f t="shared" si="144"/>
        <v>4.5</v>
      </c>
      <c r="Y1261" s="233">
        <f t="shared" si="145"/>
        <v>4960.5</v>
      </c>
    </row>
    <row r="1262" spans="1:25">
      <c r="A1262" s="156" t="e" cm="1">
        <f t="array" aca="1" ref="A1262" ca="1">_xlfn.IFS(E1262=$AB$42,$AC$42,E1262=$AB$43,$AC$43,E1262=$AB$44,$AC$44,E1262=$AB$45,$AC$45,E1262=$AB$46,$AC$46,E1262=$AB$47,$AC$47,E1262=$AB$48,$AC$48,E1262=$AB$49,$AC$49,E1262=$AB$50,$AC$50,E1262=$AB$51,$AC$51,E1262=$AB$52,$AC$52,E1262=$AB$53,$AC$53,E1262=$AB$54,$AC$54,E1262=$AB$55,$AC$55,E1262=$AB$56,$AC$56,E1262=$AB$57,$AC$57,E1262=$AB$58,$AC$58,E1262=$AB$59,$AC$59,E1262=$AB$60,$AC$60,E1262=$AB$61,$AC$61,E1262=$AB$62,$AC$62,E1262=$AB$63,$AC$63,E1262=$AB$64,$AC$64,E1262=$AB$65,$AC$65,E1262=$AB$66,$AC$66,TRUE,"0")</f>
        <v>#NAME?</v>
      </c>
      <c r="C1262" s="161" t="str" cm="1">
        <f t="array" ref="C1262">_xlfn.IFS(E1262=$AB$42,$AF$42,E1262=$AB$43,$AF$43,E1262=$AB$44,$AF$44,E1262=$AB$45,$AF$45,E1262=$AB$46,$AF$46,E1262=$AB$47,$AF$47,E1262=$AB$48,$AF$48,E1262=$AB$49,$AF$49,E1262=$AB$50,$AF$50,E1262=$AB$51,$AF$51,E1262=$AB$52,$AF$52,E1262=$AB$53,$AF$53,E1262=$AB$54,$AF$54,E1262=$AB$55,$AF$55,E1262=$AB$56,$AF$56,E1262=$AB$57,$AF$57,E1262=$AB$58,$AF$58,E1262=$AB$59,$AF$59,E1262=$AB$60,$AF$60,E1262=$AB$61,$AF$61,E1262=$AB$62,$AF$62,E1262=$AB$63,$AF$63,E1262=$AB$64,$AF$64,E1262=$AB$65,$AF$65,E1262=$AB$66,$AF$66,TRUE,"0")</f>
        <v>B4 Match, lay HT 0-0 or BACK H1 +0.5 GOALS</v>
      </c>
      <c r="D1262" s="270" t="str" cm="1">
        <f t="array" ref="D1262">_xlfn.IFS(E1262=$AB$42,$AD$42,E1262=$AB$43,$AD$43,E1262=$AB$44,$AD$44,E1262=$AB$45,$AD$45,E1262=$AB$46,$AD$46,E1262=$AB$47,$AD$47,E1262=$AB$48,$AD$48,E1262=$AB$49,$AD$49,E1262=$AB$50,$AD$50,E1262=$AB$51,$AD$51,E1262=$AB$52,$AD$52,E1262=$AB$53,$AD$53,E1262=$AB$54,$AD$54,E1262=$AB$55,$AD$55,E1262=$AB$56,$AD$56,E1262=$AB$57,$AD$57,E1262=$AB$58,$AD$58,E1262=$AB$59,$AD$59,E1262=$AB$60,$AD$60,E1262=$AB$61,$AD$61,E1262=$AB$62,$AD$62,E1262=$AB$63,$AD$63,E1262=$AB$64,$AD$64,E1262=$AB$65,$AD$65,E1262=$AB$66,$AD$66,TRUE,"0")</f>
        <v xml:space="preserve">BFM </v>
      </c>
      <c r="E1262" s="163" t="s">
        <v>448</v>
      </c>
      <c r="F1262" s="2" t="s">
        <v>412</v>
      </c>
      <c r="G1262" s="2" t="s">
        <v>156</v>
      </c>
      <c r="H1262" s="3">
        <v>45410.666666666664</v>
      </c>
      <c r="I1262" s="2" t="s">
        <v>500</v>
      </c>
      <c r="J1262" s="2" t="s">
        <v>782</v>
      </c>
      <c r="K1262" s="2">
        <v>20</v>
      </c>
      <c r="L1262" s="2">
        <v>10</v>
      </c>
      <c r="M1262" s="2">
        <v>36</v>
      </c>
      <c r="N1262" s="2">
        <v>7</v>
      </c>
      <c r="O1262" s="2">
        <v>10</v>
      </c>
      <c r="P1262" s="2">
        <v>4</v>
      </c>
      <c r="Q1262" s="2" t="s">
        <v>95</v>
      </c>
      <c r="R1262" s="10" t="s">
        <v>217</v>
      </c>
      <c r="S1262" s="10" t="s">
        <v>210</v>
      </c>
      <c r="T1262" s="188">
        <v>1000</v>
      </c>
      <c r="U1262" s="8">
        <f t="shared" si="142"/>
        <v>180</v>
      </c>
      <c r="V1262" s="234">
        <f t="shared" si="143"/>
        <v>123964.1552461603</v>
      </c>
      <c r="W1262" s="15">
        <v>25</v>
      </c>
      <c r="X1262" s="8">
        <f t="shared" si="144"/>
        <v>4.5</v>
      </c>
      <c r="Y1262" s="233">
        <f t="shared" si="145"/>
        <v>4965</v>
      </c>
    </row>
    <row r="1263" spans="1:25">
      <c r="A1263" s="156" t="e" cm="1">
        <f t="array" aca="1" ref="A1263" ca="1">_xlfn.IFS(E1263=$AB$42,$AC$42,E1263=$AB$43,$AC$43,E1263=$AB$44,$AC$44,E1263=$AB$45,$AC$45,E1263=$AB$46,$AC$46,E1263=$AB$47,$AC$47,E1263=$AB$48,$AC$48,E1263=$AB$49,$AC$49,E1263=$AB$50,$AC$50,E1263=$AB$51,$AC$51,E1263=$AB$52,$AC$52,E1263=$AB$53,$AC$53,E1263=$AB$54,$AC$54,E1263=$AB$55,$AC$55,E1263=$AB$56,$AC$56,E1263=$AB$57,$AC$57,E1263=$AB$58,$AC$58,E1263=$AB$59,$AC$59,E1263=$AB$60,$AC$60,E1263=$AB$61,$AC$61,E1263=$AB$62,$AC$62,E1263=$AB$63,$AC$63,E1263=$AB$64,$AC$64,E1263=$AB$65,$AC$65,E1263=$AB$66,$AC$66,TRUE,"0")</f>
        <v>#NAME?</v>
      </c>
      <c r="C1263" s="161" t="str" cm="1">
        <f t="array" ref="C1263">_xlfn.IFS(E1263=$AB$42,$AF$42,E1263=$AB$43,$AF$43,E1263=$AB$44,$AF$44,E1263=$AB$45,$AF$45,E1263=$AB$46,$AF$46,E1263=$AB$47,$AF$47,E1263=$AB$48,$AF$48,E1263=$AB$49,$AF$49,E1263=$AB$50,$AF$50,E1263=$AB$51,$AF$51,E1263=$AB$52,$AF$52,E1263=$AB$53,$AF$53,E1263=$AB$54,$AF$54,E1263=$AB$55,$AF$55,E1263=$AB$56,$AF$56,E1263=$AB$57,$AF$57,E1263=$AB$58,$AF$58,E1263=$AB$59,$AF$59,E1263=$AB$60,$AF$60,E1263=$AB$61,$AF$61,E1263=$AB$62,$AF$62,E1263=$AB$63,$AF$63,E1263=$AB$64,$AF$64,E1263=$AB$65,$AF$65,E1263=$AB$66,$AF$66,TRUE,"0")</f>
        <v>if 0-0, BACK+ 0.5 GOALS  @ 1.15+odds.  or @ 40 mins</v>
      </c>
      <c r="D1263" s="270" t="str" cm="1">
        <f t="array" ref="D1263">_xlfn.IFS(E1263=$AB$42,$AD$42,E1263=$AB$43,$AD$43,E1263=$AB$44,$AD$44,E1263=$AB$45,$AD$45,E1263=$AB$46,$AD$46,E1263=$AB$47,$AD$47,E1263=$AB$48,$AD$48,E1263=$AB$49,$AD$49,E1263=$AB$50,$AD$50,E1263=$AB$51,$AD$51,E1263=$AB$52,$AD$52,E1263=$AB$53,$AD$53,E1263=$AB$54,$AD$54,E1263=$AB$55,$AD$55,E1263=$AB$56,$AD$56,E1263=$AB$57,$AD$57,E1263=$AB$58,$AD$58,E1263=$AB$59,$AD$59,E1263=$AB$60,$AD$60,E1263=$AB$61,$AD$61,E1263=$AB$62,$AD$62,E1263=$AB$63,$AD$63,E1263=$AB$64,$AD$64,E1263=$AB$65,$AD$65,E1263=$AB$66,$AD$66,TRUE,"0")</f>
        <v>IP</v>
      </c>
      <c r="E1263" s="163" t="s">
        <v>270</v>
      </c>
      <c r="F1263" s="2" t="s">
        <v>145</v>
      </c>
      <c r="G1263" s="2" t="s">
        <v>190</v>
      </c>
      <c r="H1263" s="3">
        <v>45410.670138888891</v>
      </c>
      <c r="I1263" s="2" t="s">
        <v>339</v>
      </c>
      <c r="J1263" s="2" t="s">
        <v>783</v>
      </c>
      <c r="K1263" s="2">
        <v>67</v>
      </c>
      <c r="L1263" s="2">
        <v>0</v>
      </c>
      <c r="M1263" s="2">
        <v>20</v>
      </c>
      <c r="N1263" s="2">
        <v>36</v>
      </c>
      <c r="O1263" s="2">
        <v>2.35</v>
      </c>
      <c r="P1263" s="2"/>
      <c r="Q1263" s="2" t="s">
        <v>95</v>
      </c>
      <c r="R1263" s="10" t="s">
        <v>222</v>
      </c>
      <c r="S1263" s="10" t="s">
        <v>735</v>
      </c>
      <c r="T1263" s="188">
        <v>1000</v>
      </c>
      <c r="U1263" s="8">
        <f t="shared" si="142"/>
        <v>180</v>
      </c>
      <c r="V1263" s="234">
        <f t="shared" si="143"/>
        <v>124144.1552461603</v>
      </c>
      <c r="W1263" s="15">
        <v>25</v>
      </c>
      <c r="X1263" s="8">
        <f t="shared" si="144"/>
        <v>4.5</v>
      </c>
      <c r="Y1263" s="233">
        <f t="shared" si="145"/>
        <v>4969.5</v>
      </c>
    </row>
    <row r="1264" spans="1:25">
      <c r="A1264" s="156" t="e" cm="1">
        <f t="array" aca="1" ref="A1264" ca="1">_xlfn.IFS(E1264=$AB$42,$AC$42,E1264=$AB$43,$AC$43,E1264=$AB$44,$AC$44,E1264=$AB$45,$AC$45,E1264=$AB$46,$AC$46,E1264=$AB$47,$AC$47,E1264=$AB$48,$AC$48,E1264=$AB$49,$AC$49,E1264=$AB$50,$AC$50,E1264=$AB$51,$AC$51,E1264=$AB$52,$AC$52,E1264=$AB$53,$AC$53,E1264=$AB$54,$AC$54,E1264=$AB$55,$AC$55,E1264=$AB$56,$AC$56,E1264=$AB$57,$AC$57,E1264=$AB$58,$AC$58,E1264=$AB$59,$AC$59,E1264=$AB$60,$AC$60,E1264=$AB$61,$AC$61,E1264=$AB$62,$AC$62,E1264=$AB$63,$AC$63,E1264=$AB$64,$AC$64,E1264=$AB$65,$AC$65,E1264=$AB$66,$AC$66,TRUE,"0")</f>
        <v>#NAME?</v>
      </c>
      <c r="C1264" s="161" t="str" cm="1">
        <f t="array" ref="C1264">_xlfn.IFS(E1264=$AB$42,$AF$42,E1264=$AB$43,$AF$43,E1264=$AB$44,$AF$44,E1264=$AB$45,$AF$45,E1264=$AB$46,$AF$46,E1264=$AB$47,$AF$47,E1264=$AB$48,$AF$48,E1264=$AB$49,$AF$49,E1264=$AB$50,$AF$50,E1264=$AB$51,$AF$51,E1264=$AB$52,$AF$52,E1264=$AB$53,$AF$53,E1264=$AB$54,$AF$54,E1264=$AB$55,$AF$55,E1264=$AB$56,$AF$56,E1264=$AB$57,$AF$57,E1264=$AB$58,$AF$58,E1264=$AB$59,$AF$59,E1264=$AB$60,$AF$60,E1264=$AB$61,$AF$61,E1264=$AB$62,$AF$62,E1264=$AB$63,$AF$63,E1264=$AB$64,$AF$64,E1264=$AB$65,$AF$65,E1264=$AB$66,$AF$66,TRUE,"0")</f>
        <v>if 0-0, BACK+ 0.5 GOALS  @ 1.15+odds.  or @ 40 mins</v>
      </c>
      <c r="D1264" s="270" t="str" cm="1">
        <f t="array" ref="D1264">_xlfn.IFS(E1264=$AB$42,$AD$42,E1264=$AB$43,$AD$43,E1264=$AB$44,$AD$44,E1264=$AB$45,$AD$45,E1264=$AB$46,$AD$46,E1264=$AB$47,$AD$47,E1264=$AB$48,$AD$48,E1264=$AB$49,$AD$49,E1264=$AB$50,$AD$50,E1264=$AB$51,$AD$51,E1264=$AB$52,$AD$52,E1264=$AB$53,$AD$53,E1264=$AB$54,$AD$54,E1264=$AB$55,$AD$55,E1264=$AB$56,$AD$56,E1264=$AB$57,$AD$57,E1264=$AB$58,$AD$58,E1264=$AB$59,$AD$59,E1264=$AB$60,$AD$60,E1264=$AB$61,$AD$61,E1264=$AB$62,$AD$62,E1264=$AB$63,$AD$63,E1264=$AB$64,$AD$64,E1264=$AB$65,$AD$65,E1264=$AB$66,$AD$66,TRUE,"0")</f>
        <v>IP</v>
      </c>
      <c r="E1264" s="163" t="s">
        <v>270</v>
      </c>
      <c r="F1264" s="2" t="s">
        <v>77</v>
      </c>
      <c r="G1264" s="2" t="s">
        <v>156</v>
      </c>
      <c r="H1264" s="3">
        <v>45410.6875</v>
      </c>
      <c r="I1264" s="2" t="s">
        <v>160</v>
      </c>
      <c r="J1264" s="2" t="s">
        <v>438</v>
      </c>
      <c r="K1264" s="2">
        <v>61</v>
      </c>
      <c r="L1264" s="2">
        <v>0</v>
      </c>
      <c r="M1264" s="2">
        <v>20</v>
      </c>
      <c r="N1264" s="2">
        <v>36</v>
      </c>
      <c r="O1264" s="2">
        <v>3</v>
      </c>
      <c r="P1264" s="2"/>
      <c r="Q1264" s="2" t="s">
        <v>95</v>
      </c>
      <c r="R1264" s="10" t="s">
        <v>214</v>
      </c>
      <c r="S1264" s="10" t="s">
        <v>216</v>
      </c>
      <c r="T1264" s="188">
        <v>1000</v>
      </c>
      <c r="U1264" s="8">
        <f t="shared" si="142"/>
        <v>180</v>
      </c>
      <c r="V1264" s="234">
        <f t="shared" si="143"/>
        <v>124324.1552461603</v>
      </c>
      <c r="W1264" s="15">
        <v>25</v>
      </c>
      <c r="X1264" s="8">
        <f t="shared" si="144"/>
        <v>4.5</v>
      </c>
      <c r="Y1264" s="233">
        <f t="shared" si="145"/>
        <v>4974</v>
      </c>
    </row>
    <row r="1265" spans="1:25">
      <c r="A1265" s="156" t="e" cm="1">
        <f t="array" aca="1" ref="A1265" ca="1">_xlfn.IFS(E1265=$AB$42,$AC$42,E1265=$AB$43,$AC$43,E1265=$AB$44,$AC$44,E1265=$AB$45,$AC$45,E1265=$AB$46,$AC$46,E1265=$AB$47,$AC$47,E1265=$AB$48,$AC$48,E1265=$AB$49,$AC$49,E1265=$AB$50,$AC$50,E1265=$AB$51,$AC$51,E1265=$AB$52,$AC$52,E1265=$AB$53,$AC$53,E1265=$AB$54,$AC$54,E1265=$AB$55,$AC$55,E1265=$AB$56,$AC$56,E1265=$AB$57,$AC$57,E1265=$AB$58,$AC$58,E1265=$AB$59,$AC$59,E1265=$AB$60,$AC$60,E1265=$AB$61,$AC$61,E1265=$AB$62,$AC$62,E1265=$AB$63,$AC$63,E1265=$AB$64,$AC$64,E1265=$AB$65,$AC$65,E1265=$AB$66,$AC$66,TRUE,"0")</f>
        <v>#NAME?</v>
      </c>
      <c r="C1265" s="161" t="str" cm="1">
        <f t="array" ref="C1265">_xlfn.IFS(E1265=$AB$42,$AF$42,E1265=$AB$43,$AF$43,E1265=$AB$44,$AF$44,E1265=$AB$45,$AF$45,E1265=$AB$46,$AF$46,E1265=$AB$47,$AF$47,E1265=$AB$48,$AF$48,E1265=$AB$49,$AF$49,E1265=$AB$50,$AF$50,E1265=$AB$51,$AF$51,E1265=$AB$52,$AF$52,E1265=$AB$53,$AF$53,E1265=$AB$54,$AF$54,E1265=$AB$55,$AF$55,E1265=$AB$56,$AF$56,E1265=$AB$57,$AF$57,E1265=$AB$58,$AF$58,E1265=$AB$59,$AF$59,E1265=$AB$60,$AF$60,E1265=$AB$61,$AF$61,E1265=$AB$62,$AF$62,E1265=$AB$63,$AF$63,E1265=$AB$64,$AF$64,E1265=$AB$65,$AF$65,E1265=$AB$66,$AF$66,TRUE,"0")</f>
        <v>B4 MATCH bet H1 'under 2.5goals'- X at 40 minutes</v>
      </c>
      <c r="D1265" s="270" t="str" cm="1">
        <f t="array" ref="D1265">_xlfn.IFS(E1265=$AB$42,$AD$42,E1265=$AB$43,$AD$43,E1265=$AB$44,$AD$44,E1265=$AB$45,$AD$45,E1265=$AB$46,$AD$46,E1265=$AB$47,$AD$47,E1265=$AB$48,$AD$48,E1265=$AB$49,$AD$49,E1265=$AB$50,$AD$50,E1265=$AB$51,$AD$51,E1265=$AB$52,$AD$52,E1265=$AB$53,$AD$53,E1265=$AB$54,$AD$54,E1265=$AB$55,$AD$55,E1265=$AB$56,$AD$56,E1265=$AB$57,$AD$57,E1265=$AB$58,$AD$58,E1265=$AB$59,$AD$59,E1265=$AB$60,$AD$60,E1265=$AB$61,$AD$61,E1265=$AB$62,$AD$62,E1265=$AB$63,$AD$63,E1265=$AB$64,$AD$64,E1265=$AB$65,$AD$65,E1265=$AB$66,$AD$66,TRUE,"0")</f>
        <v xml:space="preserve">BFM </v>
      </c>
      <c r="E1265" s="168" t="s">
        <v>458</v>
      </c>
      <c r="F1265" s="2" t="s">
        <v>77</v>
      </c>
      <c r="G1265" s="2" t="s">
        <v>156</v>
      </c>
      <c r="H1265" s="3">
        <v>45410.6875</v>
      </c>
      <c r="I1265" s="2" t="s">
        <v>160</v>
      </c>
      <c r="J1265" s="2" t="s">
        <v>438</v>
      </c>
      <c r="K1265" s="2">
        <v>20</v>
      </c>
      <c r="L1265" s="2">
        <v>85</v>
      </c>
      <c r="M1265" s="2">
        <v>100</v>
      </c>
      <c r="N1265" s="2">
        <v>36</v>
      </c>
      <c r="O1265" s="2">
        <v>2.2000000000000002</v>
      </c>
      <c r="P1265" s="2"/>
      <c r="Q1265" s="2" t="s">
        <v>95</v>
      </c>
      <c r="R1265" s="10" t="s">
        <v>214</v>
      </c>
      <c r="S1265" s="10" t="s">
        <v>216</v>
      </c>
      <c r="T1265" s="188">
        <v>1000</v>
      </c>
      <c r="U1265" s="8">
        <f t="shared" si="142"/>
        <v>180</v>
      </c>
      <c r="V1265" s="234">
        <f t="shared" si="143"/>
        <v>124504.1552461603</v>
      </c>
      <c r="W1265" s="15">
        <v>25</v>
      </c>
      <c r="X1265" s="8">
        <f t="shared" si="144"/>
        <v>4.5</v>
      </c>
      <c r="Y1265" s="233">
        <f t="shared" si="145"/>
        <v>4978.5</v>
      </c>
    </row>
    <row r="1266" spans="1:25">
      <c r="A1266" s="156" t="e" cm="1">
        <f t="array" aca="1" ref="A1266" ca="1">_xlfn.IFS(E1266=$AB$42,$AC$42,E1266=$AB$43,$AC$43,E1266=$AB$44,$AC$44,E1266=$AB$45,$AC$45,E1266=$AB$46,$AC$46,E1266=$AB$47,$AC$47,E1266=$AB$48,$AC$48,E1266=$AB$49,$AC$49,E1266=$AB$50,$AC$50,E1266=$AB$51,$AC$51,E1266=$AB$52,$AC$52,E1266=$AB$53,$AC$53,E1266=$AB$54,$AC$54,E1266=$AB$55,$AC$55,E1266=$AB$56,$AC$56,E1266=$AB$57,$AC$57,E1266=$AB$58,$AC$58,E1266=$AB$59,$AC$59,E1266=$AB$60,$AC$60,E1266=$AB$61,$AC$61,E1266=$AB$62,$AC$62,E1266=$AB$63,$AC$63,E1266=$AB$64,$AC$64,E1266=$AB$65,$AC$65,E1266=$AB$66,$AC$66,TRUE,"0")</f>
        <v>#NAME?</v>
      </c>
      <c r="C1266" s="161" t="str" cm="1">
        <f t="array" ref="C1266">_xlfn.IFS(E1266=$AB$42,$AF$42,E1266=$AB$43,$AF$43,E1266=$AB$44,$AF$44,E1266=$AB$45,$AF$45,E1266=$AB$46,$AF$46,E1266=$AB$47,$AF$47,E1266=$AB$48,$AF$48,E1266=$AB$49,$AF$49,E1266=$AB$50,$AF$50,E1266=$AB$51,$AF$51,E1266=$AB$52,$AF$52,E1266=$AB$53,$AF$53,E1266=$AB$54,$AF$54,E1266=$AB$55,$AF$55,E1266=$AB$56,$AF$56,E1266=$AB$57,$AF$57,E1266=$AB$58,$AF$58,E1266=$AB$59,$AF$59,E1266=$AB$60,$AF$60,E1266=$AB$61,$AF$61,E1266=$AB$62,$AF$62,E1266=$AB$63,$AF$63,E1266=$AB$64,$AF$64,E1266=$AB$65,$AF$65,E1266=$AB$66,$AF$66,TRUE,"0")</f>
        <v>15mins if  0-0, BACK over 1.5 goals X after goal OR LET RUN</v>
      </c>
      <c r="D1266" s="270" t="str" cm="1">
        <f t="array" ref="D1266">_xlfn.IFS(E1266=$AB$42,$AD$42,E1266=$AB$43,$AD$43,E1266=$AB$44,$AD$44,E1266=$AB$45,$AD$45,E1266=$AB$46,$AD$46,E1266=$AB$47,$AD$47,E1266=$AB$48,$AD$48,E1266=$AB$49,$AD$49,E1266=$AB$50,$AD$50,E1266=$AB$51,$AD$51,E1266=$AB$52,$AD$52,E1266=$AB$53,$AD$53,E1266=$AB$54,$AD$54,E1266=$AB$55,$AD$55,E1266=$AB$56,$AD$56,E1266=$AB$57,$AD$57,E1266=$AB$58,$AD$58,E1266=$AB$59,$AD$59,E1266=$AB$60,$AD$60,E1266=$AB$61,$AD$61,E1266=$AB$62,$AD$62,E1266=$AB$63,$AD$63,E1266=$AB$64,$AD$64,E1266=$AB$65,$AD$65,E1266=$AB$66,$AD$66,TRUE,"0")</f>
        <v>IP</v>
      </c>
      <c r="E1266" s="163" t="s">
        <v>473</v>
      </c>
      <c r="F1266" s="2" t="s">
        <v>434</v>
      </c>
      <c r="G1266" s="2" t="s">
        <v>435</v>
      </c>
      <c r="H1266" s="3">
        <v>45410.708333333336</v>
      </c>
      <c r="I1266" s="2" t="s">
        <v>476</v>
      </c>
      <c r="J1266" s="2" t="s">
        <v>464</v>
      </c>
      <c r="K1266" s="2">
        <v>69</v>
      </c>
      <c r="L1266" s="2">
        <v>80</v>
      </c>
      <c r="M1266" s="2">
        <v>20</v>
      </c>
      <c r="N1266" s="2">
        <v>2.5499999999999998</v>
      </c>
      <c r="O1266" s="2"/>
      <c r="P1266" s="2"/>
      <c r="Q1266" s="2" t="s">
        <v>95</v>
      </c>
      <c r="R1266" s="10" t="s">
        <v>221</v>
      </c>
      <c r="S1266" s="10" t="s">
        <v>209</v>
      </c>
      <c r="T1266" s="188">
        <v>1000</v>
      </c>
      <c r="U1266" s="8">
        <f t="shared" si="142"/>
        <v>180</v>
      </c>
      <c r="V1266" s="234">
        <f t="shared" si="143"/>
        <v>124684.1552461603</v>
      </c>
      <c r="W1266" s="15">
        <v>25</v>
      </c>
      <c r="X1266" s="8">
        <f t="shared" si="144"/>
        <v>4.5</v>
      </c>
      <c r="Y1266" s="233">
        <f t="shared" si="145"/>
        <v>4983</v>
      </c>
    </row>
    <row r="1267" spans="1:25">
      <c r="A1267" s="156" t="e" cm="1">
        <f t="array" aca="1" ref="A1267" ca="1">_xlfn.IFS(E1267=$AB$42,$AC$42,E1267=$AB$43,$AC$43,E1267=$AB$44,$AC$44,E1267=$AB$45,$AC$45,E1267=$AB$46,$AC$46,E1267=$AB$47,$AC$47,E1267=$AB$48,$AC$48,E1267=$AB$49,$AC$49,E1267=$AB$50,$AC$50,E1267=$AB$51,$AC$51,E1267=$AB$52,$AC$52,E1267=$AB$53,$AC$53,E1267=$AB$54,$AC$54,E1267=$AB$55,$AC$55,E1267=$AB$56,$AC$56,E1267=$AB$57,$AC$57,E1267=$AB$58,$AC$58,E1267=$AB$59,$AC$59,E1267=$AB$60,$AC$60,E1267=$AB$61,$AC$61,E1267=$AB$62,$AC$62,E1267=$AB$63,$AC$63,E1267=$AB$64,$AC$64,E1267=$AB$65,$AC$65,E1267=$AB$66,$AC$66,TRUE,"0")</f>
        <v>#NAME?</v>
      </c>
      <c r="C1267" s="161" t="str" cm="1">
        <f t="array" ref="C1267">_xlfn.IFS(E1267=$AB$42,$AF$42,E1267=$AB$43,$AF$43,E1267=$AB$44,$AF$44,E1267=$AB$45,$AF$45,E1267=$AB$46,$AF$46,E1267=$AB$47,$AF$47,E1267=$AB$48,$AF$48,E1267=$AB$49,$AF$49,E1267=$AB$50,$AF$50,E1267=$AB$51,$AF$51,E1267=$AB$52,$AF$52,E1267=$AB$53,$AF$53,E1267=$AB$54,$AF$54,E1267=$AB$55,$AF$55,E1267=$AB$56,$AF$56,E1267=$AB$57,$AF$57,E1267=$AB$58,$AF$58,E1267=$AB$59,$AF$59,E1267=$AB$60,$AF$60,E1267=$AB$61,$AF$61,E1267=$AB$62,$AF$62,E1267=$AB$63,$AF$63,E1267=$AB$64,$AF$64,E1267=$AB$65,$AF$65,E1267=$AB$66,$AF$66,TRUE,"0")</f>
        <v>40 mins Back ANother Goal</v>
      </c>
      <c r="D1267" s="270" t="str" cm="1">
        <f t="array" ref="D1267">_xlfn.IFS(E1267=$AB$42,$AD$42,E1267=$AB$43,$AD$43,E1267=$AB$44,$AD$44,E1267=$AB$45,$AD$45,E1267=$AB$46,$AD$46,E1267=$AB$47,$AD$47,E1267=$AB$48,$AD$48,E1267=$AB$49,$AD$49,E1267=$AB$50,$AD$50,E1267=$AB$51,$AD$51,E1267=$AB$52,$AD$52,E1267=$AB$53,$AD$53,E1267=$AB$54,$AD$54,E1267=$AB$55,$AD$55,E1267=$AB$56,$AD$56,E1267=$AB$57,$AD$57,E1267=$AB$58,$AD$58,E1267=$AB$59,$AD$59,E1267=$AB$60,$AD$60,E1267=$AB$61,$AD$61,E1267=$AB$62,$AD$62,E1267=$AB$63,$AD$63,E1267=$AB$64,$AD$64,E1267=$AB$65,$AD$65,E1267=$AB$66,$AD$66,TRUE,"0")</f>
        <v xml:space="preserve">  BANG</v>
      </c>
      <c r="E1267" s="163" t="s">
        <v>792</v>
      </c>
      <c r="F1267" s="2" t="s">
        <v>20</v>
      </c>
      <c r="G1267" s="2" t="s">
        <v>21</v>
      </c>
      <c r="H1267" s="3">
        <v>45410.708333333336</v>
      </c>
      <c r="I1267" s="2" t="s">
        <v>22</v>
      </c>
      <c r="J1267" s="2" t="s">
        <v>380</v>
      </c>
      <c r="K1267" s="2">
        <v>1.9</v>
      </c>
      <c r="L1267" s="2">
        <v>90</v>
      </c>
      <c r="M1267" s="2">
        <v>65</v>
      </c>
      <c r="N1267" s="2">
        <v>64</v>
      </c>
      <c r="O1267" s="2">
        <v>20</v>
      </c>
      <c r="P1267" s="2"/>
      <c r="Q1267" s="2" t="s">
        <v>95</v>
      </c>
      <c r="R1267" s="10" t="s">
        <v>221</v>
      </c>
      <c r="S1267" s="10" t="s">
        <v>210</v>
      </c>
      <c r="T1267" s="188">
        <v>1000</v>
      </c>
      <c r="U1267" s="8">
        <f t="shared" si="142"/>
        <v>180</v>
      </c>
      <c r="V1267" s="234">
        <f t="shared" si="143"/>
        <v>124864.1552461603</v>
      </c>
      <c r="W1267" s="15">
        <v>25</v>
      </c>
      <c r="X1267" s="8">
        <f t="shared" si="144"/>
        <v>4.5</v>
      </c>
      <c r="Y1267" s="233">
        <f t="shared" si="145"/>
        <v>4987.5</v>
      </c>
    </row>
    <row r="1268" spans="1:25">
      <c r="A1268" s="156" t="e" cm="1">
        <f t="array" aca="1" ref="A1268" ca="1">_xlfn.IFS(E1268=$AB$42,$AC$42,E1268=$AB$43,$AC$43,E1268=$AB$44,$AC$44,E1268=$AB$45,$AC$45,E1268=$AB$46,$AC$46,E1268=$AB$47,$AC$47,E1268=$AB$48,$AC$48,E1268=$AB$49,$AC$49,E1268=$AB$50,$AC$50,E1268=$AB$51,$AC$51,E1268=$AB$52,$AC$52,E1268=$AB$53,$AC$53,E1268=$AB$54,$AC$54,E1268=$AB$55,$AC$55,E1268=$AB$56,$AC$56,E1268=$AB$57,$AC$57,E1268=$AB$58,$AC$58,E1268=$AB$59,$AC$59,E1268=$AB$60,$AC$60,E1268=$AB$61,$AC$61,E1268=$AB$62,$AC$62,E1268=$AB$63,$AC$63,E1268=$AB$64,$AC$64,E1268=$AB$65,$AC$65,E1268=$AB$66,$AC$66,TRUE,"0")</f>
        <v>#NAME?</v>
      </c>
      <c r="C1268" s="161" t="str" cm="1">
        <f t="array" ref="C1268">_xlfn.IFS(E1268=$AB$42,$AF$42,E1268=$AB$43,$AF$43,E1268=$AB$44,$AF$44,E1268=$AB$45,$AF$45,E1268=$AB$46,$AF$46,E1268=$AB$47,$AF$47,E1268=$AB$48,$AF$48,E1268=$AB$49,$AF$49,E1268=$AB$50,$AF$50,E1268=$AB$51,$AF$51,E1268=$AB$52,$AF$52,E1268=$AB$53,$AF$53,E1268=$AB$54,$AF$54,E1268=$AB$55,$AF$55,E1268=$AB$56,$AF$56,E1268=$AB$57,$AF$57,E1268=$AB$58,$AF$58,E1268=$AB$59,$AF$59,E1268=$AB$60,$AF$60,E1268=$AB$61,$AF$61,E1268=$AB$62,$AF$62,E1268=$AB$63,$AF$63,E1268=$AB$64,$AF$64,E1268=$AB$65,$AF$65,E1268=$AB$66,$AF$66,TRUE,"0")</f>
        <v>40 mins Back ANother Goal</v>
      </c>
      <c r="D1268" s="270" t="str" cm="1">
        <f t="array" ref="D1268">_xlfn.IFS(E1268=$AB$42,$AD$42,E1268=$AB$43,$AD$43,E1268=$AB$44,$AD$44,E1268=$AB$45,$AD$45,E1268=$AB$46,$AD$46,E1268=$AB$47,$AD$47,E1268=$AB$48,$AD$48,E1268=$AB$49,$AD$49,E1268=$AB$50,$AD$50,E1268=$AB$51,$AD$51,E1268=$AB$52,$AD$52,E1268=$AB$53,$AD$53,E1268=$AB$54,$AD$54,E1268=$AB$55,$AD$55,E1268=$AB$56,$AD$56,E1268=$AB$57,$AD$57,E1268=$AB$58,$AD$58,E1268=$AB$59,$AD$59,E1268=$AB$60,$AD$60,E1268=$AB$61,$AD$61,E1268=$AB$62,$AD$62,E1268=$AB$63,$AD$63,E1268=$AB$64,$AD$64,E1268=$AB$65,$AD$65,E1268=$AB$66,$AD$66,TRUE,"0")</f>
        <v xml:space="preserve">  BANG</v>
      </c>
      <c r="E1268" s="163" t="s">
        <v>43</v>
      </c>
      <c r="F1268" s="2" t="s">
        <v>20</v>
      </c>
      <c r="G1268" s="2" t="s">
        <v>21</v>
      </c>
      <c r="H1268" s="3">
        <v>45410.708333333336</v>
      </c>
      <c r="I1268" s="2" t="s">
        <v>22</v>
      </c>
      <c r="J1268" s="2" t="s">
        <v>380</v>
      </c>
      <c r="K1268" s="2">
        <v>75</v>
      </c>
      <c r="L1268" s="2">
        <v>80</v>
      </c>
      <c r="M1268" s="2">
        <v>64</v>
      </c>
      <c r="N1268" s="2">
        <v>1.9</v>
      </c>
      <c r="O1268" s="2">
        <v>1.79</v>
      </c>
      <c r="P1268" s="2"/>
      <c r="Q1268" s="2" t="s">
        <v>95</v>
      </c>
      <c r="R1268" s="10" t="s">
        <v>221</v>
      </c>
      <c r="S1268" s="10" t="s">
        <v>210</v>
      </c>
      <c r="T1268" s="188">
        <v>1000</v>
      </c>
      <c r="U1268" s="8">
        <f t="shared" si="142"/>
        <v>180</v>
      </c>
      <c r="V1268" s="234">
        <f t="shared" si="143"/>
        <v>125044.1552461603</v>
      </c>
      <c r="W1268" s="15">
        <v>25</v>
      </c>
      <c r="X1268" s="8">
        <f t="shared" si="144"/>
        <v>4.5</v>
      </c>
      <c r="Y1268" s="233">
        <f t="shared" si="145"/>
        <v>4992</v>
      </c>
    </row>
    <row r="1269" spans="1:25">
      <c r="A1269" s="156" t="e" cm="1">
        <f t="array" aca="1" ref="A1269" ca="1">_xlfn.IFS(E1269=$AB$42,$AC$42,E1269=$AB$43,$AC$43,E1269=$AB$44,$AC$44,E1269=$AB$45,$AC$45,E1269=$AB$46,$AC$46,E1269=$AB$47,$AC$47,E1269=$AB$48,$AC$48,E1269=$AB$49,$AC$49,E1269=$AB$50,$AC$50,E1269=$AB$51,$AC$51,E1269=$AB$52,$AC$52,E1269=$AB$53,$AC$53,E1269=$AB$54,$AC$54,E1269=$AB$55,$AC$55,E1269=$AB$56,$AC$56,E1269=$AB$57,$AC$57,E1269=$AB$58,$AC$58,E1269=$AB$59,$AC$59,E1269=$AB$60,$AC$60,E1269=$AB$61,$AC$61,E1269=$AB$62,$AC$62,E1269=$AB$63,$AC$63,E1269=$AB$64,$AC$64,E1269=$AB$65,$AC$65,E1269=$AB$66,$AC$66,TRUE,"0")</f>
        <v>#NAME?</v>
      </c>
      <c r="C1269" s="161" t="str" cm="1">
        <f t="array" ref="C1269">_xlfn.IFS(E1269=$AB$42,$AF$42,E1269=$AB$43,$AF$43,E1269=$AB$44,$AF$44,E1269=$AB$45,$AF$45,E1269=$AB$46,$AF$46,E1269=$AB$47,$AF$47,E1269=$AB$48,$AF$48,E1269=$AB$49,$AF$49,E1269=$AB$50,$AF$50,E1269=$AB$51,$AF$51,E1269=$AB$52,$AF$52,E1269=$AB$53,$AF$53,E1269=$AB$54,$AF$54,E1269=$AB$55,$AF$55,E1269=$AB$56,$AF$56,E1269=$AB$57,$AF$57,E1269=$AB$58,$AF$58,E1269=$AB$59,$AF$59,E1269=$AB$60,$AF$60,E1269=$AB$61,$AF$61,E1269=$AB$62,$AF$62,E1269=$AB$63,$AF$63,E1269=$AB$64,$AF$64,E1269=$AB$65,$AF$65,E1269=$AB$66,$AF$66,TRUE,"0")</f>
        <v>40 mins Back ANother Goal</v>
      </c>
      <c r="D1269" s="270" t="str" cm="1">
        <f t="array" ref="D1269">_xlfn.IFS(E1269=$AB$42,$AD$42,E1269=$AB$43,$AD$43,E1269=$AB$44,$AD$44,E1269=$AB$45,$AD$45,E1269=$AB$46,$AD$46,E1269=$AB$47,$AD$47,E1269=$AB$48,$AD$48,E1269=$AB$49,$AD$49,E1269=$AB$50,$AD$50,E1269=$AB$51,$AD$51,E1269=$AB$52,$AD$52,E1269=$AB$53,$AD$53,E1269=$AB$54,$AD$54,E1269=$AB$55,$AD$55,E1269=$AB$56,$AD$56,E1269=$AB$57,$AD$57,E1269=$AB$58,$AD$58,E1269=$AB$59,$AD$59,E1269=$AB$60,$AD$60,E1269=$AB$61,$AD$61,E1269=$AB$62,$AD$62,E1269=$AB$63,$AD$63,E1269=$AB$64,$AD$64,E1269=$AB$65,$AD$65,E1269=$AB$66,$AD$66,TRUE,"0")</f>
        <v xml:space="preserve">  BANG</v>
      </c>
      <c r="E1269" s="163" t="s">
        <v>726</v>
      </c>
      <c r="F1269" s="2" t="s">
        <v>20</v>
      </c>
      <c r="G1269" s="2" t="s">
        <v>21</v>
      </c>
      <c r="H1269" s="3">
        <v>45410.708333333336</v>
      </c>
      <c r="I1269" s="2" t="s">
        <v>22</v>
      </c>
      <c r="J1269" s="2" t="s">
        <v>380</v>
      </c>
      <c r="K1269" s="2">
        <v>90</v>
      </c>
      <c r="L1269" s="2">
        <v>20</v>
      </c>
      <c r="M1269" s="2">
        <v>1.9</v>
      </c>
      <c r="N1269" s="2">
        <v>64</v>
      </c>
      <c r="O1269" s="2"/>
      <c r="P1269" s="2"/>
      <c r="Q1269" s="2" t="s">
        <v>95</v>
      </c>
      <c r="R1269" s="10" t="s">
        <v>221</v>
      </c>
      <c r="S1269" s="10" t="s">
        <v>210</v>
      </c>
      <c r="T1269" s="188">
        <v>1000</v>
      </c>
      <c r="U1269" s="8">
        <f t="shared" si="142"/>
        <v>180</v>
      </c>
      <c r="V1269" s="234">
        <f t="shared" si="143"/>
        <v>125224.1552461603</v>
      </c>
      <c r="W1269" s="15">
        <v>25</v>
      </c>
      <c r="X1269" s="8">
        <f t="shared" si="144"/>
        <v>4.5</v>
      </c>
      <c r="Y1269" s="233">
        <f t="shared" si="145"/>
        <v>4996.5</v>
      </c>
    </row>
    <row r="1270" spans="1:25">
      <c r="A1270" s="156" t="e" cm="1">
        <f t="array" aca="1" ref="A1270" ca="1">_xlfn.IFS(E1270=$AB$42,$AC$42,E1270=$AB$43,$AC$43,E1270=$AB$44,$AC$44,E1270=$AB$45,$AC$45,E1270=$AB$46,$AC$46,E1270=$AB$47,$AC$47,E1270=$AB$48,$AC$48,E1270=$AB$49,$AC$49,E1270=$AB$50,$AC$50,E1270=$AB$51,$AC$51,E1270=$AB$52,$AC$52,E1270=$AB$53,$AC$53,E1270=$AB$54,$AC$54,E1270=$AB$55,$AC$55,E1270=$AB$56,$AC$56,E1270=$AB$57,$AC$57,E1270=$AB$58,$AC$58,E1270=$AB$59,$AC$59,E1270=$AB$60,$AC$60,E1270=$AB$61,$AC$61,E1270=$AB$62,$AC$62,E1270=$AB$63,$AC$63,E1270=$AB$64,$AC$64,E1270=$AB$65,$AC$65,E1270=$AB$66,$AC$66,TRUE,"0")</f>
        <v>#NAME?</v>
      </c>
      <c r="C1270" s="161" t="str" cm="1">
        <f t="array" ref="C1270">_xlfn.IFS(E1270=$AB$42,$AF$42,E1270=$AB$43,$AF$43,E1270=$AB$44,$AF$44,E1270=$AB$45,$AF$45,E1270=$AB$46,$AF$46,E1270=$AB$47,$AF$47,E1270=$AB$48,$AF$48,E1270=$AB$49,$AF$49,E1270=$AB$50,$AF$50,E1270=$AB$51,$AF$51,E1270=$AB$52,$AF$52,E1270=$AB$53,$AF$53,E1270=$AB$54,$AF$54,E1270=$AB$55,$AF$55,E1270=$AB$56,$AF$56,E1270=$AB$57,$AF$57,E1270=$AB$58,$AF$58,E1270=$AB$59,$AF$59,E1270=$AB$60,$AF$60,E1270=$AB$61,$AF$61,E1270=$AB$62,$AF$62,E1270=$AB$63,$AF$63,E1270=$AB$64,$AF$64,E1270=$AB$65,$AF$65,E1270=$AB$66,$AF$66,TRUE,"0")</f>
        <v>40 mins Back ANother Goal</v>
      </c>
      <c r="D1270" s="270" t="str" cm="1">
        <f t="array" ref="D1270">_xlfn.IFS(E1270=$AB$42,$AD$42,E1270=$AB$43,$AD$43,E1270=$AB$44,$AD$44,E1270=$AB$45,$AD$45,E1270=$AB$46,$AD$46,E1270=$AB$47,$AD$47,E1270=$AB$48,$AD$48,E1270=$AB$49,$AD$49,E1270=$AB$50,$AD$50,E1270=$AB$51,$AD$51,E1270=$AB$52,$AD$52,E1270=$AB$53,$AD$53,E1270=$AB$54,$AD$54,E1270=$AB$55,$AD$55,E1270=$AB$56,$AD$56,E1270=$AB$57,$AD$57,E1270=$AB$58,$AD$58,E1270=$AB$59,$AD$59,E1270=$AB$60,$AD$60,E1270=$AB$61,$AD$61,E1270=$AB$62,$AD$62,E1270=$AB$63,$AD$63,E1270=$AB$64,$AD$64,E1270=$AB$65,$AD$65,E1270=$AB$66,$AD$66,TRUE,"0")</f>
        <v xml:space="preserve">  BANG</v>
      </c>
      <c r="E1270" s="163" t="s">
        <v>522</v>
      </c>
      <c r="F1270" s="2" t="s">
        <v>20</v>
      </c>
      <c r="G1270" s="2" t="s">
        <v>21</v>
      </c>
      <c r="H1270" s="3">
        <v>45410.708333333336</v>
      </c>
      <c r="I1270" s="2" t="s">
        <v>22</v>
      </c>
      <c r="J1270" s="2" t="s">
        <v>380</v>
      </c>
      <c r="K1270" s="2">
        <v>72</v>
      </c>
      <c r="L1270" s="2">
        <v>20</v>
      </c>
      <c r="M1270" s="2">
        <v>90</v>
      </c>
      <c r="N1270" s="2">
        <v>65</v>
      </c>
      <c r="O1270" s="2">
        <v>1.9</v>
      </c>
      <c r="P1270" s="2"/>
      <c r="Q1270" s="2" t="s">
        <v>95</v>
      </c>
      <c r="R1270" s="10" t="s">
        <v>221</v>
      </c>
      <c r="S1270" s="10" t="s">
        <v>210</v>
      </c>
      <c r="T1270" s="188">
        <v>1000</v>
      </c>
      <c r="U1270" s="8">
        <f t="shared" si="142"/>
        <v>180</v>
      </c>
      <c r="V1270" s="234">
        <f t="shared" si="143"/>
        <v>125404.1552461603</v>
      </c>
      <c r="W1270" s="15">
        <v>25</v>
      </c>
      <c r="X1270" s="8">
        <f t="shared" si="144"/>
        <v>4.5</v>
      </c>
      <c r="Y1270" s="233">
        <f t="shared" si="145"/>
        <v>5001</v>
      </c>
    </row>
    <row r="1271" spans="1:25">
      <c r="A1271" s="156" t="e" cm="1">
        <f t="array" aca="1" ref="A1271" ca="1">_xlfn.IFS(E1271=$AB$42,$AC$42,E1271=$AB$43,$AC$43,E1271=$AB$44,$AC$44,E1271=$AB$45,$AC$45,E1271=$AB$46,$AC$46,E1271=$AB$47,$AC$47,E1271=$AB$48,$AC$48,E1271=$AB$49,$AC$49,E1271=$AB$50,$AC$50,E1271=$AB$51,$AC$51,E1271=$AB$52,$AC$52,E1271=$AB$53,$AC$53,E1271=$AB$54,$AC$54,E1271=$AB$55,$AC$55,E1271=$AB$56,$AC$56,E1271=$AB$57,$AC$57,E1271=$AB$58,$AC$58,E1271=$AB$59,$AC$59,E1271=$AB$60,$AC$60,E1271=$AB$61,$AC$61,E1271=$AB$62,$AC$62,E1271=$AB$63,$AC$63,E1271=$AB$64,$AC$64,E1271=$AB$65,$AC$65,E1271=$AB$66,$AC$66,TRUE,"0")</f>
        <v>#NAME?</v>
      </c>
      <c r="C1271" s="161" t="str" cm="1">
        <f t="array" ref="C1271">_xlfn.IFS(E1271=$AB$42,$AF$42,E1271=$AB$43,$AF$43,E1271=$AB$44,$AF$44,E1271=$AB$45,$AF$45,E1271=$AB$46,$AF$46,E1271=$AB$47,$AF$47,E1271=$AB$48,$AF$48,E1271=$AB$49,$AF$49,E1271=$AB$50,$AF$50,E1271=$AB$51,$AF$51,E1271=$AB$52,$AF$52,E1271=$AB$53,$AF$53,E1271=$AB$54,$AF$54,E1271=$AB$55,$AF$55,E1271=$AB$56,$AF$56,E1271=$AB$57,$AF$57,E1271=$AB$58,$AF$58,E1271=$AB$59,$AF$59,E1271=$AB$60,$AF$60,E1271=$AB$61,$AF$61,E1271=$AB$62,$AF$62,E1271=$AB$63,$AF$63,E1271=$AB$64,$AF$64,E1271=$AB$65,$AF$65,E1271=$AB$66,$AF$66,TRUE,"0")</f>
        <v>40 mins Back ANother Goal</v>
      </c>
      <c r="D1271" s="270" t="str" cm="1">
        <f t="array" ref="D1271">_xlfn.IFS(E1271=$AB$42,$AD$42,E1271=$AB$43,$AD$43,E1271=$AB$44,$AD$44,E1271=$AB$45,$AD$45,E1271=$AB$46,$AD$46,E1271=$AB$47,$AD$47,E1271=$AB$48,$AD$48,E1271=$AB$49,$AD$49,E1271=$AB$50,$AD$50,E1271=$AB$51,$AD$51,E1271=$AB$52,$AD$52,E1271=$AB$53,$AD$53,E1271=$AB$54,$AD$54,E1271=$AB$55,$AD$55,E1271=$AB$56,$AD$56,E1271=$AB$57,$AD$57,E1271=$AB$58,$AD$58,E1271=$AB$59,$AD$59,E1271=$AB$60,$AD$60,E1271=$AB$61,$AD$61,E1271=$AB$62,$AD$62,E1271=$AB$63,$AD$63,E1271=$AB$64,$AD$64,E1271=$AB$65,$AD$65,E1271=$AB$66,$AD$66,TRUE,"0")</f>
        <v xml:space="preserve">  BANG</v>
      </c>
      <c r="E1271" s="163" t="s">
        <v>515</v>
      </c>
      <c r="F1271" s="2" t="s">
        <v>20</v>
      </c>
      <c r="G1271" s="2" t="s">
        <v>21</v>
      </c>
      <c r="H1271" s="3">
        <v>45410.708333333336</v>
      </c>
      <c r="I1271" s="2" t="s">
        <v>22</v>
      </c>
      <c r="J1271" s="2" t="s">
        <v>380</v>
      </c>
      <c r="K1271" s="2">
        <v>20</v>
      </c>
      <c r="L1271" s="2">
        <v>72</v>
      </c>
      <c r="M1271" s="2">
        <v>1.9</v>
      </c>
      <c r="N1271" s="2"/>
      <c r="O1271" s="2"/>
      <c r="P1271" s="2"/>
      <c r="Q1271" s="2" t="s">
        <v>95</v>
      </c>
      <c r="R1271" s="10" t="s">
        <v>221</v>
      </c>
      <c r="S1271" s="10" t="s">
        <v>210</v>
      </c>
      <c r="T1271" s="188">
        <v>1000</v>
      </c>
      <c r="U1271" s="8">
        <f t="shared" si="142"/>
        <v>180</v>
      </c>
      <c r="V1271" s="234">
        <f t="shared" si="143"/>
        <v>125584.1552461603</v>
      </c>
      <c r="W1271" s="15">
        <v>25</v>
      </c>
      <c r="X1271" s="8">
        <f t="shared" si="144"/>
        <v>4.5</v>
      </c>
      <c r="Y1271" s="233">
        <f t="shared" si="145"/>
        <v>5005.5</v>
      </c>
    </row>
    <row r="1272" spans="1:25">
      <c r="A1272" s="156" t="e" cm="1">
        <f t="array" aca="1" ref="A1272" ca="1">_xlfn.IFS(E1272=$AB$42,$AC$42,E1272=$AB$43,$AC$43,E1272=$AB$44,$AC$44,E1272=$AB$45,$AC$45,E1272=$AB$46,$AC$46,E1272=$AB$47,$AC$47,E1272=$AB$48,$AC$48,E1272=$AB$49,$AC$49,E1272=$AB$50,$AC$50,E1272=$AB$51,$AC$51,E1272=$AB$52,$AC$52,E1272=$AB$53,$AC$53,E1272=$AB$54,$AC$54,E1272=$AB$55,$AC$55,E1272=$AB$56,$AC$56,E1272=$AB$57,$AC$57,E1272=$AB$58,$AC$58,E1272=$AB$59,$AC$59,E1272=$AB$60,$AC$60,E1272=$AB$61,$AC$61,E1272=$AB$62,$AC$62,E1272=$AB$63,$AC$63,E1272=$AB$64,$AC$64,E1272=$AB$65,$AC$65,E1272=$AB$66,$AC$66,TRUE,"0")</f>
        <v>#NAME?</v>
      </c>
      <c r="C1272" s="161" t="str" cm="1">
        <f t="array" ref="C1272">_xlfn.IFS(E1272=$AB$42,$AF$42,E1272=$AB$43,$AF$43,E1272=$AB$44,$AF$44,E1272=$AB$45,$AF$45,E1272=$AB$46,$AF$46,E1272=$AB$47,$AF$47,E1272=$AB$48,$AF$48,E1272=$AB$49,$AF$49,E1272=$AB$50,$AF$50,E1272=$AB$51,$AF$51,E1272=$AB$52,$AF$52,E1272=$AB$53,$AF$53,E1272=$AB$54,$AF$54,E1272=$AB$55,$AF$55,E1272=$AB$56,$AF$56,E1272=$AB$57,$AF$57,E1272=$AB$58,$AF$58,E1272=$AB$59,$AF$59,E1272=$AB$60,$AF$60,E1272=$AB$61,$AF$61,E1272=$AB$62,$AF$62,E1272=$AB$63,$AF$63,E1272=$AB$64,$AF$64,E1272=$AB$65,$AF$65,E1272=$AB$66,$AF$66,TRUE,"0")</f>
        <v>B4 Match, lay HT 0-0 or BACK H1 +0.5 GOALS</v>
      </c>
      <c r="D1272" s="270" t="str" cm="1">
        <f t="array" ref="D1272">_xlfn.IFS(E1272=$AB$42,$AD$42,E1272=$AB$43,$AD$43,E1272=$AB$44,$AD$44,E1272=$AB$45,$AD$45,E1272=$AB$46,$AD$46,E1272=$AB$47,$AD$47,E1272=$AB$48,$AD$48,E1272=$AB$49,$AD$49,E1272=$AB$50,$AD$50,E1272=$AB$51,$AD$51,E1272=$AB$52,$AD$52,E1272=$AB$53,$AD$53,E1272=$AB$54,$AD$54,E1272=$AB$55,$AD$55,E1272=$AB$56,$AD$56,E1272=$AB$57,$AD$57,E1272=$AB$58,$AD$58,E1272=$AB$59,$AD$59,E1272=$AB$60,$AD$60,E1272=$AB$61,$AD$61,E1272=$AB$62,$AD$62,E1272=$AB$63,$AD$63,E1272=$AB$64,$AD$64,E1272=$AB$65,$AD$65,E1272=$AB$66,$AD$66,TRUE,"0")</f>
        <v xml:space="preserve">BFM </v>
      </c>
      <c r="E1272" s="163" t="s">
        <v>448</v>
      </c>
      <c r="F1272" s="2" t="s">
        <v>133</v>
      </c>
      <c r="G1272" s="2" t="s">
        <v>78</v>
      </c>
      <c r="H1272" s="3">
        <v>45410.729166666664</v>
      </c>
      <c r="I1272" s="2" t="s">
        <v>137</v>
      </c>
      <c r="J1272" s="2" t="s">
        <v>447</v>
      </c>
      <c r="K1272" s="2">
        <v>20</v>
      </c>
      <c r="L1272" s="2">
        <v>10</v>
      </c>
      <c r="M1272" s="2">
        <v>37</v>
      </c>
      <c r="N1272" s="2">
        <v>4</v>
      </c>
      <c r="O1272" s="2">
        <v>6</v>
      </c>
      <c r="P1272" s="2">
        <v>6</v>
      </c>
      <c r="Q1272" s="2" t="s">
        <v>95</v>
      </c>
      <c r="R1272" s="10" t="s">
        <v>216</v>
      </c>
      <c r="S1272" s="10" t="s">
        <v>209</v>
      </c>
      <c r="T1272" s="188">
        <v>1000</v>
      </c>
      <c r="U1272" s="8">
        <f t="shared" si="142"/>
        <v>180</v>
      </c>
      <c r="V1272" s="234">
        <f t="shared" si="143"/>
        <v>125764.1552461603</v>
      </c>
      <c r="W1272" s="15">
        <v>25</v>
      </c>
      <c r="X1272" s="8">
        <f t="shared" si="144"/>
        <v>4.5</v>
      </c>
      <c r="Y1272" s="233">
        <f t="shared" si="145"/>
        <v>5010</v>
      </c>
    </row>
    <row r="1273" spans="1:25">
      <c r="A1273" s="156" t="e" cm="1">
        <f t="array" aca="1" ref="A1273" ca="1">_xlfn.IFS(E1273=$AB$42,$AC$42,E1273=$AB$43,$AC$43,E1273=$AB$44,$AC$44,E1273=$AB$45,$AC$45,E1273=$AB$46,$AC$46,E1273=$AB$47,$AC$47,E1273=$AB$48,$AC$48,E1273=$AB$49,$AC$49,E1273=$AB$50,$AC$50,E1273=$AB$51,$AC$51,E1273=$AB$52,$AC$52,E1273=$AB$53,$AC$53,E1273=$AB$54,$AC$54,E1273=$AB$55,$AC$55,E1273=$AB$56,$AC$56,E1273=$AB$57,$AC$57,E1273=$AB$58,$AC$58,E1273=$AB$59,$AC$59,E1273=$AB$60,$AC$60,E1273=$AB$61,$AC$61,E1273=$AB$62,$AC$62,E1273=$AB$63,$AC$63,E1273=$AB$64,$AC$64,E1273=$AB$65,$AC$65,E1273=$AB$66,$AC$66,TRUE,"0")</f>
        <v>#NAME?</v>
      </c>
      <c r="C1273" s="161" t="str" cm="1">
        <f t="array" ref="C1273">_xlfn.IFS(E1273=$AB$42,$AF$42,E1273=$AB$43,$AF$43,E1273=$AB$44,$AF$44,E1273=$AB$45,$AF$45,E1273=$AB$46,$AF$46,E1273=$AB$47,$AF$47,E1273=$AB$48,$AF$48,E1273=$AB$49,$AF$49,E1273=$AB$50,$AF$50,E1273=$AB$51,$AF$51,E1273=$AB$52,$AF$52,E1273=$AB$53,$AF$53,E1273=$AB$54,$AF$54,E1273=$AB$55,$AF$55,E1273=$AB$56,$AF$56,E1273=$AB$57,$AF$57,E1273=$AB$58,$AF$58,E1273=$AB$59,$AF$59,E1273=$AB$60,$AF$60,E1273=$AB$61,$AF$61,E1273=$AB$62,$AF$62,E1273=$AB$63,$AF$63,E1273=$AB$64,$AF$64,E1273=$AB$65,$AF$65,E1273=$AB$66,$AF$66,TRUE,"0")</f>
        <v>if 0-0, BACK+ 0.5 GOALS  @ 1.15+odds.  or @ 40 mins</v>
      </c>
      <c r="D1273" s="270" t="str" cm="1">
        <f t="array" ref="D1273">_xlfn.IFS(E1273=$AB$42,$AD$42,E1273=$AB$43,$AD$43,E1273=$AB$44,$AD$44,E1273=$AB$45,$AD$45,E1273=$AB$46,$AD$46,E1273=$AB$47,$AD$47,E1273=$AB$48,$AD$48,E1273=$AB$49,$AD$49,E1273=$AB$50,$AD$50,E1273=$AB$51,$AD$51,E1273=$AB$52,$AD$52,E1273=$AB$53,$AD$53,E1273=$AB$54,$AD$54,E1273=$AB$55,$AD$55,E1273=$AB$56,$AD$56,E1273=$AB$57,$AD$57,E1273=$AB$58,$AD$58,E1273=$AB$59,$AD$59,E1273=$AB$60,$AD$60,E1273=$AB$61,$AD$61,E1273=$AB$62,$AD$62,E1273=$AB$63,$AD$63,E1273=$AB$64,$AD$64,E1273=$AB$65,$AD$65,E1273=$AB$66,$AD$66,TRUE,"0")</f>
        <v>IP</v>
      </c>
      <c r="E1273" s="163" t="s">
        <v>270</v>
      </c>
      <c r="F1273" s="2" t="s">
        <v>20</v>
      </c>
      <c r="G1273" s="2" t="s">
        <v>21</v>
      </c>
      <c r="H1273" s="3">
        <v>45410.822916666664</v>
      </c>
      <c r="I1273" s="2" t="s">
        <v>784</v>
      </c>
      <c r="J1273" s="2" t="s">
        <v>370</v>
      </c>
      <c r="K1273" s="2">
        <v>62</v>
      </c>
      <c r="L1273" s="2">
        <v>0</v>
      </c>
      <c r="M1273" s="2">
        <v>20</v>
      </c>
      <c r="N1273" s="2">
        <v>35</v>
      </c>
      <c r="O1273" s="2">
        <v>2.5299999999999998</v>
      </c>
      <c r="P1273" s="2"/>
      <c r="Q1273" s="2" t="s">
        <v>95</v>
      </c>
      <c r="R1273" s="10" t="s">
        <v>214</v>
      </c>
      <c r="S1273" s="10" t="s">
        <v>197</v>
      </c>
      <c r="T1273" s="188">
        <v>1000</v>
      </c>
      <c r="U1273" s="8">
        <f t="shared" si="142"/>
        <v>180</v>
      </c>
      <c r="V1273" s="234">
        <f t="shared" si="143"/>
        <v>125944.1552461603</v>
      </c>
      <c r="W1273" s="15">
        <v>25</v>
      </c>
      <c r="X1273" s="8">
        <f t="shared" si="144"/>
        <v>4.5</v>
      </c>
      <c r="Y1273" s="233">
        <f t="shared" si="145"/>
        <v>5014.5</v>
      </c>
    </row>
    <row r="1274" spans="1:25">
      <c r="A1274" s="156" t="e" cm="1">
        <f t="array" aca="1" ref="A1274" ca="1">_xlfn.IFS(E1274=$AB$42,$AC$42,E1274=$AB$43,$AC$43,E1274=$AB$44,$AC$44,E1274=$AB$45,$AC$45,E1274=$AB$46,$AC$46,E1274=$AB$47,$AC$47,E1274=$AB$48,$AC$48,E1274=$AB$49,$AC$49,E1274=$AB$50,$AC$50,E1274=$AB$51,$AC$51,E1274=$AB$52,$AC$52,E1274=$AB$53,$AC$53,E1274=$AB$54,$AC$54,E1274=$AB$55,$AC$55,E1274=$AB$56,$AC$56,E1274=$AB$57,$AC$57,E1274=$AB$58,$AC$58,E1274=$AB$59,$AC$59,E1274=$AB$60,$AC$60,E1274=$AB$61,$AC$61,E1274=$AB$62,$AC$62,E1274=$AB$63,$AC$63,E1274=$AB$64,$AC$64,E1274=$AB$65,$AC$65,E1274=$AB$66,$AC$66,TRUE,"0")</f>
        <v>#NAME?</v>
      </c>
      <c r="C1274" s="161" t="str" cm="1">
        <f t="array" ref="C1274">_xlfn.IFS(E1274=$AB$42,$AF$42,E1274=$AB$43,$AF$43,E1274=$AB$44,$AF$44,E1274=$AB$45,$AF$45,E1274=$AB$46,$AF$46,E1274=$AB$47,$AF$47,E1274=$AB$48,$AF$48,E1274=$AB$49,$AF$49,E1274=$AB$50,$AF$50,E1274=$AB$51,$AF$51,E1274=$AB$52,$AF$52,E1274=$AB$53,$AF$53,E1274=$AB$54,$AF$54,E1274=$AB$55,$AF$55,E1274=$AB$56,$AF$56,E1274=$AB$57,$AF$57,E1274=$AB$58,$AF$58,E1274=$AB$59,$AF$59,E1274=$AB$60,$AF$60,E1274=$AB$61,$AF$61,E1274=$AB$62,$AF$62,E1274=$AB$63,$AF$63,E1274=$AB$64,$AF$64,E1274=$AB$65,$AF$65,E1274=$AB$66,$AF$66,TRUE,"0")</f>
        <v>40 mins Back ANother Goal</v>
      </c>
      <c r="D1274" s="270" t="str" cm="1">
        <f t="array" ref="D1274">_xlfn.IFS(E1274=$AB$42,$AD$42,E1274=$AB$43,$AD$43,E1274=$AB$44,$AD$44,E1274=$AB$45,$AD$45,E1274=$AB$46,$AD$46,E1274=$AB$47,$AD$47,E1274=$AB$48,$AD$48,E1274=$AB$49,$AD$49,E1274=$AB$50,$AD$50,E1274=$AB$51,$AD$51,E1274=$AB$52,$AD$52,E1274=$AB$53,$AD$53,E1274=$AB$54,$AD$54,E1274=$AB$55,$AD$55,E1274=$AB$56,$AD$56,E1274=$AB$57,$AD$57,E1274=$AB$58,$AD$58,E1274=$AB$59,$AD$59,E1274=$AB$60,$AD$60,E1274=$AB$61,$AD$61,E1274=$AB$62,$AD$62,E1274=$AB$63,$AD$63,E1274=$AB$64,$AD$64,E1274=$AB$65,$AD$65,E1274=$AB$66,$AD$66,TRUE,"0")</f>
        <v xml:space="preserve">  BANG</v>
      </c>
      <c r="E1274" s="2" t="s">
        <v>515</v>
      </c>
      <c r="F1274" s="2" t="s">
        <v>119</v>
      </c>
      <c r="G1274" s="2" t="s">
        <v>166</v>
      </c>
      <c r="H1274" s="3">
        <v>45410.833333333336</v>
      </c>
      <c r="I1274" s="2" t="s">
        <v>238</v>
      </c>
      <c r="J1274" s="2" t="s">
        <v>719</v>
      </c>
      <c r="K1274" s="2">
        <v>20</v>
      </c>
      <c r="L1274" s="2">
        <v>73</v>
      </c>
      <c r="M1274" s="2">
        <v>1.5</v>
      </c>
      <c r="N1274" s="2"/>
      <c r="O1274" s="2"/>
      <c r="P1274" s="2"/>
      <c r="Q1274" s="2" t="s">
        <v>95</v>
      </c>
      <c r="R1274" s="10" t="s">
        <v>216</v>
      </c>
      <c r="S1274" s="10" t="s">
        <v>222</v>
      </c>
      <c r="T1274" s="188">
        <v>1000</v>
      </c>
      <c r="U1274" s="8">
        <f t="shared" si="142"/>
        <v>180</v>
      </c>
      <c r="V1274" s="234">
        <f t="shared" ref="V1274:V1309" si="146">SUM(V1273,U1274)</f>
        <v>126124.1552461603</v>
      </c>
      <c r="W1274" s="15">
        <v>25</v>
      </c>
      <c r="X1274" s="8">
        <f t="shared" si="144"/>
        <v>4.5</v>
      </c>
      <c r="Y1274" s="233">
        <f t="shared" si="145"/>
        <v>5019</v>
      </c>
    </row>
    <row r="1275" spans="1:25">
      <c r="A1275" s="156" t="e" cm="1">
        <f t="array" aca="1" ref="A1275" ca="1">_xlfn.IFS(E1275=$AB$42,$AC$42,E1275=$AB$43,$AC$43,E1275=$AB$44,$AC$44,E1275=$AB$45,$AC$45,E1275=$AB$46,$AC$46,E1275=$AB$47,$AC$47,E1275=$AB$48,$AC$48,E1275=$AB$49,$AC$49,E1275=$AB$50,$AC$50,E1275=$AB$51,$AC$51,E1275=$AB$52,$AC$52,E1275=$AB$53,$AC$53,E1275=$AB$54,$AC$54,E1275=$AB$55,$AC$55,E1275=$AB$56,$AC$56,E1275=$AB$57,$AC$57,E1275=$AB$58,$AC$58,E1275=$AB$59,$AC$59,E1275=$AB$60,$AC$60,E1275=$AB$61,$AC$61,E1275=$AB$62,$AC$62,E1275=$AB$63,$AC$63,E1275=$AB$64,$AC$64,E1275=$AB$65,$AC$65,E1275=$AB$66,$AC$66,TRUE,"0")</f>
        <v>#NAME?</v>
      </c>
      <c r="C1275" s="161" t="str" cm="1">
        <f t="array" ref="C1275">_xlfn.IFS(E1275=$AB$42,$AF$42,E1275=$AB$43,$AF$43,E1275=$AB$44,$AF$44,E1275=$AB$45,$AF$45,E1275=$AB$46,$AF$46,E1275=$AB$47,$AF$47,E1275=$AB$48,$AF$48,E1275=$AB$49,$AF$49,E1275=$AB$50,$AF$50,E1275=$AB$51,$AF$51,E1275=$AB$52,$AF$52,E1275=$AB$53,$AF$53,E1275=$AB$54,$AF$54,E1275=$AB$55,$AF$55,E1275=$AB$56,$AF$56,E1275=$AB$57,$AF$57,E1275=$AB$58,$AF$58,E1275=$AB$59,$AF$59,E1275=$AB$60,$AF$60,E1275=$AB$61,$AF$61,E1275=$AB$62,$AF$62,E1275=$AB$63,$AF$63,E1275=$AB$64,$AF$64,E1275=$AB$65,$AF$65,E1275=$AB$66,$AF$66,TRUE,"0")</f>
        <v>40 mins Back ANother Goal</v>
      </c>
      <c r="D1275" s="270" t="str" cm="1">
        <f t="array" ref="D1275">_xlfn.IFS(E1275=$AB$42,$AD$42,E1275=$AB$43,$AD$43,E1275=$AB$44,$AD$44,E1275=$AB$45,$AD$45,E1275=$AB$46,$AD$46,E1275=$AB$47,$AD$47,E1275=$AB$48,$AD$48,E1275=$AB$49,$AD$49,E1275=$AB$50,$AD$50,E1275=$AB$51,$AD$51,E1275=$AB$52,$AD$52,E1275=$AB$53,$AD$53,E1275=$AB$54,$AD$54,E1275=$AB$55,$AD$55,E1275=$AB$56,$AD$56,E1275=$AB$57,$AD$57,E1275=$AB$58,$AD$58,E1275=$AB$59,$AD$59,E1275=$AB$60,$AD$60,E1275=$AB$61,$AD$61,E1275=$AB$62,$AD$62,E1275=$AB$63,$AD$63,E1275=$AB$64,$AD$64,E1275=$AB$65,$AD$65,E1275=$AB$66,$AD$66,TRUE,"0")</f>
        <v xml:space="preserve">  BANG</v>
      </c>
      <c r="E1275" s="2" t="s">
        <v>43</v>
      </c>
      <c r="F1275" s="2" t="s">
        <v>119</v>
      </c>
      <c r="G1275" s="2" t="s">
        <v>166</v>
      </c>
      <c r="H1275" s="3">
        <v>45411.8125</v>
      </c>
      <c r="I1275" s="2" t="s">
        <v>723</v>
      </c>
      <c r="J1275" s="2" t="s">
        <v>794</v>
      </c>
      <c r="K1275" s="2">
        <v>76</v>
      </c>
      <c r="L1275" s="2">
        <v>100</v>
      </c>
      <c r="M1275" s="2">
        <v>63</v>
      </c>
      <c r="N1275" s="2">
        <v>1.45</v>
      </c>
      <c r="O1275" s="2">
        <v>1.1599999999999999</v>
      </c>
      <c r="P1275" s="2"/>
      <c r="Q1275" s="2" t="s">
        <v>95</v>
      </c>
      <c r="R1275" s="10" t="s">
        <v>193</v>
      </c>
      <c r="S1275" s="10" t="s">
        <v>217</v>
      </c>
      <c r="T1275" s="188">
        <v>1000</v>
      </c>
      <c r="U1275" s="8">
        <f t="shared" si="142"/>
        <v>180</v>
      </c>
      <c r="V1275" s="234">
        <f t="shared" si="146"/>
        <v>126304.1552461603</v>
      </c>
      <c r="W1275" s="15">
        <v>25</v>
      </c>
      <c r="X1275" s="8">
        <f t="shared" si="144"/>
        <v>4.5</v>
      </c>
      <c r="Y1275" s="233">
        <f t="shared" si="145"/>
        <v>5023.5</v>
      </c>
    </row>
    <row r="1276" spans="1:25">
      <c r="A1276" s="156" t="e" cm="1">
        <f t="array" aca="1" ref="A1276" ca="1">_xlfn.IFS(E1276=$AB$42,$AC$42,E1276=$AB$43,$AC$43,E1276=$AB$44,$AC$44,E1276=$AB$45,$AC$45,E1276=$AB$46,$AC$46,E1276=$AB$47,$AC$47,E1276=$AB$48,$AC$48,E1276=$AB$49,$AC$49,E1276=$AB$50,$AC$50,E1276=$AB$51,$AC$51,E1276=$AB$52,$AC$52,E1276=$AB$53,$AC$53,E1276=$AB$54,$AC$54,E1276=$AB$55,$AC$55,E1276=$AB$56,$AC$56,E1276=$AB$57,$AC$57,E1276=$AB$58,$AC$58,E1276=$AB$59,$AC$59,E1276=$AB$60,$AC$60,E1276=$AB$61,$AC$61,E1276=$AB$62,$AC$62,E1276=$AB$63,$AC$63,E1276=$AB$64,$AC$64,E1276=$AB$65,$AC$65,E1276=$AB$66,$AC$66,TRUE,"0")</f>
        <v>#NAME?</v>
      </c>
      <c r="C1276" s="161" t="str" cm="1">
        <f t="array" ref="C1276">_xlfn.IFS(E1276=$AB$42,$AF$42,E1276=$AB$43,$AF$43,E1276=$AB$44,$AF$44,E1276=$AB$45,$AF$45,E1276=$AB$46,$AF$46,E1276=$AB$47,$AF$47,E1276=$AB$48,$AF$48,E1276=$AB$49,$AF$49,E1276=$AB$50,$AF$50,E1276=$AB$51,$AF$51,E1276=$AB$52,$AF$52,E1276=$AB$53,$AF$53,E1276=$AB$54,$AF$54,E1276=$AB$55,$AF$55,E1276=$AB$56,$AF$56,E1276=$AB$57,$AF$57,E1276=$AB$58,$AF$58,E1276=$AB$59,$AF$59,E1276=$AB$60,$AF$60,E1276=$AB$61,$AF$61,E1276=$AB$62,$AF$62,E1276=$AB$63,$AF$63,E1276=$AB$64,$AF$64,E1276=$AB$65,$AF$65,E1276=$AB$66,$AF$66,TRUE,"0")</f>
        <v>40 mins Back ANother Goal</v>
      </c>
      <c r="D1276" s="270" t="str" cm="1">
        <f t="array" ref="D1276">_xlfn.IFS(E1276=$AB$42,$AD$42,E1276=$AB$43,$AD$43,E1276=$AB$44,$AD$44,E1276=$AB$45,$AD$45,E1276=$AB$46,$AD$46,E1276=$AB$47,$AD$47,E1276=$AB$48,$AD$48,E1276=$AB$49,$AD$49,E1276=$AB$50,$AD$50,E1276=$AB$51,$AD$51,E1276=$AB$52,$AD$52,E1276=$AB$53,$AD$53,E1276=$AB$54,$AD$54,E1276=$AB$55,$AD$55,E1276=$AB$56,$AD$56,E1276=$AB$57,$AD$57,E1276=$AB$58,$AD$58,E1276=$AB$59,$AD$59,E1276=$AB$60,$AD$60,E1276=$AB$61,$AD$61,E1276=$AB$62,$AD$62,E1276=$AB$63,$AD$63,E1276=$AB$64,$AD$64,E1276=$AB$65,$AD$65,E1276=$AB$66,$AD$66,TRUE,"0")</f>
        <v xml:space="preserve">  BANG</v>
      </c>
      <c r="E1276" s="2" t="s">
        <v>35</v>
      </c>
      <c r="F1276" s="2" t="s">
        <v>119</v>
      </c>
      <c r="G1276" s="2" t="s">
        <v>120</v>
      </c>
      <c r="H1276" s="3">
        <v>45411.833333333336</v>
      </c>
      <c r="I1276" s="2" t="s">
        <v>361</v>
      </c>
      <c r="J1276" s="2" t="s">
        <v>350</v>
      </c>
      <c r="K1276" s="2">
        <v>71</v>
      </c>
      <c r="L1276" s="2">
        <v>90</v>
      </c>
      <c r="M1276" s="2">
        <v>50</v>
      </c>
      <c r="N1276" s="2">
        <v>40</v>
      </c>
      <c r="O1276" s="2">
        <v>20</v>
      </c>
      <c r="P1276" s="2">
        <v>1.56</v>
      </c>
      <c r="Q1276" s="2" t="s">
        <v>95</v>
      </c>
      <c r="R1276" s="10" t="s">
        <v>223</v>
      </c>
      <c r="S1276" s="10" t="s">
        <v>277</v>
      </c>
      <c r="T1276" s="188">
        <v>1000</v>
      </c>
      <c r="U1276" s="8">
        <f t="shared" si="142"/>
        <v>180</v>
      </c>
      <c r="V1276" s="234">
        <f t="shared" si="146"/>
        <v>126484.1552461603</v>
      </c>
      <c r="W1276" s="15">
        <v>25</v>
      </c>
      <c r="X1276" s="8">
        <f t="shared" si="144"/>
        <v>4.5</v>
      </c>
      <c r="Y1276" s="233">
        <f t="shared" si="145"/>
        <v>5028</v>
      </c>
    </row>
    <row r="1277" spans="1:25">
      <c r="A1277" s="156" t="e" cm="1">
        <f t="array" aca="1" ref="A1277" ca="1">_xlfn.IFS(E1277=$AB$42,$AC$42,E1277=$AB$43,$AC$43,E1277=$AB$44,$AC$44,E1277=$AB$45,$AC$45,E1277=$AB$46,$AC$46,E1277=$AB$47,$AC$47,E1277=$AB$48,$AC$48,E1277=$AB$49,$AC$49,E1277=$AB$50,$AC$50,E1277=$AB$51,$AC$51,E1277=$AB$52,$AC$52,E1277=$AB$53,$AC$53,E1277=$AB$54,$AC$54,E1277=$AB$55,$AC$55,E1277=$AB$56,$AC$56,E1277=$AB$57,$AC$57,E1277=$AB$58,$AC$58,E1277=$AB$59,$AC$59,E1277=$AB$60,$AC$60,E1277=$AB$61,$AC$61,E1277=$AB$62,$AC$62,E1277=$AB$63,$AC$63,E1277=$AB$64,$AC$64,E1277=$AB$65,$AC$65,E1277=$AB$66,$AC$66,TRUE,"0")</f>
        <v>#NAME?</v>
      </c>
      <c r="C1277" s="161" t="str" cm="1">
        <f t="array" ref="C1277">_xlfn.IFS(E1277=$AB$42,$AF$42,E1277=$AB$43,$AF$43,E1277=$AB$44,$AF$44,E1277=$AB$45,$AF$45,E1277=$AB$46,$AF$46,E1277=$AB$47,$AF$47,E1277=$AB$48,$AF$48,E1277=$AB$49,$AF$49,E1277=$AB$50,$AF$50,E1277=$AB$51,$AF$51,E1277=$AB$52,$AF$52,E1277=$AB$53,$AF$53,E1277=$AB$54,$AF$54,E1277=$AB$55,$AF$55,E1277=$AB$56,$AF$56,E1277=$AB$57,$AF$57,E1277=$AB$58,$AF$58,E1277=$AB$59,$AF$59,E1277=$AB$60,$AF$60,E1277=$AB$61,$AF$61,E1277=$AB$62,$AF$62,E1277=$AB$63,$AF$63,E1277=$AB$64,$AF$64,E1277=$AB$65,$AF$65,E1277=$AB$66,$AF$66,TRUE,"0")</f>
        <v>40 mins Back ANother Goal</v>
      </c>
      <c r="D1277" s="270" t="str" cm="1">
        <f t="array" ref="D1277">_xlfn.IFS(E1277=$AB$42,$AD$42,E1277=$AB$43,$AD$43,E1277=$AB$44,$AD$44,E1277=$AB$45,$AD$45,E1277=$AB$46,$AD$46,E1277=$AB$47,$AD$47,E1277=$AB$48,$AD$48,E1277=$AB$49,$AD$49,E1277=$AB$50,$AD$50,E1277=$AB$51,$AD$51,E1277=$AB$52,$AD$52,E1277=$AB$53,$AD$53,E1277=$AB$54,$AD$54,E1277=$AB$55,$AD$55,E1277=$AB$56,$AD$56,E1277=$AB$57,$AD$57,E1277=$AB$58,$AD$58,E1277=$AB$59,$AD$59,E1277=$AB$60,$AD$60,E1277=$AB$61,$AD$61,E1277=$AB$62,$AD$62,E1277=$AB$63,$AD$63,E1277=$AB$64,$AD$64,E1277=$AB$65,$AD$65,E1277=$AB$66,$AD$66,TRUE,"0")</f>
        <v xml:space="preserve">  BANG</v>
      </c>
      <c r="E1277" s="2" t="s">
        <v>43</v>
      </c>
      <c r="F1277" s="2" t="s">
        <v>119</v>
      </c>
      <c r="G1277" s="2" t="s">
        <v>120</v>
      </c>
      <c r="H1277" s="3">
        <v>45411.833333333336</v>
      </c>
      <c r="I1277" s="2" t="s">
        <v>361</v>
      </c>
      <c r="J1277" s="2" t="s">
        <v>350</v>
      </c>
      <c r="K1277" s="2">
        <v>76</v>
      </c>
      <c r="L1277" s="2">
        <v>78</v>
      </c>
      <c r="M1277" s="2">
        <v>63</v>
      </c>
      <c r="N1277" s="2">
        <v>2.1</v>
      </c>
      <c r="O1277" s="2">
        <v>1.56</v>
      </c>
      <c r="P1277" s="2"/>
      <c r="Q1277" s="2" t="s">
        <v>95</v>
      </c>
      <c r="R1277" s="10" t="s">
        <v>223</v>
      </c>
      <c r="S1277" s="10" t="s">
        <v>277</v>
      </c>
      <c r="T1277" s="188">
        <v>1000</v>
      </c>
      <c r="U1277" s="8">
        <f t="shared" si="142"/>
        <v>180</v>
      </c>
      <c r="V1277" s="234">
        <f t="shared" si="146"/>
        <v>126664.1552461603</v>
      </c>
      <c r="W1277" s="15">
        <v>25</v>
      </c>
      <c r="X1277" s="8">
        <f t="shared" si="144"/>
        <v>4.5</v>
      </c>
      <c r="Y1277" s="233">
        <f t="shared" si="145"/>
        <v>5032.5</v>
      </c>
    </row>
    <row r="1278" spans="1:25">
      <c r="A1278" s="156" t="e" cm="1">
        <f t="array" aca="1" ref="A1278" ca="1">_xlfn.IFS(E1278=$AB$42,$AC$42,E1278=$AB$43,$AC$43,E1278=$AB$44,$AC$44,E1278=$AB$45,$AC$45,E1278=$AB$46,$AC$46,E1278=$AB$47,$AC$47,E1278=$AB$48,$AC$48,E1278=$AB$49,$AC$49,E1278=$AB$50,$AC$50,E1278=$AB$51,$AC$51,E1278=$AB$52,$AC$52,E1278=$AB$53,$AC$53,E1278=$AB$54,$AC$54,E1278=$AB$55,$AC$55,E1278=$AB$56,$AC$56,E1278=$AB$57,$AC$57,E1278=$AB$58,$AC$58,E1278=$AB$59,$AC$59,E1278=$AB$60,$AC$60,E1278=$AB$61,$AC$61,E1278=$AB$62,$AC$62,E1278=$AB$63,$AC$63,E1278=$AB$64,$AC$64,E1278=$AB$65,$AC$65,E1278=$AB$66,$AC$66,TRUE,"0")</f>
        <v>#NAME?</v>
      </c>
      <c r="C1278" s="161" t="str" cm="1">
        <f t="array" ref="C1278">_xlfn.IFS(E1278=$AB$42,$AF$42,E1278=$AB$43,$AF$43,E1278=$AB$44,$AF$44,E1278=$AB$45,$AF$45,E1278=$AB$46,$AF$46,E1278=$AB$47,$AF$47,E1278=$AB$48,$AF$48,E1278=$AB$49,$AF$49,E1278=$AB$50,$AF$50,E1278=$AB$51,$AF$51,E1278=$AB$52,$AF$52,E1278=$AB$53,$AF$53,E1278=$AB$54,$AF$54,E1278=$AB$55,$AF$55,E1278=$AB$56,$AF$56,E1278=$AB$57,$AF$57,E1278=$AB$58,$AF$58,E1278=$AB$59,$AF$59,E1278=$AB$60,$AF$60,E1278=$AB$61,$AF$61,E1278=$AB$62,$AF$62,E1278=$AB$63,$AF$63,E1278=$AB$64,$AF$64,E1278=$AB$65,$AF$65,E1278=$AB$66,$AF$66,TRUE,"0")</f>
        <v>40 mins Back ANother Goal</v>
      </c>
      <c r="D1278" s="270" t="str" cm="1">
        <f t="array" ref="D1278">_xlfn.IFS(E1278=$AB$42,$AD$42,E1278=$AB$43,$AD$43,E1278=$AB$44,$AD$44,E1278=$AB$45,$AD$45,E1278=$AB$46,$AD$46,E1278=$AB$47,$AD$47,E1278=$AB$48,$AD$48,E1278=$AB$49,$AD$49,E1278=$AB$50,$AD$50,E1278=$AB$51,$AD$51,E1278=$AB$52,$AD$52,E1278=$AB$53,$AD$53,E1278=$AB$54,$AD$54,E1278=$AB$55,$AD$55,E1278=$AB$56,$AD$56,E1278=$AB$57,$AD$57,E1278=$AB$58,$AD$58,E1278=$AB$59,$AD$59,E1278=$AB$60,$AD$60,E1278=$AB$61,$AD$61,E1278=$AB$62,$AD$62,E1278=$AB$63,$AD$63,E1278=$AB$64,$AD$64,E1278=$AB$65,$AD$65,E1278=$AB$66,$AD$66,TRUE,"0")</f>
        <v xml:space="preserve">  BANG</v>
      </c>
      <c r="E1278" s="2" t="s">
        <v>726</v>
      </c>
      <c r="F1278" s="2" t="s">
        <v>119</v>
      </c>
      <c r="G1278" s="2" t="s">
        <v>120</v>
      </c>
      <c r="H1278" s="3">
        <v>45411.833333333336</v>
      </c>
      <c r="I1278" s="2" t="s">
        <v>361</v>
      </c>
      <c r="J1278" s="2" t="s">
        <v>350</v>
      </c>
      <c r="K1278" s="2">
        <v>90</v>
      </c>
      <c r="L1278" s="2">
        <v>20</v>
      </c>
      <c r="M1278" s="2">
        <v>2.1</v>
      </c>
      <c r="N1278" s="2">
        <v>63</v>
      </c>
      <c r="O1278" s="2"/>
      <c r="P1278" s="2"/>
      <c r="Q1278" s="2" t="s">
        <v>95</v>
      </c>
      <c r="R1278" s="10" t="s">
        <v>223</v>
      </c>
      <c r="S1278" s="10" t="s">
        <v>277</v>
      </c>
      <c r="T1278" s="188">
        <v>1000</v>
      </c>
      <c r="U1278" s="8">
        <f t="shared" si="142"/>
        <v>180</v>
      </c>
      <c r="V1278" s="234">
        <f t="shared" si="146"/>
        <v>126844.1552461603</v>
      </c>
      <c r="W1278" s="15">
        <v>25</v>
      </c>
      <c r="X1278" s="8">
        <f t="shared" si="144"/>
        <v>4.5</v>
      </c>
      <c r="Y1278" s="233">
        <f t="shared" si="145"/>
        <v>5037</v>
      </c>
    </row>
    <row r="1279" spans="1:25">
      <c r="A1279" s="156" t="e" cm="1">
        <f t="array" aca="1" ref="A1279" ca="1">_xlfn.IFS(E1279=$AB$42,$AC$42,E1279=$AB$43,$AC$43,E1279=$AB$44,$AC$44,E1279=$AB$45,$AC$45,E1279=$AB$46,$AC$46,E1279=$AB$47,$AC$47,E1279=$AB$48,$AC$48,E1279=$AB$49,$AC$49,E1279=$AB$50,$AC$50,E1279=$AB$51,$AC$51,E1279=$AB$52,$AC$52,E1279=$AB$53,$AC$53,E1279=$AB$54,$AC$54,E1279=$AB$55,$AC$55,E1279=$AB$56,$AC$56,E1279=$AB$57,$AC$57,E1279=$AB$58,$AC$58,E1279=$AB$59,$AC$59,E1279=$AB$60,$AC$60,E1279=$AB$61,$AC$61,E1279=$AB$62,$AC$62,E1279=$AB$63,$AC$63,E1279=$AB$64,$AC$64,E1279=$AB$65,$AC$65,E1279=$AB$66,$AC$66,TRUE,"0")</f>
        <v>#NAME?</v>
      </c>
      <c r="C1279" s="161" t="str" cm="1">
        <f t="array" ref="C1279">_xlfn.IFS(E1279=$AB$42,$AF$42,E1279=$AB$43,$AF$43,E1279=$AB$44,$AF$44,E1279=$AB$45,$AF$45,E1279=$AB$46,$AF$46,E1279=$AB$47,$AF$47,E1279=$AB$48,$AF$48,E1279=$AB$49,$AF$49,E1279=$AB$50,$AF$50,E1279=$AB$51,$AF$51,E1279=$AB$52,$AF$52,E1279=$AB$53,$AF$53,E1279=$AB$54,$AF$54,E1279=$AB$55,$AF$55,E1279=$AB$56,$AF$56,E1279=$AB$57,$AF$57,E1279=$AB$58,$AF$58,E1279=$AB$59,$AF$59,E1279=$AB$60,$AF$60,E1279=$AB$61,$AF$61,E1279=$AB$62,$AF$62,E1279=$AB$63,$AF$63,E1279=$AB$64,$AF$64,E1279=$AB$65,$AF$65,E1279=$AB$66,$AF$66,TRUE,"0")</f>
        <v>B4 match BACK FT +1.5 goals. X AFTER  GOAL</v>
      </c>
      <c r="D1279" s="270" t="str" cm="1">
        <f t="array" ref="D1279">_xlfn.IFS(E1279=$AB$42,$AD$42,E1279=$AB$43,$AD$43,E1279=$AB$44,$AD$44,E1279=$AB$45,$AD$45,E1279=$AB$46,$AD$46,E1279=$AB$47,$AD$47,E1279=$AB$48,$AD$48,E1279=$AB$49,$AD$49,E1279=$AB$50,$AD$50,E1279=$AB$51,$AD$51,E1279=$AB$52,$AD$52,E1279=$AB$53,$AD$53,E1279=$AB$54,$AD$54,E1279=$AB$55,$AD$55,E1279=$AB$56,$AD$56,E1279=$AB$57,$AD$57,E1279=$AB$58,$AD$58,E1279=$AB$59,$AD$59,E1279=$AB$60,$AD$60,E1279=$AB$61,$AD$61,E1279=$AB$62,$AD$62,E1279=$AB$63,$AD$63,E1279=$AB$64,$AD$64,E1279=$AB$65,$AD$65,E1279=$AB$66,$AD$66,TRUE,"0")</f>
        <v xml:space="preserve">BFM </v>
      </c>
      <c r="E1279" s="2" t="s">
        <v>623</v>
      </c>
      <c r="F1279" s="2" t="s">
        <v>119</v>
      </c>
      <c r="G1279" s="2" t="s">
        <v>120</v>
      </c>
      <c r="H1279" s="3">
        <v>45411.833333333336</v>
      </c>
      <c r="I1279" s="2" t="s">
        <v>361</v>
      </c>
      <c r="J1279" s="2" t="s">
        <v>350</v>
      </c>
      <c r="K1279" s="2">
        <v>5.8</v>
      </c>
      <c r="L1279" s="2">
        <v>20</v>
      </c>
      <c r="M1279" s="2">
        <v>2.95</v>
      </c>
      <c r="N1279" s="2">
        <v>42</v>
      </c>
      <c r="O1279" s="2">
        <v>3</v>
      </c>
      <c r="P1279" s="2">
        <v>10</v>
      </c>
      <c r="Q1279" s="2" t="s">
        <v>95</v>
      </c>
      <c r="R1279" s="10" t="s">
        <v>223</v>
      </c>
      <c r="S1279" s="10" t="s">
        <v>277</v>
      </c>
      <c r="T1279" s="188">
        <v>1000</v>
      </c>
      <c r="U1279" s="8">
        <f t="shared" si="142"/>
        <v>180</v>
      </c>
      <c r="V1279" s="234">
        <f t="shared" si="146"/>
        <v>127024.1552461603</v>
      </c>
      <c r="W1279" s="15">
        <v>25</v>
      </c>
      <c r="X1279" s="8">
        <f t="shared" si="144"/>
        <v>4.5</v>
      </c>
      <c r="Y1279" s="233">
        <f t="shared" si="145"/>
        <v>5041.5</v>
      </c>
    </row>
    <row r="1280" spans="1:25">
      <c r="A1280" s="156" t="e" cm="1">
        <f t="array" aca="1" ref="A1280" ca="1">_xlfn.IFS(E1280=$AB$42,$AC$42,E1280=$AB$43,$AC$43,E1280=$AB$44,$AC$44,E1280=$AB$45,$AC$45,E1280=$AB$46,$AC$46,E1280=$AB$47,$AC$47,E1280=$AB$48,$AC$48,E1280=$AB$49,$AC$49,E1280=$AB$50,$AC$50,E1280=$AB$51,$AC$51,E1280=$AB$52,$AC$52,E1280=$AB$53,$AC$53,E1280=$AB$54,$AC$54,E1280=$AB$55,$AC$55,E1280=$AB$56,$AC$56,E1280=$AB$57,$AC$57,E1280=$AB$58,$AC$58,E1280=$AB$59,$AC$59,E1280=$AB$60,$AC$60,E1280=$AB$61,$AC$61,E1280=$AB$62,$AC$62,E1280=$AB$63,$AC$63,E1280=$AB$64,$AC$64,E1280=$AB$65,$AC$65,E1280=$AB$66,$AC$66,TRUE,"0")</f>
        <v>#NAME?</v>
      </c>
      <c r="C1280" s="161" t="str" cm="1">
        <f t="array" ref="C1280">_xlfn.IFS(E1280=$AB$42,$AF$42,E1280=$AB$43,$AF$43,E1280=$AB$44,$AF$44,E1280=$AB$45,$AF$45,E1280=$AB$46,$AF$46,E1280=$AB$47,$AF$47,E1280=$AB$48,$AF$48,E1280=$AB$49,$AF$49,E1280=$AB$50,$AF$50,E1280=$AB$51,$AF$51,E1280=$AB$52,$AF$52,E1280=$AB$53,$AF$53,E1280=$AB$54,$AF$54,E1280=$AB$55,$AF$55,E1280=$AB$56,$AF$56,E1280=$AB$57,$AF$57,E1280=$AB$58,$AF$58,E1280=$AB$59,$AF$59,E1280=$AB$60,$AF$60,E1280=$AB$61,$AF$61,E1280=$AB$62,$AF$62,E1280=$AB$63,$AF$63,E1280=$AB$64,$AF$64,E1280=$AB$65,$AF$65,E1280=$AB$66,$AF$66,TRUE,"0")</f>
        <v>if 0-0, BACK+ 0.5 GOALS  @ 1.15+odds.  or @ 40 mins</v>
      </c>
      <c r="D1280" s="270" t="str" cm="1">
        <f t="array" ref="D1280">_xlfn.IFS(E1280=$AB$42,$AD$42,E1280=$AB$43,$AD$43,E1280=$AB$44,$AD$44,E1280=$AB$45,$AD$45,E1280=$AB$46,$AD$46,E1280=$AB$47,$AD$47,E1280=$AB$48,$AD$48,E1280=$AB$49,$AD$49,E1280=$AB$50,$AD$50,E1280=$AB$51,$AD$51,E1280=$AB$52,$AD$52,E1280=$AB$53,$AD$53,E1280=$AB$54,$AD$54,E1280=$AB$55,$AD$55,E1280=$AB$56,$AD$56,E1280=$AB$57,$AD$57,E1280=$AB$58,$AD$58,E1280=$AB$59,$AD$59,E1280=$AB$60,$AD$60,E1280=$AB$61,$AD$61,E1280=$AB$62,$AD$62,E1280=$AB$63,$AD$63,E1280=$AB$64,$AD$64,E1280=$AB$65,$AD$65,E1280=$AB$66,$AD$66,TRUE,"0")</f>
        <v>IP</v>
      </c>
      <c r="E1280" s="2" t="s">
        <v>270</v>
      </c>
      <c r="F1280" s="2" t="s">
        <v>119</v>
      </c>
      <c r="G1280" s="2" t="s">
        <v>120</v>
      </c>
      <c r="H1280" s="3">
        <v>45411.833333333336</v>
      </c>
      <c r="I1280" s="2" t="s">
        <v>361</v>
      </c>
      <c r="J1280" s="2" t="s">
        <v>350</v>
      </c>
      <c r="K1280" s="2">
        <v>71</v>
      </c>
      <c r="L1280" s="2">
        <v>0</v>
      </c>
      <c r="M1280" s="2">
        <v>20</v>
      </c>
      <c r="N1280" s="2">
        <v>42</v>
      </c>
      <c r="O1280" s="2">
        <v>2.86</v>
      </c>
      <c r="P1280" s="2"/>
      <c r="Q1280" s="2" t="s">
        <v>95</v>
      </c>
      <c r="R1280" s="10" t="s">
        <v>223</v>
      </c>
      <c r="S1280" s="10" t="s">
        <v>277</v>
      </c>
      <c r="T1280" s="188">
        <v>1000</v>
      </c>
      <c r="U1280" s="8">
        <f t="shared" si="142"/>
        <v>180</v>
      </c>
      <c r="V1280" s="234">
        <f t="shared" si="146"/>
        <v>127204.1552461603</v>
      </c>
      <c r="W1280" s="15">
        <v>25</v>
      </c>
      <c r="X1280" s="8">
        <f t="shared" si="144"/>
        <v>4.5</v>
      </c>
      <c r="Y1280" s="233">
        <f t="shared" si="145"/>
        <v>5046</v>
      </c>
    </row>
    <row r="1281" spans="1:25">
      <c r="A1281" s="156" t="e" cm="1">
        <f t="array" aca="1" ref="A1281" ca="1">_xlfn.IFS(E1281=$AB$42,$AC$42,E1281=$AB$43,$AC$43,E1281=$AB$44,$AC$44,E1281=$AB$45,$AC$45,E1281=$AB$46,$AC$46,E1281=$AB$47,$AC$47,E1281=$AB$48,$AC$48,E1281=$AB$49,$AC$49,E1281=$AB$50,$AC$50,E1281=$AB$51,$AC$51,E1281=$AB$52,$AC$52,E1281=$AB$53,$AC$53,E1281=$AB$54,$AC$54,E1281=$AB$55,$AC$55,E1281=$AB$56,$AC$56,E1281=$AB$57,$AC$57,E1281=$AB$58,$AC$58,E1281=$AB$59,$AC$59,E1281=$AB$60,$AC$60,E1281=$AB$61,$AC$61,E1281=$AB$62,$AC$62,E1281=$AB$63,$AC$63,E1281=$AB$64,$AC$64,E1281=$AB$65,$AC$65,E1281=$AB$66,$AC$66,TRUE,"0")</f>
        <v>#NAME?</v>
      </c>
      <c r="C1281" s="161" t="str" cm="1">
        <f t="array" ref="C1281">_xlfn.IFS(E1281=$AB$42,$AF$42,E1281=$AB$43,$AF$43,E1281=$AB$44,$AF$44,E1281=$AB$45,$AF$45,E1281=$AB$46,$AF$46,E1281=$AB$47,$AF$47,E1281=$AB$48,$AF$48,E1281=$AB$49,$AF$49,E1281=$AB$50,$AF$50,E1281=$AB$51,$AF$51,E1281=$AB$52,$AF$52,E1281=$AB$53,$AF$53,E1281=$AB$54,$AF$54,E1281=$AB$55,$AF$55,E1281=$AB$56,$AF$56,E1281=$AB$57,$AF$57,E1281=$AB$58,$AF$58,E1281=$AB$59,$AF$59,E1281=$AB$60,$AF$60,E1281=$AB$61,$AF$61,E1281=$AB$62,$AF$62,E1281=$AB$63,$AF$63,E1281=$AB$64,$AF$64,E1281=$AB$65,$AF$65,E1281=$AB$66,$AF$66,TRUE,"0")</f>
        <v>40 mins Back ANother Goal</v>
      </c>
      <c r="D1281" s="270" t="str" cm="1">
        <f t="array" ref="D1281">_xlfn.IFS(E1281=$AB$42,$AD$42,E1281=$AB$43,$AD$43,E1281=$AB$44,$AD$44,E1281=$AB$45,$AD$45,E1281=$AB$46,$AD$46,E1281=$AB$47,$AD$47,E1281=$AB$48,$AD$48,E1281=$AB$49,$AD$49,E1281=$AB$50,$AD$50,E1281=$AB$51,$AD$51,E1281=$AB$52,$AD$52,E1281=$AB$53,$AD$53,E1281=$AB$54,$AD$54,E1281=$AB$55,$AD$55,E1281=$AB$56,$AD$56,E1281=$AB$57,$AD$57,E1281=$AB$58,$AD$58,E1281=$AB$59,$AD$59,E1281=$AB$60,$AD$60,E1281=$AB$61,$AD$61,E1281=$AB$62,$AD$62,E1281=$AB$63,$AD$63,E1281=$AB$64,$AD$64,E1281=$AB$65,$AD$65,E1281=$AB$66,$AD$66,TRUE,"0")</f>
        <v xml:space="preserve">  BANG</v>
      </c>
      <c r="E1281" s="2" t="s">
        <v>515</v>
      </c>
      <c r="F1281" s="2" t="s">
        <v>119</v>
      </c>
      <c r="G1281" s="2" t="s">
        <v>120</v>
      </c>
      <c r="H1281" s="3">
        <v>45411.833333333336</v>
      </c>
      <c r="I1281" s="2" t="s">
        <v>361</v>
      </c>
      <c r="J1281" s="2" t="s">
        <v>350</v>
      </c>
      <c r="K1281" s="2">
        <v>20</v>
      </c>
      <c r="L1281" s="2">
        <v>71</v>
      </c>
      <c r="M1281" s="2">
        <v>2.1</v>
      </c>
      <c r="N1281" s="2"/>
      <c r="O1281" s="2"/>
      <c r="P1281" s="2"/>
      <c r="Q1281" s="2" t="s">
        <v>95</v>
      </c>
      <c r="R1281" s="10" t="s">
        <v>223</v>
      </c>
      <c r="S1281" s="10" t="s">
        <v>277</v>
      </c>
      <c r="T1281" s="188">
        <v>1000</v>
      </c>
      <c r="U1281" s="8">
        <f t="shared" si="142"/>
        <v>180</v>
      </c>
      <c r="V1281" s="234">
        <f t="shared" si="146"/>
        <v>127384.1552461603</v>
      </c>
      <c r="W1281" s="15">
        <v>25</v>
      </c>
      <c r="X1281" s="8">
        <f t="shared" si="144"/>
        <v>4.5</v>
      </c>
      <c r="Y1281" s="233">
        <f t="shared" si="145"/>
        <v>5050.5</v>
      </c>
    </row>
    <row r="1282" spans="1:25">
      <c r="A1282" s="156" t="e" cm="1">
        <f t="array" aca="1" ref="A1282" ca="1">_xlfn.IFS(E1282=$AB$42,$AC$42,E1282=$AB$43,$AC$43,E1282=$AB$44,$AC$44,E1282=$AB$45,$AC$45,E1282=$AB$46,$AC$46,E1282=$AB$47,$AC$47,E1282=$AB$48,$AC$48,E1282=$AB$49,$AC$49,E1282=$AB$50,$AC$50,E1282=$AB$51,$AC$51,E1282=$AB$52,$AC$52,E1282=$AB$53,$AC$53,E1282=$AB$54,$AC$54,E1282=$AB$55,$AC$55,E1282=$AB$56,$AC$56,E1282=$AB$57,$AC$57,E1282=$AB$58,$AC$58,E1282=$AB$59,$AC$59,E1282=$AB$60,$AC$60,E1282=$AB$61,$AC$61,E1282=$AB$62,$AC$62,E1282=$AB$63,$AC$63,E1282=$AB$64,$AC$64,E1282=$AB$65,$AC$65,E1282=$AB$66,$AC$66,TRUE,"0")</f>
        <v>#NAME?</v>
      </c>
      <c r="C1282" s="161" t="str" cm="1">
        <f t="array" ref="C1282">_xlfn.IFS(E1282=$AB$42,$AF$42,E1282=$AB$43,$AF$43,E1282=$AB$44,$AF$44,E1282=$AB$45,$AF$45,E1282=$AB$46,$AF$46,E1282=$AB$47,$AF$47,E1282=$AB$48,$AF$48,E1282=$AB$49,$AF$49,E1282=$AB$50,$AF$50,E1282=$AB$51,$AF$51,E1282=$AB$52,$AF$52,E1282=$AB$53,$AF$53,E1282=$AB$54,$AF$54,E1282=$AB$55,$AF$55,E1282=$AB$56,$AF$56,E1282=$AB$57,$AF$57,E1282=$AB$58,$AF$58,E1282=$AB$59,$AF$59,E1282=$AB$60,$AF$60,E1282=$AB$61,$AF$61,E1282=$AB$62,$AF$62,E1282=$AB$63,$AF$63,E1282=$AB$64,$AF$64,E1282=$AB$65,$AF$65,E1282=$AB$66,$AF$66,TRUE,"0")</f>
        <v>40 mins Back ANother Goal</v>
      </c>
      <c r="D1282" s="270" t="str" cm="1">
        <f t="array" ref="D1282">_xlfn.IFS(E1282=$AB$42,$AD$42,E1282=$AB$43,$AD$43,E1282=$AB$44,$AD$44,E1282=$AB$45,$AD$45,E1282=$AB$46,$AD$46,E1282=$AB$47,$AD$47,E1282=$AB$48,$AD$48,E1282=$AB$49,$AD$49,E1282=$AB$50,$AD$50,E1282=$AB$51,$AD$51,E1282=$AB$52,$AD$52,E1282=$AB$53,$AD$53,E1282=$AB$54,$AD$54,E1282=$AB$55,$AD$55,E1282=$AB$56,$AD$56,E1282=$AB$57,$AD$57,E1282=$AB$58,$AD$58,E1282=$AB$59,$AD$59,E1282=$AB$60,$AD$60,E1282=$AB$61,$AD$61,E1282=$AB$62,$AD$62,E1282=$AB$63,$AD$63,E1282=$AB$64,$AD$64,E1282=$AB$65,$AD$65,E1282=$AB$66,$AD$66,TRUE,"0")</f>
        <v xml:space="preserve">  BANG</v>
      </c>
      <c r="E1282" s="2" t="s">
        <v>515</v>
      </c>
      <c r="F1282" s="2" t="s">
        <v>534</v>
      </c>
      <c r="G1282" s="2" t="s">
        <v>535</v>
      </c>
      <c r="H1282" s="3">
        <v>45412.479166666664</v>
      </c>
      <c r="I1282" s="2" t="s">
        <v>536</v>
      </c>
      <c r="J1282" s="2" t="s">
        <v>795</v>
      </c>
      <c r="K1282" s="2">
        <v>20</v>
      </c>
      <c r="L1282" s="2">
        <v>70</v>
      </c>
      <c r="M1282" s="2">
        <v>2.15</v>
      </c>
      <c r="N1282" s="2"/>
      <c r="O1282" s="2"/>
      <c r="P1282" s="2"/>
      <c r="Q1282" s="2" t="s">
        <v>95</v>
      </c>
      <c r="R1282" s="10" t="s">
        <v>193</v>
      </c>
      <c r="S1282" s="10" t="s">
        <v>217</v>
      </c>
      <c r="T1282" s="188">
        <v>1000</v>
      </c>
      <c r="U1282" s="8">
        <f t="shared" si="142"/>
        <v>180</v>
      </c>
      <c r="V1282" s="234">
        <f t="shared" si="146"/>
        <v>127564.1552461603</v>
      </c>
      <c r="W1282" s="15">
        <v>25</v>
      </c>
      <c r="X1282" s="8">
        <f t="shared" si="144"/>
        <v>4.5</v>
      </c>
      <c r="Y1282" s="233">
        <f t="shared" si="145"/>
        <v>5055</v>
      </c>
    </row>
    <row r="1283" spans="1:25">
      <c r="A1283" s="156" t="e" cm="1">
        <f t="array" aca="1" ref="A1283" ca="1">_xlfn.IFS(E1283=$AB$42,$AC$42,E1283=$AB$43,$AC$43,E1283=$AB$44,$AC$44,E1283=$AB$45,$AC$45,E1283=$AB$46,$AC$46,E1283=$AB$47,$AC$47,E1283=$AB$48,$AC$48,E1283=$AB$49,$AC$49,E1283=$AB$50,$AC$50,E1283=$AB$51,$AC$51,E1283=$AB$52,$AC$52,E1283=$AB$53,$AC$53,E1283=$AB$54,$AC$54,E1283=$AB$55,$AC$55,E1283=$AB$56,$AC$56,E1283=$AB$57,$AC$57,E1283=$AB$58,$AC$58,E1283=$AB$59,$AC$59,E1283=$AB$60,$AC$60,E1283=$AB$61,$AC$61,E1283=$AB$62,$AC$62,E1283=$AB$63,$AC$63,E1283=$AB$64,$AC$64,E1283=$AB$65,$AC$65,E1283=$AB$66,$AC$66,TRUE,"0")</f>
        <v>#NAME?</v>
      </c>
      <c r="C1283" s="161" t="str" cm="1">
        <f t="array" ref="C1283">_xlfn.IFS(E1283=$AB$42,$AF$42,E1283=$AB$43,$AF$43,E1283=$AB$44,$AF$44,E1283=$AB$45,$AF$45,E1283=$AB$46,$AF$46,E1283=$AB$47,$AF$47,E1283=$AB$48,$AF$48,E1283=$AB$49,$AF$49,E1283=$AB$50,$AF$50,E1283=$AB$51,$AF$51,E1283=$AB$52,$AF$52,E1283=$AB$53,$AF$53,E1283=$AB$54,$AF$54,E1283=$AB$55,$AF$55,E1283=$AB$56,$AF$56,E1283=$AB$57,$AF$57,E1283=$AB$58,$AF$58,E1283=$AB$59,$AF$59,E1283=$AB$60,$AF$60,E1283=$AB$61,$AF$61,E1283=$AB$62,$AF$62,E1283=$AB$63,$AF$63,E1283=$AB$64,$AF$64,E1283=$AB$65,$AF$65,E1283=$AB$66,$AF$66,TRUE,"0")</f>
        <v>B4 Match, lay HT 0-0 or BACK H1 +0.5 GOALS</v>
      </c>
      <c r="D1283" s="270" t="str" cm="1">
        <f t="array" ref="D1283">_xlfn.IFS(E1283=$AB$42,$AD$42,E1283=$AB$43,$AD$43,E1283=$AB$44,$AD$44,E1283=$AB$45,$AD$45,E1283=$AB$46,$AD$46,E1283=$AB$47,$AD$47,E1283=$AB$48,$AD$48,E1283=$AB$49,$AD$49,E1283=$AB$50,$AD$50,E1283=$AB$51,$AD$51,E1283=$AB$52,$AD$52,E1283=$AB$53,$AD$53,E1283=$AB$54,$AD$54,E1283=$AB$55,$AD$55,E1283=$AB$56,$AD$56,E1283=$AB$57,$AD$57,E1283=$AB$58,$AD$58,E1283=$AB$59,$AD$59,E1283=$AB$60,$AD$60,E1283=$AB$61,$AD$61,E1283=$AB$62,$AD$62,E1283=$AB$63,$AD$63,E1283=$AB$64,$AD$64,E1283=$AB$65,$AD$65,E1283=$AB$66,$AD$66,TRUE,"0")</f>
        <v xml:space="preserve">BFM </v>
      </c>
      <c r="E1283" s="2" t="s">
        <v>448</v>
      </c>
      <c r="F1283" s="2" t="s">
        <v>58</v>
      </c>
      <c r="G1283" s="2" t="s">
        <v>289</v>
      </c>
      <c r="H1283" s="3">
        <v>45412.822916666664</v>
      </c>
      <c r="I1283" s="2" t="s">
        <v>624</v>
      </c>
      <c r="J1283" s="2" t="s">
        <v>452</v>
      </c>
      <c r="K1283" s="2">
        <v>20</v>
      </c>
      <c r="L1283" s="2">
        <v>10</v>
      </c>
      <c r="M1283" s="2">
        <v>31</v>
      </c>
      <c r="N1283" s="2">
        <v>4</v>
      </c>
      <c r="O1283" s="2">
        <v>8</v>
      </c>
      <c r="P1283" s="2">
        <v>7</v>
      </c>
      <c r="Q1283" s="2" t="s">
        <v>95</v>
      </c>
      <c r="R1283" s="10" t="s">
        <v>193</v>
      </c>
      <c r="S1283" s="10" t="s">
        <v>288</v>
      </c>
      <c r="T1283" s="188">
        <v>1000</v>
      </c>
      <c r="U1283" s="8">
        <f t="shared" si="142"/>
        <v>180</v>
      </c>
      <c r="V1283" s="234">
        <f t="shared" si="146"/>
        <v>127744.1552461603</v>
      </c>
      <c r="W1283" s="15">
        <v>25</v>
      </c>
      <c r="X1283" s="8">
        <f t="shared" si="144"/>
        <v>4.5</v>
      </c>
      <c r="Y1283" s="233">
        <f t="shared" si="145"/>
        <v>5059.5</v>
      </c>
    </row>
    <row r="1284" spans="1:25">
      <c r="A1284" s="156" t="e" cm="1">
        <f t="array" aca="1" ref="A1284" ca="1">_xlfn.IFS(E1284=$AB$42,$AC$42,E1284=$AB$43,$AC$43,E1284=$AB$44,$AC$44,E1284=$AB$45,$AC$45,E1284=$AB$46,$AC$46,E1284=$AB$47,$AC$47,E1284=$AB$48,$AC$48,E1284=$AB$49,$AC$49,E1284=$AB$50,$AC$50,E1284=$AB$51,$AC$51,E1284=$AB$52,$AC$52,E1284=$AB$53,$AC$53,E1284=$AB$54,$AC$54,E1284=$AB$55,$AC$55,E1284=$AB$56,$AC$56,E1284=$AB$57,$AC$57,E1284=$AB$58,$AC$58,E1284=$AB$59,$AC$59,E1284=$AB$60,$AC$60,E1284=$AB$61,$AC$61,E1284=$AB$62,$AC$62,E1284=$AB$63,$AC$63,E1284=$AB$64,$AC$64,E1284=$AB$65,$AC$65,E1284=$AB$66,$AC$66,TRUE,"0")</f>
        <v>#NAME?</v>
      </c>
      <c r="C1284" s="161" t="str" cm="1">
        <f t="array" ref="C1284">_xlfn.IFS(E1284=$AB$42,$AF$42,E1284=$AB$43,$AF$43,E1284=$AB$44,$AF$44,E1284=$AB$45,$AF$45,E1284=$AB$46,$AF$46,E1284=$AB$47,$AF$47,E1284=$AB$48,$AF$48,E1284=$AB$49,$AF$49,E1284=$AB$50,$AF$50,E1284=$AB$51,$AF$51,E1284=$AB$52,$AF$52,E1284=$AB$53,$AF$53,E1284=$AB$54,$AF$54,E1284=$AB$55,$AF$55,E1284=$AB$56,$AF$56,E1284=$AB$57,$AF$57,E1284=$AB$58,$AF$58,E1284=$AB$59,$AF$59,E1284=$AB$60,$AF$60,E1284=$AB$61,$AF$61,E1284=$AB$62,$AF$62,E1284=$AB$63,$AF$63,E1284=$AB$64,$AF$64,E1284=$AB$65,$AF$65,E1284=$AB$66,$AF$66,TRUE,"0")</f>
        <v>B4 match BACK FT +1.5 goals. X AFTER  GOAL</v>
      </c>
      <c r="D1284" s="270" t="str" cm="1">
        <f t="array" ref="D1284">_xlfn.IFS(E1284=$AB$42,$AD$42,E1284=$AB$43,$AD$43,E1284=$AB$44,$AD$44,E1284=$AB$45,$AD$45,E1284=$AB$46,$AD$46,E1284=$AB$47,$AD$47,E1284=$AB$48,$AD$48,E1284=$AB$49,$AD$49,E1284=$AB$50,$AD$50,E1284=$AB$51,$AD$51,E1284=$AB$52,$AD$52,E1284=$AB$53,$AD$53,E1284=$AB$54,$AD$54,E1284=$AB$55,$AD$55,E1284=$AB$56,$AD$56,E1284=$AB$57,$AD$57,E1284=$AB$58,$AD$58,E1284=$AB$59,$AD$59,E1284=$AB$60,$AD$60,E1284=$AB$61,$AD$61,E1284=$AB$62,$AD$62,E1284=$AB$63,$AD$63,E1284=$AB$64,$AD$64,E1284=$AB$65,$AD$65,E1284=$AB$66,$AD$66,TRUE,"0")</f>
        <v xml:space="preserve">BFM </v>
      </c>
      <c r="E1284" s="2" t="s">
        <v>623</v>
      </c>
      <c r="F1284" s="2" t="s">
        <v>44</v>
      </c>
      <c r="G1284" s="2" t="s">
        <v>45</v>
      </c>
      <c r="H1284" s="3">
        <v>45413.416666666664</v>
      </c>
      <c r="I1284" s="2" t="s">
        <v>180</v>
      </c>
      <c r="J1284" s="2" t="s">
        <v>124</v>
      </c>
      <c r="K1284" s="2">
        <v>5.2</v>
      </c>
      <c r="L1284" s="2">
        <v>20</v>
      </c>
      <c r="M1284" s="2">
        <v>3.55</v>
      </c>
      <c r="N1284" s="2">
        <v>33</v>
      </c>
      <c r="O1284" s="2">
        <v>2</v>
      </c>
      <c r="P1284" s="2">
        <v>10</v>
      </c>
      <c r="Q1284" s="2" t="s">
        <v>95</v>
      </c>
      <c r="R1284" s="10" t="s">
        <v>214</v>
      </c>
      <c r="S1284" s="10" t="s">
        <v>220</v>
      </c>
      <c r="T1284" s="188">
        <v>1000</v>
      </c>
      <c r="U1284" s="8">
        <f t="shared" si="142"/>
        <v>180</v>
      </c>
      <c r="V1284" s="234">
        <f t="shared" si="146"/>
        <v>127924.1552461603</v>
      </c>
      <c r="W1284" s="15">
        <v>25</v>
      </c>
      <c r="X1284" s="8">
        <f t="shared" si="144"/>
        <v>4.5</v>
      </c>
      <c r="Y1284" s="233">
        <f t="shared" si="145"/>
        <v>5064</v>
      </c>
    </row>
    <row r="1285" spans="1:25">
      <c r="A1285" s="156" t="e" cm="1">
        <f t="array" aca="1" ref="A1285" ca="1">_xlfn.IFS(E1285=$AB$42,$AC$42,E1285=$AB$43,$AC$43,E1285=$AB$44,$AC$44,E1285=$AB$45,$AC$45,E1285=$AB$46,$AC$46,E1285=$AB$47,$AC$47,E1285=$AB$48,$AC$48,E1285=$AB$49,$AC$49,E1285=$AB$50,$AC$50,E1285=$AB$51,$AC$51,E1285=$AB$52,$AC$52,E1285=$AB$53,$AC$53,E1285=$AB$54,$AC$54,E1285=$AB$55,$AC$55,E1285=$AB$56,$AC$56,E1285=$AB$57,$AC$57,E1285=$AB$58,$AC$58,E1285=$AB$59,$AC$59,E1285=$AB$60,$AC$60,E1285=$AB$61,$AC$61,E1285=$AB$62,$AC$62,E1285=$AB$63,$AC$63,E1285=$AB$64,$AC$64,E1285=$AB$65,$AC$65,E1285=$AB$66,$AC$66,TRUE,"0")</f>
        <v>#NAME?</v>
      </c>
      <c r="C1285" s="161" t="str" cm="1">
        <f t="array" ref="C1285">_xlfn.IFS(E1285=$AB$42,$AF$42,E1285=$AB$43,$AF$43,E1285=$AB$44,$AF$44,E1285=$AB$45,$AF$45,E1285=$AB$46,$AF$46,E1285=$AB$47,$AF$47,E1285=$AB$48,$AF$48,E1285=$AB$49,$AF$49,E1285=$AB$50,$AF$50,E1285=$AB$51,$AF$51,E1285=$AB$52,$AF$52,E1285=$AB$53,$AF$53,E1285=$AB$54,$AF$54,E1285=$AB$55,$AF$55,E1285=$AB$56,$AF$56,E1285=$AB$57,$AF$57,E1285=$AB$58,$AF$58,E1285=$AB$59,$AF$59,E1285=$AB$60,$AF$60,E1285=$AB$61,$AF$61,E1285=$AB$62,$AF$62,E1285=$AB$63,$AF$63,E1285=$AB$64,$AF$64,E1285=$AB$65,$AF$65,E1285=$AB$66,$AF$66,TRUE,"0")</f>
        <v>if 0-0, BACK+ 0.5 GOALS  @ 1.15+odds.  or @ 40 mins</v>
      </c>
      <c r="D1285" s="270" t="str" cm="1">
        <f t="array" ref="D1285">_xlfn.IFS(E1285=$AB$42,$AD$42,E1285=$AB$43,$AD$43,E1285=$AB$44,$AD$44,E1285=$AB$45,$AD$45,E1285=$AB$46,$AD$46,E1285=$AB$47,$AD$47,E1285=$AB$48,$AD$48,E1285=$AB$49,$AD$49,E1285=$AB$50,$AD$50,E1285=$AB$51,$AD$51,E1285=$AB$52,$AD$52,E1285=$AB$53,$AD$53,E1285=$AB$54,$AD$54,E1285=$AB$55,$AD$55,E1285=$AB$56,$AD$56,E1285=$AB$57,$AD$57,E1285=$AB$58,$AD$58,E1285=$AB$59,$AD$59,E1285=$AB$60,$AD$60,E1285=$AB$61,$AD$61,E1285=$AB$62,$AD$62,E1285=$AB$63,$AD$63,E1285=$AB$64,$AD$64,E1285=$AB$65,$AD$65,E1285=$AB$66,$AD$66,TRUE,"0")</f>
        <v>IP</v>
      </c>
      <c r="E1285" s="2" t="s">
        <v>270</v>
      </c>
      <c r="F1285" s="2" t="s">
        <v>20</v>
      </c>
      <c r="G1285" s="2" t="s">
        <v>322</v>
      </c>
      <c r="H1285" s="3">
        <v>45413.479166666664</v>
      </c>
      <c r="I1285" s="2" t="s">
        <v>454</v>
      </c>
      <c r="J1285" s="2" t="s">
        <v>796</v>
      </c>
      <c r="K1285" s="2">
        <v>60</v>
      </c>
      <c r="L1285" s="2">
        <v>0</v>
      </c>
      <c r="M1285" s="2">
        <v>20</v>
      </c>
      <c r="N1285" s="2">
        <v>39</v>
      </c>
      <c r="O1285" s="2">
        <v>2.27</v>
      </c>
      <c r="P1285" s="2"/>
      <c r="Q1285" s="2" t="s">
        <v>95</v>
      </c>
      <c r="R1285" s="10" t="s">
        <v>214</v>
      </c>
      <c r="S1285" s="10" t="s">
        <v>222</v>
      </c>
      <c r="T1285" s="188">
        <v>1000</v>
      </c>
      <c r="U1285" s="8">
        <f t="shared" si="142"/>
        <v>180</v>
      </c>
      <c r="V1285" s="234">
        <f t="shared" si="146"/>
        <v>128104.1552461603</v>
      </c>
      <c r="W1285" s="15">
        <v>25</v>
      </c>
      <c r="X1285" s="8">
        <f t="shared" si="144"/>
        <v>4.5</v>
      </c>
      <c r="Y1285" s="233">
        <f t="shared" si="145"/>
        <v>5068.5</v>
      </c>
    </row>
    <row r="1286" spans="1:25">
      <c r="A1286" s="156" t="e" cm="1">
        <f t="array" aca="1" ref="A1286" ca="1">_xlfn.IFS(E1286=$AB$42,$AC$42,E1286=$AB$43,$AC$43,E1286=$AB$44,$AC$44,E1286=$AB$45,$AC$45,E1286=$AB$46,$AC$46,E1286=$AB$47,$AC$47,E1286=$AB$48,$AC$48,E1286=$AB$49,$AC$49,E1286=$AB$50,$AC$50,E1286=$AB$51,$AC$51,E1286=$AB$52,$AC$52,E1286=$AB$53,$AC$53,E1286=$AB$54,$AC$54,E1286=$AB$55,$AC$55,E1286=$AB$56,$AC$56,E1286=$AB$57,$AC$57,E1286=$AB$58,$AC$58,E1286=$AB$59,$AC$59,E1286=$AB$60,$AC$60,E1286=$AB$61,$AC$61,E1286=$AB$62,$AC$62,E1286=$AB$63,$AC$63,E1286=$AB$64,$AC$64,E1286=$AB$65,$AC$65,E1286=$AB$66,$AC$66,TRUE,"0")</f>
        <v>#NAME?</v>
      </c>
      <c r="C1286" s="161" t="str" cm="1">
        <f t="array" ref="C1286">_xlfn.IFS(E1286=$AB$42,$AF$42,E1286=$AB$43,$AF$43,E1286=$AB$44,$AF$44,E1286=$AB$45,$AF$45,E1286=$AB$46,$AF$46,E1286=$AB$47,$AF$47,E1286=$AB$48,$AF$48,E1286=$AB$49,$AF$49,E1286=$AB$50,$AF$50,E1286=$AB$51,$AF$51,E1286=$AB$52,$AF$52,E1286=$AB$53,$AF$53,E1286=$AB$54,$AF$54,E1286=$AB$55,$AF$55,E1286=$AB$56,$AF$56,E1286=$AB$57,$AF$57,E1286=$AB$58,$AF$58,E1286=$AB$59,$AF$59,E1286=$AB$60,$AF$60,E1286=$AB$61,$AF$61,E1286=$AB$62,$AF$62,E1286=$AB$63,$AF$63,E1286=$AB$64,$AF$64,E1286=$AB$65,$AF$65,E1286=$AB$66,$AF$66,TRUE,"0")</f>
        <v>if 0-0, BACK+ 0.5 GOALS  @ 1.15+odds.  or @ 40 mins</v>
      </c>
      <c r="D1286" s="270" t="str" cm="1">
        <f t="array" ref="D1286">_xlfn.IFS(E1286=$AB$42,$AD$42,E1286=$AB$43,$AD$43,E1286=$AB$44,$AD$44,E1286=$AB$45,$AD$45,E1286=$AB$46,$AD$46,E1286=$AB$47,$AD$47,E1286=$AB$48,$AD$48,E1286=$AB$49,$AD$49,E1286=$AB$50,$AD$50,E1286=$AB$51,$AD$51,E1286=$AB$52,$AD$52,E1286=$AB$53,$AD$53,E1286=$AB$54,$AD$54,E1286=$AB$55,$AD$55,E1286=$AB$56,$AD$56,E1286=$AB$57,$AD$57,E1286=$AB$58,$AD$58,E1286=$AB$59,$AD$59,E1286=$AB$60,$AD$60,E1286=$AB$61,$AD$61,E1286=$AB$62,$AD$62,E1286=$AB$63,$AD$63,E1286=$AB$64,$AD$64,E1286=$AB$65,$AD$65,E1286=$AB$66,$AD$66,TRUE,"0")</f>
        <v>IP</v>
      </c>
      <c r="E1286" s="2" t="s">
        <v>270</v>
      </c>
      <c r="F1286" s="2" t="s">
        <v>626</v>
      </c>
      <c r="G1286" s="2" t="s">
        <v>627</v>
      </c>
      <c r="H1286" s="3">
        <v>45413.625</v>
      </c>
      <c r="I1286" s="2" t="s">
        <v>635</v>
      </c>
      <c r="J1286" s="2" t="s">
        <v>628</v>
      </c>
      <c r="K1286" s="2">
        <v>63</v>
      </c>
      <c r="L1286" s="2">
        <v>0</v>
      </c>
      <c r="M1286" s="2">
        <v>20</v>
      </c>
      <c r="N1286" s="2">
        <v>37</v>
      </c>
      <c r="O1286" s="2">
        <v>0</v>
      </c>
      <c r="P1286" s="2"/>
      <c r="Q1286" s="2" t="s">
        <v>95</v>
      </c>
      <c r="R1286" s="10" t="s">
        <v>214</v>
      </c>
      <c r="S1286" s="10" t="s">
        <v>220</v>
      </c>
      <c r="T1286" s="188">
        <v>1000</v>
      </c>
      <c r="U1286" s="8">
        <f t="shared" si="142"/>
        <v>180</v>
      </c>
      <c r="V1286" s="234">
        <f t="shared" si="146"/>
        <v>128284.1552461603</v>
      </c>
      <c r="W1286" s="15">
        <v>25</v>
      </c>
      <c r="X1286" s="8">
        <f t="shared" si="144"/>
        <v>4.5</v>
      </c>
      <c r="Y1286" s="233">
        <f t="shared" si="145"/>
        <v>5073</v>
      </c>
    </row>
    <row r="1287" spans="1:25">
      <c r="A1287" s="156" t="e" cm="1">
        <f t="array" aca="1" ref="A1287" ca="1">_xlfn.IFS(E1287=$AB$42,$AC$42,E1287=$AB$43,$AC$43,E1287=$AB$44,$AC$44,E1287=$AB$45,$AC$45,E1287=$AB$46,$AC$46,E1287=$AB$47,$AC$47,E1287=$AB$48,$AC$48,E1287=$AB$49,$AC$49,E1287=$AB$50,$AC$50,E1287=$AB$51,$AC$51,E1287=$AB$52,$AC$52,E1287=$AB$53,$AC$53,E1287=$AB$54,$AC$54,E1287=$AB$55,$AC$55,E1287=$AB$56,$AC$56,E1287=$AB$57,$AC$57,E1287=$AB$58,$AC$58,E1287=$AB$59,$AC$59,E1287=$AB$60,$AC$60,E1287=$AB$61,$AC$61,E1287=$AB$62,$AC$62,E1287=$AB$63,$AC$63,E1287=$AB$64,$AC$64,E1287=$AB$65,$AC$65,E1287=$AB$66,$AC$66,TRUE,"0")</f>
        <v>#NAME?</v>
      </c>
      <c r="C1287" s="161" t="str" cm="1">
        <f t="array" ref="C1287">_xlfn.IFS(E1287=$AB$42,$AF$42,E1287=$AB$43,$AF$43,E1287=$AB$44,$AF$44,E1287=$AB$45,$AF$45,E1287=$AB$46,$AF$46,E1287=$AB$47,$AF$47,E1287=$AB$48,$AF$48,E1287=$AB$49,$AF$49,E1287=$AB$50,$AF$50,E1287=$AB$51,$AF$51,E1287=$AB$52,$AF$52,E1287=$AB$53,$AF$53,E1287=$AB$54,$AF$54,E1287=$AB$55,$AF$55,E1287=$AB$56,$AF$56,E1287=$AB$57,$AF$57,E1287=$AB$58,$AF$58,E1287=$AB$59,$AF$59,E1287=$AB$60,$AF$60,E1287=$AB$61,$AF$61,E1287=$AB$62,$AF$62,E1287=$AB$63,$AF$63,E1287=$AB$64,$AF$64,E1287=$AB$65,$AF$65,E1287=$AB$66,$AF$66,TRUE,"0")</f>
        <v>40 mins Back ANother Goal</v>
      </c>
      <c r="D1287" s="270" t="str" cm="1">
        <f t="array" ref="D1287">_xlfn.IFS(E1287=$AB$42,$AD$42,E1287=$AB$43,$AD$43,E1287=$AB$44,$AD$44,E1287=$AB$45,$AD$45,E1287=$AB$46,$AD$46,E1287=$AB$47,$AD$47,E1287=$AB$48,$AD$48,E1287=$AB$49,$AD$49,E1287=$AB$50,$AD$50,E1287=$AB$51,$AD$51,E1287=$AB$52,$AD$52,E1287=$AB$53,$AD$53,E1287=$AB$54,$AD$54,E1287=$AB$55,$AD$55,E1287=$AB$56,$AD$56,E1287=$AB$57,$AD$57,E1287=$AB$58,$AD$58,E1287=$AB$59,$AD$59,E1287=$AB$60,$AD$60,E1287=$AB$61,$AD$61,E1287=$AB$62,$AD$62,E1287=$AB$63,$AD$63,E1287=$AB$64,$AD$64,E1287=$AB$65,$AD$65,E1287=$AB$66,$AD$66,TRUE,"0")</f>
        <v xml:space="preserve">  BANG</v>
      </c>
      <c r="E1287" s="2" t="s">
        <v>43</v>
      </c>
      <c r="F1287" s="2" t="s">
        <v>20</v>
      </c>
      <c r="G1287" s="2" t="s">
        <v>322</v>
      </c>
      <c r="H1287" s="3">
        <v>45413.708333333336</v>
      </c>
      <c r="I1287" s="2" t="s">
        <v>749</v>
      </c>
      <c r="J1287" s="2" t="s">
        <v>693</v>
      </c>
      <c r="K1287" s="2">
        <v>71</v>
      </c>
      <c r="L1287" s="2">
        <v>82</v>
      </c>
      <c r="M1287" s="2">
        <v>64</v>
      </c>
      <c r="N1287" s="2">
        <v>1.45</v>
      </c>
      <c r="O1287" s="2">
        <v>1.48</v>
      </c>
      <c r="P1287" s="2"/>
      <c r="Q1287" s="2" t="s">
        <v>95</v>
      </c>
      <c r="R1287" s="10" t="s">
        <v>221</v>
      </c>
      <c r="S1287" s="10" t="s">
        <v>214</v>
      </c>
      <c r="T1287" s="188">
        <v>1000</v>
      </c>
      <c r="U1287" s="8">
        <f t="shared" si="142"/>
        <v>180</v>
      </c>
      <c r="V1287" s="234">
        <f t="shared" si="146"/>
        <v>128464.1552461603</v>
      </c>
      <c r="W1287" s="15">
        <v>25</v>
      </c>
      <c r="X1287" s="8">
        <f t="shared" si="144"/>
        <v>4.5</v>
      </c>
      <c r="Y1287" s="233">
        <f t="shared" si="145"/>
        <v>5077.5</v>
      </c>
    </row>
    <row r="1288" spans="1:25">
      <c r="A1288" s="156" t="e" cm="1">
        <f t="array" aca="1" ref="A1288" ca="1">_xlfn.IFS(E1288=$AB$42,$AC$42,E1288=$AB$43,$AC$43,E1288=$AB$44,$AC$44,E1288=$AB$45,$AC$45,E1288=$AB$46,$AC$46,E1288=$AB$47,$AC$47,E1288=$AB$48,$AC$48,E1288=$AB$49,$AC$49,E1288=$AB$50,$AC$50,E1288=$AB$51,$AC$51,E1288=$AB$52,$AC$52,E1288=$AB$53,$AC$53,E1288=$AB$54,$AC$54,E1288=$AB$55,$AC$55,E1288=$AB$56,$AC$56,E1288=$AB$57,$AC$57,E1288=$AB$58,$AC$58,E1288=$AB$59,$AC$59,E1288=$AB$60,$AC$60,E1288=$AB$61,$AC$61,E1288=$AB$62,$AC$62,E1288=$AB$63,$AC$63,E1288=$AB$64,$AC$64,E1288=$AB$65,$AC$65,E1288=$AB$66,$AC$66,TRUE,"0")</f>
        <v>#NAME?</v>
      </c>
      <c r="C1288" s="161" t="str" cm="1">
        <f t="array" ref="C1288">_xlfn.IFS(E1288=$AB$42,$AF$42,E1288=$AB$43,$AF$43,E1288=$AB$44,$AF$44,E1288=$AB$45,$AF$45,E1288=$AB$46,$AF$46,E1288=$AB$47,$AF$47,E1288=$AB$48,$AF$48,E1288=$AB$49,$AF$49,E1288=$AB$50,$AF$50,E1288=$AB$51,$AF$51,E1288=$AB$52,$AF$52,E1288=$AB$53,$AF$53,E1288=$AB$54,$AF$54,E1288=$AB$55,$AF$55,E1288=$AB$56,$AF$56,E1288=$AB$57,$AF$57,E1288=$AB$58,$AF$58,E1288=$AB$59,$AF$59,E1288=$AB$60,$AF$60,E1288=$AB$61,$AF$61,E1288=$AB$62,$AF$62,E1288=$AB$63,$AF$63,E1288=$AB$64,$AF$64,E1288=$AB$65,$AF$65,E1288=$AB$66,$AF$66,TRUE,"0")</f>
        <v>40 mins Back ANother Goal</v>
      </c>
      <c r="D1288" s="270" t="str" cm="1">
        <f t="array" ref="D1288">_xlfn.IFS(E1288=$AB$42,$AD$42,E1288=$AB$43,$AD$43,E1288=$AB$44,$AD$44,E1288=$AB$45,$AD$45,E1288=$AB$46,$AD$46,E1288=$AB$47,$AD$47,E1288=$AB$48,$AD$48,E1288=$AB$49,$AD$49,E1288=$AB$50,$AD$50,E1288=$AB$51,$AD$51,E1288=$AB$52,$AD$52,E1288=$AB$53,$AD$53,E1288=$AB$54,$AD$54,E1288=$AB$55,$AD$55,E1288=$AB$56,$AD$56,E1288=$AB$57,$AD$57,E1288=$AB$58,$AD$58,E1288=$AB$59,$AD$59,E1288=$AB$60,$AD$60,E1288=$AB$61,$AD$61,E1288=$AB$62,$AD$62,E1288=$AB$63,$AD$63,E1288=$AB$64,$AD$64,E1288=$AB$65,$AD$65,E1288=$AB$66,$AD$66,TRUE,"0")</f>
        <v xml:space="preserve">  BANG</v>
      </c>
      <c r="E1288" s="2" t="s">
        <v>515</v>
      </c>
      <c r="F1288" s="2" t="s">
        <v>626</v>
      </c>
      <c r="G1288" s="2" t="s">
        <v>627</v>
      </c>
      <c r="H1288" s="3">
        <v>45413.729166666664</v>
      </c>
      <c r="I1288" s="2" t="s">
        <v>724</v>
      </c>
      <c r="J1288" s="2" t="s">
        <v>629</v>
      </c>
      <c r="K1288" s="2">
        <v>20</v>
      </c>
      <c r="L1288" s="2">
        <v>72</v>
      </c>
      <c r="M1288" s="2">
        <v>1.95</v>
      </c>
      <c r="N1288" s="2"/>
      <c r="O1288" s="2"/>
      <c r="P1288" s="2"/>
      <c r="Q1288" s="2" t="s">
        <v>95</v>
      </c>
      <c r="R1288" s="10" t="s">
        <v>214</v>
      </c>
      <c r="S1288" s="10" t="s">
        <v>216</v>
      </c>
      <c r="T1288" s="188">
        <v>1000</v>
      </c>
      <c r="U1288" s="8">
        <f t="shared" si="142"/>
        <v>180</v>
      </c>
      <c r="V1288" s="234">
        <f t="shared" si="146"/>
        <v>128644.1552461603</v>
      </c>
      <c r="W1288" s="15">
        <v>25</v>
      </c>
      <c r="X1288" s="8">
        <f t="shared" si="144"/>
        <v>4.5</v>
      </c>
      <c r="Y1288" s="233">
        <f t="shared" si="145"/>
        <v>5082</v>
      </c>
    </row>
    <row r="1289" spans="1:25">
      <c r="A1289" s="156" t="e" cm="1">
        <f t="array" aca="1" ref="A1289" ca="1">_xlfn.IFS(E1289=$AB$42,$AC$42,E1289=$AB$43,$AC$43,E1289=$AB$44,$AC$44,E1289=$AB$45,$AC$45,E1289=$AB$46,$AC$46,E1289=$AB$47,$AC$47,E1289=$AB$48,$AC$48,E1289=$AB$49,$AC$49,E1289=$AB$50,$AC$50,E1289=$AB$51,$AC$51,E1289=$AB$52,$AC$52,E1289=$AB$53,$AC$53,E1289=$AB$54,$AC$54,E1289=$AB$55,$AC$55,E1289=$AB$56,$AC$56,E1289=$AB$57,$AC$57,E1289=$AB$58,$AC$58,E1289=$AB$59,$AC$59,E1289=$AB$60,$AC$60,E1289=$AB$61,$AC$61,E1289=$AB$62,$AC$62,E1289=$AB$63,$AC$63,E1289=$AB$64,$AC$64,E1289=$AB$65,$AC$65,E1289=$AB$66,$AC$66,TRUE,"0")</f>
        <v>#NAME?</v>
      </c>
      <c r="C1289" s="161" t="str" cm="1">
        <f t="array" ref="C1289">_xlfn.IFS(E1289=$AB$42,$AF$42,E1289=$AB$43,$AF$43,E1289=$AB$44,$AF$44,E1289=$AB$45,$AF$45,E1289=$AB$46,$AF$46,E1289=$AB$47,$AF$47,E1289=$AB$48,$AF$48,E1289=$AB$49,$AF$49,E1289=$AB$50,$AF$50,E1289=$AB$51,$AF$51,E1289=$AB$52,$AF$52,E1289=$AB$53,$AF$53,E1289=$AB$54,$AF$54,E1289=$AB$55,$AF$55,E1289=$AB$56,$AF$56,E1289=$AB$57,$AF$57,E1289=$AB$58,$AF$58,E1289=$AB$59,$AF$59,E1289=$AB$60,$AF$60,E1289=$AB$61,$AF$61,E1289=$AB$62,$AF$62,E1289=$AB$63,$AF$63,E1289=$AB$64,$AF$64,E1289=$AB$65,$AF$65,E1289=$AB$66,$AF$66,TRUE,"0")</f>
        <v>B4 match BACK FT +1.5 goals. X AFTER  GOAL</v>
      </c>
      <c r="D1289" s="270" t="str" cm="1">
        <f t="array" ref="D1289">_xlfn.IFS(E1289=$AB$42,$AD$42,E1289=$AB$43,$AD$43,E1289=$AB$44,$AD$44,E1289=$AB$45,$AD$45,E1289=$AB$46,$AD$46,E1289=$AB$47,$AD$47,E1289=$AB$48,$AD$48,E1289=$AB$49,$AD$49,E1289=$AB$50,$AD$50,E1289=$AB$51,$AD$51,E1289=$AB$52,$AD$52,E1289=$AB$53,$AD$53,E1289=$AB$54,$AD$54,E1289=$AB$55,$AD$55,E1289=$AB$56,$AD$56,E1289=$AB$57,$AD$57,E1289=$AB$58,$AD$58,E1289=$AB$59,$AD$59,E1289=$AB$60,$AD$60,E1289=$AB$61,$AD$61,E1289=$AB$62,$AD$62,E1289=$AB$63,$AD$63,E1289=$AB$64,$AD$64,E1289=$AB$65,$AD$65,E1289=$AB$66,$AD$66,TRUE,"0")</f>
        <v xml:space="preserve">BFM </v>
      </c>
      <c r="E1289" s="2" t="s">
        <v>623</v>
      </c>
      <c r="F1289" s="2" t="s">
        <v>626</v>
      </c>
      <c r="G1289" s="2" t="s">
        <v>627</v>
      </c>
      <c r="H1289" s="3">
        <v>45414.75</v>
      </c>
      <c r="I1289" s="2" t="s">
        <v>720</v>
      </c>
      <c r="J1289" s="2" t="s">
        <v>798</v>
      </c>
      <c r="K1289" s="2">
        <v>5.2</v>
      </c>
      <c r="L1289" s="2">
        <v>20</v>
      </c>
      <c r="M1289" s="2">
        <v>3.45</v>
      </c>
      <c r="N1289" s="2">
        <v>20</v>
      </c>
      <c r="O1289" s="2">
        <v>1</v>
      </c>
      <c r="P1289" s="2">
        <v>10</v>
      </c>
      <c r="Q1289" s="2" t="s">
        <v>95</v>
      </c>
      <c r="R1289" s="10" t="s">
        <v>221</v>
      </c>
      <c r="S1289" s="10" t="s">
        <v>222</v>
      </c>
      <c r="T1289" s="188">
        <v>1000</v>
      </c>
      <c r="U1289" s="8">
        <f t="shared" si="142"/>
        <v>180</v>
      </c>
      <c r="V1289" s="234">
        <f t="shared" si="146"/>
        <v>128824.1552461603</v>
      </c>
      <c r="W1289" s="15">
        <v>25</v>
      </c>
      <c r="X1289" s="8">
        <f t="shared" si="144"/>
        <v>4.5</v>
      </c>
      <c r="Y1289" s="233">
        <f t="shared" si="145"/>
        <v>5086.5</v>
      </c>
    </row>
    <row r="1290" spans="1:25">
      <c r="A1290" s="156" t="e" cm="1">
        <f t="array" aca="1" ref="A1290" ca="1">_xlfn.IFS(E1290=$AB$42,$AC$42,E1290=$AB$43,$AC$43,E1290=$AB$44,$AC$44,E1290=$AB$45,$AC$45,E1290=$AB$46,$AC$46,E1290=$AB$47,$AC$47,E1290=$AB$48,$AC$48,E1290=$AB$49,$AC$49,E1290=$AB$50,$AC$50,E1290=$AB$51,$AC$51,E1290=$AB$52,$AC$52,E1290=$AB$53,$AC$53,E1290=$AB$54,$AC$54,E1290=$AB$55,$AC$55,E1290=$AB$56,$AC$56,E1290=$AB$57,$AC$57,E1290=$AB$58,$AC$58,E1290=$AB$59,$AC$59,E1290=$AB$60,$AC$60,E1290=$AB$61,$AC$61,E1290=$AB$62,$AC$62,E1290=$AB$63,$AC$63,E1290=$AB$64,$AC$64,E1290=$AB$65,$AC$65,E1290=$AB$66,$AC$66,TRUE,"0")</f>
        <v>#NAME?</v>
      </c>
      <c r="C1290" s="161" t="str" cm="1">
        <f t="array" ref="C1290">_xlfn.IFS(E1290=$AB$42,$AF$42,E1290=$AB$43,$AF$43,E1290=$AB$44,$AF$44,E1290=$AB$45,$AF$45,E1290=$AB$46,$AF$46,E1290=$AB$47,$AF$47,E1290=$AB$48,$AF$48,E1290=$AB$49,$AF$49,E1290=$AB$50,$AF$50,E1290=$AB$51,$AF$51,E1290=$AB$52,$AF$52,E1290=$AB$53,$AF$53,E1290=$AB$54,$AF$54,E1290=$AB$55,$AF$55,E1290=$AB$56,$AF$56,E1290=$AB$57,$AF$57,E1290=$AB$58,$AF$58,E1290=$AB$59,$AF$59,E1290=$AB$60,$AF$60,E1290=$AB$61,$AF$61,E1290=$AB$62,$AF$62,E1290=$AB$63,$AF$63,E1290=$AB$64,$AF$64,E1290=$AB$65,$AF$65,E1290=$AB$66,$AF$66,TRUE,"0")</f>
        <v>40 mins Back ANother Goal</v>
      </c>
      <c r="D1290" s="270" t="str" cm="1">
        <f t="array" ref="D1290">_xlfn.IFS(E1290=$AB$42,$AD$42,E1290=$AB$43,$AD$43,E1290=$AB$44,$AD$44,E1290=$AB$45,$AD$45,E1290=$AB$46,$AD$46,E1290=$AB$47,$AD$47,E1290=$AB$48,$AD$48,E1290=$AB$49,$AD$49,E1290=$AB$50,$AD$50,E1290=$AB$51,$AD$51,E1290=$AB$52,$AD$52,E1290=$AB$53,$AD$53,E1290=$AB$54,$AD$54,E1290=$AB$55,$AD$55,E1290=$AB$56,$AD$56,E1290=$AB$57,$AD$57,E1290=$AB$58,$AD$58,E1290=$AB$59,$AD$59,E1290=$AB$60,$AD$60,E1290=$AB$61,$AD$61,E1290=$AB$62,$AD$62,E1290=$AB$63,$AD$63,E1290=$AB$64,$AD$64,E1290=$AB$65,$AD$65,E1290=$AB$66,$AD$66,TRUE,"0")</f>
        <v xml:space="preserve">  BANG</v>
      </c>
      <c r="E1290" s="2" t="s">
        <v>792</v>
      </c>
      <c r="F1290" s="2" t="s">
        <v>6</v>
      </c>
      <c r="G1290" s="2" t="s">
        <v>62</v>
      </c>
      <c r="H1290" s="3">
        <v>45414.8125</v>
      </c>
      <c r="I1290" s="2" t="s">
        <v>65</v>
      </c>
      <c r="J1290" s="2" t="s">
        <v>116</v>
      </c>
      <c r="K1290" s="2">
        <v>2.15</v>
      </c>
      <c r="L1290" s="2">
        <v>90</v>
      </c>
      <c r="M1290" s="2">
        <v>70</v>
      </c>
      <c r="N1290" s="2">
        <v>63</v>
      </c>
      <c r="O1290" s="2">
        <v>20</v>
      </c>
      <c r="P1290" s="2"/>
      <c r="Q1290" s="2" t="s">
        <v>95</v>
      </c>
      <c r="R1290" s="10" t="s">
        <v>214</v>
      </c>
      <c r="S1290" s="10" t="s">
        <v>220</v>
      </c>
      <c r="T1290" s="188">
        <v>1000</v>
      </c>
      <c r="U1290" s="8">
        <f t="shared" si="142"/>
        <v>180</v>
      </c>
      <c r="V1290" s="234">
        <f t="shared" si="146"/>
        <v>129004.1552461603</v>
      </c>
      <c r="W1290" s="15">
        <v>25</v>
      </c>
      <c r="X1290" s="8">
        <f t="shared" si="144"/>
        <v>4.5</v>
      </c>
      <c r="Y1290" s="233">
        <f t="shared" si="145"/>
        <v>5091</v>
      </c>
    </row>
    <row r="1291" spans="1:25">
      <c r="A1291" s="156" t="e" cm="1">
        <f t="array" aca="1" ref="A1291" ca="1">_xlfn.IFS(E1291=$AB$42,$AC$42,E1291=$AB$43,$AC$43,E1291=$AB$44,$AC$44,E1291=$AB$45,$AC$45,E1291=$AB$46,$AC$46,E1291=$AB$47,$AC$47,E1291=$AB$48,$AC$48,E1291=$AB$49,$AC$49,E1291=$AB$50,$AC$50,E1291=$AB$51,$AC$51,E1291=$AB$52,$AC$52,E1291=$AB$53,$AC$53,E1291=$AB$54,$AC$54,E1291=$AB$55,$AC$55,E1291=$AB$56,$AC$56,E1291=$AB$57,$AC$57,E1291=$AB$58,$AC$58,E1291=$AB$59,$AC$59,E1291=$AB$60,$AC$60,E1291=$AB$61,$AC$61,E1291=$AB$62,$AC$62,E1291=$AB$63,$AC$63,E1291=$AB$64,$AC$64,E1291=$AB$65,$AC$65,E1291=$AB$66,$AC$66,TRUE,"0")</f>
        <v>#NAME?</v>
      </c>
      <c r="C1291" s="161" t="str" cm="1">
        <f t="array" ref="C1291">_xlfn.IFS(E1291=$AB$42,$AF$42,E1291=$AB$43,$AF$43,E1291=$AB$44,$AF$44,E1291=$AB$45,$AF$45,E1291=$AB$46,$AF$46,E1291=$AB$47,$AF$47,E1291=$AB$48,$AF$48,E1291=$AB$49,$AF$49,E1291=$AB$50,$AF$50,E1291=$AB$51,$AF$51,E1291=$AB$52,$AF$52,E1291=$AB$53,$AF$53,E1291=$AB$54,$AF$54,E1291=$AB$55,$AF$55,E1291=$AB$56,$AF$56,E1291=$AB$57,$AF$57,E1291=$AB$58,$AF$58,E1291=$AB$59,$AF$59,E1291=$AB$60,$AF$60,E1291=$AB$61,$AF$61,E1291=$AB$62,$AF$62,E1291=$AB$63,$AF$63,E1291=$AB$64,$AF$64,E1291=$AB$65,$AF$65,E1291=$AB$66,$AF$66,TRUE,"0")</f>
        <v>40 mins Back ANother Goal</v>
      </c>
      <c r="D1291" s="270" t="str" cm="1">
        <f t="array" ref="D1291">_xlfn.IFS(E1291=$AB$42,$AD$42,E1291=$AB$43,$AD$43,E1291=$AB$44,$AD$44,E1291=$AB$45,$AD$45,E1291=$AB$46,$AD$46,E1291=$AB$47,$AD$47,E1291=$AB$48,$AD$48,E1291=$AB$49,$AD$49,E1291=$AB$50,$AD$50,E1291=$AB$51,$AD$51,E1291=$AB$52,$AD$52,E1291=$AB$53,$AD$53,E1291=$AB$54,$AD$54,E1291=$AB$55,$AD$55,E1291=$AB$56,$AD$56,E1291=$AB$57,$AD$57,E1291=$AB$58,$AD$58,E1291=$AB$59,$AD$59,E1291=$AB$60,$AD$60,E1291=$AB$61,$AD$61,E1291=$AB$62,$AD$62,E1291=$AB$63,$AD$63,E1291=$AB$64,$AD$64,E1291=$AB$65,$AD$65,E1291=$AB$66,$AD$66,TRUE,"0")</f>
        <v xml:space="preserve">  BANG</v>
      </c>
      <c r="E1291" s="2" t="s">
        <v>726</v>
      </c>
      <c r="F1291" s="2" t="s">
        <v>6</v>
      </c>
      <c r="G1291" s="2" t="s">
        <v>62</v>
      </c>
      <c r="H1291" s="3">
        <v>45414.8125</v>
      </c>
      <c r="I1291" s="2" t="s">
        <v>65</v>
      </c>
      <c r="J1291" s="2" t="s">
        <v>116</v>
      </c>
      <c r="K1291" s="2">
        <v>90</v>
      </c>
      <c r="L1291" s="2">
        <v>20</v>
      </c>
      <c r="M1291" s="2">
        <v>2.15</v>
      </c>
      <c r="N1291" s="2">
        <v>63</v>
      </c>
      <c r="O1291" s="2"/>
      <c r="P1291" s="2"/>
      <c r="Q1291" s="2" t="s">
        <v>95</v>
      </c>
      <c r="R1291" s="10" t="s">
        <v>214</v>
      </c>
      <c r="S1291" s="10" t="s">
        <v>220</v>
      </c>
      <c r="T1291" s="188">
        <v>1000</v>
      </c>
      <c r="U1291" s="8">
        <f t="shared" si="142"/>
        <v>180</v>
      </c>
      <c r="V1291" s="234">
        <f t="shared" si="146"/>
        <v>129184.1552461603</v>
      </c>
      <c r="W1291" s="15">
        <v>25</v>
      </c>
      <c r="X1291" s="8">
        <f t="shared" si="144"/>
        <v>4.5</v>
      </c>
      <c r="Y1291" s="233">
        <f t="shared" si="145"/>
        <v>5095.5</v>
      </c>
    </row>
    <row r="1292" spans="1:25">
      <c r="A1292" s="156" t="e" cm="1">
        <f t="array" aca="1" ref="A1292" ca="1">_xlfn.IFS(E1292=$AB$42,$AC$42,E1292=$AB$43,$AC$43,E1292=$AB$44,$AC$44,E1292=$AB$45,$AC$45,E1292=$AB$46,$AC$46,E1292=$AB$47,$AC$47,E1292=$AB$48,$AC$48,E1292=$AB$49,$AC$49,E1292=$AB$50,$AC$50,E1292=$AB$51,$AC$51,E1292=$AB$52,$AC$52,E1292=$AB$53,$AC$53,E1292=$AB$54,$AC$54,E1292=$AB$55,$AC$55,E1292=$AB$56,$AC$56,E1292=$AB$57,$AC$57,E1292=$AB$58,$AC$58,E1292=$AB$59,$AC$59,E1292=$AB$60,$AC$60,E1292=$AB$61,$AC$61,E1292=$AB$62,$AC$62,E1292=$AB$63,$AC$63,E1292=$AB$64,$AC$64,E1292=$AB$65,$AC$65,E1292=$AB$66,$AC$66,TRUE,"0")</f>
        <v>#NAME?</v>
      </c>
      <c r="C1292" s="161" t="str" cm="1">
        <f t="array" ref="C1292">_xlfn.IFS(E1292=$AB$42,$AF$42,E1292=$AB$43,$AF$43,E1292=$AB$44,$AF$44,E1292=$AB$45,$AF$45,E1292=$AB$46,$AF$46,E1292=$AB$47,$AF$47,E1292=$AB$48,$AF$48,E1292=$AB$49,$AF$49,E1292=$AB$50,$AF$50,E1292=$AB$51,$AF$51,E1292=$AB$52,$AF$52,E1292=$AB$53,$AF$53,E1292=$AB$54,$AF$54,E1292=$AB$55,$AF$55,E1292=$AB$56,$AF$56,E1292=$AB$57,$AF$57,E1292=$AB$58,$AF$58,E1292=$AB$59,$AF$59,E1292=$AB$60,$AF$60,E1292=$AB$61,$AF$61,E1292=$AB$62,$AF$62,E1292=$AB$63,$AF$63,E1292=$AB$64,$AF$64,E1292=$AB$65,$AF$65,E1292=$AB$66,$AF$66,TRUE,"0")</f>
        <v>B4 Match, lay HT 0-0 or BACK H1 +0.5 GOALS</v>
      </c>
      <c r="D1292" s="270" t="str" cm="1">
        <f t="array" ref="D1292">_xlfn.IFS(E1292=$AB$42,$AD$42,E1292=$AB$43,$AD$43,E1292=$AB$44,$AD$44,E1292=$AB$45,$AD$45,E1292=$AB$46,$AD$46,E1292=$AB$47,$AD$47,E1292=$AB$48,$AD$48,E1292=$AB$49,$AD$49,E1292=$AB$50,$AD$50,E1292=$AB$51,$AD$51,E1292=$AB$52,$AD$52,E1292=$AB$53,$AD$53,E1292=$AB$54,$AD$54,E1292=$AB$55,$AD$55,E1292=$AB$56,$AD$56,E1292=$AB$57,$AD$57,E1292=$AB$58,$AD$58,E1292=$AB$59,$AD$59,E1292=$AB$60,$AD$60,E1292=$AB$61,$AD$61,E1292=$AB$62,$AD$62,E1292=$AB$63,$AD$63,E1292=$AB$64,$AD$64,E1292=$AB$65,$AD$65,E1292=$AB$66,$AD$66,TRUE,"0")</f>
        <v xml:space="preserve">BFM </v>
      </c>
      <c r="E1292" s="2" t="s">
        <v>448</v>
      </c>
      <c r="F1292" s="2" t="s">
        <v>6</v>
      </c>
      <c r="G1292" s="2" t="s">
        <v>62</v>
      </c>
      <c r="H1292" s="3">
        <v>45414.8125</v>
      </c>
      <c r="I1292" s="2" t="s">
        <v>65</v>
      </c>
      <c r="J1292" s="2" t="s">
        <v>116</v>
      </c>
      <c r="K1292" s="2">
        <v>20</v>
      </c>
      <c r="L1292" s="2">
        <v>10</v>
      </c>
      <c r="M1292" s="2">
        <v>42</v>
      </c>
      <c r="N1292" s="2">
        <v>8</v>
      </c>
      <c r="O1292" s="2">
        <v>9</v>
      </c>
      <c r="P1292" s="2">
        <v>8</v>
      </c>
      <c r="Q1292" s="2" t="s">
        <v>95</v>
      </c>
      <c r="R1292" s="10" t="s">
        <v>214</v>
      </c>
      <c r="S1292" s="10" t="s">
        <v>220</v>
      </c>
      <c r="T1292" s="188">
        <v>1000</v>
      </c>
      <c r="U1292" s="8">
        <f t="shared" ref="U1292:U1355" si="147">IF(Q1292="won",T1292*0.18,-T1292)</f>
        <v>180</v>
      </c>
      <c r="V1292" s="234">
        <f t="shared" si="146"/>
        <v>129364.1552461603</v>
      </c>
      <c r="W1292" s="15">
        <v>25</v>
      </c>
      <c r="X1292" s="8">
        <f t="shared" si="144"/>
        <v>4.5</v>
      </c>
      <c r="Y1292" s="233">
        <f t="shared" si="145"/>
        <v>5100</v>
      </c>
    </row>
    <row r="1293" spans="1:25">
      <c r="A1293" s="156" t="e" cm="1">
        <f t="array" aca="1" ref="A1293" ca="1">_xlfn.IFS(E1293=$AB$42,$AC$42,E1293=$AB$43,$AC$43,E1293=$AB$44,$AC$44,E1293=$AB$45,$AC$45,E1293=$AB$46,$AC$46,E1293=$AB$47,$AC$47,E1293=$AB$48,$AC$48,E1293=$AB$49,$AC$49,E1293=$AB$50,$AC$50,E1293=$AB$51,$AC$51,E1293=$AB$52,$AC$52,E1293=$AB$53,$AC$53,E1293=$AB$54,$AC$54,E1293=$AB$55,$AC$55,E1293=$AB$56,$AC$56,E1293=$AB$57,$AC$57,E1293=$AB$58,$AC$58,E1293=$AB$59,$AC$59,E1293=$AB$60,$AC$60,E1293=$AB$61,$AC$61,E1293=$AB$62,$AC$62,E1293=$AB$63,$AC$63,E1293=$AB$64,$AC$64,E1293=$AB$65,$AC$65,E1293=$AB$66,$AC$66,TRUE,"0")</f>
        <v>#NAME?</v>
      </c>
      <c r="C1293" s="161" t="str" cm="1">
        <f t="array" ref="C1293">_xlfn.IFS(E1293=$AB$42,$AF$42,E1293=$AB$43,$AF$43,E1293=$AB$44,$AF$44,E1293=$AB$45,$AF$45,E1293=$AB$46,$AF$46,E1293=$AB$47,$AF$47,E1293=$AB$48,$AF$48,E1293=$AB$49,$AF$49,E1293=$AB$50,$AF$50,E1293=$AB$51,$AF$51,E1293=$AB$52,$AF$52,E1293=$AB$53,$AF$53,E1293=$AB$54,$AF$54,E1293=$AB$55,$AF$55,E1293=$AB$56,$AF$56,E1293=$AB$57,$AF$57,E1293=$AB$58,$AF$58,E1293=$AB$59,$AF$59,E1293=$AB$60,$AF$60,E1293=$AB$61,$AF$61,E1293=$AB$62,$AF$62,E1293=$AB$63,$AF$63,E1293=$AB$64,$AF$64,E1293=$AB$65,$AF$65,E1293=$AB$66,$AF$66,TRUE,"0")</f>
        <v>B4 MATCH bet H1 'under 2.5goals'- X at 40 minutes</v>
      </c>
      <c r="D1293" s="270" t="str" cm="1">
        <f t="array" ref="D1293">_xlfn.IFS(E1293=$AB$42,$AD$42,E1293=$AB$43,$AD$43,E1293=$AB$44,$AD$44,E1293=$AB$45,$AD$45,E1293=$AB$46,$AD$46,E1293=$AB$47,$AD$47,E1293=$AB$48,$AD$48,E1293=$AB$49,$AD$49,E1293=$AB$50,$AD$50,E1293=$AB$51,$AD$51,E1293=$AB$52,$AD$52,E1293=$AB$53,$AD$53,E1293=$AB$54,$AD$54,E1293=$AB$55,$AD$55,E1293=$AB$56,$AD$56,E1293=$AB$57,$AD$57,E1293=$AB$58,$AD$58,E1293=$AB$59,$AD$59,E1293=$AB$60,$AD$60,E1293=$AB$61,$AD$61,E1293=$AB$62,$AD$62,E1293=$AB$63,$AD$63,E1293=$AB$64,$AD$64,E1293=$AB$65,$AD$65,E1293=$AB$66,$AD$66,TRUE,"0")</f>
        <v xml:space="preserve">BFM </v>
      </c>
      <c r="E1293" s="160" t="s">
        <v>458</v>
      </c>
      <c r="F1293" s="2" t="s">
        <v>572</v>
      </c>
      <c r="G1293" s="2" t="s">
        <v>670</v>
      </c>
      <c r="H1293" s="3">
        <v>45415.25</v>
      </c>
      <c r="I1293" s="2" t="s">
        <v>695</v>
      </c>
      <c r="J1293" s="2" t="s">
        <v>728</v>
      </c>
      <c r="K1293" s="2">
        <v>20</v>
      </c>
      <c r="L1293" s="2">
        <v>80</v>
      </c>
      <c r="M1293" s="2">
        <v>100</v>
      </c>
      <c r="N1293" s="2">
        <v>40</v>
      </c>
      <c r="O1293" s="2">
        <v>1.75</v>
      </c>
      <c r="P1293" s="2"/>
      <c r="Q1293" s="2" t="s">
        <v>95</v>
      </c>
      <c r="R1293" s="10" t="s">
        <v>221</v>
      </c>
      <c r="S1293" s="10" t="s">
        <v>216</v>
      </c>
      <c r="T1293" s="188">
        <v>1000</v>
      </c>
      <c r="U1293" s="8">
        <f t="shared" si="147"/>
        <v>180</v>
      </c>
      <c r="V1293" s="234">
        <f t="shared" si="146"/>
        <v>129544.1552461603</v>
      </c>
      <c r="W1293" s="15">
        <v>25</v>
      </c>
      <c r="X1293" s="8">
        <f t="shared" si="144"/>
        <v>4.5</v>
      </c>
      <c r="Y1293" s="233">
        <f t="shared" si="145"/>
        <v>5104.5</v>
      </c>
    </row>
    <row r="1294" spans="1:25">
      <c r="A1294" s="156" t="e" cm="1">
        <f t="array" aca="1" ref="A1294" ca="1">_xlfn.IFS(E1294=$AB$42,$AC$42,E1294=$AB$43,$AC$43,E1294=$AB$44,$AC$44,E1294=$AB$45,$AC$45,E1294=$AB$46,$AC$46,E1294=$AB$47,$AC$47,E1294=$AB$48,$AC$48,E1294=$AB$49,$AC$49,E1294=$AB$50,$AC$50,E1294=$AB$51,$AC$51,E1294=$AB$52,$AC$52,E1294=$AB$53,$AC$53,E1294=$AB$54,$AC$54,E1294=$AB$55,$AC$55,E1294=$AB$56,$AC$56,E1294=$AB$57,$AC$57,E1294=$AB$58,$AC$58,E1294=$AB$59,$AC$59,E1294=$AB$60,$AC$60,E1294=$AB$61,$AC$61,E1294=$AB$62,$AC$62,E1294=$AB$63,$AC$63,E1294=$AB$64,$AC$64,E1294=$AB$65,$AC$65,E1294=$AB$66,$AC$66,TRUE,"0")</f>
        <v>#NAME?</v>
      </c>
      <c r="C1294" s="161" t="str" cm="1">
        <f t="array" ref="C1294">_xlfn.IFS(E1294=$AB$42,$AF$42,E1294=$AB$43,$AF$43,E1294=$AB$44,$AF$44,E1294=$AB$45,$AF$45,E1294=$AB$46,$AF$46,E1294=$AB$47,$AF$47,E1294=$AB$48,$AF$48,E1294=$AB$49,$AF$49,E1294=$AB$50,$AF$50,E1294=$AB$51,$AF$51,E1294=$AB$52,$AF$52,E1294=$AB$53,$AF$53,E1294=$AB$54,$AF$54,E1294=$AB$55,$AF$55,E1294=$AB$56,$AF$56,E1294=$AB$57,$AF$57,E1294=$AB$58,$AF$58,E1294=$AB$59,$AF$59,E1294=$AB$60,$AF$60,E1294=$AB$61,$AF$61,E1294=$AB$62,$AF$62,E1294=$AB$63,$AF$63,E1294=$AB$64,$AF$64,E1294=$AB$65,$AF$65,E1294=$AB$66,$AF$66,TRUE,"0")</f>
        <v>if 0-0, BACK+ 0.5 GOALS  @ 1.15+odds.  or @ 40 mins</v>
      </c>
      <c r="D1294" s="270" t="str" cm="1">
        <f t="array" ref="D1294">_xlfn.IFS(E1294=$AB$42,$AD$42,E1294=$AB$43,$AD$43,E1294=$AB$44,$AD$44,E1294=$AB$45,$AD$45,E1294=$AB$46,$AD$46,E1294=$AB$47,$AD$47,E1294=$AB$48,$AD$48,E1294=$AB$49,$AD$49,E1294=$AB$50,$AD$50,E1294=$AB$51,$AD$51,E1294=$AB$52,$AD$52,E1294=$AB$53,$AD$53,E1294=$AB$54,$AD$54,E1294=$AB$55,$AD$55,E1294=$AB$56,$AD$56,E1294=$AB$57,$AD$57,E1294=$AB$58,$AD$58,E1294=$AB$59,$AD$59,E1294=$AB$60,$AD$60,E1294=$AB$61,$AD$61,E1294=$AB$62,$AD$62,E1294=$AB$63,$AD$63,E1294=$AB$64,$AD$64,E1294=$AB$65,$AD$65,E1294=$AB$66,$AD$66,TRUE,"0")</f>
        <v>IP</v>
      </c>
      <c r="E1294" s="2" t="s">
        <v>270</v>
      </c>
      <c r="F1294" s="2" t="s">
        <v>410</v>
      </c>
      <c r="G1294" s="2" t="s">
        <v>411</v>
      </c>
      <c r="H1294" s="3">
        <v>45415.708333333336</v>
      </c>
      <c r="I1294" s="2" t="s">
        <v>675</v>
      </c>
      <c r="J1294" s="2" t="s">
        <v>797</v>
      </c>
      <c r="K1294" s="2">
        <v>59</v>
      </c>
      <c r="L1294" s="2">
        <v>0</v>
      </c>
      <c r="M1294" s="2">
        <v>20</v>
      </c>
      <c r="N1294" s="2">
        <v>33</v>
      </c>
      <c r="O1294" s="2">
        <v>1.83</v>
      </c>
      <c r="P1294" s="2"/>
      <c r="Q1294" s="2" t="s">
        <v>95</v>
      </c>
      <c r="R1294" s="10" t="s">
        <v>220</v>
      </c>
      <c r="S1294" s="10" t="s">
        <v>195</v>
      </c>
      <c r="T1294" s="188">
        <v>1000</v>
      </c>
      <c r="U1294" s="8">
        <f t="shared" si="147"/>
        <v>180</v>
      </c>
      <c r="V1294" s="234">
        <f t="shared" si="146"/>
        <v>129724.1552461603</v>
      </c>
      <c r="W1294" s="15">
        <v>25</v>
      </c>
      <c r="X1294" s="8">
        <f t="shared" si="144"/>
        <v>4.5</v>
      </c>
      <c r="Y1294" s="233">
        <f t="shared" si="145"/>
        <v>5109</v>
      </c>
    </row>
    <row r="1295" spans="1:25">
      <c r="A1295" s="156" t="e" cm="1">
        <f t="array" aca="1" ref="A1295" ca="1">_xlfn.IFS(E1295=$AB$42,$AC$42,E1295=$AB$43,$AC$43,E1295=$AB$44,$AC$44,E1295=$AB$45,$AC$45,E1295=$AB$46,$AC$46,E1295=$AB$47,$AC$47,E1295=$AB$48,$AC$48,E1295=$AB$49,$AC$49,E1295=$AB$50,$AC$50,E1295=$AB$51,$AC$51,E1295=$AB$52,$AC$52,E1295=$AB$53,$AC$53,E1295=$AB$54,$AC$54,E1295=$AB$55,$AC$55,E1295=$AB$56,$AC$56,E1295=$AB$57,$AC$57,E1295=$AB$58,$AC$58,E1295=$AB$59,$AC$59,E1295=$AB$60,$AC$60,E1295=$AB$61,$AC$61,E1295=$AB$62,$AC$62,E1295=$AB$63,$AC$63,E1295=$AB$64,$AC$64,E1295=$AB$65,$AC$65,E1295=$AB$66,$AC$66,TRUE,"0")</f>
        <v>#NAME?</v>
      </c>
      <c r="C1295" s="161" t="str" cm="1">
        <f t="array" ref="C1295">_xlfn.IFS(E1295=$AB$42,$AF$42,E1295=$AB$43,$AF$43,E1295=$AB$44,$AF$44,E1295=$AB$45,$AF$45,E1295=$AB$46,$AF$46,E1295=$AB$47,$AF$47,E1295=$AB$48,$AF$48,E1295=$AB$49,$AF$49,E1295=$AB$50,$AF$50,E1295=$AB$51,$AF$51,E1295=$AB$52,$AF$52,E1295=$AB$53,$AF$53,E1295=$AB$54,$AF$54,E1295=$AB$55,$AF$55,E1295=$AB$56,$AF$56,E1295=$AB$57,$AF$57,E1295=$AB$58,$AF$58,E1295=$AB$59,$AF$59,E1295=$AB$60,$AF$60,E1295=$AB$61,$AF$61,E1295=$AB$62,$AF$62,E1295=$AB$63,$AF$63,E1295=$AB$64,$AF$64,E1295=$AB$65,$AF$65,E1295=$AB$66,$AF$66,TRUE,"0")</f>
        <v>B4 match BACK FT +1.5 goals. X AFTER  GOAL</v>
      </c>
      <c r="D1295" s="270" t="str" cm="1">
        <f t="array" ref="D1295">_xlfn.IFS(E1295=$AB$42,$AD$42,E1295=$AB$43,$AD$43,E1295=$AB$44,$AD$44,E1295=$AB$45,$AD$45,E1295=$AB$46,$AD$46,E1295=$AB$47,$AD$47,E1295=$AB$48,$AD$48,E1295=$AB$49,$AD$49,E1295=$AB$50,$AD$50,E1295=$AB$51,$AD$51,E1295=$AB$52,$AD$52,E1295=$AB$53,$AD$53,E1295=$AB$54,$AD$54,E1295=$AB$55,$AD$55,E1295=$AB$56,$AD$56,E1295=$AB$57,$AD$57,E1295=$AB$58,$AD$58,E1295=$AB$59,$AD$59,E1295=$AB$60,$AD$60,E1295=$AB$61,$AD$61,E1295=$AB$62,$AD$62,E1295=$AB$63,$AD$63,E1295=$AB$64,$AD$64,E1295=$AB$65,$AD$65,E1295=$AB$66,$AD$66,TRUE,"0")</f>
        <v xml:space="preserve">BFM </v>
      </c>
      <c r="E1295" s="2" t="s">
        <v>623</v>
      </c>
      <c r="F1295" s="2" t="s">
        <v>77</v>
      </c>
      <c r="G1295" s="2" t="s">
        <v>234</v>
      </c>
      <c r="H1295" s="3">
        <v>45415.729166666664</v>
      </c>
      <c r="I1295" s="2" t="s">
        <v>632</v>
      </c>
      <c r="J1295" s="2" t="s">
        <v>328</v>
      </c>
      <c r="K1295" s="2">
        <v>4.2</v>
      </c>
      <c r="L1295" s="2">
        <v>20</v>
      </c>
      <c r="M1295" s="2">
        <v>3.05</v>
      </c>
      <c r="N1295" s="2">
        <v>30</v>
      </c>
      <c r="O1295" s="2">
        <v>2</v>
      </c>
      <c r="P1295" s="2">
        <v>10</v>
      </c>
      <c r="Q1295" s="2" t="s">
        <v>95</v>
      </c>
      <c r="R1295" s="10" t="s">
        <v>220</v>
      </c>
      <c r="S1295" s="10" t="s">
        <v>215</v>
      </c>
      <c r="T1295" s="188">
        <v>1000</v>
      </c>
      <c r="U1295" s="8">
        <f t="shared" si="147"/>
        <v>180</v>
      </c>
      <c r="V1295" s="234">
        <f t="shared" si="146"/>
        <v>129904.1552461603</v>
      </c>
      <c r="W1295" s="15">
        <v>25</v>
      </c>
      <c r="X1295" s="8">
        <f t="shared" si="144"/>
        <v>4.5</v>
      </c>
      <c r="Y1295" s="233">
        <f t="shared" si="145"/>
        <v>5113.5</v>
      </c>
    </row>
    <row r="1296" spans="1:25">
      <c r="A1296" s="156" t="e" cm="1">
        <f t="array" aca="1" ref="A1296" ca="1">_xlfn.IFS(E1296=$AB$42,$AC$42,E1296=$AB$43,$AC$43,E1296=$AB$44,$AC$44,E1296=$AB$45,$AC$45,E1296=$AB$46,$AC$46,E1296=$AB$47,$AC$47,E1296=$AB$48,$AC$48,E1296=$AB$49,$AC$49,E1296=$AB$50,$AC$50,E1296=$AB$51,$AC$51,E1296=$AB$52,$AC$52,E1296=$AB$53,$AC$53,E1296=$AB$54,$AC$54,E1296=$AB$55,$AC$55,E1296=$AB$56,$AC$56,E1296=$AB$57,$AC$57,E1296=$AB$58,$AC$58,E1296=$AB$59,$AC$59,E1296=$AB$60,$AC$60,E1296=$AB$61,$AC$61,E1296=$AB$62,$AC$62,E1296=$AB$63,$AC$63,E1296=$AB$64,$AC$64,E1296=$AB$65,$AC$65,E1296=$AB$66,$AC$66,TRUE,"0")</f>
        <v>#NAME?</v>
      </c>
      <c r="C1296" s="161" t="str" cm="1">
        <f t="array" ref="C1296">_xlfn.IFS(E1296=$AB$42,$AF$42,E1296=$AB$43,$AF$43,E1296=$AB$44,$AF$44,E1296=$AB$45,$AF$45,E1296=$AB$46,$AF$46,E1296=$AB$47,$AF$47,E1296=$AB$48,$AF$48,E1296=$AB$49,$AF$49,E1296=$AB$50,$AF$50,E1296=$AB$51,$AF$51,E1296=$AB$52,$AF$52,E1296=$AB$53,$AF$53,E1296=$AB$54,$AF$54,E1296=$AB$55,$AF$55,E1296=$AB$56,$AF$56,E1296=$AB$57,$AF$57,E1296=$AB$58,$AF$58,E1296=$AB$59,$AF$59,E1296=$AB$60,$AF$60,E1296=$AB$61,$AF$61,E1296=$AB$62,$AF$62,E1296=$AB$63,$AF$63,E1296=$AB$64,$AF$64,E1296=$AB$65,$AF$65,E1296=$AB$66,$AF$66,TRUE,"0")</f>
        <v>40 mins Back ANother Goal</v>
      </c>
      <c r="D1296" s="270" t="str" cm="1">
        <f t="array" ref="D1296">_xlfn.IFS(E1296=$AB$42,$AD$42,E1296=$AB$43,$AD$43,E1296=$AB$44,$AD$44,E1296=$AB$45,$AD$45,E1296=$AB$46,$AD$46,E1296=$AB$47,$AD$47,E1296=$AB$48,$AD$48,E1296=$AB$49,$AD$49,E1296=$AB$50,$AD$50,E1296=$AB$51,$AD$51,E1296=$AB$52,$AD$52,E1296=$AB$53,$AD$53,E1296=$AB$54,$AD$54,E1296=$AB$55,$AD$55,E1296=$AB$56,$AD$56,E1296=$AB$57,$AD$57,E1296=$AB$58,$AD$58,E1296=$AB$59,$AD$59,E1296=$AB$60,$AD$60,E1296=$AB$61,$AD$61,E1296=$AB$62,$AD$62,E1296=$AB$63,$AD$63,E1296=$AB$64,$AD$64,E1296=$AB$65,$AD$65,E1296=$AB$66,$AD$66,TRUE,"0")</f>
        <v xml:space="preserve">  BANG</v>
      </c>
      <c r="E1296" s="2" t="s">
        <v>792</v>
      </c>
      <c r="F1296" s="2" t="s">
        <v>149</v>
      </c>
      <c r="G1296" s="2" t="s">
        <v>153</v>
      </c>
      <c r="H1296" s="3">
        <v>45415.791666666664</v>
      </c>
      <c r="I1296" s="2" t="s">
        <v>248</v>
      </c>
      <c r="J1296" s="2" t="s">
        <v>206</v>
      </c>
      <c r="K1296" s="2">
        <v>1.95</v>
      </c>
      <c r="L1296" s="2">
        <v>85</v>
      </c>
      <c r="M1296" s="2">
        <v>65</v>
      </c>
      <c r="N1296" s="2">
        <v>71</v>
      </c>
      <c r="O1296" s="2">
        <v>20</v>
      </c>
      <c r="P1296" s="2"/>
      <c r="Q1296" s="2" t="s">
        <v>95</v>
      </c>
      <c r="R1296" s="10" t="s">
        <v>221</v>
      </c>
      <c r="S1296" s="10" t="s">
        <v>216</v>
      </c>
      <c r="T1296" s="188">
        <v>1000</v>
      </c>
      <c r="U1296" s="8">
        <f t="shared" si="147"/>
        <v>180</v>
      </c>
      <c r="V1296" s="234">
        <f t="shared" si="146"/>
        <v>130084.1552461603</v>
      </c>
      <c r="W1296" s="15">
        <v>25</v>
      </c>
      <c r="X1296" s="8">
        <f t="shared" si="144"/>
        <v>4.5</v>
      </c>
      <c r="Y1296" s="233">
        <f t="shared" si="145"/>
        <v>5118</v>
      </c>
    </row>
    <row r="1297" spans="1:30">
      <c r="A1297" s="156" t="e" cm="1">
        <f t="array" aca="1" ref="A1297" ca="1">_xlfn.IFS(E1297=$AB$42,$AC$42,E1297=$AB$43,$AC$43,E1297=$AB$44,$AC$44,E1297=$AB$45,$AC$45,E1297=$AB$46,$AC$46,E1297=$AB$47,$AC$47,E1297=$AB$48,$AC$48,E1297=$AB$49,$AC$49,E1297=$AB$50,$AC$50,E1297=$AB$51,$AC$51,E1297=$AB$52,$AC$52,E1297=$AB$53,$AC$53,E1297=$AB$54,$AC$54,E1297=$AB$55,$AC$55,E1297=$AB$56,$AC$56,E1297=$AB$57,$AC$57,E1297=$AB$58,$AC$58,E1297=$AB$59,$AC$59,E1297=$AB$60,$AC$60,E1297=$AB$61,$AC$61,E1297=$AB$62,$AC$62,E1297=$AB$63,$AC$63,E1297=$AB$64,$AC$64,E1297=$AB$65,$AC$65,E1297=$AB$66,$AC$66,TRUE,"0")</f>
        <v>#NAME?</v>
      </c>
      <c r="C1297" s="161" t="str" cm="1">
        <f t="array" ref="C1297">_xlfn.IFS(E1297=$AB$42,$AF$42,E1297=$AB$43,$AF$43,E1297=$AB$44,$AF$44,E1297=$AB$45,$AF$45,E1297=$AB$46,$AF$46,E1297=$AB$47,$AF$47,E1297=$AB$48,$AF$48,E1297=$AB$49,$AF$49,E1297=$AB$50,$AF$50,E1297=$AB$51,$AF$51,E1297=$AB$52,$AF$52,E1297=$AB$53,$AF$53,E1297=$AB$54,$AF$54,E1297=$AB$55,$AF$55,E1297=$AB$56,$AF$56,E1297=$AB$57,$AF$57,E1297=$AB$58,$AF$58,E1297=$AB$59,$AF$59,E1297=$AB$60,$AF$60,E1297=$AB$61,$AF$61,E1297=$AB$62,$AF$62,E1297=$AB$63,$AF$63,E1297=$AB$64,$AF$64,E1297=$AB$65,$AF$65,E1297=$AB$66,$AF$66,TRUE,"0")</f>
        <v>40 mins Back ANother Goal</v>
      </c>
      <c r="D1297" s="270" t="str" cm="1">
        <f t="array" ref="D1297">_xlfn.IFS(E1297=$AB$42,$AD$42,E1297=$AB$43,$AD$43,E1297=$AB$44,$AD$44,E1297=$AB$45,$AD$45,E1297=$AB$46,$AD$46,E1297=$AB$47,$AD$47,E1297=$AB$48,$AD$48,E1297=$AB$49,$AD$49,E1297=$AB$50,$AD$50,E1297=$AB$51,$AD$51,E1297=$AB$52,$AD$52,E1297=$AB$53,$AD$53,E1297=$AB$54,$AD$54,E1297=$AB$55,$AD$55,E1297=$AB$56,$AD$56,E1297=$AB$57,$AD$57,E1297=$AB$58,$AD$58,E1297=$AB$59,$AD$59,E1297=$AB$60,$AD$60,E1297=$AB$61,$AD$61,E1297=$AB$62,$AD$62,E1297=$AB$63,$AD$63,E1297=$AB$64,$AD$64,E1297=$AB$65,$AD$65,E1297=$AB$66,$AD$66,TRUE,"0")</f>
        <v xml:space="preserve">  BANG</v>
      </c>
      <c r="E1297" s="163" t="s">
        <v>792</v>
      </c>
      <c r="F1297" s="2" t="s">
        <v>149</v>
      </c>
      <c r="G1297" s="2" t="s">
        <v>150</v>
      </c>
      <c r="H1297" s="3">
        <v>45415.791666666664</v>
      </c>
      <c r="I1297" s="2" t="s">
        <v>332</v>
      </c>
      <c r="J1297" s="2" t="s">
        <v>329</v>
      </c>
      <c r="K1297" s="2">
        <v>1.95</v>
      </c>
      <c r="L1297" s="2">
        <v>85</v>
      </c>
      <c r="M1297" s="2">
        <v>65</v>
      </c>
      <c r="N1297" s="2">
        <v>65</v>
      </c>
      <c r="O1297" s="2">
        <v>20</v>
      </c>
      <c r="P1297" s="2"/>
      <c r="Q1297" s="2" t="s">
        <v>95</v>
      </c>
      <c r="R1297" s="10" t="s">
        <v>193</v>
      </c>
      <c r="S1297" s="10" t="s">
        <v>223</v>
      </c>
      <c r="T1297" s="188">
        <v>1000</v>
      </c>
      <c r="U1297" s="8">
        <f t="shared" si="147"/>
        <v>180</v>
      </c>
      <c r="V1297" s="234">
        <f t="shared" si="146"/>
        <v>130264.1552461603</v>
      </c>
      <c r="W1297" s="15">
        <v>25</v>
      </c>
      <c r="X1297" s="8">
        <f t="shared" si="144"/>
        <v>4.5</v>
      </c>
      <c r="Y1297" s="233">
        <f t="shared" si="145"/>
        <v>5122.5</v>
      </c>
    </row>
    <row r="1298" spans="1:30">
      <c r="A1298" s="156" t="e" cm="1">
        <f t="array" aca="1" ref="A1298" ca="1">_xlfn.IFS(E1298=$AB$42,$AC$42,E1298=$AB$43,$AC$43,E1298=$AB$44,$AC$44,E1298=$AB$45,$AC$45,E1298=$AB$46,$AC$46,E1298=$AB$47,$AC$47,E1298=$AB$48,$AC$48,E1298=$AB$49,$AC$49,E1298=$AB$50,$AC$50,E1298=$AB$51,$AC$51,E1298=$AB$52,$AC$52,E1298=$AB$53,$AC$53,E1298=$AB$54,$AC$54,E1298=$AB$55,$AC$55,E1298=$AB$56,$AC$56,E1298=$AB$57,$AC$57,E1298=$AB$58,$AC$58,E1298=$AB$59,$AC$59,E1298=$AB$60,$AC$60,E1298=$AB$61,$AC$61,E1298=$AB$62,$AC$62,E1298=$AB$63,$AC$63,E1298=$AB$64,$AC$64,E1298=$AB$65,$AC$65,E1298=$AB$66,$AC$66,TRUE,"0")</f>
        <v>#NAME?</v>
      </c>
      <c r="C1298" s="161" t="str" cm="1">
        <f t="array" ref="C1298">_xlfn.IFS(E1298=$AB$42,$AF$42,E1298=$AB$43,$AF$43,E1298=$AB$44,$AF$44,E1298=$AB$45,$AF$45,E1298=$AB$46,$AF$46,E1298=$AB$47,$AF$47,E1298=$AB$48,$AF$48,E1298=$AB$49,$AF$49,E1298=$AB$50,$AF$50,E1298=$AB$51,$AF$51,E1298=$AB$52,$AF$52,E1298=$AB$53,$AF$53,E1298=$AB$54,$AF$54,E1298=$AB$55,$AF$55,E1298=$AB$56,$AF$56,E1298=$AB$57,$AF$57,E1298=$AB$58,$AF$58,E1298=$AB$59,$AF$59,E1298=$AB$60,$AF$60,E1298=$AB$61,$AF$61,E1298=$AB$62,$AF$62,E1298=$AB$63,$AF$63,E1298=$AB$64,$AF$64,E1298=$AB$65,$AF$65,E1298=$AB$66,$AF$66,TRUE,"0")</f>
        <v>40 mins Back ANother Goal</v>
      </c>
      <c r="D1298" s="270" t="str" cm="1">
        <f t="array" ref="D1298">_xlfn.IFS(E1298=$AB$42,$AD$42,E1298=$AB$43,$AD$43,E1298=$AB$44,$AD$44,E1298=$AB$45,$AD$45,E1298=$AB$46,$AD$46,E1298=$AB$47,$AD$47,E1298=$AB$48,$AD$48,E1298=$AB$49,$AD$49,E1298=$AB$50,$AD$50,E1298=$AB$51,$AD$51,E1298=$AB$52,$AD$52,E1298=$AB$53,$AD$53,E1298=$AB$54,$AD$54,E1298=$AB$55,$AD$55,E1298=$AB$56,$AD$56,E1298=$AB$57,$AD$57,E1298=$AB$58,$AD$58,E1298=$AB$59,$AD$59,E1298=$AB$60,$AD$60,E1298=$AB$61,$AD$61,E1298=$AB$62,$AD$62,E1298=$AB$63,$AD$63,E1298=$AB$64,$AD$64,E1298=$AB$65,$AD$65,E1298=$AB$66,$AD$66,TRUE,"0")</f>
        <v xml:space="preserve">  BANG</v>
      </c>
      <c r="E1298" s="2" t="s">
        <v>792</v>
      </c>
      <c r="F1298" s="2" t="s">
        <v>149</v>
      </c>
      <c r="G1298" s="2" t="s">
        <v>150</v>
      </c>
      <c r="H1298" s="3">
        <v>45415.791666666664</v>
      </c>
      <c r="I1298" s="2" t="s">
        <v>179</v>
      </c>
      <c r="J1298" s="2" t="s">
        <v>256</v>
      </c>
      <c r="K1298" s="2">
        <v>1.95</v>
      </c>
      <c r="L1298" s="2">
        <v>95</v>
      </c>
      <c r="M1298" s="2">
        <v>70</v>
      </c>
      <c r="N1298" s="2">
        <v>63</v>
      </c>
      <c r="O1298" s="2">
        <v>20</v>
      </c>
      <c r="P1298" s="2"/>
      <c r="Q1298" s="2" t="s">
        <v>95</v>
      </c>
      <c r="R1298" s="10" t="s">
        <v>216</v>
      </c>
      <c r="S1298" s="10" t="s">
        <v>210</v>
      </c>
      <c r="T1298" s="188">
        <v>1000</v>
      </c>
      <c r="U1298" s="8">
        <f t="shared" si="147"/>
        <v>180</v>
      </c>
      <c r="V1298" s="234">
        <f t="shared" si="146"/>
        <v>130444.1552461603</v>
      </c>
      <c r="W1298" s="15">
        <v>25</v>
      </c>
      <c r="X1298" s="8">
        <f t="shared" si="144"/>
        <v>4.5</v>
      </c>
      <c r="Y1298" s="233">
        <f t="shared" si="145"/>
        <v>5127</v>
      </c>
    </row>
    <row r="1299" spans="1:30">
      <c r="A1299" s="156" t="e" cm="1">
        <f t="array" aca="1" ref="A1299" ca="1">_xlfn.IFS(E1299=$AB$42,$AC$42,E1299=$AB$43,$AC$43,E1299=$AB$44,$AC$44,E1299=$AB$45,$AC$45,E1299=$AB$46,$AC$46,E1299=$AB$47,$AC$47,E1299=$AB$48,$AC$48,E1299=$AB$49,$AC$49,E1299=$AB$50,$AC$50,E1299=$AB$51,$AC$51,E1299=$AB$52,$AC$52,E1299=$AB$53,$AC$53,E1299=$AB$54,$AC$54,E1299=$AB$55,$AC$55,E1299=$AB$56,$AC$56,E1299=$AB$57,$AC$57,E1299=$AB$58,$AC$58,E1299=$AB$59,$AC$59,E1299=$AB$60,$AC$60,E1299=$AB$61,$AC$61,E1299=$AB$62,$AC$62,E1299=$AB$63,$AC$63,E1299=$AB$64,$AC$64,E1299=$AB$65,$AC$65,E1299=$AB$66,$AC$66,TRUE,"0")</f>
        <v>#NAME?</v>
      </c>
      <c r="C1299" s="161" t="str" cm="1">
        <f t="array" ref="C1299">_xlfn.IFS(E1299=$AB$42,$AF$42,E1299=$AB$43,$AF$43,E1299=$AB$44,$AF$44,E1299=$AB$45,$AF$45,E1299=$AB$46,$AF$46,E1299=$AB$47,$AF$47,E1299=$AB$48,$AF$48,E1299=$AB$49,$AF$49,E1299=$AB$50,$AF$50,E1299=$AB$51,$AF$51,E1299=$AB$52,$AF$52,E1299=$AB$53,$AF$53,E1299=$AB$54,$AF$54,E1299=$AB$55,$AF$55,E1299=$AB$56,$AF$56,E1299=$AB$57,$AF$57,E1299=$AB$58,$AF$58,E1299=$AB$59,$AF$59,E1299=$AB$60,$AF$60,E1299=$AB$61,$AF$61,E1299=$AB$62,$AF$62,E1299=$AB$63,$AF$63,E1299=$AB$64,$AF$64,E1299=$AB$65,$AF$65,E1299=$AB$66,$AF$66,TRUE,"0")</f>
        <v>40 mins Back ANother Goal</v>
      </c>
      <c r="D1299" s="270" t="str" cm="1">
        <f t="array" ref="D1299">_xlfn.IFS(E1299=$AB$42,$AD$42,E1299=$AB$43,$AD$43,E1299=$AB$44,$AD$44,E1299=$AB$45,$AD$45,E1299=$AB$46,$AD$46,E1299=$AB$47,$AD$47,E1299=$AB$48,$AD$48,E1299=$AB$49,$AD$49,E1299=$AB$50,$AD$50,E1299=$AB$51,$AD$51,E1299=$AB$52,$AD$52,E1299=$AB$53,$AD$53,E1299=$AB$54,$AD$54,E1299=$AB$55,$AD$55,E1299=$AB$56,$AD$56,E1299=$AB$57,$AD$57,E1299=$AB$58,$AD$58,E1299=$AB$59,$AD$59,E1299=$AB$60,$AD$60,E1299=$AB$61,$AD$61,E1299=$AB$62,$AD$62,E1299=$AB$63,$AD$63,E1299=$AB$64,$AD$64,E1299=$AB$65,$AD$65,E1299=$AB$66,$AD$66,TRUE,"0")</f>
        <v xml:space="preserve">  BANG</v>
      </c>
      <c r="E1299" s="2" t="s">
        <v>726</v>
      </c>
      <c r="F1299" s="2" t="s">
        <v>149</v>
      </c>
      <c r="G1299" s="2" t="s">
        <v>150</v>
      </c>
      <c r="H1299" s="3">
        <v>45415.791666666664</v>
      </c>
      <c r="I1299" s="2" t="s">
        <v>179</v>
      </c>
      <c r="J1299" s="2" t="s">
        <v>256</v>
      </c>
      <c r="K1299" s="2">
        <v>95</v>
      </c>
      <c r="L1299" s="2">
        <v>20</v>
      </c>
      <c r="M1299" s="2">
        <v>1.95</v>
      </c>
      <c r="N1299" s="2">
        <v>63</v>
      </c>
      <c r="O1299" s="2"/>
      <c r="P1299" s="2"/>
      <c r="Q1299" s="2" t="s">
        <v>95</v>
      </c>
      <c r="R1299" s="10" t="s">
        <v>216</v>
      </c>
      <c r="S1299" s="10" t="s">
        <v>210</v>
      </c>
      <c r="T1299" s="188">
        <v>1000</v>
      </c>
      <c r="U1299" s="8">
        <f t="shared" si="147"/>
        <v>180</v>
      </c>
      <c r="V1299" s="234">
        <f t="shared" si="146"/>
        <v>130624.1552461603</v>
      </c>
      <c r="W1299" s="15">
        <v>25</v>
      </c>
      <c r="X1299" s="8">
        <f t="shared" si="144"/>
        <v>4.5</v>
      </c>
      <c r="Y1299" s="233">
        <f t="shared" si="145"/>
        <v>5131.5</v>
      </c>
    </row>
    <row r="1300" spans="1:30">
      <c r="A1300" s="156" t="e" cm="1">
        <f t="array" aca="1" ref="A1300" ca="1">_xlfn.IFS(E1300=$AB$42,$AC$42,E1300=$AB$43,$AC$43,E1300=$AB$44,$AC$44,E1300=$AB$45,$AC$45,E1300=$AB$46,$AC$46,E1300=$AB$47,$AC$47,E1300=$AB$48,$AC$48,E1300=$AB$49,$AC$49,E1300=$AB$50,$AC$50,E1300=$AB$51,$AC$51,E1300=$AB$52,$AC$52,E1300=$AB$53,$AC$53,E1300=$AB$54,$AC$54,E1300=$AB$55,$AC$55,E1300=$AB$56,$AC$56,E1300=$AB$57,$AC$57,E1300=$AB$58,$AC$58,E1300=$AB$59,$AC$59,E1300=$AB$60,$AC$60,E1300=$AB$61,$AC$61,E1300=$AB$62,$AC$62,E1300=$AB$63,$AC$63,E1300=$AB$64,$AC$64,E1300=$AB$65,$AC$65,E1300=$AB$66,$AC$66,TRUE,"0")</f>
        <v>#NAME?</v>
      </c>
      <c r="C1300" s="161" t="str" cm="1">
        <f t="array" ref="C1300">_xlfn.IFS(E1300=$AB$42,$AF$42,E1300=$AB$43,$AF$43,E1300=$AB$44,$AF$44,E1300=$AB$45,$AF$45,E1300=$AB$46,$AF$46,E1300=$AB$47,$AF$47,E1300=$AB$48,$AF$48,E1300=$AB$49,$AF$49,E1300=$AB$50,$AF$50,E1300=$AB$51,$AF$51,E1300=$AB$52,$AF$52,E1300=$AB$53,$AF$53,E1300=$AB$54,$AF$54,E1300=$AB$55,$AF$55,E1300=$AB$56,$AF$56,E1300=$AB$57,$AF$57,E1300=$AB$58,$AF$58,E1300=$AB$59,$AF$59,E1300=$AB$60,$AF$60,E1300=$AB$61,$AF$61,E1300=$AB$62,$AF$62,E1300=$AB$63,$AF$63,E1300=$AB$64,$AF$64,E1300=$AB$65,$AF$65,E1300=$AB$66,$AF$66,TRUE,"0")</f>
        <v>40 mins Back ANother Goal</v>
      </c>
      <c r="D1300" s="270" t="str" cm="1">
        <f t="array" ref="D1300">_xlfn.IFS(E1300=$AB$42,$AD$42,E1300=$AB$43,$AD$43,E1300=$AB$44,$AD$44,E1300=$AB$45,$AD$45,E1300=$AB$46,$AD$46,E1300=$AB$47,$AD$47,E1300=$AB$48,$AD$48,E1300=$AB$49,$AD$49,E1300=$AB$50,$AD$50,E1300=$AB$51,$AD$51,E1300=$AB$52,$AD$52,E1300=$AB$53,$AD$53,E1300=$AB$54,$AD$54,E1300=$AB$55,$AD$55,E1300=$AB$56,$AD$56,E1300=$AB$57,$AD$57,E1300=$AB$58,$AD$58,E1300=$AB$59,$AD$59,E1300=$AB$60,$AD$60,E1300=$AB$61,$AD$61,E1300=$AB$62,$AD$62,E1300=$AB$63,$AD$63,E1300=$AB$64,$AD$64,E1300=$AB$65,$AD$65,E1300=$AB$66,$AD$66,TRUE,"0")</f>
        <v xml:space="preserve">  BANG</v>
      </c>
      <c r="E1300" s="2" t="s">
        <v>792</v>
      </c>
      <c r="F1300" s="2" t="s">
        <v>149</v>
      </c>
      <c r="G1300" s="2" t="s">
        <v>150</v>
      </c>
      <c r="H1300" s="3">
        <v>45415.791666666664</v>
      </c>
      <c r="I1300" s="2" t="s">
        <v>700</v>
      </c>
      <c r="J1300" s="2" t="s">
        <v>152</v>
      </c>
      <c r="K1300" s="2">
        <v>2.2000000000000002</v>
      </c>
      <c r="L1300" s="2">
        <v>90</v>
      </c>
      <c r="M1300" s="2">
        <v>70</v>
      </c>
      <c r="N1300" s="2">
        <v>62</v>
      </c>
      <c r="O1300" s="2">
        <v>20</v>
      </c>
      <c r="P1300" s="2"/>
      <c r="Q1300" s="2" t="s">
        <v>95</v>
      </c>
      <c r="R1300" s="10" t="s">
        <v>223</v>
      </c>
      <c r="S1300" s="10" t="s">
        <v>213</v>
      </c>
      <c r="T1300" s="188">
        <v>1000</v>
      </c>
      <c r="U1300" s="8">
        <f t="shared" si="147"/>
        <v>180</v>
      </c>
      <c r="V1300" s="234">
        <f t="shared" si="146"/>
        <v>130804.1552461603</v>
      </c>
      <c r="W1300" s="15">
        <v>25</v>
      </c>
      <c r="X1300" s="8">
        <f t="shared" si="144"/>
        <v>4.5</v>
      </c>
      <c r="Y1300" s="233">
        <f t="shared" si="145"/>
        <v>5136</v>
      </c>
    </row>
    <row r="1301" spans="1:30">
      <c r="A1301" s="156" t="e" cm="1">
        <f t="array" aca="1" ref="A1301" ca="1">_xlfn.IFS(E1301=$AB$42,$AC$42,E1301=$AB$43,$AC$43,E1301=$AB$44,$AC$44,E1301=$AB$45,$AC$45,E1301=$AB$46,$AC$46,E1301=$AB$47,$AC$47,E1301=$AB$48,$AC$48,E1301=$AB$49,$AC$49,E1301=$AB$50,$AC$50,E1301=$AB$51,$AC$51,E1301=$AB$52,$AC$52,E1301=$AB$53,$AC$53,E1301=$AB$54,$AC$54,E1301=$AB$55,$AC$55,E1301=$AB$56,$AC$56,E1301=$AB$57,$AC$57,E1301=$AB$58,$AC$58,E1301=$AB$59,$AC$59,E1301=$AB$60,$AC$60,E1301=$AB$61,$AC$61,E1301=$AB$62,$AC$62,E1301=$AB$63,$AC$63,E1301=$AB$64,$AC$64,E1301=$AB$65,$AC$65,E1301=$AB$66,$AC$66,TRUE,"0")</f>
        <v>#NAME?</v>
      </c>
      <c r="C1301" s="161" t="str" cm="1">
        <f t="array" ref="C1301">_xlfn.IFS(E1301=$AB$42,$AF$42,E1301=$AB$43,$AF$43,E1301=$AB$44,$AF$44,E1301=$AB$45,$AF$45,E1301=$AB$46,$AF$46,E1301=$AB$47,$AF$47,E1301=$AB$48,$AF$48,E1301=$AB$49,$AF$49,E1301=$AB$50,$AF$50,E1301=$AB$51,$AF$51,E1301=$AB$52,$AF$52,E1301=$AB$53,$AF$53,E1301=$AB$54,$AF$54,E1301=$AB$55,$AF$55,E1301=$AB$56,$AF$56,E1301=$AB$57,$AF$57,E1301=$AB$58,$AF$58,E1301=$AB$59,$AF$59,E1301=$AB$60,$AF$60,E1301=$AB$61,$AF$61,E1301=$AB$62,$AF$62,E1301=$AB$63,$AF$63,E1301=$AB$64,$AF$64,E1301=$AB$65,$AF$65,E1301=$AB$66,$AF$66,TRUE,"0")</f>
        <v>40 mins Back ANother Goal</v>
      </c>
      <c r="D1301" s="270" t="str" cm="1">
        <f t="array" ref="D1301">_xlfn.IFS(E1301=$AB$42,$AD$42,E1301=$AB$43,$AD$43,E1301=$AB$44,$AD$44,E1301=$AB$45,$AD$45,E1301=$AB$46,$AD$46,E1301=$AB$47,$AD$47,E1301=$AB$48,$AD$48,E1301=$AB$49,$AD$49,E1301=$AB$50,$AD$50,E1301=$AB$51,$AD$51,E1301=$AB$52,$AD$52,E1301=$AB$53,$AD$53,E1301=$AB$54,$AD$54,E1301=$AB$55,$AD$55,E1301=$AB$56,$AD$56,E1301=$AB$57,$AD$57,E1301=$AB$58,$AD$58,E1301=$AB$59,$AD$59,E1301=$AB$60,$AD$60,E1301=$AB$61,$AD$61,E1301=$AB$62,$AD$62,E1301=$AB$63,$AD$63,E1301=$AB$64,$AD$64,E1301=$AB$65,$AD$65,E1301=$AB$66,$AD$66,TRUE,"0")</f>
        <v xml:space="preserve">  BANG</v>
      </c>
      <c r="E1301" s="2" t="s">
        <v>726</v>
      </c>
      <c r="F1301" s="2" t="s">
        <v>149</v>
      </c>
      <c r="G1301" s="2" t="s">
        <v>150</v>
      </c>
      <c r="H1301" s="3">
        <v>45415.791666666664</v>
      </c>
      <c r="I1301" s="2" t="s">
        <v>700</v>
      </c>
      <c r="J1301" s="2" t="s">
        <v>152</v>
      </c>
      <c r="K1301" s="2">
        <v>90</v>
      </c>
      <c r="L1301" s="2">
        <v>20</v>
      </c>
      <c r="M1301" s="2">
        <v>2.2000000000000002</v>
      </c>
      <c r="N1301" s="2">
        <v>62</v>
      </c>
      <c r="O1301" s="2"/>
      <c r="P1301" s="2"/>
      <c r="Q1301" s="2" t="s">
        <v>95</v>
      </c>
      <c r="R1301" s="10" t="s">
        <v>223</v>
      </c>
      <c r="S1301" s="10" t="s">
        <v>213</v>
      </c>
      <c r="T1301" s="188">
        <v>1000</v>
      </c>
      <c r="U1301" s="8">
        <f t="shared" si="147"/>
        <v>180</v>
      </c>
      <c r="V1301" s="234">
        <f t="shared" si="146"/>
        <v>130984.1552461603</v>
      </c>
      <c r="W1301" s="15">
        <v>25</v>
      </c>
      <c r="X1301" s="8">
        <f t="shared" si="144"/>
        <v>4.5</v>
      </c>
      <c r="Y1301" s="233">
        <f t="shared" si="145"/>
        <v>5140.5</v>
      </c>
    </row>
    <row r="1302" spans="1:30">
      <c r="A1302" s="156" t="e" cm="1">
        <f t="array" aca="1" ref="A1302" ca="1">_xlfn.IFS(E1302=$AB$42,$AC$42,E1302=$AB$43,$AC$43,E1302=$AB$44,$AC$44,E1302=$AB$45,$AC$45,E1302=$AB$46,$AC$46,E1302=$AB$47,$AC$47,E1302=$AB$48,$AC$48,E1302=$AB$49,$AC$49,E1302=$AB$50,$AC$50,E1302=$AB$51,$AC$51,E1302=$AB$52,$AC$52,E1302=$AB$53,$AC$53,E1302=$AB$54,$AC$54,E1302=$AB$55,$AC$55,E1302=$AB$56,$AC$56,E1302=$AB$57,$AC$57,E1302=$AB$58,$AC$58,E1302=$AB$59,$AC$59,E1302=$AB$60,$AC$60,E1302=$AB$61,$AC$61,E1302=$AB$62,$AC$62,E1302=$AB$63,$AC$63,E1302=$AB$64,$AC$64,E1302=$AB$65,$AC$65,E1302=$AB$66,$AC$66,TRUE,"0")</f>
        <v>#NAME?</v>
      </c>
      <c r="C1302" s="161" t="str" cm="1">
        <f t="array" ref="C1302">_xlfn.IFS(E1302=$AB$42,$AF$42,E1302=$AB$43,$AF$43,E1302=$AB$44,$AF$44,E1302=$AB$45,$AF$45,E1302=$AB$46,$AF$46,E1302=$AB$47,$AF$47,E1302=$AB$48,$AF$48,E1302=$AB$49,$AF$49,E1302=$AB$50,$AF$50,E1302=$AB$51,$AF$51,E1302=$AB$52,$AF$52,E1302=$AB$53,$AF$53,E1302=$AB$54,$AF$54,E1302=$AB$55,$AF$55,E1302=$AB$56,$AF$56,E1302=$AB$57,$AF$57,E1302=$AB$58,$AF$58,E1302=$AB$59,$AF$59,E1302=$AB$60,$AF$60,E1302=$AB$61,$AF$61,E1302=$AB$62,$AF$62,E1302=$AB$63,$AF$63,E1302=$AB$64,$AF$64,E1302=$AB$65,$AF$65,E1302=$AB$66,$AF$66,TRUE,"0")</f>
        <v>40 mins Back ANother Goal</v>
      </c>
      <c r="D1302" s="270" t="str" cm="1">
        <f t="array" ref="D1302">_xlfn.IFS(E1302=$AB$42,$AD$42,E1302=$AB$43,$AD$43,E1302=$AB$44,$AD$44,E1302=$AB$45,$AD$45,E1302=$AB$46,$AD$46,E1302=$AB$47,$AD$47,E1302=$AB$48,$AD$48,E1302=$AB$49,$AD$49,E1302=$AB$50,$AD$50,E1302=$AB$51,$AD$51,E1302=$AB$52,$AD$52,E1302=$AB$53,$AD$53,E1302=$AB$54,$AD$54,E1302=$AB$55,$AD$55,E1302=$AB$56,$AD$56,E1302=$AB$57,$AD$57,E1302=$AB$58,$AD$58,E1302=$AB$59,$AD$59,E1302=$AB$60,$AD$60,E1302=$AB$61,$AD$61,E1302=$AB$62,$AD$62,E1302=$AB$63,$AD$63,E1302=$AB$64,$AD$64,E1302=$AB$65,$AD$65,E1302=$AB$66,$AD$66,TRUE,"0")</f>
        <v xml:space="preserve">  BANG</v>
      </c>
      <c r="E1302" s="2" t="s">
        <v>792</v>
      </c>
      <c r="F1302" s="2" t="s">
        <v>149</v>
      </c>
      <c r="G1302" s="2" t="s">
        <v>150</v>
      </c>
      <c r="H1302" s="3">
        <v>45415.791666666664</v>
      </c>
      <c r="I1302" s="2" t="s">
        <v>493</v>
      </c>
      <c r="J1302" s="2" t="s">
        <v>562</v>
      </c>
      <c r="K1302" s="2">
        <v>2.1</v>
      </c>
      <c r="L1302" s="2">
        <v>90</v>
      </c>
      <c r="M1302" s="2">
        <v>65</v>
      </c>
      <c r="N1302" s="2">
        <v>65</v>
      </c>
      <c r="O1302" s="2">
        <v>20</v>
      </c>
      <c r="P1302" s="2"/>
      <c r="Q1302" s="2" t="s">
        <v>95</v>
      </c>
      <c r="R1302" s="10" t="s">
        <v>214</v>
      </c>
      <c r="S1302" s="10" t="s">
        <v>196</v>
      </c>
      <c r="T1302" s="188">
        <v>1000</v>
      </c>
      <c r="U1302" s="8">
        <f t="shared" si="147"/>
        <v>180</v>
      </c>
      <c r="V1302" s="234">
        <f t="shared" si="146"/>
        <v>131164.15524616028</v>
      </c>
      <c r="W1302" s="15">
        <v>25</v>
      </c>
      <c r="X1302" s="8">
        <f t="shared" si="144"/>
        <v>4.5</v>
      </c>
      <c r="Y1302" s="233">
        <f t="shared" si="145"/>
        <v>5145</v>
      </c>
    </row>
    <row r="1303" spans="1:30">
      <c r="A1303" s="156" t="e" cm="1">
        <f t="array" aca="1" ref="A1303" ca="1">_xlfn.IFS(E1303=$AB$42,$AC$42,E1303=$AB$43,$AC$43,E1303=$AB$44,$AC$44,E1303=$AB$45,$AC$45,E1303=$AB$46,$AC$46,E1303=$AB$47,$AC$47,E1303=$AB$48,$AC$48,E1303=$AB$49,$AC$49,E1303=$AB$50,$AC$50,E1303=$AB$51,$AC$51,E1303=$AB$52,$AC$52,E1303=$AB$53,$AC$53,E1303=$AB$54,$AC$54,E1303=$AB$55,$AC$55,E1303=$AB$56,$AC$56,E1303=$AB$57,$AC$57,E1303=$AB$58,$AC$58,E1303=$AB$59,$AC$59,E1303=$AB$60,$AC$60,E1303=$AB$61,$AC$61,E1303=$AB$62,$AC$62,E1303=$AB$63,$AC$63,E1303=$AB$64,$AC$64,E1303=$AB$65,$AC$65,E1303=$AB$66,$AC$66,TRUE,"0")</f>
        <v>#NAME?</v>
      </c>
      <c r="C1303" s="161" t="str" cm="1">
        <f t="array" ref="C1303">_xlfn.IFS(E1303=$AB$42,$AF$42,E1303=$AB$43,$AF$43,E1303=$AB$44,$AF$44,E1303=$AB$45,$AF$45,E1303=$AB$46,$AF$46,E1303=$AB$47,$AF$47,E1303=$AB$48,$AF$48,E1303=$AB$49,$AF$49,E1303=$AB$50,$AF$50,E1303=$AB$51,$AF$51,E1303=$AB$52,$AF$52,E1303=$AB$53,$AF$53,E1303=$AB$54,$AF$54,E1303=$AB$55,$AF$55,E1303=$AB$56,$AF$56,E1303=$AB$57,$AF$57,E1303=$AB$58,$AF$58,E1303=$AB$59,$AF$59,E1303=$AB$60,$AF$60,E1303=$AB$61,$AF$61,E1303=$AB$62,$AF$62,E1303=$AB$63,$AF$63,E1303=$AB$64,$AF$64,E1303=$AB$65,$AF$65,E1303=$AB$66,$AF$66,TRUE,"0")</f>
        <v>40 mins Back ANother Goal</v>
      </c>
      <c r="D1303" s="270" t="str" cm="1">
        <f t="array" ref="D1303">_xlfn.IFS(E1303=$AB$42,$AD$42,E1303=$AB$43,$AD$43,E1303=$AB$44,$AD$44,E1303=$AB$45,$AD$45,E1303=$AB$46,$AD$46,E1303=$AB$47,$AD$47,E1303=$AB$48,$AD$48,E1303=$AB$49,$AD$49,E1303=$AB$50,$AD$50,E1303=$AB$51,$AD$51,E1303=$AB$52,$AD$52,E1303=$AB$53,$AD$53,E1303=$AB$54,$AD$54,E1303=$AB$55,$AD$55,E1303=$AB$56,$AD$56,E1303=$AB$57,$AD$57,E1303=$AB$58,$AD$58,E1303=$AB$59,$AD$59,E1303=$AB$60,$AD$60,E1303=$AB$61,$AD$61,E1303=$AB$62,$AD$62,E1303=$AB$63,$AD$63,E1303=$AB$64,$AD$64,E1303=$AB$65,$AD$65,E1303=$AB$66,$AD$66,TRUE,"0")</f>
        <v xml:space="preserve">  BANG</v>
      </c>
      <c r="E1303" s="2" t="s">
        <v>35</v>
      </c>
      <c r="F1303" s="2" t="s">
        <v>149</v>
      </c>
      <c r="G1303" s="2" t="s">
        <v>150</v>
      </c>
      <c r="H1303" s="3">
        <v>45415.791666666664</v>
      </c>
      <c r="I1303" s="2" t="s">
        <v>493</v>
      </c>
      <c r="J1303" s="2" t="s">
        <v>562</v>
      </c>
      <c r="K1303" s="2">
        <v>72</v>
      </c>
      <c r="L1303" s="2">
        <v>90</v>
      </c>
      <c r="M1303" s="2">
        <v>65</v>
      </c>
      <c r="N1303" s="2">
        <v>40</v>
      </c>
      <c r="O1303" s="2">
        <v>20</v>
      </c>
      <c r="P1303" s="2">
        <v>1.45</v>
      </c>
      <c r="Q1303" s="2" t="s">
        <v>95</v>
      </c>
      <c r="R1303" s="10" t="s">
        <v>214</v>
      </c>
      <c r="S1303" s="10" t="s">
        <v>196</v>
      </c>
      <c r="T1303" s="188">
        <v>1000</v>
      </c>
      <c r="U1303" s="8">
        <f t="shared" si="147"/>
        <v>180</v>
      </c>
      <c r="V1303" s="234">
        <f t="shared" si="146"/>
        <v>131344.15524616028</v>
      </c>
      <c r="W1303" s="15">
        <v>25</v>
      </c>
      <c r="X1303" s="8">
        <f t="shared" si="144"/>
        <v>4.5</v>
      </c>
      <c r="Y1303" s="233">
        <f t="shared" si="145"/>
        <v>5149.5</v>
      </c>
    </row>
    <row r="1304" spans="1:30">
      <c r="A1304" s="156" t="e" cm="1">
        <f t="array" aca="1" ref="A1304" ca="1">_xlfn.IFS(E1304=$AB$42,$AC$42,E1304=$AB$43,$AC$43,E1304=$AB$44,$AC$44,E1304=$AB$45,$AC$45,E1304=$AB$46,$AC$46,E1304=$AB$47,$AC$47,E1304=$AB$48,$AC$48,E1304=$AB$49,$AC$49,E1304=$AB$50,$AC$50,E1304=$AB$51,$AC$51,E1304=$AB$52,$AC$52,E1304=$AB$53,$AC$53,E1304=$AB$54,$AC$54,E1304=$AB$55,$AC$55,E1304=$AB$56,$AC$56,E1304=$AB$57,$AC$57,E1304=$AB$58,$AC$58,E1304=$AB$59,$AC$59,E1304=$AB$60,$AC$60,E1304=$AB$61,$AC$61,E1304=$AB$62,$AC$62,E1304=$AB$63,$AC$63,E1304=$AB$64,$AC$64,E1304=$AB$65,$AC$65,E1304=$AB$66,$AC$66,TRUE,"0")</f>
        <v>#NAME?</v>
      </c>
      <c r="C1304" s="161" t="str" cm="1">
        <f t="array" ref="C1304">_xlfn.IFS(E1304=$AB$42,$AF$42,E1304=$AB$43,$AF$43,E1304=$AB$44,$AF$44,E1304=$AB$45,$AF$45,E1304=$AB$46,$AF$46,E1304=$AB$47,$AF$47,E1304=$AB$48,$AF$48,E1304=$AB$49,$AF$49,E1304=$AB$50,$AF$50,E1304=$AB$51,$AF$51,E1304=$AB$52,$AF$52,E1304=$AB$53,$AF$53,E1304=$AB$54,$AF$54,E1304=$AB$55,$AF$55,E1304=$AB$56,$AF$56,E1304=$AB$57,$AF$57,E1304=$AB$58,$AF$58,E1304=$AB$59,$AF$59,E1304=$AB$60,$AF$60,E1304=$AB$61,$AF$61,E1304=$AB$62,$AF$62,E1304=$AB$63,$AF$63,E1304=$AB$64,$AF$64,E1304=$AB$65,$AF$65,E1304=$AB$66,$AF$66,TRUE,"0")</f>
        <v>40 mins Back ANother Goal</v>
      </c>
      <c r="D1304" s="270" t="str" cm="1">
        <f t="array" ref="D1304">_xlfn.IFS(E1304=$AB$42,$AD$42,E1304=$AB$43,$AD$43,E1304=$AB$44,$AD$44,E1304=$AB$45,$AD$45,E1304=$AB$46,$AD$46,E1304=$AB$47,$AD$47,E1304=$AB$48,$AD$48,E1304=$AB$49,$AD$49,E1304=$AB$50,$AD$50,E1304=$AB$51,$AD$51,E1304=$AB$52,$AD$52,E1304=$AB$53,$AD$53,E1304=$AB$54,$AD$54,E1304=$AB$55,$AD$55,E1304=$AB$56,$AD$56,E1304=$AB$57,$AD$57,E1304=$AB$58,$AD$58,E1304=$AB$59,$AD$59,E1304=$AB$60,$AD$60,E1304=$AB$61,$AD$61,E1304=$AB$62,$AD$62,E1304=$AB$63,$AD$63,E1304=$AB$64,$AD$64,E1304=$AB$65,$AD$65,E1304=$AB$66,$AD$66,TRUE,"0")</f>
        <v xml:space="preserve">  BANG</v>
      </c>
      <c r="E1304" s="2" t="s">
        <v>519</v>
      </c>
      <c r="F1304" s="2" t="s">
        <v>149</v>
      </c>
      <c r="G1304" s="2" t="s">
        <v>150</v>
      </c>
      <c r="H1304" s="3">
        <v>45415.791666666664</v>
      </c>
      <c r="I1304" s="2" t="s">
        <v>493</v>
      </c>
      <c r="J1304" s="2" t="s">
        <v>562</v>
      </c>
      <c r="K1304" s="2">
        <v>20</v>
      </c>
      <c r="L1304" s="2">
        <v>90</v>
      </c>
      <c r="M1304" s="2">
        <v>90</v>
      </c>
      <c r="N1304" s="2"/>
      <c r="O1304" s="2"/>
      <c r="P1304" s="2"/>
      <c r="Q1304" s="2" t="s">
        <v>95</v>
      </c>
      <c r="R1304" s="10" t="s">
        <v>214</v>
      </c>
      <c r="S1304" s="10" t="s">
        <v>196</v>
      </c>
      <c r="T1304" s="188">
        <v>1000</v>
      </c>
      <c r="U1304" s="8">
        <f t="shared" si="147"/>
        <v>180</v>
      </c>
      <c r="V1304" s="234">
        <f t="shared" si="146"/>
        <v>131524.15524616028</v>
      </c>
      <c r="W1304" s="15">
        <v>25</v>
      </c>
      <c r="X1304" s="8">
        <f t="shared" si="144"/>
        <v>4.5</v>
      </c>
      <c r="Y1304" s="233">
        <f t="shared" si="145"/>
        <v>5154</v>
      </c>
      <c r="AB1304"/>
      <c r="AC1304" s="1"/>
      <c r="AD1304"/>
    </row>
    <row r="1305" spans="1:30">
      <c r="A1305" s="156" t="e" cm="1">
        <f t="array" aca="1" ref="A1305" ca="1">_xlfn.IFS(E1305=$AB$42,$AC$42,E1305=$AB$43,$AC$43,E1305=$AB$44,$AC$44,E1305=$AB$45,$AC$45,E1305=$AB$46,$AC$46,E1305=$AB$47,$AC$47,E1305=$AB$48,$AC$48,E1305=$AB$49,$AC$49,E1305=$AB$50,$AC$50,E1305=$AB$51,$AC$51,E1305=$AB$52,$AC$52,E1305=$AB$53,$AC$53,E1305=$AB$54,$AC$54,E1305=$AB$55,$AC$55,E1305=$AB$56,$AC$56,E1305=$AB$57,$AC$57,E1305=$AB$58,$AC$58,E1305=$AB$59,$AC$59,E1305=$AB$60,$AC$60,E1305=$AB$61,$AC$61,E1305=$AB$62,$AC$62,E1305=$AB$63,$AC$63,E1305=$AB$64,$AC$64,E1305=$AB$65,$AC$65,E1305=$AB$66,$AC$66,TRUE,"0")</f>
        <v>#NAME?</v>
      </c>
      <c r="C1305" s="161" t="str" cm="1">
        <f t="array" ref="C1305">_xlfn.IFS(E1305=$AB$42,$AF$42,E1305=$AB$43,$AF$43,E1305=$AB$44,$AF$44,E1305=$AB$45,$AF$45,E1305=$AB$46,$AF$46,E1305=$AB$47,$AF$47,E1305=$AB$48,$AF$48,E1305=$AB$49,$AF$49,E1305=$AB$50,$AF$50,E1305=$AB$51,$AF$51,E1305=$AB$52,$AF$52,E1305=$AB$53,$AF$53,E1305=$AB$54,$AF$54,E1305=$AB$55,$AF$55,E1305=$AB$56,$AF$56,E1305=$AB$57,$AF$57,E1305=$AB$58,$AF$58,E1305=$AB$59,$AF$59,E1305=$AB$60,$AF$60,E1305=$AB$61,$AF$61,E1305=$AB$62,$AF$62,E1305=$AB$63,$AF$63,E1305=$AB$64,$AF$64,E1305=$AB$65,$AF$65,E1305=$AB$66,$AF$66,TRUE,"0")</f>
        <v>40 mins Back ANother Goal</v>
      </c>
      <c r="D1305" s="270" t="str" cm="1">
        <f t="array" ref="D1305">_xlfn.IFS(E1305=$AB$42,$AD$42,E1305=$AB$43,$AD$43,E1305=$AB$44,$AD$44,E1305=$AB$45,$AD$45,E1305=$AB$46,$AD$46,E1305=$AB$47,$AD$47,E1305=$AB$48,$AD$48,E1305=$AB$49,$AD$49,E1305=$AB$50,$AD$50,E1305=$AB$51,$AD$51,E1305=$AB$52,$AD$52,E1305=$AB$53,$AD$53,E1305=$AB$54,$AD$54,E1305=$AB$55,$AD$55,E1305=$AB$56,$AD$56,E1305=$AB$57,$AD$57,E1305=$AB$58,$AD$58,E1305=$AB$59,$AD$59,E1305=$AB$60,$AD$60,E1305=$AB$61,$AD$61,E1305=$AB$62,$AD$62,E1305=$AB$63,$AD$63,E1305=$AB$64,$AD$64,E1305=$AB$65,$AD$65,E1305=$AB$66,$AD$66,TRUE,"0")</f>
        <v xml:space="preserve">  BANG</v>
      </c>
      <c r="E1305" s="163" t="s">
        <v>522</v>
      </c>
      <c r="F1305" s="2" t="s">
        <v>149</v>
      </c>
      <c r="G1305" s="2" t="s">
        <v>150</v>
      </c>
      <c r="H1305" s="3">
        <v>45415.791666666664</v>
      </c>
      <c r="I1305" s="2" t="s">
        <v>493</v>
      </c>
      <c r="J1305" s="2" t="s">
        <v>562</v>
      </c>
      <c r="K1305" s="2">
        <v>72</v>
      </c>
      <c r="L1305" s="2">
        <v>20</v>
      </c>
      <c r="M1305" s="2">
        <v>90</v>
      </c>
      <c r="N1305" s="2">
        <v>65</v>
      </c>
      <c r="O1305" s="2">
        <v>2.1</v>
      </c>
      <c r="P1305" s="2"/>
      <c r="Q1305" s="2" t="s">
        <v>95</v>
      </c>
      <c r="R1305" s="10" t="s">
        <v>214</v>
      </c>
      <c r="S1305" s="10" t="s">
        <v>196</v>
      </c>
      <c r="T1305" s="188">
        <v>1000</v>
      </c>
      <c r="U1305" s="8">
        <f t="shared" si="147"/>
        <v>180</v>
      </c>
      <c r="V1305" s="234">
        <f t="shared" si="146"/>
        <v>131704.15524616028</v>
      </c>
      <c r="W1305" s="15">
        <v>25</v>
      </c>
      <c r="X1305" s="8">
        <f t="shared" si="144"/>
        <v>4.5</v>
      </c>
      <c r="Y1305" s="233">
        <f t="shared" si="145"/>
        <v>5158.5</v>
      </c>
      <c r="AB1305"/>
      <c r="AC1305" s="1"/>
      <c r="AD1305"/>
    </row>
    <row r="1306" spans="1:30">
      <c r="A1306" s="156" t="e" cm="1">
        <f t="array" aca="1" ref="A1306" ca="1">_xlfn.IFS(E1306=$AB$42,$AC$42,E1306=$AB$43,$AC$43,E1306=$AB$44,$AC$44,E1306=$AB$45,$AC$45,E1306=$AB$46,$AC$46,E1306=$AB$47,$AC$47,E1306=$AB$48,$AC$48,E1306=$AB$49,$AC$49,E1306=$AB$50,$AC$50,E1306=$AB$51,$AC$51,E1306=$AB$52,$AC$52,E1306=$AB$53,$AC$53,E1306=$AB$54,$AC$54,E1306=$AB$55,$AC$55,E1306=$AB$56,$AC$56,E1306=$AB$57,$AC$57,E1306=$AB$58,$AC$58,E1306=$AB$59,$AC$59,E1306=$AB$60,$AC$60,E1306=$AB$61,$AC$61,E1306=$AB$62,$AC$62,E1306=$AB$63,$AC$63,E1306=$AB$64,$AC$64,E1306=$AB$65,$AC$65,E1306=$AB$66,$AC$66,TRUE,"0")</f>
        <v>#NAME?</v>
      </c>
      <c r="C1306" s="161" t="str" cm="1">
        <f t="array" ref="C1306">_xlfn.IFS(E1306=$AB$42,$AF$42,E1306=$AB$43,$AF$43,E1306=$AB$44,$AF$44,E1306=$AB$45,$AF$45,E1306=$AB$46,$AF$46,E1306=$AB$47,$AF$47,E1306=$AB$48,$AF$48,E1306=$AB$49,$AF$49,E1306=$AB$50,$AF$50,E1306=$AB$51,$AF$51,E1306=$AB$52,$AF$52,E1306=$AB$53,$AF$53,E1306=$AB$54,$AF$54,E1306=$AB$55,$AF$55,E1306=$AB$56,$AF$56,E1306=$AB$57,$AF$57,E1306=$AB$58,$AF$58,E1306=$AB$59,$AF$59,E1306=$AB$60,$AF$60,E1306=$AB$61,$AF$61,E1306=$AB$62,$AF$62,E1306=$AB$63,$AF$63,E1306=$AB$64,$AF$64,E1306=$AB$65,$AF$65,E1306=$AB$66,$AF$66,TRUE,"0")</f>
        <v>40 mins Back ANother Goal</v>
      </c>
      <c r="D1306" s="270" t="str" cm="1">
        <f t="array" ref="D1306">_xlfn.IFS(E1306=$AB$42,$AD$42,E1306=$AB$43,$AD$43,E1306=$AB$44,$AD$44,E1306=$AB$45,$AD$45,E1306=$AB$46,$AD$46,E1306=$AB$47,$AD$47,E1306=$AB$48,$AD$48,E1306=$AB$49,$AD$49,E1306=$AB$50,$AD$50,E1306=$AB$51,$AD$51,E1306=$AB$52,$AD$52,E1306=$AB$53,$AD$53,E1306=$AB$54,$AD$54,E1306=$AB$55,$AD$55,E1306=$AB$56,$AD$56,E1306=$AB$57,$AD$57,E1306=$AB$58,$AD$58,E1306=$AB$59,$AD$59,E1306=$AB$60,$AD$60,E1306=$AB$61,$AD$61,E1306=$AB$62,$AD$62,E1306=$AB$63,$AD$63,E1306=$AB$64,$AD$64,E1306=$AB$65,$AD$65,E1306=$AB$66,$AD$66,TRUE,"0")</f>
        <v xml:space="preserve">  BANG</v>
      </c>
      <c r="E1306" s="2" t="s">
        <v>515</v>
      </c>
      <c r="F1306" s="2" t="s">
        <v>149</v>
      </c>
      <c r="G1306" s="2" t="s">
        <v>150</v>
      </c>
      <c r="H1306" s="3">
        <v>45415.791666666664</v>
      </c>
      <c r="I1306" s="2" t="s">
        <v>493</v>
      </c>
      <c r="J1306" s="2" t="s">
        <v>562</v>
      </c>
      <c r="K1306" s="2">
        <v>20</v>
      </c>
      <c r="L1306" s="2">
        <v>72</v>
      </c>
      <c r="M1306" s="2">
        <v>2.1</v>
      </c>
      <c r="N1306" s="2"/>
      <c r="O1306" s="2"/>
      <c r="P1306" s="2"/>
      <c r="Q1306" s="2" t="s">
        <v>95</v>
      </c>
      <c r="R1306" s="10" t="s">
        <v>214</v>
      </c>
      <c r="S1306" s="10" t="s">
        <v>196</v>
      </c>
      <c r="T1306" s="188">
        <v>1000</v>
      </c>
      <c r="U1306" s="8">
        <f t="shared" si="147"/>
        <v>180</v>
      </c>
      <c r="V1306" s="234">
        <f t="shared" si="146"/>
        <v>131884.15524616028</v>
      </c>
      <c r="W1306" s="15">
        <v>25</v>
      </c>
      <c r="X1306" s="8">
        <f t="shared" si="144"/>
        <v>4.5</v>
      </c>
      <c r="Y1306" s="233">
        <f t="shared" si="145"/>
        <v>5163</v>
      </c>
      <c r="AB1306"/>
      <c r="AC1306" s="1"/>
      <c r="AD1306"/>
    </row>
    <row r="1307" spans="1:30">
      <c r="A1307" s="156" t="e" cm="1">
        <f t="array" aca="1" ref="A1307" ca="1">_xlfn.IFS(E1307=$AB$42,$AC$42,E1307=$AB$43,$AC$43,E1307=$AB$44,$AC$44,E1307=$AB$45,$AC$45,E1307=$AB$46,$AC$46,E1307=$AB$47,$AC$47,E1307=$AB$48,$AC$48,E1307=$AB$49,$AC$49,E1307=$AB$50,$AC$50,E1307=$AB$51,$AC$51,E1307=$AB$52,$AC$52,E1307=$AB$53,$AC$53,E1307=$AB$54,$AC$54,E1307=$AB$55,$AC$55,E1307=$AB$56,$AC$56,E1307=$AB$57,$AC$57,E1307=$AB$58,$AC$58,E1307=$AB$59,$AC$59,E1307=$AB$60,$AC$60,E1307=$AB$61,$AC$61,E1307=$AB$62,$AC$62,E1307=$AB$63,$AC$63,E1307=$AB$64,$AC$64,E1307=$AB$65,$AC$65,E1307=$AB$66,$AC$66,TRUE,"0")</f>
        <v>#NAME?</v>
      </c>
      <c r="C1307" s="161" t="str" cm="1">
        <f t="array" ref="C1307">_xlfn.IFS(E1307=$AB$42,$AF$42,E1307=$AB$43,$AF$43,E1307=$AB$44,$AF$44,E1307=$AB$45,$AF$45,E1307=$AB$46,$AF$46,E1307=$AB$47,$AF$47,E1307=$AB$48,$AF$48,E1307=$AB$49,$AF$49,E1307=$AB$50,$AF$50,E1307=$AB$51,$AF$51,E1307=$AB$52,$AF$52,E1307=$AB$53,$AF$53,E1307=$AB$54,$AF$54,E1307=$AB$55,$AF$55,E1307=$AB$56,$AF$56,E1307=$AB$57,$AF$57,E1307=$AB$58,$AF$58,E1307=$AB$59,$AF$59,E1307=$AB$60,$AF$60,E1307=$AB$61,$AF$61,E1307=$AB$62,$AF$62,E1307=$AB$63,$AF$63,E1307=$AB$64,$AF$64,E1307=$AB$65,$AF$65,E1307=$AB$66,$AF$66,TRUE,"0")</f>
        <v>40 mins Back ANother Goal</v>
      </c>
      <c r="D1307" s="270" t="str" cm="1">
        <f t="array" ref="D1307">_xlfn.IFS(E1307=$AB$42,$AD$42,E1307=$AB$43,$AD$43,E1307=$AB$44,$AD$44,E1307=$AB$45,$AD$45,E1307=$AB$46,$AD$46,E1307=$AB$47,$AD$47,E1307=$AB$48,$AD$48,E1307=$AB$49,$AD$49,E1307=$AB$50,$AD$50,E1307=$AB$51,$AD$51,E1307=$AB$52,$AD$52,E1307=$AB$53,$AD$53,E1307=$AB$54,$AD$54,E1307=$AB$55,$AD$55,E1307=$AB$56,$AD$56,E1307=$AB$57,$AD$57,E1307=$AB$58,$AD$58,E1307=$AB$59,$AD$59,E1307=$AB$60,$AD$60,E1307=$AB$61,$AD$61,E1307=$AB$62,$AD$62,E1307=$AB$63,$AD$63,E1307=$AB$64,$AD$64,E1307=$AB$65,$AD$65,E1307=$AB$66,$AD$66,TRUE,"0")</f>
        <v xml:space="preserve">  BANG</v>
      </c>
      <c r="E1307" s="2" t="s">
        <v>726</v>
      </c>
      <c r="F1307" s="2" t="s">
        <v>149</v>
      </c>
      <c r="G1307" s="2" t="s">
        <v>150</v>
      </c>
      <c r="H1307" s="3">
        <v>45415.791666666664</v>
      </c>
      <c r="I1307" s="2" t="s">
        <v>331</v>
      </c>
      <c r="J1307" s="2" t="s">
        <v>237</v>
      </c>
      <c r="K1307" s="2">
        <v>85</v>
      </c>
      <c r="L1307" s="2">
        <v>20</v>
      </c>
      <c r="M1307" s="2">
        <v>1.85</v>
      </c>
      <c r="N1307" s="2">
        <v>61</v>
      </c>
      <c r="O1307" s="2"/>
      <c r="P1307" s="2"/>
      <c r="Q1307" s="2" t="s">
        <v>95</v>
      </c>
      <c r="R1307" s="10" t="s">
        <v>221</v>
      </c>
      <c r="S1307" s="10" t="s">
        <v>220</v>
      </c>
      <c r="T1307" s="188">
        <v>1000</v>
      </c>
      <c r="U1307" s="8">
        <f t="shared" si="147"/>
        <v>180</v>
      </c>
      <c r="V1307" s="234">
        <f t="shared" si="146"/>
        <v>132064.15524616028</v>
      </c>
      <c r="W1307" s="15">
        <v>25</v>
      </c>
      <c r="X1307" s="8">
        <f t="shared" si="144"/>
        <v>4.5</v>
      </c>
      <c r="Y1307" s="233">
        <f t="shared" si="145"/>
        <v>5167.5</v>
      </c>
      <c r="AB1307"/>
      <c r="AC1307" s="1"/>
      <c r="AD1307"/>
    </row>
    <row r="1308" spans="1:30">
      <c r="A1308" s="156" t="e" cm="1">
        <f t="array" aca="1" ref="A1308" ca="1">_xlfn.IFS(E1308=$AB$42,$AC$42,E1308=$AB$43,$AC$43,E1308=$AB$44,$AC$44,E1308=$AB$45,$AC$45,E1308=$AB$46,$AC$46,E1308=$AB$47,$AC$47,E1308=$AB$48,$AC$48,E1308=$AB$49,$AC$49,E1308=$AB$50,$AC$50,E1308=$AB$51,$AC$51,E1308=$AB$52,$AC$52,E1308=$AB$53,$AC$53,E1308=$AB$54,$AC$54,E1308=$AB$55,$AC$55,E1308=$AB$56,$AC$56,E1308=$AB$57,$AC$57,E1308=$AB$58,$AC$58,E1308=$AB$59,$AC$59,E1308=$AB$60,$AC$60,E1308=$AB$61,$AC$61,E1308=$AB$62,$AC$62,E1308=$AB$63,$AC$63,E1308=$AB$64,$AC$64,E1308=$AB$65,$AC$65,E1308=$AB$66,$AC$66,TRUE,"0")</f>
        <v>#NAME?</v>
      </c>
      <c r="C1308" s="161" t="str" cm="1">
        <f t="array" ref="C1308">_xlfn.IFS(E1308=$AB$42,$AF$42,E1308=$AB$43,$AF$43,E1308=$AB$44,$AF$44,E1308=$AB$45,$AF$45,E1308=$AB$46,$AF$46,E1308=$AB$47,$AF$47,E1308=$AB$48,$AF$48,E1308=$AB$49,$AF$49,E1308=$AB$50,$AF$50,E1308=$AB$51,$AF$51,E1308=$AB$52,$AF$52,E1308=$AB$53,$AF$53,E1308=$AB$54,$AF$54,E1308=$AB$55,$AF$55,E1308=$AB$56,$AF$56,E1308=$AB$57,$AF$57,E1308=$AB$58,$AF$58,E1308=$AB$59,$AF$59,E1308=$AB$60,$AF$60,E1308=$AB$61,$AF$61,E1308=$AB$62,$AF$62,E1308=$AB$63,$AF$63,E1308=$AB$64,$AF$64,E1308=$AB$65,$AF$65,E1308=$AB$66,$AF$66,TRUE,"0")</f>
        <v>20mins if  0-0, BACK over 1.5 goals X after goal OR LET RUN</v>
      </c>
      <c r="D1308" s="270" t="str" cm="1">
        <f t="array" ref="D1308">_xlfn.IFS(E1308=$AB$42,$AD$42,E1308=$AB$43,$AD$43,E1308=$AB$44,$AD$44,E1308=$AB$45,$AD$45,E1308=$AB$46,$AD$46,E1308=$AB$47,$AD$47,E1308=$AB$48,$AD$48,E1308=$AB$49,$AD$49,E1308=$AB$50,$AD$50,E1308=$AB$51,$AD$51,E1308=$AB$52,$AD$52,E1308=$AB$53,$AD$53,E1308=$AB$54,$AD$54,E1308=$AB$55,$AD$55,E1308=$AB$56,$AD$56,E1308=$AB$57,$AD$57,E1308=$AB$58,$AD$58,E1308=$AB$59,$AD$59,E1308=$AB$60,$AD$60,E1308=$AB$61,$AD$61,E1308=$AB$62,$AD$62,E1308=$AB$63,$AD$63,E1308=$AB$64,$AD$64,E1308=$AB$65,$AD$65,E1308=$AB$66,$AD$66,TRUE,"0")</f>
        <v>IP</v>
      </c>
      <c r="E1308" s="2" t="s">
        <v>474</v>
      </c>
      <c r="F1308" s="2" t="s">
        <v>149</v>
      </c>
      <c r="G1308" s="2" t="s">
        <v>150</v>
      </c>
      <c r="H1308" s="3">
        <v>45415.791666666664</v>
      </c>
      <c r="I1308" s="2" t="s">
        <v>331</v>
      </c>
      <c r="J1308" s="2" t="s">
        <v>237</v>
      </c>
      <c r="K1308" s="2">
        <v>50</v>
      </c>
      <c r="L1308" s="2">
        <v>3.35</v>
      </c>
      <c r="M1308" s="2">
        <v>20</v>
      </c>
      <c r="N1308" s="2">
        <v>70</v>
      </c>
      <c r="O1308" s="2">
        <v>90</v>
      </c>
      <c r="P1308" s="2"/>
      <c r="Q1308" s="2" t="s">
        <v>95</v>
      </c>
      <c r="R1308" s="10" t="s">
        <v>221</v>
      </c>
      <c r="S1308" s="10" t="s">
        <v>220</v>
      </c>
      <c r="T1308" s="188">
        <v>1000</v>
      </c>
      <c r="U1308" s="8">
        <f t="shared" si="147"/>
        <v>180</v>
      </c>
      <c r="V1308" s="234">
        <f t="shared" si="146"/>
        <v>132244.15524616028</v>
      </c>
      <c r="W1308" s="15">
        <v>25</v>
      </c>
      <c r="X1308" s="8">
        <f t="shared" si="144"/>
        <v>4.5</v>
      </c>
      <c r="Y1308" s="233">
        <f t="shared" si="145"/>
        <v>5172</v>
      </c>
    </row>
    <row r="1309" spans="1:30">
      <c r="A1309" s="156" t="e" cm="1">
        <f t="array" aca="1" ref="A1309" ca="1">_xlfn.IFS(E1309=$AB$42,$AC$42,E1309=$AB$43,$AC$43,E1309=$AB$44,$AC$44,E1309=$AB$45,$AC$45,E1309=$AB$46,$AC$46,E1309=$AB$47,$AC$47,E1309=$AB$48,$AC$48,E1309=$AB$49,$AC$49,E1309=$AB$50,$AC$50,E1309=$AB$51,$AC$51,E1309=$AB$52,$AC$52,E1309=$AB$53,$AC$53,E1309=$AB$54,$AC$54,E1309=$AB$55,$AC$55,E1309=$AB$56,$AC$56,E1309=$AB$57,$AC$57,E1309=$AB$58,$AC$58,E1309=$AB$59,$AC$59,E1309=$AB$60,$AC$60,E1309=$AB$61,$AC$61,E1309=$AB$62,$AC$62,E1309=$AB$63,$AC$63,E1309=$AB$64,$AC$64,E1309=$AB$65,$AC$65,E1309=$AB$66,$AC$66,TRUE,"0")</f>
        <v>#NAME?</v>
      </c>
      <c r="C1309" s="161" t="str" cm="1">
        <f t="array" ref="C1309">_xlfn.IFS(E1309=$AB$42,$AF$42,E1309=$AB$43,$AF$43,E1309=$AB$44,$AF$44,E1309=$AB$45,$AF$45,E1309=$AB$46,$AF$46,E1309=$AB$47,$AF$47,E1309=$AB$48,$AF$48,E1309=$AB$49,$AF$49,E1309=$AB$50,$AF$50,E1309=$AB$51,$AF$51,E1309=$AB$52,$AF$52,E1309=$AB$53,$AF$53,E1309=$AB$54,$AF$54,E1309=$AB$55,$AF$55,E1309=$AB$56,$AF$56,E1309=$AB$57,$AF$57,E1309=$AB$58,$AF$58,E1309=$AB$59,$AF$59,E1309=$AB$60,$AF$60,E1309=$AB$61,$AF$61,E1309=$AB$62,$AF$62,E1309=$AB$63,$AF$63,E1309=$AB$64,$AF$64,E1309=$AB$65,$AF$65,E1309=$AB$66,$AF$66,TRUE,"0")</f>
        <v>40 mins Back ANother Goal</v>
      </c>
      <c r="D1309" s="270" t="str" cm="1">
        <f t="array" ref="D1309">_xlfn.IFS(E1309=$AB$42,$AD$42,E1309=$AB$43,$AD$43,E1309=$AB$44,$AD$44,E1309=$AB$45,$AD$45,E1309=$AB$46,$AD$46,E1309=$AB$47,$AD$47,E1309=$AB$48,$AD$48,E1309=$AB$49,$AD$49,E1309=$AB$50,$AD$50,E1309=$AB$51,$AD$51,E1309=$AB$52,$AD$52,E1309=$AB$53,$AD$53,E1309=$AB$54,$AD$54,E1309=$AB$55,$AD$55,E1309=$AB$56,$AD$56,E1309=$AB$57,$AD$57,E1309=$AB$58,$AD$58,E1309=$AB$59,$AD$59,E1309=$AB$60,$AD$60,E1309=$AB$61,$AD$61,E1309=$AB$62,$AD$62,E1309=$AB$63,$AD$63,E1309=$AB$64,$AD$64,E1309=$AB$65,$AD$65,E1309=$AB$66,$AD$66,TRUE,"0")</f>
        <v xml:space="preserve">  BANG</v>
      </c>
      <c r="E1309" s="2" t="s">
        <v>726</v>
      </c>
      <c r="F1309" s="2" t="s">
        <v>296</v>
      </c>
      <c r="G1309" s="2" t="s">
        <v>525</v>
      </c>
      <c r="H1309" s="3">
        <v>45415.802083333336</v>
      </c>
      <c r="I1309" s="2" t="s">
        <v>596</v>
      </c>
      <c r="J1309" s="2" t="s">
        <v>527</v>
      </c>
      <c r="K1309" s="2">
        <v>80</v>
      </c>
      <c r="L1309" s="2">
        <v>20</v>
      </c>
      <c r="M1309" s="2">
        <v>2.2999999999999998</v>
      </c>
      <c r="N1309" s="2">
        <v>61</v>
      </c>
      <c r="O1309" s="2"/>
      <c r="P1309" s="2"/>
      <c r="Q1309" s="2" t="s">
        <v>95</v>
      </c>
      <c r="R1309" s="10" t="s">
        <v>221</v>
      </c>
      <c r="S1309" s="10" t="s">
        <v>222</v>
      </c>
      <c r="T1309" s="188">
        <v>1000</v>
      </c>
      <c r="U1309" s="8">
        <f t="shared" si="147"/>
        <v>180</v>
      </c>
      <c r="V1309" s="234">
        <f t="shared" si="146"/>
        <v>132424.15524616028</v>
      </c>
      <c r="W1309" s="15">
        <v>25</v>
      </c>
      <c r="X1309" s="8">
        <f t="shared" si="144"/>
        <v>4.5</v>
      </c>
      <c r="Y1309" s="233">
        <f t="shared" si="145"/>
        <v>5176.5</v>
      </c>
    </row>
    <row r="1310" spans="1:30">
      <c r="A1310" s="156" t="e" cm="1">
        <f t="array" aca="1" ref="A1310" ca="1">_xlfn.IFS(E1310=$AB$42,$AC$42,E1310=$AB$43,$AC$43,E1310=$AB$44,$AC$44,E1310=$AB$45,$AC$45,E1310=$AB$46,$AC$46,E1310=$AB$47,$AC$47,E1310=$AB$48,$AC$48,E1310=$AB$49,$AC$49,E1310=$AB$50,$AC$50,E1310=$AB$51,$AC$51,E1310=$AB$52,$AC$52,E1310=$AB$53,$AC$53,E1310=$AB$54,$AC$54,E1310=$AB$55,$AC$55,E1310=$AB$56,$AC$56,E1310=$AB$57,$AC$57,E1310=$AB$58,$AC$58,E1310=$AB$59,$AC$59,E1310=$AB$60,$AC$60,E1310=$AB$61,$AC$61,E1310=$AB$62,$AC$62,E1310=$AB$63,$AC$63,E1310=$AB$64,$AC$64,E1310=$AB$65,$AC$65,E1310=$AB$66,$AC$66,TRUE,"0")</f>
        <v>#NAME?</v>
      </c>
      <c r="C1310" s="161" t="str" cm="1">
        <f t="array" ref="C1310">_xlfn.IFS(E1310=$AB$42,$AF$42,E1310=$AB$43,$AF$43,E1310=$AB$44,$AF$44,E1310=$AB$45,$AF$45,E1310=$AB$46,$AF$46,E1310=$AB$47,$AF$47,E1310=$AB$48,$AF$48,E1310=$AB$49,$AF$49,E1310=$AB$50,$AF$50,E1310=$AB$51,$AF$51,E1310=$AB$52,$AF$52,E1310=$AB$53,$AF$53,E1310=$AB$54,$AF$54,E1310=$AB$55,$AF$55,E1310=$AB$56,$AF$56,E1310=$AB$57,$AF$57,E1310=$AB$58,$AF$58,E1310=$AB$59,$AF$59,E1310=$AB$60,$AF$60,E1310=$AB$61,$AF$61,E1310=$AB$62,$AF$62,E1310=$AB$63,$AF$63,E1310=$AB$64,$AF$64,E1310=$AB$65,$AF$65,E1310=$AB$66,$AF$66,TRUE,"0")</f>
        <v>if 0-0, BACK+ 0.5 GOALS  @ 1.15+odds.  or @ 40 mins</v>
      </c>
      <c r="D1310" s="270" t="str" cm="1">
        <f t="array" ref="D1310">_xlfn.IFS(E1310=$AB$42,$AD$42,E1310=$AB$43,$AD$43,E1310=$AB$44,$AD$44,E1310=$AB$45,$AD$45,E1310=$AB$46,$AD$46,E1310=$AB$47,$AD$47,E1310=$AB$48,$AD$48,E1310=$AB$49,$AD$49,E1310=$AB$50,$AD$50,E1310=$AB$51,$AD$51,E1310=$AB$52,$AD$52,E1310=$AB$53,$AD$53,E1310=$AB$54,$AD$54,E1310=$AB$55,$AD$55,E1310=$AB$56,$AD$56,E1310=$AB$57,$AD$57,E1310=$AB$58,$AD$58,E1310=$AB$59,$AD$59,E1310=$AB$60,$AD$60,E1310=$AB$61,$AD$61,E1310=$AB$62,$AD$62,E1310=$AB$63,$AD$63,E1310=$AB$64,$AD$64,E1310=$AB$65,$AD$65,E1310=$AB$66,$AD$66,TRUE,"0")</f>
        <v>IP</v>
      </c>
      <c r="E1310" s="2" t="s">
        <v>270</v>
      </c>
      <c r="F1310" s="2" t="s">
        <v>296</v>
      </c>
      <c r="G1310" s="2" t="s">
        <v>525</v>
      </c>
      <c r="H1310" s="3">
        <v>45415.802083333336</v>
      </c>
      <c r="I1310" s="2" t="s">
        <v>596</v>
      </c>
      <c r="J1310" s="2" t="s">
        <v>527</v>
      </c>
      <c r="K1310" s="2">
        <v>66</v>
      </c>
      <c r="L1310" s="2">
        <v>0</v>
      </c>
      <c r="M1310" s="2">
        <v>20</v>
      </c>
      <c r="N1310" s="2">
        <v>31</v>
      </c>
      <c r="O1310" s="2">
        <v>0</v>
      </c>
      <c r="P1310" s="2"/>
      <c r="Q1310" s="2" t="s">
        <v>95</v>
      </c>
      <c r="R1310" s="10" t="s">
        <v>221</v>
      </c>
      <c r="S1310" s="10" t="s">
        <v>222</v>
      </c>
      <c r="T1310" s="188">
        <v>1000</v>
      </c>
      <c r="U1310" s="8">
        <f t="shared" si="147"/>
        <v>180</v>
      </c>
      <c r="V1310" s="234">
        <f t="shared" ref="V1310:V1317" si="148">SUM(V1309,U1310)</f>
        <v>132604.15524616028</v>
      </c>
      <c r="W1310" s="15">
        <v>25</v>
      </c>
      <c r="X1310" s="8">
        <f t="shared" si="144"/>
        <v>4.5</v>
      </c>
      <c r="Y1310" s="233">
        <f t="shared" si="145"/>
        <v>5181</v>
      </c>
    </row>
    <row r="1311" spans="1:30">
      <c r="A1311" s="156" t="e" cm="1">
        <f t="array" aca="1" ref="A1311" ca="1">_xlfn.IFS(E1311=$AB$42,$AC$42,E1311=$AB$43,$AC$43,E1311=$AB$44,$AC$44,E1311=$AB$45,$AC$45,E1311=$AB$46,$AC$46,E1311=$AB$47,$AC$47,E1311=$AB$48,$AC$48,E1311=$AB$49,$AC$49,E1311=$AB$50,$AC$50,E1311=$AB$51,$AC$51,E1311=$AB$52,$AC$52,E1311=$AB$53,$AC$53,E1311=$AB$54,$AC$54,E1311=$AB$55,$AC$55,E1311=$AB$56,$AC$56,E1311=$AB$57,$AC$57,E1311=$AB$58,$AC$58,E1311=$AB$59,$AC$59,E1311=$AB$60,$AC$60,E1311=$AB$61,$AC$61,E1311=$AB$62,$AC$62,E1311=$AB$63,$AC$63,E1311=$AB$64,$AC$64,E1311=$AB$65,$AC$65,E1311=$AB$66,$AC$66,TRUE,"0")</f>
        <v>#NAME?</v>
      </c>
      <c r="C1311" s="161" t="str" cm="1">
        <f t="array" ref="C1311">_xlfn.IFS(E1311=$AB$42,$AF$42,E1311=$AB$43,$AF$43,E1311=$AB$44,$AF$44,E1311=$AB$45,$AF$45,E1311=$AB$46,$AF$46,E1311=$AB$47,$AF$47,E1311=$AB$48,$AF$48,E1311=$AB$49,$AF$49,E1311=$AB$50,$AF$50,E1311=$AB$51,$AF$51,E1311=$AB$52,$AF$52,E1311=$AB$53,$AF$53,E1311=$AB$54,$AF$54,E1311=$AB$55,$AF$55,E1311=$AB$56,$AF$56,E1311=$AB$57,$AF$57,E1311=$AB$58,$AF$58,E1311=$AB$59,$AF$59,E1311=$AB$60,$AF$60,E1311=$AB$61,$AF$61,E1311=$AB$62,$AF$62,E1311=$AB$63,$AF$63,E1311=$AB$64,$AF$64,E1311=$AB$65,$AF$65,E1311=$AB$66,$AF$66,TRUE,"0")</f>
        <v>20mins if  0-0, BACK over 1.5 goals X after goal OR LET RUN</v>
      </c>
      <c r="D1311" s="270" t="str" cm="1">
        <f t="array" ref="D1311">_xlfn.IFS(E1311=$AB$42,$AD$42,E1311=$AB$43,$AD$43,E1311=$AB$44,$AD$44,E1311=$AB$45,$AD$45,E1311=$AB$46,$AD$46,E1311=$AB$47,$AD$47,E1311=$AB$48,$AD$48,E1311=$AB$49,$AD$49,E1311=$AB$50,$AD$50,E1311=$AB$51,$AD$51,E1311=$AB$52,$AD$52,E1311=$AB$53,$AD$53,E1311=$AB$54,$AD$54,E1311=$AB$55,$AD$55,E1311=$AB$56,$AD$56,E1311=$AB$57,$AD$57,E1311=$AB$58,$AD$58,E1311=$AB$59,$AD$59,E1311=$AB$60,$AD$60,E1311=$AB$61,$AD$61,E1311=$AB$62,$AD$62,E1311=$AB$63,$AD$63,E1311=$AB$64,$AD$64,E1311=$AB$65,$AD$65,E1311=$AB$66,$AD$66,TRUE,"0")</f>
        <v>IP</v>
      </c>
      <c r="E1311" s="2" t="s">
        <v>474</v>
      </c>
      <c r="F1311" s="2" t="s">
        <v>296</v>
      </c>
      <c r="G1311" s="2" t="s">
        <v>525</v>
      </c>
      <c r="H1311" s="3">
        <v>45415.802083333336</v>
      </c>
      <c r="I1311" s="2" t="s">
        <v>596</v>
      </c>
      <c r="J1311" s="2" t="s">
        <v>527</v>
      </c>
      <c r="K1311" s="2">
        <v>51</v>
      </c>
      <c r="L1311" s="2">
        <v>3.5</v>
      </c>
      <c r="M1311" s="2">
        <v>20</v>
      </c>
      <c r="N1311" s="2">
        <v>70</v>
      </c>
      <c r="O1311" s="2">
        <v>85</v>
      </c>
      <c r="P1311" s="2"/>
      <c r="Q1311" s="2" t="s">
        <v>95</v>
      </c>
      <c r="R1311" s="10" t="s">
        <v>221</v>
      </c>
      <c r="S1311" s="10" t="s">
        <v>222</v>
      </c>
      <c r="T1311" s="188">
        <v>1000</v>
      </c>
      <c r="U1311" s="8">
        <f t="shared" si="147"/>
        <v>180</v>
      </c>
      <c r="V1311" s="234">
        <f t="shared" si="148"/>
        <v>132784.15524616028</v>
      </c>
      <c r="W1311" s="15">
        <v>25</v>
      </c>
      <c r="X1311" s="8">
        <f t="shared" si="144"/>
        <v>4.5</v>
      </c>
      <c r="Y1311" s="233">
        <f t="shared" si="145"/>
        <v>5185.5</v>
      </c>
    </row>
    <row r="1312" spans="1:30">
      <c r="A1312" s="156" t="e" cm="1">
        <f t="array" aca="1" ref="A1312" ca="1">_xlfn.IFS(E1312=$AB$42,$AC$42,E1312=$AB$43,$AC$43,E1312=$AB$44,$AC$44,E1312=$AB$45,$AC$45,E1312=$AB$46,$AC$46,E1312=$AB$47,$AC$47,E1312=$AB$48,$AC$48,E1312=$AB$49,$AC$49,E1312=$AB$50,$AC$50,E1312=$AB$51,$AC$51,E1312=$AB$52,$AC$52,E1312=$AB$53,$AC$53,E1312=$AB$54,$AC$54,E1312=$AB$55,$AC$55,E1312=$AB$56,$AC$56,E1312=$AB$57,$AC$57,E1312=$AB$58,$AC$58,E1312=$AB$59,$AC$59,E1312=$AB$60,$AC$60,E1312=$AB$61,$AC$61,E1312=$AB$62,$AC$62,E1312=$AB$63,$AC$63,E1312=$AB$64,$AC$64,E1312=$AB$65,$AC$65,E1312=$AB$66,$AC$66,TRUE,"0")</f>
        <v>#NAME?</v>
      </c>
      <c r="C1312" s="161" t="str" cm="1">
        <f t="array" ref="C1312">_xlfn.IFS(E1312=$AB$42,$AF$42,E1312=$AB$43,$AF$43,E1312=$AB$44,$AF$44,E1312=$AB$45,$AF$45,E1312=$AB$46,$AF$46,E1312=$AB$47,$AF$47,E1312=$AB$48,$AF$48,E1312=$AB$49,$AF$49,E1312=$AB$50,$AF$50,E1312=$AB$51,$AF$51,E1312=$AB$52,$AF$52,E1312=$AB$53,$AF$53,E1312=$AB$54,$AF$54,E1312=$AB$55,$AF$55,E1312=$AB$56,$AF$56,E1312=$AB$57,$AF$57,E1312=$AB$58,$AF$58,E1312=$AB$59,$AF$59,E1312=$AB$60,$AF$60,E1312=$AB$61,$AF$61,E1312=$AB$62,$AF$62,E1312=$AB$63,$AF$63,E1312=$AB$64,$AF$64,E1312=$AB$65,$AF$65,E1312=$AB$66,$AF$66,TRUE,"0")</f>
        <v>B4 MATCH back over 2.5 goals.X after goal OR let run</v>
      </c>
      <c r="D1312" s="270" t="str" cm="1">
        <f t="array" ref="D1312">_xlfn.IFS(E1312=$AB$42,$AD$42,E1312=$AB$43,$AD$43,E1312=$AB$44,$AD$44,E1312=$AB$45,$AD$45,E1312=$AB$46,$AD$46,E1312=$AB$47,$AD$47,E1312=$AB$48,$AD$48,E1312=$AB$49,$AD$49,E1312=$AB$50,$AD$50,E1312=$AB$51,$AD$51,E1312=$AB$52,$AD$52,E1312=$AB$53,$AD$53,E1312=$AB$54,$AD$54,E1312=$AB$55,$AD$55,E1312=$AB$56,$AD$56,E1312=$AB$57,$AD$57,E1312=$AB$58,$AD$58,E1312=$AB$59,$AD$59,E1312=$AB$60,$AD$60,E1312=$AB$61,$AD$61,E1312=$AB$62,$AD$62,E1312=$AB$63,$AD$63,E1312=$AB$64,$AD$64,E1312=$AB$65,$AD$65,E1312=$AB$66,$AD$66,TRUE,"0")</f>
        <v xml:space="preserve">BFM </v>
      </c>
      <c r="E1312" s="2" t="s">
        <v>177</v>
      </c>
      <c r="F1312" s="2" t="s">
        <v>77</v>
      </c>
      <c r="G1312" s="2" t="s">
        <v>156</v>
      </c>
      <c r="H1312" s="3">
        <v>45415.8125</v>
      </c>
      <c r="I1312" s="2" t="s">
        <v>158</v>
      </c>
      <c r="J1312" s="2" t="s">
        <v>181</v>
      </c>
      <c r="K1312" s="2">
        <v>3.85</v>
      </c>
      <c r="L1312" s="2">
        <v>95</v>
      </c>
      <c r="M1312" s="2">
        <v>75</v>
      </c>
      <c r="N1312" s="2">
        <v>31</v>
      </c>
      <c r="O1312" s="2">
        <v>65</v>
      </c>
      <c r="P1312" s="2">
        <v>3.66</v>
      </c>
      <c r="Q1312" s="2" t="s">
        <v>96</v>
      </c>
      <c r="R1312" s="10" t="s">
        <v>193</v>
      </c>
      <c r="S1312" s="10" t="s">
        <v>216</v>
      </c>
      <c r="T1312" s="188">
        <v>1000</v>
      </c>
      <c r="U1312" s="8">
        <f t="shared" si="147"/>
        <v>-1000</v>
      </c>
      <c r="V1312" s="234">
        <f t="shared" si="148"/>
        <v>131784.15524616028</v>
      </c>
      <c r="W1312" s="15">
        <v>25</v>
      </c>
      <c r="X1312" s="8">
        <f t="shared" si="144"/>
        <v>-25</v>
      </c>
      <c r="Y1312" s="233">
        <f t="shared" si="145"/>
        <v>5160.5</v>
      </c>
    </row>
    <row r="1313" spans="1:25">
      <c r="A1313" s="156" t="e" cm="1">
        <f t="array" aca="1" ref="A1313" ca="1">_xlfn.IFS(E1313=$AB$42,$AC$42,E1313=$AB$43,$AC$43,E1313=$AB$44,$AC$44,E1313=$AB$45,$AC$45,E1313=$AB$46,$AC$46,E1313=$AB$47,$AC$47,E1313=$AB$48,$AC$48,E1313=$AB$49,$AC$49,E1313=$AB$50,$AC$50,E1313=$AB$51,$AC$51,E1313=$AB$52,$AC$52,E1313=$AB$53,$AC$53,E1313=$AB$54,$AC$54,E1313=$AB$55,$AC$55,E1313=$AB$56,$AC$56,E1313=$AB$57,$AC$57,E1313=$AB$58,$AC$58,E1313=$AB$59,$AC$59,E1313=$AB$60,$AC$60,E1313=$AB$61,$AC$61,E1313=$AB$62,$AC$62,E1313=$AB$63,$AC$63,E1313=$AB$64,$AC$64,E1313=$AB$65,$AC$65,E1313=$AB$66,$AC$66,TRUE,"0")</f>
        <v>#NAME?</v>
      </c>
      <c r="C1313" s="161" t="str" cm="1">
        <f t="array" ref="C1313">_xlfn.IFS(E1313=$AB$42,$AF$42,E1313=$AB$43,$AF$43,E1313=$AB$44,$AF$44,E1313=$AB$45,$AF$45,E1313=$AB$46,$AF$46,E1313=$AB$47,$AF$47,E1313=$AB$48,$AF$48,E1313=$AB$49,$AF$49,E1313=$AB$50,$AF$50,E1313=$AB$51,$AF$51,E1313=$AB$52,$AF$52,E1313=$AB$53,$AF$53,E1313=$AB$54,$AF$54,E1313=$AB$55,$AF$55,E1313=$AB$56,$AF$56,E1313=$AB$57,$AF$57,E1313=$AB$58,$AF$58,E1313=$AB$59,$AF$59,E1313=$AB$60,$AF$60,E1313=$AB$61,$AF$61,E1313=$AB$62,$AF$62,E1313=$AB$63,$AF$63,E1313=$AB$64,$AF$64,E1313=$AB$65,$AF$65,E1313=$AB$66,$AF$66,TRUE,"0")</f>
        <v>40 mins Back ANother Goal</v>
      </c>
      <c r="D1313" s="270" t="str" cm="1">
        <f t="array" ref="D1313">_xlfn.IFS(E1313=$AB$42,$AD$42,E1313=$AB$43,$AD$43,E1313=$AB$44,$AD$44,E1313=$AB$45,$AD$45,E1313=$AB$46,$AD$46,E1313=$AB$47,$AD$47,E1313=$AB$48,$AD$48,E1313=$AB$49,$AD$49,E1313=$AB$50,$AD$50,E1313=$AB$51,$AD$51,E1313=$AB$52,$AD$52,E1313=$AB$53,$AD$53,E1313=$AB$54,$AD$54,E1313=$AB$55,$AD$55,E1313=$AB$56,$AD$56,E1313=$AB$57,$AD$57,E1313=$AB$58,$AD$58,E1313=$AB$59,$AD$59,E1313=$AB$60,$AD$60,E1313=$AB$61,$AD$61,E1313=$AB$62,$AD$62,E1313=$AB$63,$AD$63,E1313=$AB$64,$AD$64,E1313=$AB$65,$AD$65,E1313=$AB$66,$AD$66,TRUE,"0")</f>
        <v xml:space="preserve">  BANG</v>
      </c>
      <c r="E1313" s="2" t="s">
        <v>792</v>
      </c>
      <c r="F1313" s="2" t="s">
        <v>77</v>
      </c>
      <c r="G1313" s="2" t="s">
        <v>156</v>
      </c>
      <c r="H1313" s="3">
        <v>45415.8125</v>
      </c>
      <c r="I1313" s="2" t="s">
        <v>158</v>
      </c>
      <c r="J1313" s="2" t="s">
        <v>181</v>
      </c>
      <c r="K1313" s="2">
        <v>2.25</v>
      </c>
      <c r="L1313" s="2">
        <v>95</v>
      </c>
      <c r="M1313" s="2">
        <v>75</v>
      </c>
      <c r="N1313" s="2">
        <v>62</v>
      </c>
      <c r="O1313" s="2">
        <v>20</v>
      </c>
      <c r="P1313" s="2"/>
      <c r="Q1313" s="2" t="s">
        <v>95</v>
      </c>
      <c r="R1313" s="10" t="s">
        <v>193</v>
      </c>
      <c r="S1313" s="10" t="s">
        <v>216</v>
      </c>
      <c r="T1313" s="188">
        <v>1000</v>
      </c>
      <c r="U1313" s="8">
        <f t="shared" si="147"/>
        <v>180</v>
      </c>
      <c r="V1313" s="234">
        <f t="shared" si="148"/>
        <v>131964.15524616028</v>
      </c>
      <c r="W1313" s="15">
        <v>25</v>
      </c>
      <c r="X1313" s="8">
        <f t="shared" ref="X1313:X1376" si="149">IF(Q1313="won",W1313*0.18,-W1313)</f>
        <v>4.5</v>
      </c>
      <c r="Y1313" s="233">
        <f t="shared" si="145"/>
        <v>5165</v>
      </c>
    </row>
    <row r="1314" spans="1:25">
      <c r="A1314" s="156" t="e" cm="1">
        <f t="array" aca="1" ref="A1314" ca="1">_xlfn.IFS(E1314=$AB$42,$AC$42,E1314=$AB$43,$AC$43,E1314=$AB$44,$AC$44,E1314=$AB$45,$AC$45,E1314=$AB$46,$AC$46,E1314=$AB$47,$AC$47,E1314=$AB$48,$AC$48,E1314=$AB$49,$AC$49,E1314=$AB$50,$AC$50,E1314=$AB$51,$AC$51,E1314=$AB$52,$AC$52,E1314=$AB$53,$AC$53,E1314=$AB$54,$AC$54,E1314=$AB$55,$AC$55,E1314=$AB$56,$AC$56,E1314=$AB$57,$AC$57,E1314=$AB$58,$AC$58,E1314=$AB$59,$AC$59,E1314=$AB$60,$AC$60,E1314=$AB$61,$AC$61,E1314=$AB$62,$AC$62,E1314=$AB$63,$AC$63,E1314=$AB$64,$AC$64,E1314=$AB$65,$AC$65,E1314=$AB$66,$AC$66,TRUE,"0")</f>
        <v>#NAME?</v>
      </c>
      <c r="C1314" s="161" t="str" cm="1">
        <f t="array" ref="C1314">_xlfn.IFS(E1314=$AB$42,$AF$42,E1314=$AB$43,$AF$43,E1314=$AB$44,$AF$44,E1314=$AB$45,$AF$45,E1314=$AB$46,$AF$46,E1314=$AB$47,$AF$47,E1314=$AB$48,$AF$48,E1314=$AB$49,$AF$49,E1314=$AB$50,$AF$50,E1314=$AB$51,$AF$51,E1314=$AB$52,$AF$52,E1314=$AB$53,$AF$53,E1314=$AB$54,$AF$54,E1314=$AB$55,$AF$55,E1314=$AB$56,$AF$56,E1314=$AB$57,$AF$57,E1314=$AB$58,$AF$58,E1314=$AB$59,$AF$59,E1314=$AB$60,$AF$60,E1314=$AB$61,$AF$61,E1314=$AB$62,$AF$62,E1314=$AB$63,$AF$63,E1314=$AB$64,$AF$64,E1314=$AB$65,$AF$65,E1314=$AB$66,$AF$66,TRUE,"0")</f>
        <v>B4 match BACK FT +1.5 goals. X AFTER  GOAL</v>
      </c>
      <c r="D1314" s="270" t="str" cm="1">
        <f t="array" ref="D1314">_xlfn.IFS(E1314=$AB$42,$AD$42,E1314=$AB$43,$AD$43,E1314=$AB$44,$AD$44,E1314=$AB$45,$AD$45,E1314=$AB$46,$AD$46,E1314=$AB$47,$AD$47,E1314=$AB$48,$AD$48,E1314=$AB$49,$AD$49,E1314=$AB$50,$AD$50,E1314=$AB$51,$AD$51,E1314=$AB$52,$AD$52,E1314=$AB$53,$AD$53,E1314=$AB$54,$AD$54,E1314=$AB$55,$AD$55,E1314=$AB$56,$AD$56,E1314=$AB$57,$AD$57,E1314=$AB$58,$AD$58,E1314=$AB$59,$AD$59,E1314=$AB$60,$AD$60,E1314=$AB$61,$AD$61,E1314=$AB$62,$AD$62,E1314=$AB$63,$AD$63,E1314=$AB$64,$AD$64,E1314=$AB$65,$AD$65,E1314=$AB$66,$AD$66,TRUE,"0")</f>
        <v xml:space="preserve">BFM </v>
      </c>
      <c r="E1314" s="2" t="s">
        <v>531</v>
      </c>
      <c r="F1314" s="2" t="s">
        <v>77</v>
      </c>
      <c r="G1314" s="2" t="s">
        <v>156</v>
      </c>
      <c r="H1314" s="3">
        <v>45415.8125</v>
      </c>
      <c r="I1314" s="2" t="s">
        <v>158</v>
      </c>
      <c r="J1314" s="2" t="s">
        <v>181</v>
      </c>
      <c r="K1314" s="2">
        <v>3.8</v>
      </c>
      <c r="L1314" s="2">
        <v>30</v>
      </c>
      <c r="M1314" s="2">
        <v>3.73</v>
      </c>
      <c r="N1314" s="2">
        <v>32</v>
      </c>
      <c r="O1314" s="2">
        <v>4</v>
      </c>
      <c r="P1314" s="2">
        <v>15</v>
      </c>
      <c r="Q1314" s="2" t="s">
        <v>95</v>
      </c>
      <c r="R1314" s="10" t="s">
        <v>193</v>
      </c>
      <c r="S1314" s="10" t="s">
        <v>216</v>
      </c>
      <c r="T1314" s="188">
        <v>1000</v>
      </c>
      <c r="U1314" s="8">
        <f t="shared" si="147"/>
        <v>180</v>
      </c>
      <c r="V1314" s="234">
        <f t="shared" si="148"/>
        <v>132144.15524616028</v>
      </c>
      <c r="W1314" s="15">
        <v>25</v>
      </c>
      <c r="X1314" s="8">
        <f t="shared" si="149"/>
        <v>4.5</v>
      </c>
      <c r="Y1314" s="233">
        <f t="shared" si="145"/>
        <v>5169.5</v>
      </c>
    </row>
    <row r="1315" spans="1:25">
      <c r="A1315" s="156" t="e" cm="1">
        <f t="array" aca="1" ref="A1315" ca="1">_xlfn.IFS(E1315=$AB$42,$AC$42,E1315=$AB$43,$AC$43,E1315=$AB$44,$AC$44,E1315=$AB$45,$AC$45,E1315=$AB$46,$AC$46,E1315=$AB$47,$AC$47,E1315=$AB$48,$AC$48,E1315=$AB$49,$AC$49,E1315=$AB$50,$AC$50,E1315=$AB$51,$AC$51,E1315=$AB$52,$AC$52,E1315=$AB$53,$AC$53,E1315=$AB$54,$AC$54,E1315=$AB$55,$AC$55,E1315=$AB$56,$AC$56,E1315=$AB$57,$AC$57,E1315=$AB$58,$AC$58,E1315=$AB$59,$AC$59,E1315=$AB$60,$AC$60,E1315=$AB$61,$AC$61,E1315=$AB$62,$AC$62,E1315=$AB$63,$AC$63,E1315=$AB$64,$AC$64,E1315=$AB$65,$AC$65,E1315=$AB$66,$AC$66,TRUE,"0")</f>
        <v>#NAME?</v>
      </c>
      <c r="C1315" s="161" t="str" cm="1">
        <f t="array" ref="C1315">_xlfn.IFS(E1315=$AB$42,$AF$42,E1315=$AB$43,$AF$43,E1315=$AB$44,$AF$44,E1315=$AB$45,$AF$45,E1315=$AB$46,$AF$46,E1315=$AB$47,$AF$47,E1315=$AB$48,$AF$48,E1315=$AB$49,$AF$49,E1315=$AB$50,$AF$50,E1315=$AB$51,$AF$51,E1315=$AB$52,$AF$52,E1315=$AB$53,$AF$53,E1315=$AB$54,$AF$54,E1315=$AB$55,$AF$55,E1315=$AB$56,$AF$56,E1315=$AB$57,$AF$57,E1315=$AB$58,$AF$58,E1315=$AB$59,$AF$59,E1315=$AB$60,$AF$60,E1315=$AB$61,$AF$61,E1315=$AB$62,$AF$62,E1315=$AB$63,$AF$63,E1315=$AB$64,$AF$64,E1315=$AB$65,$AF$65,E1315=$AB$66,$AF$66,TRUE,"0")</f>
        <v>20mins if  0-0, BACK over 1.5 goals X after goal OR LET RUN</v>
      </c>
      <c r="D1315" s="270" t="str" cm="1">
        <f t="array" ref="D1315">_xlfn.IFS(E1315=$AB$42,$AD$42,E1315=$AB$43,$AD$43,E1315=$AB$44,$AD$44,E1315=$AB$45,$AD$45,E1315=$AB$46,$AD$46,E1315=$AB$47,$AD$47,E1315=$AB$48,$AD$48,E1315=$AB$49,$AD$49,E1315=$AB$50,$AD$50,E1315=$AB$51,$AD$51,E1315=$AB$52,$AD$52,E1315=$AB$53,$AD$53,E1315=$AB$54,$AD$54,E1315=$AB$55,$AD$55,E1315=$AB$56,$AD$56,E1315=$AB$57,$AD$57,E1315=$AB$58,$AD$58,E1315=$AB$59,$AD$59,E1315=$AB$60,$AD$60,E1315=$AB$61,$AD$61,E1315=$AB$62,$AD$62,E1315=$AB$63,$AD$63,E1315=$AB$64,$AD$64,E1315=$AB$65,$AD$65,E1315=$AB$66,$AD$66,TRUE,"0")</f>
        <v>IP</v>
      </c>
      <c r="E1315" s="2" t="s">
        <v>474</v>
      </c>
      <c r="F1315" s="2" t="s">
        <v>77</v>
      </c>
      <c r="G1315" s="2" t="s">
        <v>156</v>
      </c>
      <c r="H1315" s="3">
        <v>45415.8125</v>
      </c>
      <c r="I1315" s="2" t="s">
        <v>158</v>
      </c>
      <c r="J1315" s="2" t="s">
        <v>181</v>
      </c>
      <c r="K1315" s="2">
        <v>51</v>
      </c>
      <c r="L1315" s="2">
        <v>3.85</v>
      </c>
      <c r="M1315" s="2">
        <v>20</v>
      </c>
      <c r="N1315" s="2">
        <v>75</v>
      </c>
      <c r="O1315" s="2">
        <v>95</v>
      </c>
      <c r="P1315" s="2"/>
      <c r="Q1315" s="2" t="s">
        <v>95</v>
      </c>
      <c r="R1315" s="10" t="s">
        <v>193</v>
      </c>
      <c r="S1315" s="10" t="s">
        <v>216</v>
      </c>
      <c r="T1315" s="188">
        <v>1000</v>
      </c>
      <c r="U1315" s="8">
        <f t="shared" si="147"/>
        <v>180</v>
      </c>
      <c r="V1315" s="234">
        <f t="shared" si="148"/>
        <v>132324.15524616028</v>
      </c>
      <c r="W1315" s="15">
        <v>25</v>
      </c>
      <c r="X1315" s="8">
        <f t="shared" si="149"/>
        <v>4.5</v>
      </c>
      <c r="Y1315" s="233">
        <f t="shared" si="145"/>
        <v>5174</v>
      </c>
    </row>
    <row r="1316" spans="1:25">
      <c r="A1316" s="156" t="e" cm="1">
        <f t="array" aca="1" ref="A1316" ca="1">_xlfn.IFS(E1316=$AB$42,$AC$42,E1316=$AB$43,$AC$43,E1316=$AB$44,$AC$44,E1316=$AB$45,$AC$45,E1316=$AB$46,$AC$46,E1316=$AB$47,$AC$47,E1316=$AB$48,$AC$48,E1316=$AB$49,$AC$49,E1316=$AB$50,$AC$50,E1316=$AB$51,$AC$51,E1316=$AB$52,$AC$52,E1316=$AB$53,$AC$53,E1316=$AB$54,$AC$54,E1316=$AB$55,$AC$55,E1316=$AB$56,$AC$56,E1316=$AB$57,$AC$57,E1316=$AB$58,$AC$58,E1316=$AB$59,$AC$59,E1316=$AB$60,$AC$60,E1316=$AB$61,$AC$61,E1316=$AB$62,$AC$62,E1316=$AB$63,$AC$63,E1316=$AB$64,$AC$64,E1316=$AB$65,$AC$65,E1316=$AB$66,$AC$66,TRUE,"0")</f>
        <v>#NAME?</v>
      </c>
      <c r="C1316" s="161" t="str" cm="1">
        <f t="array" ref="C1316">_xlfn.IFS(E1316=$AB$42,$AF$42,E1316=$AB$43,$AF$43,E1316=$AB$44,$AF$44,E1316=$AB$45,$AF$45,E1316=$AB$46,$AF$46,E1316=$AB$47,$AF$47,E1316=$AB$48,$AF$48,E1316=$AB$49,$AF$49,E1316=$AB$50,$AF$50,E1316=$AB$51,$AF$51,E1316=$AB$52,$AF$52,E1316=$AB$53,$AF$53,E1316=$AB$54,$AF$54,E1316=$AB$55,$AF$55,E1316=$AB$56,$AF$56,E1316=$AB$57,$AF$57,E1316=$AB$58,$AF$58,E1316=$AB$59,$AF$59,E1316=$AB$60,$AF$60,E1316=$AB$61,$AF$61,E1316=$AB$62,$AF$62,E1316=$AB$63,$AF$63,E1316=$AB$64,$AF$64,E1316=$AB$65,$AF$65,E1316=$AB$66,$AF$66,TRUE,"0")</f>
        <v>15mins if  0-0, BACK over 1.5 goals X after goal OR LET RUN</v>
      </c>
      <c r="D1316" s="270" t="str" cm="1">
        <f t="array" ref="D1316">_xlfn.IFS(E1316=$AB$42,$AD$42,E1316=$AB$43,$AD$43,E1316=$AB$44,$AD$44,E1316=$AB$45,$AD$45,E1316=$AB$46,$AD$46,E1316=$AB$47,$AD$47,E1316=$AB$48,$AD$48,E1316=$AB$49,$AD$49,E1316=$AB$50,$AD$50,E1316=$AB$51,$AD$51,E1316=$AB$52,$AD$52,E1316=$AB$53,$AD$53,E1316=$AB$54,$AD$54,E1316=$AB$55,$AD$55,E1316=$AB$56,$AD$56,E1316=$AB$57,$AD$57,E1316=$AB$58,$AD$58,E1316=$AB$59,$AD$59,E1316=$AB$60,$AD$60,E1316=$AB$61,$AD$61,E1316=$AB$62,$AD$62,E1316=$AB$63,$AD$63,E1316=$AB$64,$AD$64,E1316=$AB$65,$AD$65,E1316=$AB$66,$AD$66,TRUE,"0")</f>
        <v>IP</v>
      </c>
      <c r="E1316" s="2" t="s">
        <v>473</v>
      </c>
      <c r="F1316" s="2" t="s">
        <v>13</v>
      </c>
      <c r="G1316" s="2" t="s">
        <v>14</v>
      </c>
      <c r="H1316" s="3">
        <v>45415.822916666664</v>
      </c>
      <c r="I1316" s="2" t="s">
        <v>682</v>
      </c>
      <c r="J1316" s="2" t="s">
        <v>130</v>
      </c>
      <c r="K1316" s="2">
        <v>65</v>
      </c>
      <c r="L1316" s="2">
        <v>85</v>
      </c>
      <c r="M1316" s="2">
        <v>20</v>
      </c>
      <c r="N1316" s="2">
        <v>3</v>
      </c>
      <c r="O1316" s="2"/>
      <c r="P1316" s="2"/>
      <c r="Q1316" s="2" t="s">
        <v>95</v>
      </c>
      <c r="R1316" s="10" t="s">
        <v>211</v>
      </c>
      <c r="S1316" s="10" t="s">
        <v>279</v>
      </c>
      <c r="T1316" s="188">
        <v>1000</v>
      </c>
      <c r="U1316" s="8">
        <f t="shared" si="147"/>
        <v>180</v>
      </c>
      <c r="V1316" s="234">
        <f t="shared" si="148"/>
        <v>132504.15524616028</v>
      </c>
      <c r="W1316" s="15">
        <v>25</v>
      </c>
      <c r="X1316" s="8">
        <f t="shared" si="149"/>
        <v>4.5</v>
      </c>
      <c r="Y1316" s="233">
        <f t="shared" si="145"/>
        <v>5178.5</v>
      </c>
    </row>
    <row r="1317" spans="1:25">
      <c r="A1317" s="156" t="e" cm="1">
        <f t="array" aca="1" ref="A1317" ca="1">_xlfn.IFS(E1317=$AB$42,$AC$42,E1317=$AB$43,$AC$43,E1317=$AB$44,$AC$44,E1317=$AB$45,$AC$45,E1317=$AB$46,$AC$46,E1317=$AB$47,$AC$47,E1317=$AB$48,$AC$48,E1317=$AB$49,$AC$49,E1317=$AB$50,$AC$50,E1317=$AB$51,$AC$51,E1317=$AB$52,$AC$52,E1317=$AB$53,$AC$53,E1317=$AB$54,$AC$54,E1317=$AB$55,$AC$55,E1317=$AB$56,$AC$56,E1317=$AB$57,$AC$57,E1317=$AB$58,$AC$58,E1317=$AB$59,$AC$59,E1317=$AB$60,$AC$60,E1317=$AB$61,$AC$61,E1317=$AB$62,$AC$62,E1317=$AB$63,$AC$63,E1317=$AB$64,$AC$64,E1317=$AB$65,$AC$65,E1317=$AB$66,$AC$66,TRUE,"0")</f>
        <v>#NAME?</v>
      </c>
      <c r="C1317" s="161" t="str" cm="1">
        <f t="array" ref="C1317">_xlfn.IFS(E1317=$AB$42,$AF$42,E1317=$AB$43,$AF$43,E1317=$AB$44,$AF$44,E1317=$AB$45,$AF$45,E1317=$AB$46,$AF$46,E1317=$AB$47,$AF$47,E1317=$AB$48,$AF$48,E1317=$AB$49,$AF$49,E1317=$AB$50,$AF$50,E1317=$AB$51,$AF$51,E1317=$AB$52,$AF$52,E1317=$AB$53,$AF$53,E1317=$AB$54,$AF$54,E1317=$AB$55,$AF$55,E1317=$AB$56,$AF$56,E1317=$AB$57,$AF$57,E1317=$AB$58,$AF$58,E1317=$AB$59,$AF$59,E1317=$AB$60,$AF$60,E1317=$AB$61,$AF$61,E1317=$AB$62,$AF$62,E1317=$AB$63,$AF$63,E1317=$AB$64,$AF$64,E1317=$AB$65,$AF$65,E1317=$AB$66,$AF$66,TRUE,"0")</f>
        <v>40 mins Back ANother Goal</v>
      </c>
      <c r="D1317" s="270" t="str" cm="1">
        <f t="array" ref="D1317">_xlfn.IFS(E1317=$AB$42,$AD$42,E1317=$AB$43,$AD$43,E1317=$AB$44,$AD$44,E1317=$AB$45,$AD$45,E1317=$AB$46,$AD$46,E1317=$AB$47,$AD$47,E1317=$AB$48,$AD$48,E1317=$AB$49,$AD$49,E1317=$AB$50,$AD$50,E1317=$AB$51,$AD$51,E1317=$AB$52,$AD$52,E1317=$AB$53,$AD$53,E1317=$AB$54,$AD$54,E1317=$AB$55,$AD$55,E1317=$AB$56,$AD$56,E1317=$AB$57,$AD$57,E1317=$AB$58,$AD$58,E1317=$AB$59,$AD$59,E1317=$AB$60,$AD$60,E1317=$AB$61,$AD$61,E1317=$AB$62,$AD$62,E1317=$AB$63,$AD$63,E1317=$AB$64,$AD$64,E1317=$AB$65,$AD$65,E1317=$AB$66,$AD$66,TRUE,"0")</f>
        <v xml:space="preserve">  BANG</v>
      </c>
      <c r="E1317" s="2" t="s">
        <v>792</v>
      </c>
      <c r="F1317" s="2" t="s">
        <v>13</v>
      </c>
      <c r="G1317" s="2" t="s">
        <v>14</v>
      </c>
      <c r="H1317" s="3">
        <v>45415.822916666664</v>
      </c>
      <c r="I1317" s="2" t="s">
        <v>29</v>
      </c>
      <c r="J1317" s="2" t="s">
        <v>30</v>
      </c>
      <c r="K1317" s="2">
        <v>2.0499999999999998</v>
      </c>
      <c r="L1317" s="2">
        <v>90</v>
      </c>
      <c r="M1317" s="2">
        <v>65</v>
      </c>
      <c r="N1317" s="2">
        <v>61</v>
      </c>
      <c r="O1317" s="2">
        <v>20</v>
      </c>
      <c r="P1317" s="2"/>
      <c r="Q1317" s="2" t="s">
        <v>95</v>
      </c>
      <c r="R1317" s="10" t="s">
        <v>220</v>
      </c>
      <c r="S1317" s="10" t="s">
        <v>195</v>
      </c>
      <c r="T1317" s="188">
        <v>1000</v>
      </c>
      <c r="U1317" s="8">
        <f t="shared" si="147"/>
        <v>180</v>
      </c>
      <c r="V1317" s="234">
        <f t="shared" si="148"/>
        <v>132684.15524616028</v>
      </c>
      <c r="W1317" s="15">
        <v>25</v>
      </c>
      <c r="X1317" s="8">
        <f t="shared" si="149"/>
        <v>4.5</v>
      </c>
      <c r="Y1317" s="233">
        <f t="shared" ref="Y1317:Y1380" si="150">SUM(Y1316,X1317)</f>
        <v>5183</v>
      </c>
    </row>
    <row r="1318" spans="1:25">
      <c r="A1318" s="156" t="e" cm="1">
        <f t="array" aca="1" ref="A1318" ca="1">_xlfn.IFS(E1318=$AB$42,$AC$42,E1318=$AB$43,$AC$43,E1318=$AB$44,$AC$44,E1318=$AB$45,$AC$45,E1318=$AB$46,$AC$46,E1318=$AB$47,$AC$47,E1318=$AB$48,$AC$48,E1318=$AB$49,$AC$49,E1318=$AB$50,$AC$50,E1318=$AB$51,$AC$51,E1318=$AB$52,$AC$52,E1318=$AB$53,$AC$53,E1318=$AB$54,$AC$54,E1318=$AB$55,$AC$55,E1318=$AB$56,$AC$56,E1318=$AB$57,$AC$57,E1318=$AB$58,$AC$58,E1318=$AB$59,$AC$59,E1318=$AB$60,$AC$60,E1318=$AB$61,$AC$61,E1318=$AB$62,$AC$62,E1318=$AB$63,$AC$63,E1318=$AB$64,$AC$64,E1318=$AB$65,$AC$65,E1318=$AB$66,$AC$66,TRUE,"0")</f>
        <v>#NAME?</v>
      </c>
      <c r="C1318" s="161" t="str" cm="1">
        <f t="array" ref="C1318">_xlfn.IFS(E1318=$AB$42,$AF$42,E1318=$AB$43,$AF$43,E1318=$AB$44,$AF$44,E1318=$AB$45,$AF$45,E1318=$AB$46,$AF$46,E1318=$AB$47,$AF$47,E1318=$AB$48,$AF$48,E1318=$AB$49,$AF$49,E1318=$AB$50,$AF$50,E1318=$AB$51,$AF$51,E1318=$AB$52,$AF$52,E1318=$AB$53,$AF$53,E1318=$AB$54,$AF$54,E1318=$AB$55,$AF$55,E1318=$AB$56,$AF$56,E1318=$AB$57,$AF$57,E1318=$AB$58,$AF$58,E1318=$AB$59,$AF$59,E1318=$AB$60,$AF$60,E1318=$AB$61,$AF$61,E1318=$AB$62,$AF$62,E1318=$AB$63,$AF$63,E1318=$AB$64,$AF$64,E1318=$AB$65,$AF$65,E1318=$AB$66,$AF$66,TRUE,"0")</f>
        <v>40 mins Back ANother Goal</v>
      </c>
      <c r="D1318" s="270" t="str" cm="1">
        <f t="array" ref="D1318">_xlfn.IFS(E1318=$AB$42,$AD$42,E1318=$AB$43,$AD$43,E1318=$AB$44,$AD$44,E1318=$AB$45,$AD$45,E1318=$AB$46,$AD$46,E1318=$AB$47,$AD$47,E1318=$AB$48,$AD$48,E1318=$AB$49,$AD$49,E1318=$AB$50,$AD$50,E1318=$AB$51,$AD$51,E1318=$AB$52,$AD$52,E1318=$AB$53,$AD$53,E1318=$AB$54,$AD$54,E1318=$AB$55,$AD$55,E1318=$AB$56,$AD$56,E1318=$AB$57,$AD$57,E1318=$AB$58,$AD$58,E1318=$AB$59,$AD$59,E1318=$AB$60,$AD$60,E1318=$AB$61,$AD$61,E1318=$AB$62,$AD$62,E1318=$AB$63,$AD$63,E1318=$AB$64,$AD$64,E1318=$AB$65,$AD$65,E1318=$AB$66,$AD$66,TRUE,"0")</f>
        <v xml:space="preserve">  BANG</v>
      </c>
      <c r="E1318" s="2" t="s">
        <v>726</v>
      </c>
      <c r="F1318" s="2" t="s">
        <v>13</v>
      </c>
      <c r="G1318" s="2" t="s">
        <v>14</v>
      </c>
      <c r="H1318" s="3">
        <v>45415.822916666664</v>
      </c>
      <c r="I1318" s="2" t="s">
        <v>29</v>
      </c>
      <c r="J1318" s="2" t="s">
        <v>30</v>
      </c>
      <c r="K1318" s="2">
        <v>90</v>
      </c>
      <c r="L1318" s="2">
        <v>20</v>
      </c>
      <c r="M1318" s="2">
        <v>2.0499999999999998</v>
      </c>
      <c r="N1318" s="2">
        <v>61</v>
      </c>
      <c r="O1318" s="2"/>
      <c r="P1318" s="2"/>
      <c r="Q1318" s="2" t="s">
        <v>95</v>
      </c>
      <c r="R1318" s="10" t="s">
        <v>220</v>
      </c>
      <c r="S1318" s="10" t="s">
        <v>195</v>
      </c>
      <c r="T1318" s="188">
        <v>1000</v>
      </c>
      <c r="U1318" s="8">
        <f t="shared" si="147"/>
        <v>180</v>
      </c>
      <c r="V1318" s="234">
        <f t="shared" ref="V1318:V1319" si="151">SUM(V1317,U1318)</f>
        <v>132864.15524616028</v>
      </c>
      <c r="W1318" s="15">
        <v>25</v>
      </c>
      <c r="X1318" s="8">
        <f t="shared" si="149"/>
        <v>4.5</v>
      </c>
      <c r="Y1318" s="233">
        <f t="shared" si="150"/>
        <v>5187.5</v>
      </c>
    </row>
    <row r="1319" spans="1:25">
      <c r="A1319" s="156" t="e" cm="1">
        <f t="array" aca="1" ref="A1319" ca="1">_xlfn.IFS(E1319=$AB$42,$AC$42,E1319=$AB$43,$AC$43,E1319=$AB$44,$AC$44,E1319=$AB$45,$AC$45,E1319=$AB$46,$AC$46,E1319=$AB$47,$AC$47,E1319=$AB$48,$AC$48,E1319=$AB$49,$AC$49,E1319=$AB$50,$AC$50,E1319=$AB$51,$AC$51,E1319=$AB$52,$AC$52,E1319=$AB$53,$AC$53,E1319=$AB$54,$AC$54,E1319=$AB$55,$AC$55,E1319=$AB$56,$AC$56,E1319=$AB$57,$AC$57,E1319=$AB$58,$AC$58,E1319=$AB$59,$AC$59,E1319=$AB$60,$AC$60,E1319=$AB$61,$AC$61,E1319=$AB$62,$AC$62,E1319=$AB$63,$AC$63,E1319=$AB$64,$AC$64,E1319=$AB$65,$AC$65,E1319=$AB$66,$AC$66,TRUE,"0")</f>
        <v>#NAME?</v>
      </c>
      <c r="C1319" s="161" t="str" cm="1">
        <f t="array" ref="C1319">_xlfn.IFS(E1319=$AB$42,$AF$42,E1319=$AB$43,$AF$43,E1319=$AB$44,$AF$44,E1319=$AB$45,$AF$45,E1319=$AB$46,$AF$46,E1319=$AB$47,$AF$47,E1319=$AB$48,$AF$48,E1319=$AB$49,$AF$49,E1319=$AB$50,$AF$50,E1319=$AB$51,$AF$51,E1319=$AB$52,$AF$52,E1319=$AB$53,$AF$53,E1319=$AB$54,$AF$54,E1319=$AB$55,$AF$55,E1319=$AB$56,$AF$56,E1319=$AB$57,$AF$57,E1319=$AB$58,$AF$58,E1319=$AB$59,$AF$59,E1319=$AB$60,$AF$60,E1319=$AB$61,$AF$61,E1319=$AB$62,$AF$62,E1319=$AB$63,$AF$63,E1319=$AB$64,$AF$64,E1319=$AB$65,$AF$65,E1319=$AB$66,$AF$66,TRUE,"0")</f>
        <v>B4 match BACK FT +1.5 goals. X AFTER  GOAL</v>
      </c>
      <c r="D1319" s="270" t="str" cm="1">
        <f t="array" ref="D1319">_xlfn.IFS(E1319=$AB$42,$AD$42,E1319=$AB$43,$AD$43,E1319=$AB$44,$AD$44,E1319=$AB$45,$AD$45,E1319=$AB$46,$AD$46,E1319=$AB$47,$AD$47,E1319=$AB$48,$AD$48,E1319=$AB$49,$AD$49,E1319=$AB$50,$AD$50,E1319=$AB$51,$AD$51,E1319=$AB$52,$AD$52,E1319=$AB$53,$AD$53,E1319=$AB$54,$AD$54,E1319=$AB$55,$AD$55,E1319=$AB$56,$AD$56,E1319=$AB$57,$AD$57,E1319=$AB$58,$AD$58,E1319=$AB$59,$AD$59,E1319=$AB$60,$AD$60,E1319=$AB$61,$AD$61,E1319=$AB$62,$AD$62,E1319=$AB$63,$AD$63,E1319=$AB$64,$AD$64,E1319=$AB$65,$AD$65,E1319=$AB$66,$AD$66,TRUE,"0")</f>
        <v xml:space="preserve">BFM </v>
      </c>
      <c r="E1319" s="2" t="s">
        <v>623</v>
      </c>
      <c r="F1319" s="2" t="s">
        <v>145</v>
      </c>
      <c r="G1319" s="2" t="s">
        <v>190</v>
      </c>
      <c r="H1319" s="3">
        <v>45415.833333333336</v>
      </c>
      <c r="I1319" s="2" t="s">
        <v>767</v>
      </c>
      <c r="J1319" s="2" t="s">
        <v>227</v>
      </c>
      <c r="K1319" s="2">
        <v>5.7</v>
      </c>
      <c r="L1319" s="2">
        <v>20</v>
      </c>
      <c r="M1319" s="2">
        <v>2.8</v>
      </c>
      <c r="N1319" s="2">
        <v>34</v>
      </c>
      <c r="O1319" s="2">
        <v>0</v>
      </c>
      <c r="P1319" s="2">
        <v>10</v>
      </c>
      <c r="Q1319" s="2" t="s">
        <v>95</v>
      </c>
      <c r="R1319" s="10" t="s">
        <v>221</v>
      </c>
      <c r="S1319" s="10" t="s">
        <v>220</v>
      </c>
      <c r="T1319" s="188">
        <v>1000</v>
      </c>
      <c r="U1319" s="8">
        <f t="shared" si="147"/>
        <v>180</v>
      </c>
      <c r="V1319" s="234">
        <f t="shared" si="151"/>
        <v>133044.15524616028</v>
      </c>
      <c r="W1319" s="15">
        <v>25</v>
      </c>
      <c r="X1319" s="8">
        <f t="shared" si="149"/>
        <v>4.5</v>
      </c>
      <c r="Y1319" s="233">
        <f t="shared" si="150"/>
        <v>5192</v>
      </c>
    </row>
    <row r="1320" spans="1:25">
      <c r="A1320" s="156" t="e" cm="1">
        <f t="array" aca="1" ref="A1320" ca="1">_xlfn.IFS(E1320=$AB$42,$AC$42,E1320=$AB$43,$AC$43,E1320=$AB$44,$AC$44,E1320=$AB$45,$AC$45,E1320=$AB$46,$AC$46,E1320=$AB$47,$AC$47,E1320=$AB$48,$AC$48,E1320=$AB$49,$AC$49,E1320=$AB$50,$AC$50,E1320=$AB$51,$AC$51,E1320=$AB$52,$AC$52,E1320=$AB$53,$AC$53,E1320=$AB$54,$AC$54,E1320=$AB$55,$AC$55,E1320=$AB$56,$AC$56,E1320=$AB$57,$AC$57,E1320=$AB$58,$AC$58,E1320=$AB$59,$AC$59,E1320=$AB$60,$AC$60,E1320=$AB$61,$AC$61,E1320=$AB$62,$AC$62,E1320=$AB$63,$AC$63,E1320=$AB$64,$AC$64,E1320=$AB$65,$AC$65,E1320=$AB$66,$AC$66,TRUE,"0")</f>
        <v>#NAME?</v>
      </c>
      <c r="C1320" s="161" t="str" cm="1">
        <f t="array" ref="C1320">_xlfn.IFS(E1320=$AB$42,$AF$42,E1320=$AB$43,$AF$43,E1320=$AB$44,$AF$44,E1320=$AB$45,$AF$45,E1320=$AB$46,$AF$46,E1320=$AB$47,$AF$47,E1320=$AB$48,$AF$48,E1320=$AB$49,$AF$49,E1320=$AB$50,$AF$50,E1320=$AB$51,$AF$51,E1320=$AB$52,$AF$52,E1320=$AB$53,$AF$53,E1320=$AB$54,$AF$54,E1320=$AB$55,$AF$55,E1320=$AB$56,$AF$56,E1320=$AB$57,$AF$57,E1320=$AB$58,$AF$58,E1320=$AB$59,$AF$59,E1320=$AB$60,$AF$60,E1320=$AB$61,$AF$61,E1320=$AB$62,$AF$62,E1320=$AB$63,$AF$63,E1320=$AB$64,$AF$64,E1320=$AB$65,$AF$65,E1320=$AB$66,$AF$66,TRUE,"0")</f>
        <v>40 mins Back ANother Goal</v>
      </c>
      <c r="D1320" s="270" t="str" cm="1">
        <f t="array" ref="D1320">_xlfn.IFS(E1320=$AB$42,$AD$42,E1320=$AB$43,$AD$43,E1320=$AB$44,$AD$44,E1320=$AB$45,$AD$45,E1320=$AB$46,$AD$46,E1320=$AB$47,$AD$47,E1320=$AB$48,$AD$48,E1320=$AB$49,$AD$49,E1320=$AB$50,$AD$50,E1320=$AB$51,$AD$51,E1320=$AB$52,$AD$52,E1320=$AB$53,$AD$53,E1320=$AB$54,$AD$54,E1320=$AB$55,$AD$55,E1320=$AB$56,$AD$56,E1320=$AB$57,$AD$57,E1320=$AB$58,$AD$58,E1320=$AB$59,$AD$59,E1320=$AB$60,$AD$60,E1320=$AB$61,$AD$61,E1320=$AB$62,$AD$62,E1320=$AB$63,$AD$63,E1320=$AB$64,$AD$64,E1320=$AB$65,$AD$65,E1320=$AB$66,$AD$66,TRUE,"0")</f>
        <v xml:space="preserve">  BANG</v>
      </c>
      <c r="E1320" s="2" t="s">
        <v>792</v>
      </c>
      <c r="F1320" s="2" t="s">
        <v>44</v>
      </c>
      <c r="G1320" s="2" t="s">
        <v>45</v>
      </c>
      <c r="H1320" s="3">
        <v>45416.447916666664</v>
      </c>
      <c r="I1320" s="2" t="s">
        <v>46</v>
      </c>
      <c r="J1320" s="2" t="s">
        <v>143</v>
      </c>
      <c r="K1320" s="2">
        <v>2.15</v>
      </c>
      <c r="L1320" s="2">
        <v>85</v>
      </c>
      <c r="M1320" s="2">
        <v>65</v>
      </c>
      <c r="N1320" s="2">
        <v>69</v>
      </c>
      <c r="O1320" s="2">
        <v>20</v>
      </c>
      <c r="P1320" s="2"/>
      <c r="Q1320" s="2" t="s">
        <v>95</v>
      </c>
      <c r="R1320" s="10" t="s">
        <v>214</v>
      </c>
      <c r="S1320" s="10" t="s">
        <v>194</v>
      </c>
      <c r="T1320" s="188">
        <v>1000</v>
      </c>
      <c r="U1320" s="8">
        <f t="shared" si="147"/>
        <v>180</v>
      </c>
      <c r="V1320" s="234">
        <f t="shared" ref="V1320:V1324" si="152">SUM(V1319,U1320)</f>
        <v>133224.15524616028</v>
      </c>
      <c r="W1320" s="15">
        <v>25</v>
      </c>
      <c r="X1320" s="8">
        <f t="shared" si="149"/>
        <v>4.5</v>
      </c>
      <c r="Y1320" s="233">
        <f t="shared" si="150"/>
        <v>5196.5</v>
      </c>
    </row>
    <row r="1321" spans="1:25">
      <c r="A1321" s="156" t="e" cm="1">
        <f t="array" aca="1" ref="A1321" ca="1">_xlfn.IFS(E1321=$AB$42,$AC$42,E1321=$AB$43,$AC$43,E1321=$AB$44,$AC$44,E1321=$AB$45,$AC$45,E1321=$AB$46,$AC$46,E1321=$AB$47,$AC$47,E1321=$AB$48,$AC$48,E1321=$AB$49,$AC$49,E1321=$AB$50,$AC$50,E1321=$AB$51,$AC$51,E1321=$AB$52,$AC$52,E1321=$AB$53,$AC$53,E1321=$AB$54,$AC$54,E1321=$AB$55,$AC$55,E1321=$AB$56,$AC$56,E1321=$AB$57,$AC$57,E1321=$AB$58,$AC$58,E1321=$AB$59,$AC$59,E1321=$AB$60,$AC$60,E1321=$AB$61,$AC$61,E1321=$AB$62,$AC$62,E1321=$AB$63,$AC$63,E1321=$AB$64,$AC$64,E1321=$AB$65,$AC$65,E1321=$AB$66,$AC$66,TRUE,"0")</f>
        <v>#NAME?</v>
      </c>
      <c r="C1321" s="161" t="str" cm="1">
        <f t="array" ref="C1321">_xlfn.IFS(E1321=$AB$42,$AF$42,E1321=$AB$43,$AF$43,E1321=$AB$44,$AF$44,E1321=$AB$45,$AF$45,E1321=$AB$46,$AF$46,E1321=$AB$47,$AF$47,E1321=$AB$48,$AF$48,E1321=$AB$49,$AF$49,E1321=$AB$50,$AF$50,E1321=$AB$51,$AF$51,E1321=$AB$52,$AF$52,E1321=$AB$53,$AF$53,E1321=$AB$54,$AF$54,E1321=$AB$55,$AF$55,E1321=$AB$56,$AF$56,E1321=$AB$57,$AF$57,E1321=$AB$58,$AF$58,E1321=$AB$59,$AF$59,E1321=$AB$60,$AF$60,E1321=$AB$61,$AF$61,E1321=$AB$62,$AF$62,E1321=$AB$63,$AF$63,E1321=$AB$64,$AF$64,E1321=$AB$65,$AF$65,E1321=$AB$66,$AF$66,TRUE,"0")</f>
        <v>B4 match BACK FT +1.5 goals. X AFTER  GOAL</v>
      </c>
      <c r="D1321" s="270" t="str" cm="1">
        <f t="array" ref="D1321">_xlfn.IFS(E1321=$AB$42,$AD$42,E1321=$AB$43,$AD$43,E1321=$AB$44,$AD$44,E1321=$AB$45,$AD$45,E1321=$AB$46,$AD$46,E1321=$AB$47,$AD$47,E1321=$AB$48,$AD$48,E1321=$AB$49,$AD$49,E1321=$AB$50,$AD$50,E1321=$AB$51,$AD$51,E1321=$AB$52,$AD$52,E1321=$AB$53,$AD$53,E1321=$AB$54,$AD$54,E1321=$AB$55,$AD$55,E1321=$AB$56,$AD$56,E1321=$AB$57,$AD$57,E1321=$AB$58,$AD$58,E1321=$AB$59,$AD$59,E1321=$AB$60,$AD$60,E1321=$AB$61,$AD$61,E1321=$AB$62,$AD$62,E1321=$AB$63,$AD$63,E1321=$AB$64,$AD$64,E1321=$AB$65,$AD$65,E1321=$AB$66,$AD$66,TRUE,"0")</f>
        <v xml:space="preserve">BFM </v>
      </c>
      <c r="E1321" s="2" t="s">
        <v>623</v>
      </c>
      <c r="F1321" s="2" t="s">
        <v>44</v>
      </c>
      <c r="G1321" s="2" t="s">
        <v>45</v>
      </c>
      <c r="H1321" s="3">
        <v>45416.447916666664</v>
      </c>
      <c r="I1321" s="2" t="s">
        <v>46</v>
      </c>
      <c r="J1321" s="2" t="s">
        <v>143</v>
      </c>
      <c r="K1321" s="2">
        <v>4</v>
      </c>
      <c r="L1321" s="2">
        <v>20</v>
      </c>
      <c r="M1321" s="2">
        <v>3.55</v>
      </c>
      <c r="N1321" s="2">
        <v>29</v>
      </c>
      <c r="O1321" s="2">
        <v>3</v>
      </c>
      <c r="P1321" s="2">
        <v>10</v>
      </c>
      <c r="Q1321" s="2" t="s">
        <v>95</v>
      </c>
      <c r="R1321" s="10" t="s">
        <v>214</v>
      </c>
      <c r="S1321" s="10" t="s">
        <v>194</v>
      </c>
      <c r="T1321" s="188">
        <v>1000</v>
      </c>
      <c r="U1321" s="8">
        <f t="shared" si="147"/>
        <v>180</v>
      </c>
      <c r="V1321" s="234">
        <f t="shared" si="152"/>
        <v>133404.15524616028</v>
      </c>
      <c r="W1321" s="15">
        <v>25</v>
      </c>
      <c r="X1321" s="8">
        <f t="shared" si="149"/>
        <v>4.5</v>
      </c>
      <c r="Y1321" s="233">
        <f t="shared" si="150"/>
        <v>5201</v>
      </c>
    </row>
    <row r="1322" spans="1:25">
      <c r="A1322" s="156" t="e" cm="1">
        <f t="array" aca="1" ref="A1322" ca="1">_xlfn.IFS(E1322=$AB$42,$AC$42,E1322=$AB$43,$AC$43,E1322=$AB$44,$AC$44,E1322=$AB$45,$AC$45,E1322=$AB$46,$AC$46,E1322=$AB$47,$AC$47,E1322=$AB$48,$AC$48,E1322=$AB$49,$AC$49,E1322=$AB$50,$AC$50,E1322=$AB$51,$AC$51,E1322=$AB$52,$AC$52,E1322=$AB$53,$AC$53,E1322=$AB$54,$AC$54,E1322=$AB$55,$AC$55,E1322=$AB$56,$AC$56,E1322=$AB$57,$AC$57,E1322=$AB$58,$AC$58,E1322=$AB$59,$AC$59,E1322=$AB$60,$AC$60,E1322=$AB$61,$AC$61,E1322=$AB$62,$AC$62,E1322=$AB$63,$AC$63,E1322=$AB$64,$AC$64,E1322=$AB$65,$AC$65,E1322=$AB$66,$AC$66,TRUE,"0")</f>
        <v>#NAME?</v>
      </c>
      <c r="C1322" s="161" t="str" cm="1">
        <f t="array" ref="C1322">_xlfn.IFS(E1322=$AB$42,$AF$42,E1322=$AB$43,$AF$43,E1322=$AB$44,$AF$44,E1322=$AB$45,$AF$45,E1322=$AB$46,$AF$46,E1322=$AB$47,$AF$47,E1322=$AB$48,$AF$48,E1322=$AB$49,$AF$49,E1322=$AB$50,$AF$50,E1322=$AB$51,$AF$51,E1322=$AB$52,$AF$52,E1322=$AB$53,$AF$53,E1322=$AB$54,$AF$54,E1322=$AB$55,$AF$55,E1322=$AB$56,$AF$56,E1322=$AB$57,$AF$57,E1322=$AB$58,$AF$58,E1322=$AB$59,$AF$59,E1322=$AB$60,$AF$60,E1322=$AB$61,$AF$61,E1322=$AB$62,$AF$62,E1322=$AB$63,$AF$63,E1322=$AB$64,$AF$64,E1322=$AB$65,$AF$65,E1322=$AB$66,$AF$66,TRUE,"0")</f>
        <v>if 0-0, BACK+ 0.5 GOALS  @ 1.15+odds.  or @ 40 mins</v>
      </c>
      <c r="D1322" s="270" t="str" cm="1">
        <f t="array" ref="D1322">_xlfn.IFS(E1322=$AB$42,$AD$42,E1322=$AB$43,$AD$43,E1322=$AB$44,$AD$44,E1322=$AB$45,$AD$45,E1322=$AB$46,$AD$46,E1322=$AB$47,$AD$47,E1322=$AB$48,$AD$48,E1322=$AB$49,$AD$49,E1322=$AB$50,$AD$50,E1322=$AB$51,$AD$51,E1322=$AB$52,$AD$52,E1322=$AB$53,$AD$53,E1322=$AB$54,$AD$54,E1322=$AB$55,$AD$55,E1322=$AB$56,$AD$56,E1322=$AB$57,$AD$57,E1322=$AB$58,$AD$58,E1322=$AB$59,$AD$59,E1322=$AB$60,$AD$60,E1322=$AB$61,$AD$61,E1322=$AB$62,$AD$62,E1322=$AB$63,$AD$63,E1322=$AB$64,$AD$64,E1322=$AB$65,$AD$65,E1322=$AB$66,$AD$66,TRUE,"0")</f>
        <v>IP</v>
      </c>
      <c r="E1322" s="2" t="s">
        <v>270</v>
      </c>
      <c r="F1322" s="2" t="s">
        <v>44</v>
      </c>
      <c r="G1322" s="2" t="s">
        <v>45</v>
      </c>
      <c r="H1322" s="3">
        <v>45416.447916666664</v>
      </c>
      <c r="I1322" s="2" t="s">
        <v>46</v>
      </c>
      <c r="J1322" s="2" t="s">
        <v>143</v>
      </c>
      <c r="K1322" s="2">
        <v>61</v>
      </c>
      <c r="L1322" s="2">
        <v>0</v>
      </c>
      <c r="M1322" s="2">
        <v>20</v>
      </c>
      <c r="N1322" s="2">
        <v>29</v>
      </c>
      <c r="O1322" s="2">
        <v>3.59</v>
      </c>
      <c r="P1322" s="2"/>
      <c r="Q1322" s="2" t="s">
        <v>95</v>
      </c>
      <c r="R1322" s="10" t="s">
        <v>214</v>
      </c>
      <c r="S1322" s="10" t="s">
        <v>194</v>
      </c>
      <c r="T1322" s="188">
        <v>1000</v>
      </c>
      <c r="U1322" s="8">
        <f t="shared" si="147"/>
        <v>180</v>
      </c>
      <c r="V1322" s="234">
        <f t="shared" si="152"/>
        <v>133584.15524616028</v>
      </c>
      <c r="W1322" s="15">
        <v>25</v>
      </c>
      <c r="X1322" s="8">
        <f t="shared" si="149"/>
        <v>4.5</v>
      </c>
      <c r="Y1322" s="233">
        <f t="shared" si="150"/>
        <v>5205.5</v>
      </c>
    </row>
    <row r="1323" spans="1:25">
      <c r="A1323" s="156" t="e" cm="1">
        <f t="array" aca="1" ref="A1323" ca="1">_xlfn.IFS(E1323=$AB$42,$AC$42,E1323=$AB$43,$AC$43,E1323=$AB$44,$AC$44,E1323=$AB$45,$AC$45,E1323=$AB$46,$AC$46,E1323=$AB$47,$AC$47,E1323=$AB$48,$AC$48,E1323=$AB$49,$AC$49,E1323=$AB$50,$AC$50,E1323=$AB$51,$AC$51,E1323=$AB$52,$AC$52,E1323=$AB$53,$AC$53,E1323=$AB$54,$AC$54,E1323=$AB$55,$AC$55,E1323=$AB$56,$AC$56,E1323=$AB$57,$AC$57,E1323=$AB$58,$AC$58,E1323=$AB$59,$AC$59,E1323=$AB$60,$AC$60,E1323=$AB$61,$AC$61,E1323=$AB$62,$AC$62,E1323=$AB$63,$AC$63,E1323=$AB$64,$AC$64,E1323=$AB$65,$AC$65,E1323=$AB$66,$AC$66,TRUE,"0")</f>
        <v>#NAME?</v>
      </c>
      <c r="C1323" s="161" t="str" cm="1">
        <f t="array" ref="C1323">_xlfn.IFS(E1323=$AB$42,$AF$42,E1323=$AB$43,$AF$43,E1323=$AB$44,$AF$44,E1323=$AB$45,$AF$45,E1323=$AB$46,$AF$46,E1323=$AB$47,$AF$47,E1323=$AB$48,$AF$48,E1323=$AB$49,$AF$49,E1323=$AB$50,$AF$50,E1323=$AB$51,$AF$51,E1323=$AB$52,$AF$52,E1323=$AB$53,$AF$53,E1323=$AB$54,$AF$54,E1323=$AB$55,$AF$55,E1323=$AB$56,$AF$56,E1323=$AB$57,$AF$57,E1323=$AB$58,$AF$58,E1323=$AB$59,$AF$59,E1323=$AB$60,$AF$60,E1323=$AB$61,$AF$61,E1323=$AB$62,$AF$62,E1323=$AB$63,$AF$63,E1323=$AB$64,$AF$64,E1323=$AB$65,$AF$65,E1323=$AB$66,$AF$66,TRUE,"0")</f>
        <v>if 0-0, BACK+ 0.5 GOALS  @ 1.15+odds.  or @ 40 mins</v>
      </c>
      <c r="D1323" s="270" t="str" cm="1">
        <f t="array" ref="D1323">_xlfn.IFS(E1323=$AB$42,$AD$42,E1323=$AB$43,$AD$43,E1323=$AB$44,$AD$44,E1323=$AB$45,$AD$45,E1323=$AB$46,$AD$46,E1323=$AB$47,$AD$47,E1323=$AB$48,$AD$48,E1323=$AB$49,$AD$49,E1323=$AB$50,$AD$50,E1323=$AB$51,$AD$51,E1323=$AB$52,$AD$52,E1323=$AB$53,$AD$53,E1323=$AB$54,$AD$54,E1323=$AB$55,$AD$55,E1323=$AB$56,$AD$56,E1323=$AB$57,$AD$57,E1323=$AB$58,$AD$58,E1323=$AB$59,$AD$59,E1323=$AB$60,$AD$60,E1323=$AB$61,$AD$61,E1323=$AB$62,$AD$62,E1323=$AB$63,$AD$63,E1323=$AB$64,$AD$64,E1323=$AB$65,$AD$65,E1323=$AB$66,$AD$66,TRUE,"0")</f>
        <v>IP</v>
      </c>
      <c r="E1323" s="2" t="s">
        <v>270</v>
      </c>
      <c r="F1323" s="2" t="s">
        <v>77</v>
      </c>
      <c r="G1323" s="2" t="s">
        <v>234</v>
      </c>
      <c r="H1323" s="3">
        <v>45416.5</v>
      </c>
      <c r="I1323" s="2" t="s">
        <v>633</v>
      </c>
      <c r="J1323" s="2" t="s">
        <v>687</v>
      </c>
      <c r="K1323" s="2">
        <v>62</v>
      </c>
      <c r="L1323" s="2">
        <v>0</v>
      </c>
      <c r="M1323" s="2">
        <v>20</v>
      </c>
      <c r="N1323" s="2">
        <v>33</v>
      </c>
      <c r="O1323" s="2">
        <v>2.82</v>
      </c>
      <c r="P1323" s="2"/>
      <c r="Q1323" s="2" t="s">
        <v>95</v>
      </c>
      <c r="R1323" s="10" t="s">
        <v>223</v>
      </c>
      <c r="S1323" s="10" t="s">
        <v>279</v>
      </c>
      <c r="T1323" s="188">
        <v>1000</v>
      </c>
      <c r="U1323" s="8">
        <f t="shared" si="147"/>
        <v>180</v>
      </c>
      <c r="V1323" s="234">
        <f t="shared" si="152"/>
        <v>133764.15524616028</v>
      </c>
      <c r="W1323" s="15">
        <v>25</v>
      </c>
      <c r="X1323" s="8">
        <f t="shared" si="149"/>
        <v>4.5</v>
      </c>
      <c r="Y1323" s="233">
        <f t="shared" si="150"/>
        <v>5210</v>
      </c>
    </row>
    <row r="1324" spans="1:25">
      <c r="A1324" s="156" t="e" cm="1">
        <f t="array" aca="1" ref="A1324" ca="1">_xlfn.IFS(E1324=$AB$42,$AC$42,E1324=$AB$43,$AC$43,E1324=$AB$44,$AC$44,E1324=$AB$45,$AC$45,E1324=$AB$46,$AC$46,E1324=$AB$47,$AC$47,E1324=$AB$48,$AC$48,E1324=$AB$49,$AC$49,E1324=$AB$50,$AC$50,E1324=$AB$51,$AC$51,E1324=$AB$52,$AC$52,E1324=$AB$53,$AC$53,E1324=$AB$54,$AC$54,E1324=$AB$55,$AC$55,E1324=$AB$56,$AC$56,E1324=$AB$57,$AC$57,E1324=$AB$58,$AC$58,E1324=$AB$59,$AC$59,E1324=$AB$60,$AC$60,E1324=$AB$61,$AC$61,E1324=$AB$62,$AC$62,E1324=$AB$63,$AC$63,E1324=$AB$64,$AC$64,E1324=$AB$65,$AC$65,E1324=$AB$66,$AC$66,TRUE,"0")</f>
        <v>#NAME?</v>
      </c>
      <c r="C1324" s="161" t="str" cm="1">
        <f t="array" ref="C1324">_xlfn.IFS(E1324=$AB$42,$AF$42,E1324=$AB$43,$AF$43,E1324=$AB$44,$AF$44,E1324=$AB$45,$AF$45,E1324=$AB$46,$AF$46,E1324=$AB$47,$AF$47,E1324=$AB$48,$AF$48,E1324=$AB$49,$AF$49,E1324=$AB$50,$AF$50,E1324=$AB$51,$AF$51,E1324=$AB$52,$AF$52,E1324=$AB$53,$AF$53,E1324=$AB$54,$AF$54,E1324=$AB$55,$AF$55,E1324=$AB$56,$AF$56,E1324=$AB$57,$AF$57,E1324=$AB$58,$AF$58,E1324=$AB$59,$AF$59,E1324=$AB$60,$AF$60,E1324=$AB$61,$AF$61,E1324=$AB$62,$AF$62,E1324=$AB$63,$AF$63,E1324=$AB$64,$AF$64,E1324=$AB$65,$AF$65,E1324=$AB$66,$AF$66,TRUE,"0")</f>
        <v>40 mins Back ANother Goal</v>
      </c>
      <c r="D1324" s="270" t="str" cm="1">
        <f t="array" ref="D1324">_xlfn.IFS(E1324=$AB$42,$AD$42,E1324=$AB$43,$AD$43,E1324=$AB$44,$AD$44,E1324=$AB$45,$AD$45,E1324=$AB$46,$AD$46,E1324=$AB$47,$AD$47,E1324=$AB$48,$AD$48,E1324=$AB$49,$AD$49,E1324=$AB$50,$AD$50,E1324=$AB$51,$AD$51,E1324=$AB$52,$AD$52,E1324=$AB$53,$AD$53,E1324=$AB$54,$AD$54,E1324=$AB$55,$AD$55,E1324=$AB$56,$AD$56,E1324=$AB$57,$AD$57,E1324=$AB$58,$AD$58,E1324=$AB$59,$AD$59,E1324=$AB$60,$AD$60,E1324=$AB$61,$AD$61,E1324=$AB$62,$AD$62,E1324=$AB$63,$AD$63,E1324=$AB$64,$AD$64,E1324=$AB$65,$AD$65,E1324=$AB$66,$AD$66,TRUE,"0")</f>
        <v xml:space="preserve">  BANG</v>
      </c>
      <c r="E1324" s="2" t="s">
        <v>792</v>
      </c>
      <c r="F1324" s="2" t="s">
        <v>6</v>
      </c>
      <c r="G1324" s="2" t="s">
        <v>62</v>
      </c>
      <c r="H1324" s="3">
        <v>45416.520833333336</v>
      </c>
      <c r="I1324" s="2" t="s">
        <v>73</v>
      </c>
      <c r="J1324" s="2" t="s">
        <v>117</v>
      </c>
      <c r="K1324" s="2">
        <v>2.1</v>
      </c>
      <c r="L1324" s="2">
        <v>90</v>
      </c>
      <c r="M1324" s="2">
        <v>65</v>
      </c>
      <c r="N1324" s="2">
        <v>64</v>
      </c>
      <c r="O1324" s="2">
        <v>20</v>
      </c>
      <c r="P1324" s="2"/>
      <c r="Q1324" s="2" t="s">
        <v>95</v>
      </c>
      <c r="R1324" s="10" t="s">
        <v>214</v>
      </c>
      <c r="S1324" s="10" t="s">
        <v>207</v>
      </c>
      <c r="T1324" s="188">
        <v>1000</v>
      </c>
      <c r="U1324" s="8">
        <f t="shared" si="147"/>
        <v>180</v>
      </c>
      <c r="V1324" s="234">
        <f t="shared" si="152"/>
        <v>133944.15524616028</v>
      </c>
      <c r="W1324" s="15">
        <v>25</v>
      </c>
      <c r="X1324" s="8">
        <f t="shared" si="149"/>
        <v>4.5</v>
      </c>
      <c r="Y1324" s="233">
        <f t="shared" si="150"/>
        <v>5214.5</v>
      </c>
    </row>
    <row r="1325" spans="1:25">
      <c r="A1325" s="156" t="e" cm="1">
        <f t="array" aca="1" ref="A1325" ca="1">_xlfn.IFS(E1325=$AB$42,$AC$42,E1325=$AB$43,$AC$43,E1325=$AB$44,$AC$44,E1325=$AB$45,$AC$45,E1325=$AB$46,$AC$46,E1325=$AB$47,$AC$47,E1325=$AB$48,$AC$48,E1325=$AB$49,$AC$49,E1325=$AB$50,$AC$50,E1325=$AB$51,$AC$51,E1325=$AB$52,$AC$52,E1325=$AB$53,$AC$53,E1325=$AB$54,$AC$54,E1325=$AB$55,$AC$55,E1325=$AB$56,$AC$56,E1325=$AB$57,$AC$57,E1325=$AB$58,$AC$58,E1325=$AB$59,$AC$59,E1325=$AB$60,$AC$60,E1325=$AB$61,$AC$61,E1325=$AB$62,$AC$62,E1325=$AB$63,$AC$63,E1325=$AB$64,$AC$64,E1325=$AB$65,$AC$65,E1325=$AB$66,$AC$66,TRUE,"0")</f>
        <v>#NAME?</v>
      </c>
      <c r="C1325" s="161" t="str" cm="1">
        <f t="array" ref="C1325">_xlfn.IFS(E1325=$AB$42,$AF$42,E1325=$AB$43,$AF$43,E1325=$AB$44,$AF$44,E1325=$AB$45,$AF$45,E1325=$AB$46,$AF$46,E1325=$AB$47,$AF$47,E1325=$AB$48,$AF$48,E1325=$AB$49,$AF$49,E1325=$AB$50,$AF$50,E1325=$AB$51,$AF$51,E1325=$AB$52,$AF$52,E1325=$AB$53,$AF$53,E1325=$AB$54,$AF$54,E1325=$AB$55,$AF$55,E1325=$AB$56,$AF$56,E1325=$AB$57,$AF$57,E1325=$AB$58,$AF$58,E1325=$AB$59,$AF$59,E1325=$AB$60,$AF$60,E1325=$AB$61,$AF$61,E1325=$AB$62,$AF$62,E1325=$AB$63,$AF$63,E1325=$AB$64,$AF$64,E1325=$AB$65,$AF$65,E1325=$AB$66,$AF$66,TRUE,"0")</f>
        <v>40 mins Back ANother Goal</v>
      </c>
      <c r="D1325" s="270" t="str" cm="1">
        <f t="array" ref="D1325">_xlfn.IFS(E1325=$AB$42,$AD$42,E1325=$AB$43,$AD$43,E1325=$AB$44,$AD$44,E1325=$AB$45,$AD$45,E1325=$AB$46,$AD$46,E1325=$AB$47,$AD$47,E1325=$AB$48,$AD$48,E1325=$AB$49,$AD$49,E1325=$AB$50,$AD$50,E1325=$AB$51,$AD$51,E1325=$AB$52,$AD$52,E1325=$AB$53,$AD$53,E1325=$AB$54,$AD$54,E1325=$AB$55,$AD$55,E1325=$AB$56,$AD$56,E1325=$AB$57,$AD$57,E1325=$AB$58,$AD$58,E1325=$AB$59,$AD$59,E1325=$AB$60,$AD$60,E1325=$AB$61,$AD$61,E1325=$AB$62,$AD$62,E1325=$AB$63,$AD$63,E1325=$AB$64,$AD$64,E1325=$AB$65,$AD$65,E1325=$AB$66,$AD$66,TRUE,"0")</f>
        <v xml:space="preserve">  BANG</v>
      </c>
      <c r="E1325" s="2" t="s">
        <v>726</v>
      </c>
      <c r="F1325" s="2" t="s">
        <v>6</v>
      </c>
      <c r="G1325" s="2" t="s">
        <v>62</v>
      </c>
      <c r="H1325" s="3">
        <v>45416.520833333336</v>
      </c>
      <c r="I1325" s="2" t="s">
        <v>73</v>
      </c>
      <c r="J1325" s="2" t="s">
        <v>117</v>
      </c>
      <c r="K1325" s="2">
        <v>90</v>
      </c>
      <c r="L1325" s="2">
        <v>20</v>
      </c>
      <c r="M1325" s="2">
        <v>2.1</v>
      </c>
      <c r="N1325" s="2">
        <v>64</v>
      </c>
      <c r="O1325" s="2"/>
      <c r="P1325" s="2"/>
      <c r="Q1325" s="2" t="s">
        <v>95</v>
      </c>
      <c r="R1325" s="10" t="s">
        <v>214</v>
      </c>
      <c r="S1325" s="10" t="s">
        <v>207</v>
      </c>
      <c r="T1325" s="188">
        <v>1000</v>
      </c>
      <c r="U1325" s="8">
        <f t="shared" si="147"/>
        <v>180</v>
      </c>
      <c r="V1325" s="234">
        <f t="shared" ref="V1325:V1328" si="153">SUM(V1324,U1325)</f>
        <v>134124.15524616028</v>
      </c>
      <c r="W1325" s="15">
        <v>25</v>
      </c>
      <c r="X1325" s="8">
        <f t="shared" si="149"/>
        <v>4.5</v>
      </c>
      <c r="Y1325" s="233">
        <f t="shared" si="150"/>
        <v>5219</v>
      </c>
    </row>
    <row r="1326" spans="1:25">
      <c r="A1326" s="156" t="e" cm="1">
        <f t="array" aca="1" ref="A1326" ca="1">_xlfn.IFS(E1326=$AB$42,$AC$42,E1326=$AB$43,$AC$43,E1326=$AB$44,$AC$44,E1326=$AB$45,$AC$45,E1326=$AB$46,$AC$46,E1326=$AB$47,$AC$47,E1326=$AB$48,$AC$48,E1326=$AB$49,$AC$49,E1326=$AB$50,$AC$50,E1326=$AB$51,$AC$51,E1326=$AB$52,$AC$52,E1326=$AB$53,$AC$53,E1326=$AB$54,$AC$54,E1326=$AB$55,$AC$55,E1326=$AB$56,$AC$56,E1326=$AB$57,$AC$57,E1326=$AB$58,$AC$58,E1326=$AB$59,$AC$59,E1326=$AB$60,$AC$60,E1326=$AB$61,$AC$61,E1326=$AB$62,$AC$62,E1326=$AB$63,$AC$63,E1326=$AB$64,$AC$64,E1326=$AB$65,$AC$65,E1326=$AB$66,$AC$66,TRUE,"0")</f>
        <v>#NAME?</v>
      </c>
      <c r="C1326" s="161" t="str" cm="1">
        <f t="array" ref="C1326">_xlfn.IFS(E1326=$AB$42,$AF$42,E1326=$AB$43,$AF$43,E1326=$AB$44,$AF$44,E1326=$AB$45,$AF$45,E1326=$AB$46,$AF$46,E1326=$AB$47,$AF$47,E1326=$AB$48,$AF$48,E1326=$AB$49,$AF$49,E1326=$AB$50,$AF$50,E1326=$AB$51,$AF$51,E1326=$AB$52,$AF$52,E1326=$AB$53,$AF$53,E1326=$AB$54,$AF$54,E1326=$AB$55,$AF$55,E1326=$AB$56,$AF$56,E1326=$AB$57,$AF$57,E1326=$AB$58,$AF$58,E1326=$AB$59,$AF$59,E1326=$AB$60,$AF$60,E1326=$AB$61,$AF$61,E1326=$AB$62,$AF$62,E1326=$AB$63,$AF$63,E1326=$AB$64,$AF$64,E1326=$AB$65,$AF$65,E1326=$AB$66,$AF$66,TRUE,"0")</f>
        <v>B4 match BACK FT +1.5 goals. X AFTER  GOAL</v>
      </c>
      <c r="D1326" s="270" t="str" cm="1">
        <f t="array" ref="D1326">_xlfn.IFS(E1326=$AB$42,$AD$42,E1326=$AB$43,$AD$43,E1326=$AB$44,$AD$44,E1326=$AB$45,$AD$45,E1326=$AB$46,$AD$46,E1326=$AB$47,$AD$47,E1326=$AB$48,$AD$48,E1326=$AB$49,$AD$49,E1326=$AB$50,$AD$50,E1326=$AB$51,$AD$51,E1326=$AB$52,$AD$52,E1326=$AB$53,$AD$53,E1326=$AB$54,$AD$54,E1326=$AB$55,$AD$55,E1326=$AB$56,$AD$56,E1326=$AB$57,$AD$57,E1326=$AB$58,$AD$58,E1326=$AB$59,$AD$59,E1326=$AB$60,$AD$60,E1326=$AB$61,$AD$61,E1326=$AB$62,$AD$62,E1326=$AB$63,$AD$63,E1326=$AB$64,$AD$64,E1326=$AB$65,$AD$65,E1326=$AB$66,$AD$66,TRUE,"0")</f>
        <v xml:space="preserve">BFM </v>
      </c>
      <c r="E1326" s="2" t="s">
        <v>623</v>
      </c>
      <c r="F1326" s="2" t="s">
        <v>6</v>
      </c>
      <c r="G1326" s="2" t="s">
        <v>62</v>
      </c>
      <c r="H1326" s="3">
        <v>45416.520833333336</v>
      </c>
      <c r="I1326" s="2" t="s">
        <v>73</v>
      </c>
      <c r="J1326" s="2" t="s">
        <v>117</v>
      </c>
      <c r="K1326" s="2">
        <v>3.15</v>
      </c>
      <c r="L1326" s="2">
        <v>20</v>
      </c>
      <c r="M1326" s="2">
        <v>3.25</v>
      </c>
      <c r="N1326" s="2">
        <v>25</v>
      </c>
      <c r="O1326" s="2">
        <v>3</v>
      </c>
      <c r="P1326" s="2">
        <v>10</v>
      </c>
      <c r="Q1326" s="2" t="s">
        <v>95</v>
      </c>
      <c r="R1326" s="10" t="s">
        <v>214</v>
      </c>
      <c r="S1326" s="10" t="s">
        <v>207</v>
      </c>
      <c r="T1326" s="188">
        <v>1000</v>
      </c>
      <c r="U1326" s="8">
        <f t="shared" si="147"/>
        <v>180</v>
      </c>
      <c r="V1326" s="234">
        <f t="shared" si="153"/>
        <v>134304.15524616028</v>
      </c>
      <c r="W1326" s="15">
        <v>25</v>
      </c>
      <c r="X1326" s="8">
        <f t="shared" si="149"/>
        <v>4.5</v>
      </c>
      <c r="Y1326" s="233">
        <f t="shared" si="150"/>
        <v>5223.5</v>
      </c>
    </row>
    <row r="1327" spans="1:25">
      <c r="A1327" s="156" t="e" cm="1">
        <f t="array" aca="1" ref="A1327" ca="1">_xlfn.IFS(E1327=$AB$42,$AC$42,E1327=$AB$43,$AC$43,E1327=$AB$44,$AC$44,E1327=$AB$45,$AC$45,E1327=$AB$46,$AC$46,E1327=$AB$47,$AC$47,E1327=$AB$48,$AC$48,E1327=$AB$49,$AC$49,E1327=$AB$50,$AC$50,E1327=$AB$51,$AC$51,E1327=$AB$52,$AC$52,E1327=$AB$53,$AC$53,E1327=$AB$54,$AC$54,E1327=$AB$55,$AC$55,E1327=$AB$56,$AC$56,E1327=$AB$57,$AC$57,E1327=$AB$58,$AC$58,E1327=$AB$59,$AC$59,E1327=$AB$60,$AC$60,E1327=$AB$61,$AC$61,E1327=$AB$62,$AC$62,E1327=$AB$63,$AC$63,E1327=$AB$64,$AC$64,E1327=$AB$65,$AC$65,E1327=$AB$66,$AC$66,TRUE,"0")</f>
        <v>#NAME?</v>
      </c>
      <c r="C1327" s="161" t="str" cm="1">
        <f t="array" ref="C1327">_xlfn.IFS(E1327=$AB$42,$AF$42,E1327=$AB$43,$AF$43,E1327=$AB$44,$AF$44,E1327=$AB$45,$AF$45,E1327=$AB$46,$AF$46,E1327=$AB$47,$AF$47,E1327=$AB$48,$AF$48,E1327=$AB$49,$AF$49,E1327=$AB$50,$AF$50,E1327=$AB$51,$AF$51,E1327=$AB$52,$AF$52,E1327=$AB$53,$AF$53,E1327=$AB$54,$AF$54,E1327=$AB$55,$AF$55,E1327=$AB$56,$AF$56,E1327=$AB$57,$AF$57,E1327=$AB$58,$AF$58,E1327=$AB$59,$AF$59,E1327=$AB$60,$AF$60,E1327=$AB$61,$AF$61,E1327=$AB$62,$AF$62,E1327=$AB$63,$AF$63,E1327=$AB$64,$AF$64,E1327=$AB$65,$AF$65,E1327=$AB$66,$AF$66,TRUE,"0")</f>
        <v>if 0-0, BACK+ 0.5 GOALS  @ 1.15+odds.  or @ 40 mins</v>
      </c>
      <c r="D1327" s="270" t="str" cm="1">
        <f t="array" ref="D1327">_xlfn.IFS(E1327=$AB$42,$AD$42,E1327=$AB$43,$AD$43,E1327=$AB$44,$AD$44,E1327=$AB$45,$AD$45,E1327=$AB$46,$AD$46,E1327=$AB$47,$AD$47,E1327=$AB$48,$AD$48,E1327=$AB$49,$AD$49,E1327=$AB$50,$AD$50,E1327=$AB$51,$AD$51,E1327=$AB$52,$AD$52,E1327=$AB$53,$AD$53,E1327=$AB$54,$AD$54,E1327=$AB$55,$AD$55,E1327=$AB$56,$AD$56,E1327=$AB$57,$AD$57,E1327=$AB$58,$AD$58,E1327=$AB$59,$AD$59,E1327=$AB$60,$AD$60,E1327=$AB$61,$AD$61,E1327=$AB$62,$AD$62,E1327=$AB$63,$AD$63,E1327=$AB$64,$AD$64,E1327=$AB$65,$AD$65,E1327=$AB$66,$AD$66,TRUE,"0")</f>
        <v>IP</v>
      </c>
      <c r="E1327" s="2" t="s">
        <v>270</v>
      </c>
      <c r="F1327" s="2" t="s">
        <v>6</v>
      </c>
      <c r="G1327" s="2" t="s">
        <v>62</v>
      </c>
      <c r="H1327" s="3">
        <v>45416.520833333336</v>
      </c>
      <c r="I1327" s="2" t="s">
        <v>73</v>
      </c>
      <c r="J1327" s="2" t="s">
        <v>117</v>
      </c>
      <c r="K1327" s="2">
        <v>65</v>
      </c>
      <c r="L1327" s="2">
        <v>0</v>
      </c>
      <c r="M1327" s="2">
        <v>20</v>
      </c>
      <c r="N1327" s="2">
        <v>25</v>
      </c>
      <c r="O1327" s="2">
        <v>3.1</v>
      </c>
      <c r="P1327" s="2"/>
      <c r="Q1327" s="2" t="s">
        <v>95</v>
      </c>
      <c r="R1327" s="10" t="s">
        <v>214</v>
      </c>
      <c r="S1327" s="10" t="s">
        <v>207</v>
      </c>
      <c r="T1327" s="188">
        <v>1000</v>
      </c>
      <c r="U1327" s="8">
        <f t="shared" si="147"/>
        <v>180</v>
      </c>
      <c r="V1327" s="234">
        <f t="shared" si="153"/>
        <v>134484.15524616028</v>
      </c>
      <c r="W1327" s="15">
        <v>25</v>
      </c>
      <c r="X1327" s="8">
        <f t="shared" si="149"/>
        <v>4.5</v>
      </c>
      <c r="Y1327" s="233">
        <f t="shared" si="150"/>
        <v>5228</v>
      </c>
    </row>
    <row r="1328" spans="1:25">
      <c r="A1328" s="156" t="e" cm="1">
        <f t="array" aca="1" ref="A1328" ca="1">_xlfn.IFS(E1328=$AB$42,$AC$42,E1328=$AB$43,$AC$43,E1328=$AB$44,$AC$44,E1328=$AB$45,$AC$45,E1328=$AB$46,$AC$46,E1328=$AB$47,$AC$47,E1328=$AB$48,$AC$48,E1328=$AB$49,$AC$49,E1328=$AB$50,$AC$50,E1328=$AB$51,$AC$51,E1328=$AB$52,$AC$52,E1328=$AB$53,$AC$53,E1328=$AB$54,$AC$54,E1328=$AB$55,$AC$55,E1328=$AB$56,$AC$56,E1328=$AB$57,$AC$57,E1328=$AB$58,$AC$58,E1328=$AB$59,$AC$59,E1328=$AB$60,$AC$60,E1328=$AB$61,$AC$61,E1328=$AB$62,$AC$62,E1328=$AB$63,$AC$63,E1328=$AB$64,$AC$64,E1328=$AB$65,$AC$65,E1328=$AB$66,$AC$66,TRUE,"0")</f>
        <v>#NAME?</v>
      </c>
      <c r="C1328" s="161" t="str" cm="1">
        <f t="array" ref="C1328">_xlfn.IFS(E1328=$AB$42,$AF$42,E1328=$AB$43,$AF$43,E1328=$AB$44,$AF$44,E1328=$AB$45,$AF$45,E1328=$AB$46,$AF$46,E1328=$AB$47,$AF$47,E1328=$AB$48,$AF$48,E1328=$AB$49,$AF$49,E1328=$AB$50,$AF$50,E1328=$AB$51,$AF$51,E1328=$AB$52,$AF$52,E1328=$AB$53,$AF$53,E1328=$AB$54,$AF$54,E1328=$AB$55,$AF$55,E1328=$AB$56,$AF$56,E1328=$AB$57,$AF$57,E1328=$AB$58,$AF$58,E1328=$AB$59,$AF$59,E1328=$AB$60,$AF$60,E1328=$AB$61,$AF$61,E1328=$AB$62,$AF$62,E1328=$AB$63,$AF$63,E1328=$AB$64,$AF$64,E1328=$AB$65,$AF$65,E1328=$AB$66,$AF$66,TRUE,"0")</f>
        <v>B4 match BACK FT +1.5 goals. X AFTER  GOAL</v>
      </c>
      <c r="D1328" s="270" t="str" cm="1">
        <f t="array" ref="D1328">_xlfn.IFS(E1328=$AB$42,$AD$42,E1328=$AB$43,$AD$43,E1328=$AB$44,$AD$44,E1328=$AB$45,$AD$45,E1328=$AB$46,$AD$46,E1328=$AB$47,$AD$47,E1328=$AB$48,$AD$48,E1328=$AB$49,$AD$49,E1328=$AB$50,$AD$50,E1328=$AB$51,$AD$51,E1328=$AB$52,$AD$52,E1328=$AB$53,$AD$53,E1328=$AB$54,$AD$54,E1328=$AB$55,$AD$55,E1328=$AB$56,$AD$56,E1328=$AB$57,$AD$57,E1328=$AB$58,$AD$58,E1328=$AB$59,$AD$59,E1328=$AB$60,$AD$60,E1328=$AB$61,$AD$61,E1328=$AB$62,$AD$62,E1328=$AB$63,$AD$63,E1328=$AB$64,$AD$64,E1328=$AB$65,$AD$65,E1328=$AB$66,$AD$66,TRUE,"0")</f>
        <v xml:space="preserve">BFM </v>
      </c>
      <c r="E1328" s="2" t="s">
        <v>406</v>
      </c>
      <c r="F1328" s="2" t="s">
        <v>6</v>
      </c>
      <c r="G1328" s="2" t="s">
        <v>14</v>
      </c>
      <c r="H1328" s="3">
        <v>45416.520833333336</v>
      </c>
      <c r="I1328" s="2" t="s">
        <v>291</v>
      </c>
      <c r="J1328" s="2" t="s">
        <v>421</v>
      </c>
      <c r="K1328" s="2">
        <v>1.26</v>
      </c>
      <c r="L1328" s="2">
        <v>14</v>
      </c>
      <c r="M1328" s="2">
        <v>3.3</v>
      </c>
      <c r="N1328" s="2">
        <v>3.7</v>
      </c>
      <c r="O1328" s="2">
        <v>2.4700000000000002</v>
      </c>
      <c r="P1328" s="2"/>
      <c r="Q1328" s="2" t="s">
        <v>95</v>
      </c>
      <c r="R1328" s="10" t="s">
        <v>214</v>
      </c>
      <c r="S1328" s="10" t="s">
        <v>220</v>
      </c>
      <c r="T1328" s="188">
        <v>1000</v>
      </c>
      <c r="U1328" s="8">
        <f t="shared" si="147"/>
        <v>180</v>
      </c>
      <c r="V1328" s="234">
        <f t="shared" si="153"/>
        <v>134664.15524616028</v>
      </c>
      <c r="W1328" s="15">
        <v>25</v>
      </c>
      <c r="X1328" s="8">
        <f t="shared" si="149"/>
        <v>4.5</v>
      </c>
      <c r="Y1328" s="233">
        <f t="shared" si="150"/>
        <v>5232.5</v>
      </c>
    </row>
    <row r="1329" spans="1:25">
      <c r="A1329" s="156" t="e" cm="1">
        <f t="array" aca="1" ref="A1329" ca="1">_xlfn.IFS(E1329=$AB$42,$AC$42,E1329=$AB$43,$AC$43,E1329=$AB$44,$AC$44,E1329=$AB$45,$AC$45,E1329=$AB$46,$AC$46,E1329=$AB$47,$AC$47,E1329=$AB$48,$AC$48,E1329=$AB$49,$AC$49,E1329=$AB$50,$AC$50,E1329=$AB$51,$AC$51,E1329=$AB$52,$AC$52,E1329=$AB$53,$AC$53,E1329=$AB$54,$AC$54,E1329=$AB$55,$AC$55,E1329=$AB$56,$AC$56,E1329=$AB$57,$AC$57,E1329=$AB$58,$AC$58,E1329=$AB$59,$AC$59,E1329=$AB$60,$AC$60,E1329=$AB$61,$AC$61,E1329=$AB$62,$AC$62,E1329=$AB$63,$AC$63,E1329=$AB$64,$AC$64,E1329=$AB$65,$AC$65,E1329=$AB$66,$AC$66,TRUE,"0")</f>
        <v>#NAME?</v>
      </c>
      <c r="C1329" s="161" t="str" cm="1">
        <f t="array" ref="C1329">_xlfn.IFS(E1329=$AB$42,$AF$42,E1329=$AB$43,$AF$43,E1329=$AB$44,$AF$44,E1329=$AB$45,$AF$45,E1329=$AB$46,$AF$46,E1329=$AB$47,$AF$47,E1329=$AB$48,$AF$48,E1329=$AB$49,$AF$49,E1329=$AB$50,$AF$50,E1329=$AB$51,$AF$51,E1329=$AB$52,$AF$52,E1329=$AB$53,$AF$53,E1329=$AB$54,$AF$54,E1329=$AB$55,$AF$55,E1329=$AB$56,$AF$56,E1329=$AB$57,$AF$57,E1329=$AB$58,$AF$58,E1329=$AB$59,$AF$59,E1329=$AB$60,$AF$60,E1329=$AB$61,$AF$61,E1329=$AB$62,$AF$62,E1329=$AB$63,$AF$63,E1329=$AB$64,$AF$64,E1329=$AB$65,$AF$65,E1329=$AB$66,$AF$66,TRUE,"0")</f>
        <v>B4 match BACK FT +1.5 goals. X AFTER  GOAL</v>
      </c>
      <c r="D1329" s="270" t="str" cm="1">
        <f t="array" ref="D1329">_xlfn.IFS(E1329=$AB$42,$AD$42,E1329=$AB$43,$AD$43,E1329=$AB$44,$AD$44,E1329=$AB$45,$AD$45,E1329=$AB$46,$AD$46,E1329=$AB$47,$AD$47,E1329=$AB$48,$AD$48,E1329=$AB$49,$AD$49,E1329=$AB$50,$AD$50,E1329=$AB$51,$AD$51,E1329=$AB$52,$AD$52,E1329=$AB$53,$AD$53,E1329=$AB$54,$AD$54,E1329=$AB$55,$AD$55,E1329=$AB$56,$AD$56,E1329=$AB$57,$AD$57,E1329=$AB$58,$AD$58,E1329=$AB$59,$AD$59,E1329=$AB$60,$AD$60,E1329=$AB$61,$AD$61,E1329=$AB$62,$AD$62,E1329=$AB$63,$AD$63,E1329=$AB$64,$AD$64,E1329=$AB$65,$AD$65,E1329=$AB$66,$AD$66,TRUE,"0")</f>
        <v xml:space="preserve">BFM </v>
      </c>
      <c r="E1329" s="2" t="s">
        <v>623</v>
      </c>
      <c r="F1329" s="2" t="s">
        <v>6</v>
      </c>
      <c r="G1329" s="2" t="s">
        <v>14</v>
      </c>
      <c r="H1329" s="3">
        <v>45416.520833333336</v>
      </c>
      <c r="I1329" s="2" t="s">
        <v>291</v>
      </c>
      <c r="J1329" s="2" t="s">
        <v>421</v>
      </c>
      <c r="K1329" s="2">
        <v>3.7</v>
      </c>
      <c r="L1329" s="2">
        <v>20</v>
      </c>
      <c r="M1329" s="2">
        <v>3.3</v>
      </c>
      <c r="N1329" s="2">
        <v>35</v>
      </c>
      <c r="O1329" s="2">
        <v>2</v>
      </c>
      <c r="P1329" s="2">
        <v>10</v>
      </c>
      <c r="Q1329" s="2" t="s">
        <v>95</v>
      </c>
      <c r="R1329" s="10" t="s">
        <v>214</v>
      </c>
      <c r="S1329" s="10" t="s">
        <v>220</v>
      </c>
      <c r="T1329" s="188">
        <v>1000</v>
      </c>
      <c r="U1329" s="8">
        <f t="shared" si="147"/>
        <v>180</v>
      </c>
      <c r="V1329" s="234">
        <f t="shared" ref="V1329:V1355" si="154">SUM(V1328,U1329)</f>
        <v>134844.15524616028</v>
      </c>
      <c r="W1329" s="15">
        <v>25</v>
      </c>
      <c r="X1329" s="8">
        <f t="shared" si="149"/>
        <v>4.5</v>
      </c>
      <c r="Y1329" s="233">
        <f t="shared" si="150"/>
        <v>5237</v>
      </c>
    </row>
    <row r="1330" spans="1:25">
      <c r="A1330" s="156" t="e" cm="1">
        <f t="array" aca="1" ref="A1330" ca="1">_xlfn.IFS(E1330=$AB$42,$AC$42,E1330=$AB$43,$AC$43,E1330=$AB$44,$AC$44,E1330=$AB$45,$AC$45,E1330=$AB$46,$AC$46,E1330=$AB$47,$AC$47,E1330=$AB$48,$AC$48,E1330=$AB$49,$AC$49,E1330=$AB$50,$AC$50,E1330=$AB$51,$AC$51,E1330=$AB$52,$AC$52,E1330=$AB$53,$AC$53,E1330=$AB$54,$AC$54,E1330=$AB$55,$AC$55,E1330=$AB$56,$AC$56,E1330=$AB$57,$AC$57,E1330=$AB$58,$AC$58,E1330=$AB$59,$AC$59,E1330=$AB$60,$AC$60,E1330=$AB$61,$AC$61,E1330=$AB$62,$AC$62,E1330=$AB$63,$AC$63,E1330=$AB$64,$AC$64,E1330=$AB$65,$AC$65,E1330=$AB$66,$AC$66,TRUE,"0")</f>
        <v>#NAME?</v>
      </c>
      <c r="C1330" s="161" t="str" cm="1">
        <f t="array" ref="C1330">_xlfn.IFS(E1330=$AB$42,$AF$42,E1330=$AB$43,$AF$43,E1330=$AB$44,$AF$44,E1330=$AB$45,$AF$45,E1330=$AB$46,$AF$46,E1330=$AB$47,$AF$47,E1330=$AB$48,$AF$48,E1330=$AB$49,$AF$49,E1330=$AB$50,$AF$50,E1330=$AB$51,$AF$51,E1330=$AB$52,$AF$52,E1330=$AB$53,$AF$53,E1330=$AB$54,$AF$54,E1330=$AB$55,$AF$55,E1330=$AB$56,$AF$56,E1330=$AB$57,$AF$57,E1330=$AB$58,$AF$58,E1330=$AB$59,$AF$59,E1330=$AB$60,$AF$60,E1330=$AB$61,$AF$61,E1330=$AB$62,$AF$62,E1330=$AB$63,$AF$63,E1330=$AB$64,$AF$64,E1330=$AB$65,$AF$65,E1330=$AB$66,$AF$66,TRUE,"0")</f>
        <v>B4 match BACK FT +1.5 goals. X AFTER  GOAL</v>
      </c>
      <c r="D1330" s="270" t="str" cm="1">
        <f t="array" ref="D1330">_xlfn.IFS(E1330=$AB$42,$AD$42,E1330=$AB$43,$AD$43,E1330=$AB$44,$AD$44,E1330=$AB$45,$AD$45,E1330=$AB$46,$AD$46,E1330=$AB$47,$AD$47,E1330=$AB$48,$AD$48,E1330=$AB$49,$AD$49,E1330=$AB$50,$AD$50,E1330=$AB$51,$AD$51,E1330=$AB$52,$AD$52,E1330=$AB$53,$AD$53,E1330=$AB$54,$AD$54,E1330=$AB$55,$AD$55,E1330=$AB$56,$AD$56,E1330=$AB$57,$AD$57,E1330=$AB$58,$AD$58,E1330=$AB$59,$AD$59,E1330=$AB$60,$AD$60,E1330=$AB$61,$AD$61,E1330=$AB$62,$AD$62,E1330=$AB$63,$AD$63,E1330=$AB$64,$AD$64,E1330=$AB$65,$AD$65,E1330=$AB$66,$AD$66,TRUE,"0")</f>
        <v xml:space="preserve">BFM </v>
      </c>
      <c r="E1330" s="2" t="s">
        <v>623</v>
      </c>
      <c r="F1330" s="2" t="s">
        <v>6</v>
      </c>
      <c r="G1330" s="2" t="s">
        <v>14</v>
      </c>
      <c r="H1330" s="3">
        <v>45416.520833333336</v>
      </c>
      <c r="I1330" s="2" t="s">
        <v>280</v>
      </c>
      <c r="J1330" s="2" t="s">
        <v>56</v>
      </c>
      <c r="K1330" s="2">
        <v>5.8</v>
      </c>
      <c r="L1330" s="2">
        <v>20</v>
      </c>
      <c r="M1330" s="2">
        <v>2.8</v>
      </c>
      <c r="N1330" s="2">
        <v>24</v>
      </c>
      <c r="O1330" s="2">
        <v>0</v>
      </c>
      <c r="P1330" s="2">
        <v>10</v>
      </c>
      <c r="Q1330" s="2" t="s">
        <v>95</v>
      </c>
      <c r="R1330" s="10" t="s">
        <v>223</v>
      </c>
      <c r="S1330" s="10" t="s">
        <v>223</v>
      </c>
      <c r="T1330" s="188">
        <v>1000</v>
      </c>
      <c r="U1330" s="8">
        <f t="shared" si="147"/>
        <v>180</v>
      </c>
      <c r="V1330" s="234">
        <f t="shared" si="154"/>
        <v>135024.15524616028</v>
      </c>
      <c r="W1330" s="15">
        <v>25</v>
      </c>
      <c r="X1330" s="8">
        <f t="shared" si="149"/>
        <v>4.5</v>
      </c>
      <c r="Y1330" s="233">
        <f t="shared" si="150"/>
        <v>5241.5</v>
      </c>
    </row>
    <row r="1331" spans="1:25">
      <c r="A1331" s="156" t="e" cm="1">
        <f t="array" aca="1" ref="A1331" ca="1">_xlfn.IFS(E1331=$AB$42,$AC$42,E1331=$AB$43,$AC$43,E1331=$AB$44,$AC$44,E1331=$AB$45,$AC$45,E1331=$AB$46,$AC$46,E1331=$AB$47,$AC$47,E1331=$AB$48,$AC$48,E1331=$AB$49,$AC$49,E1331=$AB$50,$AC$50,E1331=$AB$51,$AC$51,E1331=$AB$52,$AC$52,E1331=$AB$53,$AC$53,E1331=$AB$54,$AC$54,E1331=$AB$55,$AC$55,E1331=$AB$56,$AC$56,E1331=$AB$57,$AC$57,E1331=$AB$58,$AC$58,E1331=$AB$59,$AC$59,E1331=$AB$60,$AC$60,E1331=$AB$61,$AC$61,E1331=$AB$62,$AC$62,E1331=$AB$63,$AC$63,E1331=$AB$64,$AC$64,E1331=$AB$65,$AC$65,E1331=$AB$66,$AC$66,TRUE,"0")</f>
        <v>#NAME?</v>
      </c>
      <c r="C1331" s="161" t="str" cm="1">
        <f t="array" ref="C1331">_xlfn.IFS(E1331=$AB$42,$AF$42,E1331=$AB$43,$AF$43,E1331=$AB$44,$AF$44,E1331=$AB$45,$AF$45,E1331=$AB$46,$AF$46,E1331=$AB$47,$AF$47,E1331=$AB$48,$AF$48,E1331=$AB$49,$AF$49,E1331=$AB$50,$AF$50,E1331=$AB$51,$AF$51,E1331=$AB$52,$AF$52,E1331=$AB$53,$AF$53,E1331=$AB$54,$AF$54,E1331=$AB$55,$AF$55,E1331=$AB$56,$AF$56,E1331=$AB$57,$AF$57,E1331=$AB$58,$AF$58,E1331=$AB$59,$AF$59,E1331=$AB$60,$AF$60,E1331=$AB$61,$AF$61,E1331=$AB$62,$AF$62,E1331=$AB$63,$AF$63,E1331=$AB$64,$AF$64,E1331=$AB$65,$AF$65,E1331=$AB$66,$AF$66,TRUE,"0")</f>
        <v>B4 match BACK FT +1.5 goals. X AFTER  GOAL</v>
      </c>
      <c r="D1331" s="270" t="str" cm="1">
        <f t="array" ref="D1331">_xlfn.IFS(E1331=$AB$42,$AD$42,E1331=$AB$43,$AD$43,E1331=$AB$44,$AD$44,E1331=$AB$45,$AD$45,E1331=$AB$46,$AD$46,E1331=$AB$47,$AD$47,E1331=$AB$48,$AD$48,E1331=$AB$49,$AD$49,E1331=$AB$50,$AD$50,E1331=$AB$51,$AD$51,E1331=$AB$52,$AD$52,E1331=$AB$53,$AD$53,E1331=$AB$54,$AD$54,E1331=$AB$55,$AD$55,E1331=$AB$56,$AD$56,E1331=$AB$57,$AD$57,E1331=$AB$58,$AD$58,E1331=$AB$59,$AD$59,E1331=$AB$60,$AD$60,E1331=$AB$61,$AD$61,E1331=$AB$62,$AD$62,E1331=$AB$63,$AD$63,E1331=$AB$64,$AD$64,E1331=$AB$65,$AD$65,E1331=$AB$66,$AD$66,TRUE,"0")</f>
        <v xml:space="preserve">BFM </v>
      </c>
      <c r="E1331" s="2" t="s">
        <v>623</v>
      </c>
      <c r="F1331" s="2" t="s">
        <v>6</v>
      </c>
      <c r="G1331" s="2" t="s">
        <v>14</v>
      </c>
      <c r="H1331" s="3">
        <v>45416.520833333336</v>
      </c>
      <c r="I1331" s="2" t="s">
        <v>290</v>
      </c>
      <c r="J1331" s="2" t="s">
        <v>428</v>
      </c>
      <c r="K1331" s="2">
        <v>6</v>
      </c>
      <c r="L1331" s="2">
        <v>20</v>
      </c>
      <c r="M1331" s="2">
        <v>3.2</v>
      </c>
      <c r="N1331" s="2">
        <v>27</v>
      </c>
      <c r="O1331" s="2">
        <v>2</v>
      </c>
      <c r="P1331" s="2">
        <v>10</v>
      </c>
      <c r="Q1331" s="2" t="s">
        <v>95</v>
      </c>
      <c r="R1331" s="10" t="s">
        <v>221</v>
      </c>
      <c r="S1331" s="10" t="s">
        <v>217</v>
      </c>
      <c r="T1331" s="188">
        <v>1000</v>
      </c>
      <c r="U1331" s="8">
        <f t="shared" si="147"/>
        <v>180</v>
      </c>
      <c r="V1331" s="234">
        <f t="shared" si="154"/>
        <v>135204.15524616028</v>
      </c>
      <c r="W1331" s="15">
        <v>25</v>
      </c>
      <c r="X1331" s="8">
        <f t="shared" si="149"/>
        <v>4.5</v>
      </c>
      <c r="Y1331" s="233">
        <f t="shared" si="150"/>
        <v>5246</v>
      </c>
    </row>
    <row r="1332" spans="1:25">
      <c r="A1332" s="156" t="e" cm="1">
        <f t="array" aca="1" ref="A1332" ca="1">_xlfn.IFS(E1332=$AB$42,$AC$42,E1332=$AB$43,$AC$43,E1332=$AB$44,$AC$44,E1332=$AB$45,$AC$45,E1332=$AB$46,$AC$46,E1332=$AB$47,$AC$47,E1332=$AB$48,$AC$48,E1332=$AB$49,$AC$49,E1332=$AB$50,$AC$50,E1332=$AB$51,$AC$51,E1332=$AB$52,$AC$52,E1332=$AB$53,$AC$53,E1332=$AB$54,$AC$54,E1332=$AB$55,$AC$55,E1332=$AB$56,$AC$56,E1332=$AB$57,$AC$57,E1332=$AB$58,$AC$58,E1332=$AB$59,$AC$59,E1332=$AB$60,$AC$60,E1332=$AB$61,$AC$61,E1332=$AB$62,$AC$62,E1332=$AB$63,$AC$63,E1332=$AB$64,$AC$64,E1332=$AB$65,$AC$65,E1332=$AB$66,$AC$66,TRUE,"0")</f>
        <v>#NAME?</v>
      </c>
      <c r="C1332" s="161" t="str" cm="1">
        <f t="array" ref="C1332">_xlfn.IFS(E1332=$AB$42,$AF$42,E1332=$AB$43,$AF$43,E1332=$AB$44,$AF$44,E1332=$AB$45,$AF$45,E1332=$AB$46,$AF$46,E1332=$AB$47,$AF$47,E1332=$AB$48,$AF$48,E1332=$AB$49,$AF$49,E1332=$AB$50,$AF$50,E1332=$AB$51,$AF$51,E1332=$AB$52,$AF$52,E1332=$AB$53,$AF$53,E1332=$AB$54,$AF$54,E1332=$AB$55,$AF$55,E1332=$AB$56,$AF$56,E1332=$AB$57,$AF$57,E1332=$AB$58,$AF$58,E1332=$AB$59,$AF$59,E1332=$AB$60,$AF$60,E1332=$AB$61,$AF$61,E1332=$AB$62,$AF$62,E1332=$AB$63,$AF$63,E1332=$AB$64,$AF$64,E1332=$AB$65,$AF$65,E1332=$AB$66,$AF$66,TRUE,"0")</f>
        <v>B4 MATCH bet H1 'under 2.5goals'- X at 40 minutes</v>
      </c>
      <c r="D1332" s="270" t="str" cm="1">
        <f t="array" ref="D1332">_xlfn.IFS(E1332=$AB$42,$AD$42,E1332=$AB$43,$AD$43,E1332=$AB$44,$AD$44,E1332=$AB$45,$AD$45,E1332=$AB$46,$AD$46,E1332=$AB$47,$AD$47,E1332=$AB$48,$AD$48,E1332=$AB$49,$AD$49,E1332=$AB$50,$AD$50,E1332=$AB$51,$AD$51,E1332=$AB$52,$AD$52,E1332=$AB$53,$AD$53,E1332=$AB$54,$AD$54,E1332=$AB$55,$AD$55,E1332=$AB$56,$AD$56,E1332=$AB$57,$AD$57,E1332=$AB$58,$AD$58,E1332=$AB$59,$AD$59,E1332=$AB$60,$AD$60,E1332=$AB$61,$AD$61,E1332=$AB$62,$AD$62,E1332=$AB$63,$AD$63,E1332=$AB$64,$AD$64,E1332=$AB$65,$AD$65,E1332=$AB$66,$AD$66,TRUE,"0")</f>
        <v xml:space="preserve">BFM </v>
      </c>
      <c r="E1332" s="160" t="s">
        <v>458</v>
      </c>
      <c r="F1332" s="2" t="s">
        <v>58</v>
      </c>
      <c r="G1332" s="2" t="s">
        <v>289</v>
      </c>
      <c r="H1332" s="3">
        <v>45416.583333333336</v>
      </c>
      <c r="I1332" s="2" t="s">
        <v>801</v>
      </c>
      <c r="J1332" s="2" t="s">
        <v>688</v>
      </c>
      <c r="K1332" s="2">
        <v>20</v>
      </c>
      <c r="L1332" s="2">
        <v>80</v>
      </c>
      <c r="M1332" s="2">
        <v>100</v>
      </c>
      <c r="N1332" s="2">
        <v>36</v>
      </c>
      <c r="O1332" s="2">
        <v>1.75</v>
      </c>
      <c r="P1332" s="2"/>
      <c r="Q1332" s="2" t="s">
        <v>95</v>
      </c>
      <c r="R1332" s="10" t="s">
        <v>193</v>
      </c>
      <c r="S1332" s="10" t="s">
        <v>216</v>
      </c>
      <c r="T1332" s="188">
        <v>1000</v>
      </c>
      <c r="U1332" s="8">
        <f t="shared" si="147"/>
        <v>180</v>
      </c>
      <c r="V1332" s="234">
        <f t="shared" si="154"/>
        <v>135384.15524616028</v>
      </c>
      <c r="W1332" s="15">
        <v>25</v>
      </c>
      <c r="X1332" s="8">
        <f t="shared" si="149"/>
        <v>4.5</v>
      </c>
      <c r="Y1332" s="233">
        <f t="shared" si="150"/>
        <v>5250.5</v>
      </c>
    </row>
    <row r="1333" spans="1:25">
      <c r="A1333" s="156" t="e" cm="1">
        <f t="array" aca="1" ref="A1333" ca="1">_xlfn.IFS(E1333=$AB$42,$AC$42,E1333=$AB$43,$AC$43,E1333=$AB$44,$AC$44,E1333=$AB$45,$AC$45,E1333=$AB$46,$AC$46,E1333=$AB$47,$AC$47,E1333=$AB$48,$AC$48,E1333=$AB$49,$AC$49,E1333=$AB$50,$AC$50,E1333=$AB$51,$AC$51,E1333=$AB$52,$AC$52,E1333=$AB$53,$AC$53,E1333=$AB$54,$AC$54,E1333=$AB$55,$AC$55,E1333=$AB$56,$AC$56,E1333=$AB$57,$AC$57,E1333=$AB$58,$AC$58,E1333=$AB$59,$AC$59,E1333=$AB$60,$AC$60,E1333=$AB$61,$AC$61,E1333=$AB$62,$AC$62,E1333=$AB$63,$AC$63,E1333=$AB$64,$AC$64,E1333=$AB$65,$AC$65,E1333=$AB$66,$AC$66,TRUE,"0")</f>
        <v>#NAME?</v>
      </c>
      <c r="C1333" s="161" t="str" cm="1">
        <f t="array" ref="C1333">_xlfn.IFS(E1333=$AB$42,$AF$42,E1333=$AB$43,$AF$43,E1333=$AB$44,$AF$44,E1333=$AB$45,$AF$45,E1333=$AB$46,$AF$46,E1333=$AB$47,$AF$47,E1333=$AB$48,$AF$48,E1333=$AB$49,$AF$49,E1333=$AB$50,$AF$50,E1333=$AB$51,$AF$51,E1333=$AB$52,$AF$52,E1333=$AB$53,$AF$53,E1333=$AB$54,$AF$54,E1333=$AB$55,$AF$55,E1333=$AB$56,$AF$56,E1333=$AB$57,$AF$57,E1333=$AB$58,$AF$58,E1333=$AB$59,$AF$59,E1333=$AB$60,$AF$60,E1333=$AB$61,$AF$61,E1333=$AB$62,$AF$62,E1333=$AB$63,$AF$63,E1333=$AB$64,$AF$64,E1333=$AB$65,$AF$65,E1333=$AB$66,$AF$66,TRUE,"0")</f>
        <v>B4 match BACK FT +1.5 goals. X AFTER  GOAL</v>
      </c>
      <c r="D1333" s="270" t="str" cm="1">
        <f t="array" ref="D1333">_xlfn.IFS(E1333=$AB$42,$AD$42,E1333=$AB$43,$AD$43,E1333=$AB$44,$AD$44,E1333=$AB$45,$AD$45,E1333=$AB$46,$AD$46,E1333=$AB$47,$AD$47,E1333=$AB$48,$AD$48,E1333=$AB$49,$AD$49,E1333=$AB$50,$AD$50,E1333=$AB$51,$AD$51,E1333=$AB$52,$AD$52,E1333=$AB$53,$AD$53,E1333=$AB$54,$AD$54,E1333=$AB$55,$AD$55,E1333=$AB$56,$AD$56,E1333=$AB$57,$AD$57,E1333=$AB$58,$AD$58,E1333=$AB$59,$AD$59,E1333=$AB$60,$AD$60,E1333=$AB$61,$AD$61,E1333=$AB$62,$AD$62,E1333=$AB$63,$AD$63,E1333=$AB$64,$AD$64,E1333=$AB$65,$AD$65,E1333=$AB$66,$AD$66,TRUE,"0")</f>
        <v xml:space="preserve">BFM </v>
      </c>
      <c r="E1333" s="2" t="s">
        <v>531</v>
      </c>
      <c r="F1333" s="2" t="s">
        <v>80</v>
      </c>
      <c r="G1333" s="2" t="s">
        <v>81</v>
      </c>
      <c r="H1333" s="3">
        <v>45416.583333333336</v>
      </c>
      <c r="I1333" s="2" t="s">
        <v>310</v>
      </c>
      <c r="J1333" s="2" t="s">
        <v>676</v>
      </c>
      <c r="K1333" s="2">
        <v>5</v>
      </c>
      <c r="L1333" s="2">
        <v>34</v>
      </c>
      <c r="M1333" s="2">
        <v>2.82</v>
      </c>
      <c r="N1333" s="2">
        <v>32</v>
      </c>
      <c r="O1333" s="2">
        <v>1</v>
      </c>
      <c r="P1333" s="2">
        <v>17</v>
      </c>
      <c r="Q1333" s="2" t="s">
        <v>95</v>
      </c>
      <c r="R1333" s="10" t="s">
        <v>193</v>
      </c>
      <c r="S1333" s="10" t="s">
        <v>193</v>
      </c>
      <c r="T1333" s="188">
        <v>1000</v>
      </c>
      <c r="U1333" s="8">
        <f t="shared" si="147"/>
        <v>180</v>
      </c>
      <c r="V1333" s="234">
        <f t="shared" si="154"/>
        <v>135564.15524616028</v>
      </c>
      <c r="W1333" s="15">
        <v>25</v>
      </c>
      <c r="X1333" s="8">
        <f t="shared" si="149"/>
        <v>4.5</v>
      </c>
      <c r="Y1333" s="233">
        <f t="shared" si="150"/>
        <v>5255</v>
      </c>
    </row>
    <row r="1334" spans="1:25">
      <c r="A1334" s="156" t="e" cm="1">
        <f t="array" aca="1" ref="A1334" ca="1">_xlfn.IFS(E1334=$AB$42,$AC$42,E1334=$AB$43,$AC$43,E1334=$AB$44,$AC$44,E1334=$AB$45,$AC$45,E1334=$AB$46,$AC$46,E1334=$AB$47,$AC$47,E1334=$AB$48,$AC$48,E1334=$AB$49,$AC$49,E1334=$AB$50,$AC$50,E1334=$AB$51,$AC$51,E1334=$AB$52,$AC$52,E1334=$AB$53,$AC$53,E1334=$AB$54,$AC$54,E1334=$AB$55,$AC$55,E1334=$AB$56,$AC$56,E1334=$AB$57,$AC$57,E1334=$AB$58,$AC$58,E1334=$AB$59,$AC$59,E1334=$AB$60,$AC$60,E1334=$AB$61,$AC$61,E1334=$AB$62,$AC$62,E1334=$AB$63,$AC$63,E1334=$AB$64,$AC$64,E1334=$AB$65,$AC$65,E1334=$AB$66,$AC$66,TRUE,"0")</f>
        <v>#NAME?</v>
      </c>
      <c r="C1334" s="161" t="str" cm="1">
        <f t="array" ref="C1334">_xlfn.IFS(E1334=$AB$42,$AF$42,E1334=$AB$43,$AF$43,E1334=$AB$44,$AF$44,E1334=$AB$45,$AF$45,E1334=$AB$46,$AF$46,E1334=$AB$47,$AF$47,E1334=$AB$48,$AF$48,E1334=$AB$49,$AF$49,E1334=$AB$50,$AF$50,E1334=$AB$51,$AF$51,E1334=$AB$52,$AF$52,E1334=$AB$53,$AF$53,E1334=$AB$54,$AF$54,E1334=$AB$55,$AF$55,E1334=$AB$56,$AF$56,E1334=$AB$57,$AF$57,E1334=$AB$58,$AF$58,E1334=$AB$59,$AF$59,E1334=$AB$60,$AF$60,E1334=$AB$61,$AF$61,E1334=$AB$62,$AF$62,E1334=$AB$63,$AF$63,E1334=$AB$64,$AF$64,E1334=$AB$65,$AF$65,E1334=$AB$66,$AF$66,TRUE,"0")</f>
        <v>B4 match BACK FT +1.5 goals. X AFTER  GOAL</v>
      </c>
      <c r="D1334" s="270" t="str" cm="1">
        <f t="array" ref="D1334">_xlfn.IFS(E1334=$AB$42,$AD$42,E1334=$AB$43,$AD$43,E1334=$AB$44,$AD$44,E1334=$AB$45,$AD$45,E1334=$AB$46,$AD$46,E1334=$AB$47,$AD$47,E1334=$AB$48,$AD$48,E1334=$AB$49,$AD$49,E1334=$AB$50,$AD$50,E1334=$AB$51,$AD$51,E1334=$AB$52,$AD$52,E1334=$AB$53,$AD$53,E1334=$AB$54,$AD$54,E1334=$AB$55,$AD$55,E1334=$AB$56,$AD$56,E1334=$AB$57,$AD$57,E1334=$AB$58,$AD$58,E1334=$AB$59,$AD$59,E1334=$AB$60,$AD$60,E1334=$AB$61,$AD$61,E1334=$AB$62,$AD$62,E1334=$AB$63,$AD$63,E1334=$AB$64,$AD$64,E1334=$AB$65,$AD$65,E1334=$AB$66,$AD$66,TRUE,"0")</f>
        <v xml:space="preserve">BFM </v>
      </c>
      <c r="E1334" s="2" t="s">
        <v>623</v>
      </c>
      <c r="F1334" s="2" t="s">
        <v>77</v>
      </c>
      <c r="G1334" s="2" t="s">
        <v>156</v>
      </c>
      <c r="H1334" s="3">
        <v>45416.604166666664</v>
      </c>
      <c r="I1334" s="2" t="s">
        <v>552</v>
      </c>
      <c r="J1334" s="2" t="s">
        <v>284</v>
      </c>
      <c r="K1334" s="2">
        <v>5.8</v>
      </c>
      <c r="L1334" s="2">
        <v>20</v>
      </c>
      <c r="M1334" s="2">
        <v>3.35</v>
      </c>
      <c r="N1334" s="2">
        <v>25</v>
      </c>
      <c r="O1334" s="2">
        <v>2</v>
      </c>
      <c r="P1334" s="2">
        <v>10</v>
      </c>
      <c r="Q1334" s="2" t="s">
        <v>95</v>
      </c>
      <c r="R1334" s="10" t="s">
        <v>196</v>
      </c>
      <c r="S1334" s="10" t="s">
        <v>197</v>
      </c>
      <c r="T1334" s="188">
        <v>1000</v>
      </c>
      <c r="U1334" s="8">
        <f t="shared" si="147"/>
        <v>180</v>
      </c>
      <c r="V1334" s="234">
        <f t="shared" si="154"/>
        <v>135744.15524616028</v>
      </c>
      <c r="W1334" s="15">
        <v>25</v>
      </c>
      <c r="X1334" s="8">
        <f t="shared" si="149"/>
        <v>4.5</v>
      </c>
      <c r="Y1334" s="233">
        <f t="shared" si="150"/>
        <v>5259.5</v>
      </c>
    </row>
    <row r="1335" spans="1:25">
      <c r="A1335" s="156" t="e" cm="1">
        <f t="array" aca="1" ref="A1335" ca="1">_xlfn.IFS(E1335=$AB$42,$AC$42,E1335=$AB$43,$AC$43,E1335=$AB$44,$AC$44,E1335=$AB$45,$AC$45,E1335=$AB$46,$AC$46,E1335=$AB$47,$AC$47,E1335=$AB$48,$AC$48,E1335=$AB$49,$AC$49,E1335=$AB$50,$AC$50,E1335=$AB$51,$AC$51,E1335=$AB$52,$AC$52,E1335=$AB$53,$AC$53,E1335=$AB$54,$AC$54,E1335=$AB$55,$AC$55,E1335=$AB$56,$AC$56,E1335=$AB$57,$AC$57,E1335=$AB$58,$AC$58,E1335=$AB$59,$AC$59,E1335=$AB$60,$AC$60,E1335=$AB$61,$AC$61,E1335=$AB$62,$AC$62,E1335=$AB$63,$AC$63,E1335=$AB$64,$AC$64,E1335=$AB$65,$AC$65,E1335=$AB$66,$AC$66,TRUE,"0")</f>
        <v>#NAME?</v>
      </c>
      <c r="C1335" s="161" t="str" cm="1">
        <f t="array" ref="C1335">_xlfn.IFS(E1335=$AB$42,$AF$42,E1335=$AB$43,$AF$43,E1335=$AB$44,$AF$44,E1335=$AB$45,$AF$45,E1335=$AB$46,$AF$46,E1335=$AB$47,$AF$47,E1335=$AB$48,$AF$48,E1335=$AB$49,$AF$49,E1335=$AB$50,$AF$50,E1335=$AB$51,$AF$51,E1335=$AB$52,$AF$52,E1335=$AB$53,$AF$53,E1335=$AB$54,$AF$54,E1335=$AB$55,$AF$55,E1335=$AB$56,$AF$56,E1335=$AB$57,$AF$57,E1335=$AB$58,$AF$58,E1335=$AB$59,$AF$59,E1335=$AB$60,$AF$60,E1335=$AB$61,$AF$61,E1335=$AB$62,$AF$62,E1335=$AB$63,$AF$63,E1335=$AB$64,$AF$64,E1335=$AB$65,$AF$65,E1335=$AB$66,$AF$66,TRUE,"0")</f>
        <v>B4 Match, lay HT 0-0 or BACK H1 +0.5 GOALS</v>
      </c>
      <c r="D1335" s="270" t="str" cm="1">
        <f t="array" ref="D1335">_xlfn.IFS(E1335=$AB$42,$AD$42,E1335=$AB$43,$AD$43,E1335=$AB$44,$AD$44,E1335=$AB$45,$AD$45,E1335=$AB$46,$AD$46,E1335=$AB$47,$AD$47,E1335=$AB$48,$AD$48,E1335=$AB$49,$AD$49,E1335=$AB$50,$AD$50,E1335=$AB$51,$AD$51,E1335=$AB$52,$AD$52,E1335=$AB$53,$AD$53,E1335=$AB$54,$AD$54,E1335=$AB$55,$AD$55,E1335=$AB$56,$AD$56,E1335=$AB$57,$AD$57,E1335=$AB$58,$AD$58,E1335=$AB$59,$AD$59,E1335=$AB$60,$AD$60,E1335=$AB$61,$AD$61,E1335=$AB$62,$AD$62,E1335=$AB$63,$AD$63,E1335=$AB$64,$AD$64,E1335=$AB$65,$AD$65,E1335=$AB$66,$AD$66,TRUE,"0")</f>
        <v xml:space="preserve">BFM </v>
      </c>
      <c r="E1335" s="2" t="s">
        <v>448</v>
      </c>
      <c r="F1335" s="2" t="s">
        <v>77</v>
      </c>
      <c r="G1335" s="2" t="s">
        <v>156</v>
      </c>
      <c r="H1335" s="3">
        <v>45416.604166666664</v>
      </c>
      <c r="I1335" s="2" t="s">
        <v>552</v>
      </c>
      <c r="J1335" s="2" t="s">
        <v>284</v>
      </c>
      <c r="K1335" s="2">
        <v>20</v>
      </c>
      <c r="L1335" s="2">
        <v>10</v>
      </c>
      <c r="M1335" s="2">
        <v>37</v>
      </c>
      <c r="N1335" s="2">
        <v>6</v>
      </c>
      <c r="O1335" s="2">
        <v>9</v>
      </c>
      <c r="P1335" s="2">
        <v>8</v>
      </c>
      <c r="Q1335" s="2" t="s">
        <v>95</v>
      </c>
      <c r="R1335" s="10" t="s">
        <v>196</v>
      </c>
      <c r="S1335" s="10" t="s">
        <v>197</v>
      </c>
      <c r="T1335" s="188">
        <v>1000</v>
      </c>
      <c r="U1335" s="8">
        <f t="shared" si="147"/>
        <v>180</v>
      </c>
      <c r="V1335" s="234">
        <f t="shared" si="154"/>
        <v>135924.15524616028</v>
      </c>
      <c r="W1335" s="15">
        <v>25</v>
      </c>
      <c r="X1335" s="8">
        <f t="shared" si="149"/>
        <v>4.5</v>
      </c>
      <c r="Y1335" s="233">
        <f t="shared" si="150"/>
        <v>5264</v>
      </c>
    </row>
    <row r="1336" spans="1:25">
      <c r="A1336" s="156" t="e" cm="1">
        <f t="array" aca="1" ref="A1336" ca="1">_xlfn.IFS(E1336=$AB$42,$AC$42,E1336=$AB$43,$AC$43,E1336=$AB$44,$AC$44,E1336=$AB$45,$AC$45,E1336=$AB$46,$AC$46,E1336=$AB$47,$AC$47,E1336=$AB$48,$AC$48,E1336=$AB$49,$AC$49,E1336=$AB$50,$AC$50,E1336=$AB$51,$AC$51,E1336=$AB$52,$AC$52,E1336=$AB$53,$AC$53,E1336=$AB$54,$AC$54,E1336=$AB$55,$AC$55,E1336=$AB$56,$AC$56,E1336=$AB$57,$AC$57,E1336=$AB$58,$AC$58,E1336=$AB$59,$AC$59,E1336=$AB$60,$AC$60,E1336=$AB$61,$AC$61,E1336=$AB$62,$AC$62,E1336=$AB$63,$AC$63,E1336=$AB$64,$AC$64,E1336=$AB$65,$AC$65,E1336=$AB$66,$AC$66,TRUE,"0")</f>
        <v>#NAME?</v>
      </c>
      <c r="C1336" s="161" t="str" cm="1">
        <f t="array" ref="C1336">_xlfn.IFS(E1336=$AB$42,$AF$42,E1336=$AB$43,$AF$43,E1336=$AB$44,$AF$44,E1336=$AB$45,$AF$45,E1336=$AB$46,$AF$46,E1336=$AB$47,$AF$47,E1336=$AB$48,$AF$48,E1336=$AB$49,$AF$49,E1336=$AB$50,$AF$50,E1336=$AB$51,$AF$51,E1336=$AB$52,$AF$52,E1336=$AB$53,$AF$53,E1336=$AB$54,$AF$54,E1336=$AB$55,$AF$55,E1336=$AB$56,$AF$56,E1336=$AB$57,$AF$57,E1336=$AB$58,$AF$58,E1336=$AB$59,$AF$59,E1336=$AB$60,$AF$60,E1336=$AB$61,$AF$61,E1336=$AB$62,$AF$62,E1336=$AB$63,$AF$63,E1336=$AB$64,$AF$64,E1336=$AB$65,$AF$65,E1336=$AB$66,$AF$66,TRUE,"0")</f>
        <v>B4 MATCH back over 2.5 goals.X after goal OR let run</v>
      </c>
      <c r="D1336" s="270" t="str" cm="1">
        <f t="array" ref="D1336">_xlfn.IFS(E1336=$AB$42,$AD$42,E1336=$AB$43,$AD$43,E1336=$AB$44,$AD$44,E1336=$AB$45,$AD$45,E1336=$AB$46,$AD$46,E1336=$AB$47,$AD$47,E1336=$AB$48,$AD$48,E1336=$AB$49,$AD$49,E1336=$AB$50,$AD$50,E1336=$AB$51,$AD$51,E1336=$AB$52,$AD$52,E1336=$AB$53,$AD$53,E1336=$AB$54,$AD$54,E1336=$AB$55,$AD$55,E1336=$AB$56,$AD$56,E1336=$AB$57,$AD$57,E1336=$AB$58,$AD$58,E1336=$AB$59,$AD$59,E1336=$AB$60,$AD$60,E1336=$AB$61,$AD$61,E1336=$AB$62,$AD$62,E1336=$AB$63,$AD$63,E1336=$AB$64,$AD$64,E1336=$AB$65,$AD$65,E1336=$AB$66,$AD$66,TRUE,"0")</f>
        <v xml:space="preserve">BFM </v>
      </c>
      <c r="E1336" s="2" t="s">
        <v>177</v>
      </c>
      <c r="F1336" s="2" t="s">
        <v>77</v>
      </c>
      <c r="G1336" s="2" t="s">
        <v>156</v>
      </c>
      <c r="H1336" s="3">
        <v>45416.604166666664</v>
      </c>
      <c r="I1336" s="2" t="s">
        <v>168</v>
      </c>
      <c r="J1336" s="2" t="s">
        <v>157</v>
      </c>
      <c r="K1336" s="2">
        <v>3.95</v>
      </c>
      <c r="L1336" s="2">
        <v>95</v>
      </c>
      <c r="M1336" s="2">
        <v>75</v>
      </c>
      <c r="N1336" s="2">
        <v>27</v>
      </c>
      <c r="O1336" s="2">
        <v>65</v>
      </c>
      <c r="P1336" s="2">
        <v>3.77</v>
      </c>
      <c r="Q1336" s="2" t="s">
        <v>95</v>
      </c>
      <c r="R1336" s="10" t="s">
        <v>216</v>
      </c>
      <c r="S1336" s="10" t="s">
        <v>215</v>
      </c>
      <c r="T1336" s="188">
        <v>1000</v>
      </c>
      <c r="U1336" s="8">
        <f t="shared" si="147"/>
        <v>180</v>
      </c>
      <c r="V1336" s="234">
        <f t="shared" si="154"/>
        <v>136104.15524616028</v>
      </c>
      <c r="W1336" s="15">
        <v>25</v>
      </c>
      <c r="X1336" s="8">
        <f t="shared" si="149"/>
        <v>4.5</v>
      </c>
      <c r="Y1336" s="233">
        <f t="shared" si="150"/>
        <v>5268.5</v>
      </c>
    </row>
    <row r="1337" spans="1:25">
      <c r="A1337" s="156" t="e" cm="1">
        <f t="array" aca="1" ref="A1337" ca="1">_xlfn.IFS(E1337=$AB$42,$AC$42,E1337=$AB$43,$AC$43,E1337=$AB$44,$AC$44,E1337=$AB$45,$AC$45,E1337=$AB$46,$AC$46,E1337=$AB$47,$AC$47,E1337=$AB$48,$AC$48,E1337=$AB$49,$AC$49,E1337=$AB$50,$AC$50,E1337=$AB$51,$AC$51,E1337=$AB$52,$AC$52,E1337=$AB$53,$AC$53,E1337=$AB$54,$AC$54,E1337=$AB$55,$AC$55,E1337=$AB$56,$AC$56,E1337=$AB$57,$AC$57,E1337=$AB$58,$AC$58,E1337=$AB$59,$AC$59,E1337=$AB$60,$AC$60,E1337=$AB$61,$AC$61,E1337=$AB$62,$AC$62,E1337=$AB$63,$AC$63,E1337=$AB$64,$AC$64,E1337=$AB$65,$AC$65,E1337=$AB$66,$AC$66,TRUE,"0")</f>
        <v>#NAME?</v>
      </c>
      <c r="C1337" s="161" t="str" cm="1">
        <f t="array" ref="C1337">_xlfn.IFS(E1337=$AB$42,$AF$42,E1337=$AB$43,$AF$43,E1337=$AB$44,$AF$44,E1337=$AB$45,$AF$45,E1337=$AB$46,$AF$46,E1337=$AB$47,$AF$47,E1337=$AB$48,$AF$48,E1337=$AB$49,$AF$49,E1337=$AB$50,$AF$50,E1337=$AB$51,$AF$51,E1337=$AB$52,$AF$52,E1337=$AB$53,$AF$53,E1337=$AB$54,$AF$54,E1337=$AB$55,$AF$55,E1337=$AB$56,$AF$56,E1337=$AB$57,$AF$57,E1337=$AB$58,$AF$58,E1337=$AB$59,$AF$59,E1337=$AB$60,$AF$60,E1337=$AB$61,$AF$61,E1337=$AB$62,$AF$62,E1337=$AB$63,$AF$63,E1337=$AB$64,$AF$64,E1337=$AB$65,$AF$65,E1337=$AB$66,$AF$66,TRUE,"0")</f>
        <v>10mins if  0-0, BACK over 1.5 goals X after goal OR LET RUN</v>
      </c>
      <c r="D1337" s="270" t="str" cm="1">
        <f t="array" ref="D1337">_xlfn.IFS(E1337=$AB$42,$AD$42,E1337=$AB$43,$AD$43,E1337=$AB$44,$AD$44,E1337=$AB$45,$AD$45,E1337=$AB$46,$AD$46,E1337=$AB$47,$AD$47,E1337=$AB$48,$AD$48,E1337=$AB$49,$AD$49,E1337=$AB$50,$AD$50,E1337=$AB$51,$AD$51,E1337=$AB$52,$AD$52,E1337=$AB$53,$AD$53,E1337=$AB$54,$AD$54,E1337=$AB$55,$AD$55,E1337=$AB$56,$AD$56,E1337=$AB$57,$AD$57,E1337=$AB$58,$AD$58,E1337=$AB$59,$AD$59,E1337=$AB$60,$AD$60,E1337=$AB$61,$AD$61,E1337=$AB$62,$AD$62,E1337=$AB$63,$AD$63,E1337=$AB$64,$AD$64,E1337=$AB$65,$AD$65,E1337=$AB$66,$AD$66,TRUE,"0")</f>
        <v>IP</v>
      </c>
      <c r="E1337" s="2" t="s">
        <v>498</v>
      </c>
      <c r="F1337" s="2" t="s">
        <v>77</v>
      </c>
      <c r="G1337" s="2" t="s">
        <v>156</v>
      </c>
      <c r="H1337" s="3">
        <v>45416.604166666664</v>
      </c>
      <c r="I1337" s="2" t="s">
        <v>168</v>
      </c>
      <c r="J1337" s="2" t="s">
        <v>157</v>
      </c>
      <c r="K1337" s="2">
        <v>66</v>
      </c>
      <c r="L1337" s="2">
        <v>95</v>
      </c>
      <c r="M1337" s="2">
        <v>1.95</v>
      </c>
      <c r="N1337" s="2">
        <v>20</v>
      </c>
      <c r="O1337" s="2"/>
      <c r="P1337" s="2"/>
      <c r="Q1337" s="2" t="s">
        <v>95</v>
      </c>
      <c r="R1337" s="10" t="s">
        <v>216</v>
      </c>
      <c r="S1337" s="10" t="s">
        <v>215</v>
      </c>
      <c r="T1337" s="188">
        <v>1000</v>
      </c>
      <c r="U1337" s="8">
        <f t="shared" si="147"/>
        <v>180</v>
      </c>
      <c r="V1337" s="234">
        <f t="shared" si="154"/>
        <v>136284.15524616028</v>
      </c>
      <c r="W1337" s="15">
        <v>25</v>
      </c>
      <c r="X1337" s="8">
        <f t="shared" si="149"/>
        <v>4.5</v>
      </c>
      <c r="Y1337" s="233">
        <f t="shared" si="150"/>
        <v>5273</v>
      </c>
    </row>
    <row r="1338" spans="1:25">
      <c r="A1338" s="156" t="e" cm="1">
        <f t="array" aca="1" ref="A1338" ca="1">_xlfn.IFS(E1338=$AB$42,$AC$42,E1338=$AB$43,$AC$43,E1338=$AB$44,$AC$44,E1338=$AB$45,$AC$45,E1338=$AB$46,$AC$46,E1338=$AB$47,$AC$47,E1338=$AB$48,$AC$48,E1338=$AB$49,$AC$49,E1338=$AB$50,$AC$50,E1338=$AB$51,$AC$51,E1338=$AB$52,$AC$52,E1338=$AB$53,$AC$53,E1338=$AB$54,$AC$54,E1338=$AB$55,$AC$55,E1338=$AB$56,$AC$56,E1338=$AB$57,$AC$57,E1338=$AB$58,$AC$58,E1338=$AB$59,$AC$59,E1338=$AB$60,$AC$60,E1338=$AB$61,$AC$61,E1338=$AB$62,$AC$62,E1338=$AB$63,$AC$63,E1338=$AB$64,$AC$64,E1338=$AB$65,$AC$65,E1338=$AB$66,$AC$66,TRUE,"0")</f>
        <v>#NAME?</v>
      </c>
      <c r="C1338" s="161" t="str" cm="1">
        <f t="array" ref="C1338">_xlfn.IFS(E1338=$AB$42,$AF$42,E1338=$AB$43,$AF$43,E1338=$AB$44,$AF$44,E1338=$AB$45,$AF$45,E1338=$AB$46,$AF$46,E1338=$AB$47,$AF$47,E1338=$AB$48,$AF$48,E1338=$AB$49,$AF$49,E1338=$AB$50,$AF$50,E1338=$AB$51,$AF$51,E1338=$AB$52,$AF$52,E1338=$AB$53,$AF$53,E1338=$AB$54,$AF$54,E1338=$AB$55,$AF$55,E1338=$AB$56,$AF$56,E1338=$AB$57,$AF$57,E1338=$AB$58,$AF$58,E1338=$AB$59,$AF$59,E1338=$AB$60,$AF$60,E1338=$AB$61,$AF$61,E1338=$AB$62,$AF$62,E1338=$AB$63,$AF$63,E1338=$AB$64,$AF$64,E1338=$AB$65,$AF$65,E1338=$AB$66,$AF$66,TRUE,"0")</f>
        <v>20mins if  0-0, BACK over 1.5 goals X after goal OR LET RUN</v>
      </c>
      <c r="D1338" s="270" t="str" cm="1">
        <f t="array" ref="D1338">_xlfn.IFS(E1338=$AB$42,$AD$42,E1338=$AB$43,$AD$43,E1338=$AB$44,$AD$44,E1338=$AB$45,$AD$45,E1338=$AB$46,$AD$46,E1338=$AB$47,$AD$47,E1338=$AB$48,$AD$48,E1338=$AB$49,$AD$49,E1338=$AB$50,$AD$50,E1338=$AB$51,$AD$51,E1338=$AB$52,$AD$52,E1338=$AB$53,$AD$53,E1338=$AB$54,$AD$54,E1338=$AB$55,$AD$55,E1338=$AB$56,$AD$56,E1338=$AB$57,$AD$57,E1338=$AB$58,$AD$58,E1338=$AB$59,$AD$59,E1338=$AB$60,$AD$60,E1338=$AB$61,$AD$61,E1338=$AB$62,$AD$62,E1338=$AB$63,$AD$63,E1338=$AB$64,$AD$64,E1338=$AB$65,$AD$65,E1338=$AB$66,$AD$66,TRUE,"0")</f>
        <v>IP</v>
      </c>
      <c r="E1338" s="2" t="s">
        <v>474</v>
      </c>
      <c r="F1338" s="2" t="s">
        <v>77</v>
      </c>
      <c r="G1338" s="2" t="s">
        <v>156</v>
      </c>
      <c r="H1338" s="3">
        <v>45416.604166666664</v>
      </c>
      <c r="I1338" s="2" t="s">
        <v>168</v>
      </c>
      <c r="J1338" s="2" t="s">
        <v>157</v>
      </c>
      <c r="K1338" s="2">
        <v>56</v>
      </c>
      <c r="L1338" s="2">
        <v>3.95</v>
      </c>
      <c r="M1338" s="2">
        <v>20</v>
      </c>
      <c r="N1338" s="2">
        <v>75</v>
      </c>
      <c r="O1338" s="2">
        <v>95</v>
      </c>
      <c r="P1338" s="2"/>
      <c r="Q1338" s="2" t="s">
        <v>95</v>
      </c>
      <c r="R1338" s="10" t="s">
        <v>216</v>
      </c>
      <c r="S1338" s="10" t="s">
        <v>215</v>
      </c>
      <c r="T1338" s="188">
        <v>1000</v>
      </c>
      <c r="U1338" s="8">
        <f t="shared" si="147"/>
        <v>180</v>
      </c>
      <c r="V1338" s="234">
        <f t="shared" si="154"/>
        <v>136464.15524616028</v>
      </c>
      <c r="W1338" s="15">
        <v>25</v>
      </c>
      <c r="X1338" s="8">
        <f t="shared" si="149"/>
        <v>4.5</v>
      </c>
      <c r="Y1338" s="233">
        <f t="shared" si="150"/>
        <v>5277.5</v>
      </c>
    </row>
    <row r="1339" spans="1:25">
      <c r="A1339" s="156" t="e" cm="1">
        <f t="array" aca="1" ref="A1339" ca="1">_xlfn.IFS(E1339=$AB$42,$AC$42,E1339=$AB$43,$AC$43,E1339=$AB$44,$AC$44,E1339=$AB$45,$AC$45,E1339=$AB$46,$AC$46,E1339=$AB$47,$AC$47,E1339=$AB$48,$AC$48,E1339=$AB$49,$AC$49,E1339=$AB$50,$AC$50,E1339=$AB$51,$AC$51,E1339=$AB$52,$AC$52,E1339=$AB$53,$AC$53,E1339=$AB$54,$AC$54,E1339=$AB$55,$AC$55,E1339=$AB$56,$AC$56,E1339=$AB$57,$AC$57,E1339=$AB$58,$AC$58,E1339=$AB$59,$AC$59,E1339=$AB$60,$AC$60,E1339=$AB$61,$AC$61,E1339=$AB$62,$AC$62,E1339=$AB$63,$AC$63,E1339=$AB$64,$AC$64,E1339=$AB$65,$AC$65,E1339=$AB$66,$AC$66,TRUE,"0")</f>
        <v>#NAME?</v>
      </c>
      <c r="C1339" s="161" t="str" cm="1">
        <f t="array" ref="C1339">_xlfn.IFS(E1339=$AB$42,$AF$42,E1339=$AB$43,$AF$43,E1339=$AB$44,$AF$44,E1339=$AB$45,$AF$45,E1339=$AB$46,$AF$46,E1339=$AB$47,$AF$47,E1339=$AB$48,$AF$48,E1339=$AB$49,$AF$49,E1339=$AB$50,$AF$50,E1339=$AB$51,$AF$51,E1339=$AB$52,$AF$52,E1339=$AB$53,$AF$53,E1339=$AB$54,$AF$54,E1339=$AB$55,$AF$55,E1339=$AB$56,$AF$56,E1339=$AB$57,$AF$57,E1339=$AB$58,$AF$58,E1339=$AB$59,$AF$59,E1339=$AB$60,$AF$60,E1339=$AB$61,$AF$61,E1339=$AB$62,$AF$62,E1339=$AB$63,$AF$63,E1339=$AB$64,$AF$64,E1339=$AB$65,$AF$65,E1339=$AB$66,$AF$66,TRUE,"0")</f>
        <v>B4 match BACK FT +1.5 goals. X AFTER  GOAL</v>
      </c>
      <c r="D1339" s="270" t="str" cm="1">
        <f t="array" ref="D1339">_xlfn.IFS(E1339=$AB$42,$AD$42,E1339=$AB$43,$AD$43,E1339=$AB$44,$AD$44,E1339=$AB$45,$AD$45,E1339=$AB$46,$AD$46,E1339=$AB$47,$AD$47,E1339=$AB$48,$AD$48,E1339=$AB$49,$AD$49,E1339=$AB$50,$AD$50,E1339=$AB$51,$AD$51,E1339=$AB$52,$AD$52,E1339=$AB$53,$AD$53,E1339=$AB$54,$AD$54,E1339=$AB$55,$AD$55,E1339=$AB$56,$AD$56,E1339=$AB$57,$AD$57,E1339=$AB$58,$AD$58,E1339=$AB$59,$AD$59,E1339=$AB$60,$AD$60,E1339=$AB$61,$AD$61,E1339=$AB$62,$AD$62,E1339=$AB$63,$AD$63,E1339=$AB$64,$AD$64,E1339=$AB$65,$AD$65,E1339=$AB$66,$AD$66,TRUE,"0")</f>
        <v xml:space="preserve">BFM </v>
      </c>
      <c r="E1339" s="2" t="s">
        <v>623</v>
      </c>
      <c r="F1339" s="2" t="s">
        <v>77</v>
      </c>
      <c r="G1339" s="2" t="s">
        <v>156</v>
      </c>
      <c r="H1339" s="3">
        <v>45416.604166666664</v>
      </c>
      <c r="I1339" s="2" t="s">
        <v>161</v>
      </c>
      <c r="J1339" s="2" t="s">
        <v>345</v>
      </c>
      <c r="K1339" s="2">
        <v>5.3</v>
      </c>
      <c r="L1339" s="2">
        <v>20</v>
      </c>
      <c r="M1339" s="2">
        <v>2.85</v>
      </c>
      <c r="N1339" s="2">
        <v>27</v>
      </c>
      <c r="O1339" s="2">
        <v>0</v>
      </c>
      <c r="P1339" s="2">
        <v>10</v>
      </c>
      <c r="Q1339" s="2" t="s">
        <v>95</v>
      </c>
      <c r="R1339" s="10" t="s">
        <v>220</v>
      </c>
      <c r="S1339" s="10" t="s">
        <v>207</v>
      </c>
      <c r="T1339" s="188">
        <v>1000</v>
      </c>
      <c r="U1339" s="8">
        <f t="shared" si="147"/>
        <v>180</v>
      </c>
      <c r="V1339" s="234">
        <f t="shared" si="154"/>
        <v>136644.15524616028</v>
      </c>
      <c r="W1339" s="15">
        <v>25</v>
      </c>
      <c r="X1339" s="8">
        <f t="shared" si="149"/>
        <v>4.5</v>
      </c>
      <c r="Y1339" s="233">
        <f t="shared" si="150"/>
        <v>5282</v>
      </c>
    </row>
    <row r="1340" spans="1:25">
      <c r="A1340" s="156" t="e" cm="1">
        <f t="array" aca="1" ref="A1340" ca="1">_xlfn.IFS(E1340=$AB$42,$AC$42,E1340=$AB$43,$AC$43,E1340=$AB$44,$AC$44,E1340=$AB$45,$AC$45,E1340=$AB$46,$AC$46,E1340=$AB$47,$AC$47,E1340=$AB$48,$AC$48,E1340=$AB$49,$AC$49,E1340=$AB$50,$AC$50,E1340=$AB$51,$AC$51,E1340=$AB$52,$AC$52,E1340=$AB$53,$AC$53,E1340=$AB$54,$AC$54,E1340=$AB$55,$AC$55,E1340=$AB$56,$AC$56,E1340=$AB$57,$AC$57,E1340=$AB$58,$AC$58,E1340=$AB$59,$AC$59,E1340=$AB$60,$AC$60,E1340=$AB$61,$AC$61,E1340=$AB$62,$AC$62,E1340=$AB$63,$AC$63,E1340=$AB$64,$AC$64,E1340=$AB$65,$AC$65,E1340=$AB$66,$AC$66,TRUE,"0")</f>
        <v>#NAME?</v>
      </c>
      <c r="C1340" s="161" t="str" cm="1">
        <f t="array" ref="C1340">_xlfn.IFS(E1340=$AB$42,$AF$42,E1340=$AB$43,$AF$43,E1340=$AB$44,$AF$44,E1340=$AB$45,$AF$45,E1340=$AB$46,$AF$46,E1340=$AB$47,$AF$47,E1340=$AB$48,$AF$48,E1340=$AB$49,$AF$49,E1340=$AB$50,$AF$50,E1340=$AB$51,$AF$51,E1340=$AB$52,$AF$52,E1340=$AB$53,$AF$53,E1340=$AB$54,$AF$54,E1340=$AB$55,$AF$55,E1340=$AB$56,$AF$56,E1340=$AB$57,$AF$57,E1340=$AB$58,$AF$58,E1340=$AB$59,$AF$59,E1340=$AB$60,$AF$60,E1340=$AB$61,$AF$61,E1340=$AB$62,$AF$62,E1340=$AB$63,$AF$63,E1340=$AB$64,$AF$64,E1340=$AB$65,$AF$65,E1340=$AB$66,$AF$66,TRUE,"0")</f>
        <v>40 mins Back ANother Goal</v>
      </c>
      <c r="D1340" s="270" t="str" cm="1">
        <f t="array" ref="D1340">_xlfn.IFS(E1340=$AB$42,$AD$42,E1340=$AB$43,$AD$43,E1340=$AB$44,$AD$44,E1340=$AB$45,$AD$45,E1340=$AB$46,$AD$46,E1340=$AB$47,$AD$47,E1340=$AB$48,$AD$48,E1340=$AB$49,$AD$49,E1340=$AB$50,$AD$50,E1340=$AB$51,$AD$51,E1340=$AB$52,$AD$52,E1340=$AB$53,$AD$53,E1340=$AB$54,$AD$54,E1340=$AB$55,$AD$55,E1340=$AB$56,$AD$56,E1340=$AB$57,$AD$57,E1340=$AB$58,$AD$58,E1340=$AB$59,$AD$59,E1340=$AB$60,$AD$60,E1340=$AB$61,$AD$61,E1340=$AB$62,$AD$62,E1340=$AB$63,$AD$63,E1340=$AB$64,$AD$64,E1340=$AB$65,$AD$65,E1340=$AB$66,$AD$66,TRUE,"0")</f>
        <v xml:space="preserve">  BANG</v>
      </c>
      <c r="E1340" s="2" t="s">
        <v>10</v>
      </c>
      <c r="F1340" s="2" t="s">
        <v>6</v>
      </c>
      <c r="G1340" s="2" t="s">
        <v>62</v>
      </c>
      <c r="H1340" s="3">
        <v>45416.625</v>
      </c>
      <c r="I1340" s="2" t="s">
        <v>63</v>
      </c>
      <c r="J1340" s="2" t="s">
        <v>115</v>
      </c>
      <c r="K1340" s="2">
        <v>2.35</v>
      </c>
      <c r="L1340" s="2">
        <v>90</v>
      </c>
      <c r="M1340" s="2">
        <v>75</v>
      </c>
      <c r="N1340" s="2">
        <v>58</v>
      </c>
      <c r="O1340" s="2">
        <v>20</v>
      </c>
      <c r="P1340" s="2"/>
      <c r="Q1340" s="2" t="s">
        <v>96</v>
      </c>
      <c r="R1340" s="10" t="s">
        <v>221</v>
      </c>
      <c r="S1340" s="10" t="s">
        <v>221</v>
      </c>
      <c r="T1340" s="188">
        <v>1000</v>
      </c>
      <c r="U1340" s="8">
        <f t="shared" si="147"/>
        <v>-1000</v>
      </c>
      <c r="V1340" s="234">
        <f t="shared" si="154"/>
        <v>135644.15524616028</v>
      </c>
      <c r="W1340" s="15">
        <v>25</v>
      </c>
      <c r="X1340" s="8">
        <f t="shared" si="149"/>
        <v>-25</v>
      </c>
      <c r="Y1340" s="233">
        <f t="shared" si="150"/>
        <v>5257</v>
      </c>
    </row>
    <row r="1341" spans="1:25">
      <c r="A1341" s="156" t="e" cm="1">
        <f t="array" aca="1" ref="A1341" ca="1">_xlfn.IFS(E1341=$AB$42,$AC$42,E1341=$AB$43,$AC$43,E1341=$AB$44,$AC$44,E1341=$AB$45,$AC$45,E1341=$AB$46,$AC$46,E1341=$AB$47,$AC$47,E1341=$AB$48,$AC$48,E1341=$AB$49,$AC$49,E1341=$AB$50,$AC$50,E1341=$AB$51,$AC$51,E1341=$AB$52,$AC$52,E1341=$AB$53,$AC$53,E1341=$AB$54,$AC$54,E1341=$AB$55,$AC$55,E1341=$AB$56,$AC$56,E1341=$AB$57,$AC$57,E1341=$AB$58,$AC$58,E1341=$AB$59,$AC$59,E1341=$AB$60,$AC$60,E1341=$AB$61,$AC$61,E1341=$AB$62,$AC$62,E1341=$AB$63,$AC$63,E1341=$AB$64,$AC$64,E1341=$AB$65,$AC$65,E1341=$AB$66,$AC$66,TRUE,"0")</f>
        <v>#NAME?</v>
      </c>
      <c r="C1341" s="161" t="str" cm="1">
        <f t="array" ref="C1341">_xlfn.IFS(E1341=$AB$42,$AF$42,E1341=$AB$43,$AF$43,E1341=$AB$44,$AF$44,E1341=$AB$45,$AF$45,E1341=$AB$46,$AF$46,E1341=$AB$47,$AF$47,E1341=$AB$48,$AF$48,E1341=$AB$49,$AF$49,E1341=$AB$50,$AF$50,E1341=$AB$51,$AF$51,E1341=$AB$52,$AF$52,E1341=$AB$53,$AF$53,E1341=$AB$54,$AF$54,E1341=$AB$55,$AF$55,E1341=$AB$56,$AF$56,E1341=$AB$57,$AF$57,E1341=$AB$58,$AF$58,E1341=$AB$59,$AF$59,E1341=$AB$60,$AF$60,E1341=$AB$61,$AF$61,E1341=$AB$62,$AF$62,E1341=$AB$63,$AF$63,E1341=$AB$64,$AF$64,E1341=$AB$65,$AF$65,E1341=$AB$66,$AF$66,TRUE,"0")</f>
        <v>40 mins Back ANother Goal</v>
      </c>
      <c r="D1341" s="270" t="str" cm="1">
        <f t="array" ref="D1341">_xlfn.IFS(E1341=$AB$42,$AD$42,E1341=$AB$43,$AD$43,E1341=$AB$44,$AD$44,E1341=$AB$45,$AD$45,E1341=$AB$46,$AD$46,E1341=$AB$47,$AD$47,E1341=$AB$48,$AD$48,E1341=$AB$49,$AD$49,E1341=$AB$50,$AD$50,E1341=$AB$51,$AD$51,E1341=$AB$52,$AD$52,E1341=$AB$53,$AD$53,E1341=$AB$54,$AD$54,E1341=$AB$55,$AD$55,E1341=$AB$56,$AD$56,E1341=$AB$57,$AD$57,E1341=$AB$58,$AD$58,E1341=$AB$59,$AD$59,E1341=$AB$60,$AD$60,E1341=$AB$61,$AD$61,E1341=$AB$62,$AD$62,E1341=$AB$63,$AD$63,E1341=$AB$64,$AD$64,E1341=$AB$65,$AD$65,E1341=$AB$66,$AD$66,TRUE,"0")</f>
        <v xml:space="preserve">  BANG</v>
      </c>
      <c r="E1341" s="2" t="s">
        <v>726</v>
      </c>
      <c r="F1341" s="2" t="s">
        <v>6</v>
      </c>
      <c r="G1341" s="2" t="s">
        <v>62</v>
      </c>
      <c r="H1341" s="3">
        <v>45416.625</v>
      </c>
      <c r="I1341" s="2" t="s">
        <v>63</v>
      </c>
      <c r="J1341" s="2" t="s">
        <v>115</v>
      </c>
      <c r="K1341" s="2">
        <v>90</v>
      </c>
      <c r="L1341" s="2">
        <v>20</v>
      </c>
      <c r="M1341" s="2">
        <v>2.35</v>
      </c>
      <c r="N1341" s="2">
        <v>58</v>
      </c>
      <c r="O1341" s="2"/>
      <c r="P1341" s="2"/>
      <c r="Q1341" s="2" t="s">
        <v>96</v>
      </c>
      <c r="R1341" s="10" t="s">
        <v>221</v>
      </c>
      <c r="S1341" s="10" t="s">
        <v>221</v>
      </c>
      <c r="T1341" s="188">
        <v>1000</v>
      </c>
      <c r="U1341" s="8">
        <f t="shared" si="147"/>
        <v>-1000</v>
      </c>
      <c r="V1341" s="234">
        <f t="shared" si="154"/>
        <v>134644.15524616028</v>
      </c>
      <c r="W1341" s="15">
        <v>25</v>
      </c>
      <c r="X1341" s="8">
        <f t="shared" si="149"/>
        <v>-25</v>
      </c>
      <c r="Y1341" s="233">
        <f t="shared" si="150"/>
        <v>5232</v>
      </c>
    </row>
    <row r="1342" spans="1:25">
      <c r="A1342" s="156" t="e" cm="1">
        <f t="array" aca="1" ref="A1342" ca="1">_xlfn.IFS(E1342=$AB$42,$AC$42,E1342=$AB$43,$AC$43,E1342=$AB$44,$AC$44,E1342=$AB$45,$AC$45,E1342=$AB$46,$AC$46,E1342=$AB$47,$AC$47,E1342=$AB$48,$AC$48,E1342=$AB$49,$AC$49,E1342=$AB$50,$AC$50,E1342=$AB$51,$AC$51,E1342=$AB$52,$AC$52,E1342=$AB$53,$AC$53,E1342=$AB$54,$AC$54,E1342=$AB$55,$AC$55,E1342=$AB$56,$AC$56,E1342=$AB$57,$AC$57,E1342=$AB$58,$AC$58,E1342=$AB$59,$AC$59,E1342=$AB$60,$AC$60,E1342=$AB$61,$AC$61,E1342=$AB$62,$AC$62,E1342=$AB$63,$AC$63,E1342=$AB$64,$AC$64,E1342=$AB$65,$AC$65,E1342=$AB$66,$AC$66,TRUE,"0")</f>
        <v>#NAME?</v>
      </c>
      <c r="C1342" s="161" t="str" cm="1">
        <f t="array" ref="C1342">_xlfn.IFS(E1342=$AB$42,$AF$42,E1342=$AB$43,$AF$43,E1342=$AB$44,$AF$44,E1342=$AB$45,$AF$45,E1342=$AB$46,$AF$46,E1342=$AB$47,$AF$47,E1342=$AB$48,$AF$48,E1342=$AB$49,$AF$49,E1342=$AB$50,$AF$50,E1342=$AB$51,$AF$51,E1342=$AB$52,$AF$52,E1342=$AB$53,$AF$53,E1342=$AB$54,$AF$54,E1342=$AB$55,$AF$55,E1342=$AB$56,$AF$56,E1342=$AB$57,$AF$57,E1342=$AB$58,$AF$58,E1342=$AB$59,$AF$59,E1342=$AB$60,$AF$60,E1342=$AB$61,$AF$61,E1342=$AB$62,$AF$62,E1342=$AB$63,$AF$63,E1342=$AB$64,$AF$64,E1342=$AB$65,$AF$65,E1342=$AB$66,$AF$66,TRUE,"0")</f>
        <v>if 0-0, BACK+ 0.5 GOALS  @ 1.15+odds.  or @ 40 mins</v>
      </c>
      <c r="D1342" s="270" t="str" cm="1">
        <f t="array" ref="D1342">_xlfn.IFS(E1342=$AB$42,$AD$42,E1342=$AB$43,$AD$43,E1342=$AB$44,$AD$44,E1342=$AB$45,$AD$45,E1342=$AB$46,$AD$46,E1342=$AB$47,$AD$47,E1342=$AB$48,$AD$48,E1342=$AB$49,$AD$49,E1342=$AB$50,$AD$50,E1342=$AB$51,$AD$51,E1342=$AB$52,$AD$52,E1342=$AB$53,$AD$53,E1342=$AB$54,$AD$54,E1342=$AB$55,$AD$55,E1342=$AB$56,$AD$56,E1342=$AB$57,$AD$57,E1342=$AB$58,$AD$58,E1342=$AB$59,$AD$59,E1342=$AB$60,$AD$60,E1342=$AB$61,$AD$61,E1342=$AB$62,$AD$62,E1342=$AB$63,$AD$63,E1342=$AB$64,$AD$64,E1342=$AB$65,$AD$65,E1342=$AB$66,$AD$66,TRUE,"0")</f>
        <v>IP</v>
      </c>
      <c r="E1342" s="2" t="s">
        <v>270</v>
      </c>
      <c r="F1342" s="2" t="s">
        <v>6</v>
      </c>
      <c r="G1342" s="2" t="s">
        <v>62</v>
      </c>
      <c r="H1342" s="3">
        <v>45416.625</v>
      </c>
      <c r="I1342" s="2" t="s">
        <v>103</v>
      </c>
      <c r="J1342" s="2" t="s">
        <v>164</v>
      </c>
      <c r="K1342" s="2">
        <v>59</v>
      </c>
      <c r="L1342" s="2">
        <v>0</v>
      </c>
      <c r="M1342" s="2">
        <v>20</v>
      </c>
      <c r="N1342" s="2">
        <v>30</v>
      </c>
      <c r="O1342" s="2">
        <v>3.03</v>
      </c>
      <c r="P1342" s="2"/>
      <c r="Q1342" s="2" t="s">
        <v>95</v>
      </c>
      <c r="R1342" s="10" t="s">
        <v>218</v>
      </c>
      <c r="S1342" s="10" t="s">
        <v>225</v>
      </c>
      <c r="T1342" s="188">
        <v>1000</v>
      </c>
      <c r="U1342" s="8">
        <f t="shared" si="147"/>
        <v>180</v>
      </c>
      <c r="V1342" s="234">
        <f t="shared" si="154"/>
        <v>134824.15524616028</v>
      </c>
      <c r="W1342" s="15">
        <v>25</v>
      </c>
      <c r="X1342" s="8">
        <f t="shared" si="149"/>
        <v>4.5</v>
      </c>
      <c r="Y1342" s="233">
        <f t="shared" si="150"/>
        <v>5236.5</v>
      </c>
    </row>
    <row r="1343" spans="1:25">
      <c r="A1343" s="156" t="e" cm="1">
        <f t="array" aca="1" ref="A1343" ca="1">_xlfn.IFS(E1343=$AB$42,$AC$42,E1343=$AB$43,$AC$43,E1343=$AB$44,$AC$44,E1343=$AB$45,$AC$45,E1343=$AB$46,$AC$46,E1343=$AB$47,$AC$47,E1343=$AB$48,$AC$48,E1343=$AB$49,$AC$49,E1343=$AB$50,$AC$50,E1343=$AB$51,$AC$51,E1343=$AB$52,$AC$52,E1343=$AB$53,$AC$53,E1343=$AB$54,$AC$54,E1343=$AB$55,$AC$55,E1343=$AB$56,$AC$56,E1343=$AB$57,$AC$57,E1343=$AB$58,$AC$58,E1343=$AB$59,$AC$59,E1343=$AB$60,$AC$60,E1343=$AB$61,$AC$61,E1343=$AB$62,$AC$62,E1343=$AB$63,$AC$63,E1343=$AB$64,$AC$64,E1343=$AB$65,$AC$65,E1343=$AB$66,$AC$66,TRUE,"0")</f>
        <v>#NAME?</v>
      </c>
      <c r="C1343" s="161" t="str" cm="1">
        <f t="array" ref="C1343">_xlfn.IFS(E1343=$AB$42,$AF$42,E1343=$AB$43,$AF$43,E1343=$AB$44,$AF$44,E1343=$AB$45,$AF$45,E1343=$AB$46,$AF$46,E1343=$AB$47,$AF$47,E1343=$AB$48,$AF$48,E1343=$AB$49,$AF$49,E1343=$AB$50,$AF$50,E1343=$AB$51,$AF$51,E1343=$AB$52,$AF$52,E1343=$AB$53,$AF$53,E1343=$AB$54,$AF$54,E1343=$AB$55,$AF$55,E1343=$AB$56,$AF$56,E1343=$AB$57,$AF$57,E1343=$AB$58,$AF$58,E1343=$AB$59,$AF$59,E1343=$AB$60,$AF$60,E1343=$AB$61,$AF$61,E1343=$AB$62,$AF$62,E1343=$AB$63,$AF$63,E1343=$AB$64,$AF$64,E1343=$AB$65,$AF$65,E1343=$AB$66,$AF$66,TRUE,"0")</f>
        <v>B4 match BACK FT +1.5 goals. X AFTER  GOAL</v>
      </c>
      <c r="D1343" s="270" t="str" cm="1">
        <f t="array" ref="D1343">_xlfn.IFS(E1343=$AB$42,$AD$42,E1343=$AB$43,$AD$43,E1343=$AB$44,$AD$44,E1343=$AB$45,$AD$45,E1343=$AB$46,$AD$46,E1343=$AB$47,$AD$47,E1343=$AB$48,$AD$48,E1343=$AB$49,$AD$49,E1343=$AB$50,$AD$50,E1343=$AB$51,$AD$51,E1343=$AB$52,$AD$52,E1343=$AB$53,$AD$53,E1343=$AB$54,$AD$54,E1343=$AB$55,$AD$55,E1343=$AB$56,$AD$56,E1343=$AB$57,$AD$57,E1343=$AB$58,$AD$58,E1343=$AB$59,$AD$59,E1343=$AB$60,$AD$60,E1343=$AB$61,$AD$61,E1343=$AB$62,$AD$62,E1343=$AB$63,$AD$63,E1343=$AB$64,$AD$64,E1343=$AB$65,$AD$65,E1343=$AB$66,$AD$66,TRUE,"0")</f>
        <v xml:space="preserve">BFM </v>
      </c>
      <c r="E1343" s="2" t="s">
        <v>406</v>
      </c>
      <c r="F1343" s="2" t="s">
        <v>13</v>
      </c>
      <c r="G1343" s="2" t="s">
        <v>37</v>
      </c>
      <c r="H1343" s="3">
        <v>45416.625</v>
      </c>
      <c r="I1343" s="2" t="s">
        <v>99</v>
      </c>
      <c r="J1343" s="2" t="s">
        <v>305</v>
      </c>
      <c r="K1343" s="2">
        <v>1.26</v>
      </c>
      <c r="L1343" s="2">
        <v>12.5</v>
      </c>
      <c r="M1343" s="2">
        <v>2.9</v>
      </c>
      <c r="N1343" s="2">
        <v>3.25</v>
      </c>
      <c r="O1343" s="2">
        <v>2.77</v>
      </c>
      <c r="P1343" s="2"/>
      <c r="Q1343" s="2" t="s">
        <v>95</v>
      </c>
      <c r="R1343" s="10" t="s">
        <v>220</v>
      </c>
      <c r="S1343" s="10" t="s">
        <v>207</v>
      </c>
      <c r="T1343" s="188">
        <v>1000</v>
      </c>
      <c r="U1343" s="8">
        <f t="shared" si="147"/>
        <v>180</v>
      </c>
      <c r="V1343" s="234">
        <f t="shared" si="154"/>
        <v>135004.15524616028</v>
      </c>
      <c r="W1343" s="15">
        <v>25</v>
      </c>
      <c r="X1343" s="8">
        <f t="shared" si="149"/>
        <v>4.5</v>
      </c>
      <c r="Y1343" s="233">
        <f t="shared" si="150"/>
        <v>5241</v>
      </c>
    </row>
    <row r="1344" spans="1:25">
      <c r="A1344" s="156" t="e" cm="1">
        <f t="array" aca="1" ref="A1344" ca="1">_xlfn.IFS(E1344=$AB$42,$AC$42,E1344=$AB$43,$AC$43,E1344=$AB$44,$AC$44,E1344=$AB$45,$AC$45,E1344=$AB$46,$AC$46,E1344=$AB$47,$AC$47,E1344=$AB$48,$AC$48,E1344=$AB$49,$AC$49,E1344=$AB$50,$AC$50,E1344=$AB$51,$AC$51,E1344=$AB$52,$AC$52,E1344=$AB$53,$AC$53,E1344=$AB$54,$AC$54,E1344=$AB$55,$AC$55,E1344=$AB$56,$AC$56,E1344=$AB$57,$AC$57,E1344=$AB$58,$AC$58,E1344=$AB$59,$AC$59,E1344=$AB$60,$AC$60,E1344=$AB$61,$AC$61,E1344=$AB$62,$AC$62,E1344=$AB$63,$AC$63,E1344=$AB$64,$AC$64,E1344=$AB$65,$AC$65,E1344=$AB$66,$AC$66,TRUE,"0")</f>
        <v>#NAME?</v>
      </c>
      <c r="C1344" s="161" t="str" cm="1">
        <f t="array" ref="C1344">_xlfn.IFS(E1344=$AB$42,$AF$42,E1344=$AB$43,$AF$43,E1344=$AB$44,$AF$44,E1344=$AB$45,$AF$45,E1344=$AB$46,$AF$46,E1344=$AB$47,$AF$47,E1344=$AB$48,$AF$48,E1344=$AB$49,$AF$49,E1344=$AB$50,$AF$50,E1344=$AB$51,$AF$51,E1344=$AB$52,$AF$52,E1344=$AB$53,$AF$53,E1344=$AB$54,$AF$54,E1344=$AB$55,$AF$55,E1344=$AB$56,$AF$56,E1344=$AB$57,$AF$57,E1344=$AB$58,$AF$58,E1344=$AB$59,$AF$59,E1344=$AB$60,$AF$60,E1344=$AB$61,$AF$61,E1344=$AB$62,$AF$62,E1344=$AB$63,$AF$63,E1344=$AB$64,$AF$64,E1344=$AB$65,$AF$65,E1344=$AB$66,$AF$66,TRUE,"0")</f>
        <v>B4 match BACK FT +1.5 goals. X AFTER  GOAL</v>
      </c>
      <c r="D1344" s="270" t="str" cm="1">
        <f t="array" ref="D1344">_xlfn.IFS(E1344=$AB$42,$AD$42,E1344=$AB$43,$AD$43,E1344=$AB$44,$AD$44,E1344=$AB$45,$AD$45,E1344=$AB$46,$AD$46,E1344=$AB$47,$AD$47,E1344=$AB$48,$AD$48,E1344=$AB$49,$AD$49,E1344=$AB$50,$AD$50,E1344=$AB$51,$AD$51,E1344=$AB$52,$AD$52,E1344=$AB$53,$AD$53,E1344=$AB$54,$AD$54,E1344=$AB$55,$AD$55,E1344=$AB$56,$AD$56,E1344=$AB$57,$AD$57,E1344=$AB$58,$AD$58,E1344=$AB$59,$AD$59,E1344=$AB$60,$AD$60,E1344=$AB$61,$AD$61,E1344=$AB$62,$AD$62,E1344=$AB$63,$AD$63,E1344=$AB$64,$AD$64,E1344=$AB$65,$AD$65,E1344=$AB$66,$AD$66,TRUE,"0")</f>
        <v xml:space="preserve">BFM </v>
      </c>
      <c r="E1344" s="2" t="s">
        <v>623</v>
      </c>
      <c r="F1344" s="2" t="s">
        <v>13</v>
      </c>
      <c r="G1344" s="2" t="s">
        <v>37</v>
      </c>
      <c r="H1344" s="3">
        <v>45416.625</v>
      </c>
      <c r="I1344" s="2" t="s">
        <v>99</v>
      </c>
      <c r="J1344" s="2" t="s">
        <v>305</v>
      </c>
      <c r="K1344" s="2">
        <v>3.25</v>
      </c>
      <c r="L1344" s="2">
        <v>20</v>
      </c>
      <c r="M1344" s="2">
        <v>2.9</v>
      </c>
      <c r="N1344" s="2">
        <v>34</v>
      </c>
      <c r="O1344" s="2">
        <v>2</v>
      </c>
      <c r="P1344" s="2">
        <v>10</v>
      </c>
      <c r="Q1344" s="2" t="s">
        <v>95</v>
      </c>
      <c r="R1344" s="10" t="s">
        <v>220</v>
      </c>
      <c r="S1344" s="10" t="s">
        <v>207</v>
      </c>
      <c r="T1344" s="188">
        <v>1000</v>
      </c>
      <c r="U1344" s="8">
        <f t="shared" si="147"/>
        <v>180</v>
      </c>
      <c r="V1344" s="234">
        <f t="shared" si="154"/>
        <v>135184.15524616028</v>
      </c>
      <c r="W1344" s="15">
        <v>25</v>
      </c>
      <c r="X1344" s="8">
        <f t="shared" si="149"/>
        <v>4.5</v>
      </c>
      <c r="Y1344" s="233">
        <f t="shared" si="150"/>
        <v>5245.5</v>
      </c>
    </row>
    <row r="1345" spans="1:25">
      <c r="A1345" s="156" t="e" cm="1">
        <f t="array" aca="1" ref="A1345" ca="1">_xlfn.IFS(E1345=$AB$42,$AC$42,E1345=$AB$43,$AC$43,E1345=$AB$44,$AC$44,E1345=$AB$45,$AC$45,E1345=$AB$46,$AC$46,E1345=$AB$47,$AC$47,E1345=$AB$48,$AC$48,E1345=$AB$49,$AC$49,E1345=$AB$50,$AC$50,E1345=$AB$51,$AC$51,E1345=$AB$52,$AC$52,E1345=$AB$53,$AC$53,E1345=$AB$54,$AC$54,E1345=$AB$55,$AC$55,E1345=$AB$56,$AC$56,E1345=$AB$57,$AC$57,E1345=$AB$58,$AC$58,E1345=$AB$59,$AC$59,E1345=$AB$60,$AC$60,E1345=$AB$61,$AC$61,E1345=$AB$62,$AC$62,E1345=$AB$63,$AC$63,E1345=$AB$64,$AC$64,E1345=$AB$65,$AC$65,E1345=$AB$66,$AC$66,TRUE,"0")</f>
        <v>#NAME?</v>
      </c>
      <c r="C1345" s="161" t="str" cm="1">
        <f t="array" ref="C1345">_xlfn.IFS(E1345=$AB$42,$AF$42,E1345=$AB$43,$AF$43,E1345=$AB$44,$AF$44,E1345=$AB$45,$AF$45,E1345=$AB$46,$AF$46,E1345=$AB$47,$AF$47,E1345=$AB$48,$AF$48,E1345=$AB$49,$AF$49,E1345=$AB$50,$AF$50,E1345=$AB$51,$AF$51,E1345=$AB$52,$AF$52,E1345=$AB$53,$AF$53,E1345=$AB$54,$AF$54,E1345=$AB$55,$AF$55,E1345=$AB$56,$AF$56,E1345=$AB$57,$AF$57,E1345=$AB$58,$AF$58,E1345=$AB$59,$AF$59,E1345=$AB$60,$AF$60,E1345=$AB$61,$AF$61,E1345=$AB$62,$AF$62,E1345=$AB$63,$AF$63,E1345=$AB$64,$AF$64,E1345=$AB$65,$AF$65,E1345=$AB$66,$AF$66,TRUE,"0")</f>
        <v>10mins if  0-0, BACK over 1.5 goals X after goal OR LET RUN</v>
      </c>
      <c r="D1345" s="270" t="str" cm="1">
        <f t="array" ref="D1345">_xlfn.IFS(E1345=$AB$42,$AD$42,E1345=$AB$43,$AD$43,E1345=$AB$44,$AD$44,E1345=$AB$45,$AD$45,E1345=$AB$46,$AD$46,E1345=$AB$47,$AD$47,E1345=$AB$48,$AD$48,E1345=$AB$49,$AD$49,E1345=$AB$50,$AD$50,E1345=$AB$51,$AD$51,E1345=$AB$52,$AD$52,E1345=$AB$53,$AD$53,E1345=$AB$54,$AD$54,E1345=$AB$55,$AD$55,E1345=$AB$56,$AD$56,E1345=$AB$57,$AD$57,E1345=$AB$58,$AD$58,E1345=$AB$59,$AD$59,E1345=$AB$60,$AD$60,E1345=$AB$61,$AD$61,E1345=$AB$62,$AD$62,E1345=$AB$63,$AD$63,E1345=$AB$64,$AD$64,E1345=$AB$65,$AD$65,E1345=$AB$66,$AD$66,TRUE,"0")</f>
        <v>IP</v>
      </c>
      <c r="E1345" s="2" t="s">
        <v>498</v>
      </c>
      <c r="F1345" s="2" t="s">
        <v>13</v>
      </c>
      <c r="G1345" s="2" t="s">
        <v>37</v>
      </c>
      <c r="H1345" s="3">
        <v>45416.625</v>
      </c>
      <c r="I1345" s="2" t="s">
        <v>38</v>
      </c>
      <c r="J1345" s="2" t="s">
        <v>39</v>
      </c>
      <c r="K1345" s="2">
        <v>63</v>
      </c>
      <c r="L1345" s="2">
        <v>85</v>
      </c>
      <c r="M1345" s="2">
        <v>1.9</v>
      </c>
      <c r="N1345" s="2">
        <v>20</v>
      </c>
      <c r="O1345" s="2"/>
      <c r="P1345" s="2"/>
      <c r="Q1345" s="2" t="s">
        <v>95</v>
      </c>
      <c r="R1345" s="10" t="s">
        <v>220</v>
      </c>
      <c r="S1345" s="10" t="s">
        <v>196</v>
      </c>
      <c r="T1345" s="188">
        <v>1000</v>
      </c>
      <c r="U1345" s="8">
        <f t="shared" si="147"/>
        <v>180</v>
      </c>
      <c r="V1345" s="234">
        <f t="shared" si="154"/>
        <v>135364.15524616028</v>
      </c>
      <c r="W1345" s="15">
        <v>25</v>
      </c>
      <c r="X1345" s="8">
        <f t="shared" si="149"/>
        <v>4.5</v>
      </c>
      <c r="Y1345" s="233">
        <f t="shared" si="150"/>
        <v>5250</v>
      </c>
    </row>
    <row r="1346" spans="1:25">
      <c r="A1346" s="156" t="e" cm="1">
        <f t="array" aca="1" ref="A1346" ca="1">_xlfn.IFS(E1346=$AB$42,$AC$42,E1346=$AB$43,$AC$43,E1346=$AB$44,$AC$44,E1346=$AB$45,$AC$45,E1346=$AB$46,$AC$46,E1346=$AB$47,$AC$47,E1346=$AB$48,$AC$48,E1346=$AB$49,$AC$49,E1346=$AB$50,$AC$50,E1346=$AB$51,$AC$51,E1346=$AB$52,$AC$52,E1346=$AB$53,$AC$53,E1346=$AB$54,$AC$54,E1346=$AB$55,$AC$55,E1346=$AB$56,$AC$56,E1346=$AB$57,$AC$57,E1346=$AB$58,$AC$58,E1346=$AB$59,$AC$59,E1346=$AB$60,$AC$60,E1346=$AB$61,$AC$61,E1346=$AB$62,$AC$62,E1346=$AB$63,$AC$63,E1346=$AB$64,$AC$64,E1346=$AB$65,$AC$65,E1346=$AB$66,$AC$66,TRUE,"0")</f>
        <v>#NAME?</v>
      </c>
      <c r="C1346" s="161" t="str" cm="1">
        <f t="array" ref="C1346">_xlfn.IFS(E1346=$AB$42,$AF$42,E1346=$AB$43,$AF$43,E1346=$AB$44,$AF$44,E1346=$AB$45,$AF$45,E1346=$AB$46,$AF$46,E1346=$AB$47,$AF$47,E1346=$AB$48,$AF$48,E1346=$AB$49,$AF$49,E1346=$AB$50,$AF$50,E1346=$AB$51,$AF$51,E1346=$AB$52,$AF$52,E1346=$AB$53,$AF$53,E1346=$AB$54,$AF$54,E1346=$AB$55,$AF$55,E1346=$AB$56,$AF$56,E1346=$AB$57,$AF$57,E1346=$AB$58,$AF$58,E1346=$AB$59,$AF$59,E1346=$AB$60,$AF$60,E1346=$AB$61,$AF$61,E1346=$AB$62,$AF$62,E1346=$AB$63,$AF$63,E1346=$AB$64,$AF$64,E1346=$AB$65,$AF$65,E1346=$AB$66,$AF$66,TRUE,"0")</f>
        <v>40 mins Back ANother Goal</v>
      </c>
      <c r="D1346" s="270" t="str" cm="1">
        <f t="array" ref="D1346">_xlfn.IFS(E1346=$AB$42,$AD$42,E1346=$AB$43,$AD$43,E1346=$AB$44,$AD$44,E1346=$AB$45,$AD$45,E1346=$AB$46,$AD$46,E1346=$AB$47,$AD$47,E1346=$AB$48,$AD$48,E1346=$AB$49,$AD$49,E1346=$AB$50,$AD$50,E1346=$AB$51,$AD$51,E1346=$AB$52,$AD$52,E1346=$AB$53,$AD$53,E1346=$AB$54,$AD$54,E1346=$AB$55,$AD$55,E1346=$AB$56,$AD$56,E1346=$AB$57,$AD$57,E1346=$AB$58,$AD$58,E1346=$AB$59,$AD$59,E1346=$AB$60,$AD$60,E1346=$AB$61,$AD$61,E1346=$AB$62,$AD$62,E1346=$AB$63,$AD$63,E1346=$AB$64,$AD$64,E1346=$AB$65,$AD$65,E1346=$AB$66,$AD$66,TRUE,"0")</f>
        <v xml:space="preserve">  BANG</v>
      </c>
      <c r="E1346" s="2" t="s">
        <v>726</v>
      </c>
      <c r="F1346" s="2" t="s">
        <v>6</v>
      </c>
      <c r="G1346" s="2" t="s">
        <v>62</v>
      </c>
      <c r="H1346" s="3">
        <v>45416.625</v>
      </c>
      <c r="I1346" s="2" t="s">
        <v>85</v>
      </c>
      <c r="J1346" s="2" t="s">
        <v>264</v>
      </c>
      <c r="K1346" s="2">
        <v>80</v>
      </c>
      <c r="L1346" s="2">
        <v>20</v>
      </c>
      <c r="M1346" s="2">
        <v>1.85</v>
      </c>
      <c r="N1346" s="2">
        <v>64</v>
      </c>
      <c r="O1346" s="2"/>
      <c r="P1346" s="2"/>
      <c r="Q1346" s="2" t="s">
        <v>95</v>
      </c>
      <c r="R1346" s="10" t="s">
        <v>216</v>
      </c>
      <c r="S1346" s="10" t="s">
        <v>211</v>
      </c>
      <c r="T1346" s="188">
        <v>1000</v>
      </c>
      <c r="U1346" s="8">
        <f t="shared" si="147"/>
        <v>180</v>
      </c>
      <c r="V1346" s="234">
        <f t="shared" si="154"/>
        <v>135544.15524616028</v>
      </c>
      <c r="W1346" s="15">
        <v>25</v>
      </c>
      <c r="X1346" s="8">
        <f t="shared" si="149"/>
        <v>4.5</v>
      </c>
      <c r="Y1346" s="233">
        <f t="shared" si="150"/>
        <v>5254.5</v>
      </c>
    </row>
    <row r="1347" spans="1:25">
      <c r="A1347" s="156" t="e" cm="1">
        <f t="array" aca="1" ref="A1347" ca="1">_xlfn.IFS(E1347=$AB$42,$AC$42,E1347=$AB$43,$AC$43,E1347=$AB$44,$AC$44,E1347=$AB$45,$AC$45,E1347=$AB$46,$AC$46,E1347=$AB$47,$AC$47,E1347=$AB$48,$AC$48,E1347=$AB$49,$AC$49,E1347=$AB$50,$AC$50,E1347=$AB$51,$AC$51,E1347=$AB$52,$AC$52,E1347=$AB$53,$AC$53,E1347=$AB$54,$AC$54,E1347=$AB$55,$AC$55,E1347=$AB$56,$AC$56,E1347=$AB$57,$AC$57,E1347=$AB$58,$AC$58,E1347=$AB$59,$AC$59,E1347=$AB$60,$AC$60,E1347=$AB$61,$AC$61,E1347=$AB$62,$AC$62,E1347=$AB$63,$AC$63,E1347=$AB$64,$AC$64,E1347=$AB$65,$AC$65,E1347=$AB$66,$AC$66,TRUE,"0")</f>
        <v>#NAME?</v>
      </c>
      <c r="C1347" s="161" t="str" cm="1">
        <f t="array" ref="C1347">_xlfn.IFS(E1347=$AB$42,$AF$42,E1347=$AB$43,$AF$43,E1347=$AB$44,$AF$44,E1347=$AB$45,$AF$45,E1347=$AB$46,$AF$46,E1347=$AB$47,$AF$47,E1347=$AB$48,$AF$48,E1347=$AB$49,$AF$49,E1347=$AB$50,$AF$50,E1347=$AB$51,$AF$51,E1347=$AB$52,$AF$52,E1347=$AB$53,$AF$53,E1347=$AB$54,$AF$54,E1347=$AB$55,$AF$55,E1347=$AB$56,$AF$56,E1347=$AB$57,$AF$57,E1347=$AB$58,$AF$58,E1347=$AB$59,$AF$59,E1347=$AB$60,$AF$60,E1347=$AB$61,$AF$61,E1347=$AB$62,$AF$62,E1347=$AB$63,$AF$63,E1347=$AB$64,$AF$64,E1347=$AB$65,$AF$65,E1347=$AB$66,$AF$66,TRUE,"0")</f>
        <v>B4 Match, lay HT 0-0 or BACK H1 +0.5 GOALS</v>
      </c>
      <c r="D1347" s="270" t="str" cm="1">
        <f t="array" ref="D1347">_xlfn.IFS(E1347=$AB$42,$AD$42,E1347=$AB$43,$AD$43,E1347=$AB$44,$AD$44,E1347=$AB$45,$AD$45,E1347=$AB$46,$AD$46,E1347=$AB$47,$AD$47,E1347=$AB$48,$AD$48,E1347=$AB$49,$AD$49,E1347=$AB$50,$AD$50,E1347=$AB$51,$AD$51,E1347=$AB$52,$AD$52,E1347=$AB$53,$AD$53,E1347=$AB$54,$AD$54,E1347=$AB$55,$AD$55,E1347=$AB$56,$AD$56,E1347=$AB$57,$AD$57,E1347=$AB$58,$AD$58,E1347=$AB$59,$AD$59,E1347=$AB$60,$AD$60,E1347=$AB$61,$AD$61,E1347=$AB$62,$AD$62,E1347=$AB$63,$AD$63,E1347=$AB$64,$AD$64,E1347=$AB$65,$AD$65,E1347=$AB$66,$AD$66,TRUE,"0")</f>
        <v xml:space="preserve">BFM </v>
      </c>
      <c r="E1347" s="2" t="s">
        <v>432</v>
      </c>
      <c r="F1347" s="2" t="s">
        <v>6</v>
      </c>
      <c r="G1347" s="2" t="s">
        <v>62</v>
      </c>
      <c r="H1347" s="3">
        <v>45416.625</v>
      </c>
      <c r="I1347" s="2" t="s">
        <v>85</v>
      </c>
      <c r="J1347" s="2" t="s">
        <v>264</v>
      </c>
      <c r="K1347" s="2">
        <v>5</v>
      </c>
      <c r="L1347" s="2">
        <v>20</v>
      </c>
      <c r="M1347" s="2">
        <v>11</v>
      </c>
      <c r="N1347" s="2">
        <v>19</v>
      </c>
      <c r="O1347" s="2">
        <v>23</v>
      </c>
      <c r="P1347" s="2">
        <v>1.95</v>
      </c>
      <c r="Q1347" s="2" t="s">
        <v>95</v>
      </c>
      <c r="R1347" s="10" t="s">
        <v>216</v>
      </c>
      <c r="S1347" s="10" t="s">
        <v>211</v>
      </c>
      <c r="T1347" s="188">
        <v>1000</v>
      </c>
      <c r="U1347" s="8">
        <f t="shared" si="147"/>
        <v>180</v>
      </c>
      <c r="V1347" s="234">
        <f t="shared" si="154"/>
        <v>135724.15524616028</v>
      </c>
      <c r="W1347" s="15">
        <v>25</v>
      </c>
      <c r="X1347" s="8">
        <f t="shared" si="149"/>
        <v>4.5</v>
      </c>
      <c r="Y1347" s="233">
        <f t="shared" si="150"/>
        <v>5259</v>
      </c>
    </row>
    <row r="1348" spans="1:25">
      <c r="A1348" s="156" t="e" cm="1">
        <f t="array" aca="1" ref="A1348" ca="1">_xlfn.IFS(E1348=$AB$42,$AC$42,E1348=$AB$43,$AC$43,E1348=$AB$44,$AC$44,E1348=$AB$45,$AC$45,E1348=$AB$46,$AC$46,E1348=$AB$47,$AC$47,E1348=$AB$48,$AC$48,E1348=$AB$49,$AC$49,E1348=$AB$50,$AC$50,E1348=$AB$51,$AC$51,E1348=$AB$52,$AC$52,E1348=$AB$53,$AC$53,E1348=$AB$54,$AC$54,E1348=$AB$55,$AC$55,E1348=$AB$56,$AC$56,E1348=$AB$57,$AC$57,E1348=$AB$58,$AC$58,E1348=$AB$59,$AC$59,E1348=$AB$60,$AC$60,E1348=$AB$61,$AC$61,E1348=$AB$62,$AC$62,E1348=$AB$63,$AC$63,E1348=$AB$64,$AC$64,E1348=$AB$65,$AC$65,E1348=$AB$66,$AC$66,TRUE,"0")</f>
        <v>#NAME?</v>
      </c>
      <c r="C1348" s="161" t="str" cm="1">
        <f t="array" ref="C1348">_xlfn.IFS(E1348=$AB$42,$AF$42,E1348=$AB$43,$AF$43,E1348=$AB$44,$AF$44,E1348=$AB$45,$AF$45,E1348=$AB$46,$AF$46,E1348=$AB$47,$AF$47,E1348=$AB$48,$AF$48,E1348=$AB$49,$AF$49,E1348=$AB$50,$AF$50,E1348=$AB$51,$AF$51,E1348=$AB$52,$AF$52,E1348=$AB$53,$AF$53,E1348=$AB$54,$AF$54,E1348=$AB$55,$AF$55,E1348=$AB$56,$AF$56,E1348=$AB$57,$AF$57,E1348=$AB$58,$AF$58,E1348=$AB$59,$AF$59,E1348=$AB$60,$AF$60,E1348=$AB$61,$AF$61,E1348=$AB$62,$AF$62,E1348=$AB$63,$AF$63,E1348=$AB$64,$AF$64,E1348=$AB$65,$AF$65,E1348=$AB$66,$AF$66,TRUE,"0")</f>
        <v>B4 Match, lay HT 0-0 or BACK H1 +0.5 GOALS</v>
      </c>
      <c r="D1348" s="270" t="str" cm="1">
        <f t="array" ref="D1348">_xlfn.IFS(E1348=$AB$42,$AD$42,E1348=$AB$43,$AD$43,E1348=$AB$44,$AD$44,E1348=$AB$45,$AD$45,E1348=$AB$46,$AD$46,E1348=$AB$47,$AD$47,E1348=$AB$48,$AD$48,E1348=$AB$49,$AD$49,E1348=$AB$50,$AD$50,E1348=$AB$51,$AD$51,E1348=$AB$52,$AD$52,E1348=$AB$53,$AD$53,E1348=$AB$54,$AD$54,E1348=$AB$55,$AD$55,E1348=$AB$56,$AD$56,E1348=$AB$57,$AD$57,E1348=$AB$58,$AD$58,E1348=$AB$59,$AD$59,E1348=$AB$60,$AD$60,E1348=$AB$61,$AD$61,E1348=$AB$62,$AD$62,E1348=$AB$63,$AD$63,E1348=$AB$64,$AD$64,E1348=$AB$65,$AD$65,E1348=$AB$66,$AD$66,TRUE,"0")</f>
        <v xml:space="preserve">BFM </v>
      </c>
      <c r="E1348" s="2" t="s">
        <v>448</v>
      </c>
      <c r="F1348" s="2" t="s">
        <v>6</v>
      </c>
      <c r="G1348" s="2" t="s">
        <v>62</v>
      </c>
      <c r="H1348" s="3">
        <v>45416.625</v>
      </c>
      <c r="I1348" s="2" t="s">
        <v>85</v>
      </c>
      <c r="J1348" s="2" t="s">
        <v>264</v>
      </c>
      <c r="K1348" s="2">
        <v>20</v>
      </c>
      <c r="L1348" s="2">
        <v>5</v>
      </c>
      <c r="M1348" s="2">
        <v>39</v>
      </c>
      <c r="N1348" s="2">
        <v>4</v>
      </c>
      <c r="O1348" s="2">
        <v>11</v>
      </c>
      <c r="P1348" s="2">
        <v>10</v>
      </c>
      <c r="Q1348" s="2" t="s">
        <v>95</v>
      </c>
      <c r="R1348" s="10" t="s">
        <v>216</v>
      </c>
      <c r="S1348" s="10" t="s">
        <v>211</v>
      </c>
      <c r="T1348" s="188">
        <v>1000</v>
      </c>
      <c r="U1348" s="8">
        <f t="shared" si="147"/>
        <v>180</v>
      </c>
      <c r="V1348" s="234">
        <f t="shared" si="154"/>
        <v>135904.15524616028</v>
      </c>
      <c r="W1348" s="15">
        <v>25</v>
      </c>
      <c r="X1348" s="8">
        <f t="shared" si="149"/>
        <v>4.5</v>
      </c>
      <c r="Y1348" s="233">
        <f t="shared" si="150"/>
        <v>5263.5</v>
      </c>
    </row>
    <row r="1349" spans="1:25">
      <c r="A1349" s="156" t="e" cm="1">
        <f t="array" aca="1" ref="A1349" ca="1">_xlfn.IFS(E1349=$AB$42,$AC$42,E1349=$AB$43,$AC$43,E1349=$AB$44,$AC$44,E1349=$AB$45,$AC$45,E1349=$AB$46,$AC$46,E1349=$AB$47,$AC$47,E1349=$AB$48,$AC$48,E1349=$AB$49,$AC$49,E1349=$AB$50,$AC$50,E1349=$AB$51,$AC$51,E1349=$AB$52,$AC$52,E1349=$AB$53,$AC$53,E1349=$AB$54,$AC$54,E1349=$AB$55,$AC$55,E1349=$AB$56,$AC$56,E1349=$AB$57,$AC$57,E1349=$AB$58,$AC$58,E1349=$AB$59,$AC$59,E1349=$AB$60,$AC$60,E1349=$AB$61,$AC$61,E1349=$AB$62,$AC$62,E1349=$AB$63,$AC$63,E1349=$AB$64,$AC$64,E1349=$AB$65,$AC$65,E1349=$AB$66,$AC$66,TRUE,"0")</f>
        <v>#NAME?</v>
      </c>
      <c r="C1349" s="161" t="str" cm="1">
        <f t="array" ref="C1349">_xlfn.IFS(E1349=$AB$42,$AF$42,E1349=$AB$43,$AF$43,E1349=$AB$44,$AF$44,E1349=$AB$45,$AF$45,E1349=$AB$46,$AF$46,E1349=$AB$47,$AF$47,E1349=$AB$48,$AF$48,E1349=$AB$49,$AF$49,E1349=$AB$50,$AF$50,E1349=$AB$51,$AF$51,E1349=$AB$52,$AF$52,E1349=$AB$53,$AF$53,E1349=$AB$54,$AF$54,E1349=$AB$55,$AF$55,E1349=$AB$56,$AF$56,E1349=$AB$57,$AF$57,E1349=$AB$58,$AF$58,E1349=$AB$59,$AF$59,E1349=$AB$60,$AF$60,E1349=$AB$61,$AF$61,E1349=$AB$62,$AF$62,E1349=$AB$63,$AF$63,E1349=$AB$64,$AF$64,E1349=$AB$65,$AF$65,E1349=$AB$66,$AF$66,TRUE,"0")</f>
        <v>B4 match BACK FT +1.5 goals. X AFTER  GOAL</v>
      </c>
      <c r="D1349" s="270" t="str" cm="1">
        <f t="array" ref="D1349">_xlfn.IFS(E1349=$AB$42,$AD$42,E1349=$AB$43,$AD$43,E1349=$AB$44,$AD$44,E1349=$AB$45,$AD$45,E1349=$AB$46,$AD$46,E1349=$AB$47,$AD$47,E1349=$AB$48,$AD$48,E1349=$AB$49,$AD$49,E1349=$AB$50,$AD$50,E1349=$AB$51,$AD$51,E1349=$AB$52,$AD$52,E1349=$AB$53,$AD$53,E1349=$AB$54,$AD$54,E1349=$AB$55,$AD$55,E1349=$AB$56,$AD$56,E1349=$AB$57,$AD$57,E1349=$AB$58,$AD$58,E1349=$AB$59,$AD$59,E1349=$AB$60,$AD$60,E1349=$AB$61,$AD$61,E1349=$AB$62,$AD$62,E1349=$AB$63,$AD$63,E1349=$AB$64,$AD$64,E1349=$AB$65,$AD$65,E1349=$AB$66,$AD$66,TRUE,"0")</f>
        <v xml:space="preserve">BFM </v>
      </c>
      <c r="E1349" s="2" t="s">
        <v>406</v>
      </c>
      <c r="F1349" s="2" t="s">
        <v>119</v>
      </c>
      <c r="G1349" s="2" t="s">
        <v>120</v>
      </c>
      <c r="H1349" s="3">
        <v>45416.635416666664</v>
      </c>
      <c r="I1349" s="2" t="s">
        <v>122</v>
      </c>
      <c r="J1349" s="2" t="s">
        <v>569</v>
      </c>
      <c r="K1349" s="2">
        <v>1.38</v>
      </c>
      <c r="L1349" s="2">
        <v>10</v>
      </c>
      <c r="M1349" s="2">
        <v>2.5499999999999998</v>
      </c>
      <c r="N1349" s="2">
        <v>5.7</v>
      </c>
      <c r="O1349" s="2">
        <v>2.4900000000000002</v>
      </c>
      <c r="P1349" s="2"/>
      <c r="Q1349" s="2" t="s">
        <v>95</v>
      </c>
      <c r="R1349" s="10" t="s">
        <v>221</v>
      </c>
      <c r="S1349" s="10" t="s">
        <v>207</v>
      </c>
      <c r="T1349" s="188">
        <v>1000</v>
      </c>
      <c r="U1349" s="8">
        <f t="shared" si="147"/>
        <v>180</v>
      </c>
      <c r="V1349" s="234">
        <f t="shared" si="154"/>
        <v>136084.15524616028</v>
      </c>
      <c r="W1349" s="15">
        <v>25</v>
      </c>
      <c r="X1349" s="8">
        <f t="shared" si="149"/>
        <v>4.5</v>
      </c>
      <c r="Y1349" s="233">
        <f t="shared" si="150"/>
        <v>5268</v>
      </c>
    </row>
    <row r="1350" spans="1:25">
      <c r="A1350" s="156" t="e" cm="1">
        <f t="array" aca="1" ref="A1350" ca="1">_xlfn.IFS(E1350=$AB$42,$AC$42,E1350=$AB$43,$AC$43,E1350=$AB$44,$AC$44,E1350=$AB$45,$AC$45,E1350=$AB$46,$AC$46,E1350=$AB$47,$AC$47,E1350=$AB$48,$AC$48,E1350=$AB$49,$AC$49,E1350=$AB$50,$AC$50,E1350=$AB$51,$AC$51,E1350=$AB$52,$AC$52,E1350=$AB$53,$AC$53,E1350=$AB$54,$AC$54,E1350=$AB$55,$AC$55,E1350=$AB$56,$AC$56,E1350=$AB$57,$AC$57,E1350=$AB$58,$AC$58,E1350=$AB$59,$AC$59,E1350=$AB$60,$AC$60,E1350=$AB$61,$AC$61,E1350=$AB$62,$AC$62,E1350=$AB$63,$AC$63,E1350=$AB$64,$AC$64,E1350=$AB$65,$AC$65,E1350=$AB$66,$AC$66,TRUE,"0")</f>
        <v>#NAME?</v>
      </c>
      <c r="C1350" s="161" t="str" cm="1">
        <f t="array" ref="C1350">_xlfn.IFS(E1350=$AB$42,$AF$42,E1350=$AB$43,$AF$43,E1350=$AB$44,$AF$44,E1350=$AB$45,$AF$45,E1350=$AB$46,$AF$46,E1350=$AB$47,$AF$47,E1350=$AB$48,$AF$48,E1350=$AB$49,$AF$49,E1350=$AB$50,$AF$50,E1350=$AB$51,$AF$51,E1350=$AB$52,$AF$52,E1350=$AB$53,$AF$53,E1350=$AB$54,$AF$54,E1350=$AB$55,$AF$55,E1350=$AB$56,$AF$56,E1350=$AB$57,$AF$57,E1350=$AB$58,$AF$58,E1350=$AB$59,$AF$59,E1350=$AB$60,$AF$60,E1350=$AB$61,$AF$61,E1350=$AB$62,$AF$62,E1350=$AB$63,$AF$63,E1350=$AB$64,$AF$64,E1350=$AB$65,$AF$65,E1350=$AB$66,$AF$66,TRUE,"0")</f>
        <v>B4 match BACK FT +1.5 goals. X AFTER  GOAL</v>
      </c>
      <c r="D1350" s="270" t="str" cm="1">
        <f t="array" ref="D1350">_xlfn.IFS(E1350=$AB$42,$AD$42,E1350=$AB$43,$AD$43,E1350=$AB$44,$AD$44,E1350=$AB$45,$AD$45,E1350=$AB$46,$AD$46,E1350=$AB$47,$AD$47,E1350=$AB$48,$AD$48,E1350=$AB$49,$AD$49,E1350=$AB$50,$AD$50,E1350=$AB$51,$AD$51,E1350=$AB$52,$AD$52,E1350=$AB$53,$AD$53,E1350=$AB$54,$AD$54,E1350=$AB$55,$AD$55,E1350=$AB$56,$AD$56,E1350=$AB$57,$AD$57,E1350=$AB$58,$AD$58,E1350=$AB$59,$AD$59,E1350=$AB$60,$AD$60,E1350=$AB$61,$AD$61,E1350=$AB$62,$AD$62,E1350=$AB$63,$AD$63,E1350=$AB$64,$AD$64,E1350=$AB$65,$AD$65,E1350=$AB$66,$AD$66,TRUE,"0")</f>
        <v xml:space="preserve">BFM </v>
      </c>
      <c r="E1350" s="2" t="s">
        <v>623</v>
      </c>
      <c r="F1350" s="2" t="s">
        <v>119</v>
      </c>
      <c r="G1350" s="2" t="s">
        <v>120</v>
      </c>
      <c r="H1350" s="3">
        <v>45416.635416666664</v>
      </c>
      <c r="I1350" s="2" t="s">
        <v>122</v>
      </c>
      <c r="J1350" s="2" t="s">
        <v>569</v>
      </c>
      <c r="K1350" s="2">
        <v>5.7</v>
      </c>
      <c r="L1350" s="2">
        <v>20</v>
      </c>
      <c r="M1350" s="2">
        <v>2.5499999999999998</v>
      </c>
      <c r="N1350" s="2">
        <v>30</v>
      </c>
      <c r="O1350" s="2">
        <v>3</v>
      </c>
      <c r="P1350" s="2">
        <v>10</v>
      </c>
      <c r="Q1350" s="2" t="s">
        <v>95</v>
      </c>
      <c r="R1350" s="10" t="s">
        <v>221</v>
      </c>
      <c r="S1350" s="10" t="s">
        <v>207</v>
      </c>
      <c r="T1350" s="188">
        <v>1000</v>
      </c>
      <c r="U1350" s="8">
        <f t="shared" si="147"/>
        <v>180</v>
      </c>
      <c r="V1350" s="234">
        <f t="shared" si="154"/>
        <v>136264.15524616028</v>
      </c>
      <c r="W1350" s="15">
        <v>25</v>
      </c>
      <c r="X1350" s="8">
        <f t="shared" si="149"/>
        <v>4.5</v>
      </c>
      <c r="Y1350" s="233">
        <f t="shared" si="150"/>
        <v>5272.5</v>
      </c>
    </row>
    <row r="1351" spans="1:25">
      <c r="A1351" s="156" t="e" cm="1">
        <f t="array" aca="1" ref="A1351" ca="1">_xlfn.IFS(E1351=$AB$42,$AC$42,E1351=$AB$43,$AC$43,E1351=$AB$44,$AC$44,E1351=$AB$45,$AC$45,E1351=$AB$46,$AC$46,E1351=$AB$47,$AC$47,E1351=$AB$48,$AC$48,E1351=$AB$49,$AC$49,E1351=$AB$50,$AC$50,E1351=$AB$51,$AC$51,E1351=$AB$52,$AC$52,E1351=$AB$53,$AC$53,E1351=$AB$54,$AC$54,E1351=$AB$55,$AC$55,E1351=$AB$56,$AC$56,E1351=$AB$57,$AC$57,E1351=$AB$58,$AC$58,E1351=$AB$59,$AC$59,E1351=$AB$60,$AC$60,E1351=$AB$61,$AC$61,E1351=$AB$62,$AC$62,E1351=$AB$63,$AC$63,E1351=$AB$64,$AC$64,E1351=$AB$65,$AC$65,E1351=$AB$66,$AC$66,TRUE,"0")</f>
        <v>#NAME?</v>
      </c>
      <c r="C1351" s="161" t="str" cm="1">
        <f t="array" ref="C1351">_xlfn.IFS(E1351=$AB$42,$AF$42,E1351=$AB$43,$AF$43,E1351=$AB$44,$AF$44,E1351=$AB$45,$AF$45,E1351=$AB$46,$AF$46,E1351=$AB$47,$AF$47,E1351=$AB$48,$AF$48,E1351=$AB$49,$AF$49,E1351=$AB$50,$AF$50,E1351=$AB$51,$AF$51,E1351=$AB$52,$AF$52,E1351=$AB$53,$AF$53,E1351=$AB$54,$AF$54,E1351=$AB$55,$AF$55,E1351=$AB$56,$AF$56,E1351=$AB$57,$AF$57,E1351=$AB$58,$AF$58,E1351=$AB$59,$AF$59,E1351=$AB$60,$AF$60,E1351=$AB$61,$AF$61,E1351=$AB$62,$AF$62,E1351=$AB$63,$AF$63,E1351=$AB$64,$AF$64,E1351=$AB$65,$AF$65,E1351=$AB$66,$AF$66,TRUE,"0")</f>
        <v>B4 match BACK FT +1.5 goals. X AFTER  GOAL</v>
      </c>
      <c r="D1351" s="270" t="str" cm="1">
        <f t="array" ref="D1351">_xlfn.IFS(E1351=$AB$42,$AD$42,E1351=$AB$43,$AD$43,E1351=$AB$44,$AD$44,E1351=$AB$45,$AD$45,E1351=$AB$46,$AD$46,E1351=$AB$47,$AD$47,E1351=$AB$48,$AD$48,E1351=$AB$49,$AD$49,E1351=$AB$50,$AD$50,E1351=$AB$51,$AD$51,E1351=$AB$52,$AD$52,E1351=$AB$53,$AD$53,E1351=$AB$54,$AD$54,E1351=$AB$55,$AD$55,E1351=$AB$56,$AD$56,E1351=$AB$57,$AD$57,E1351=$AB$58,$AD$58,E1351=$AB$59,$AD$59,E1351=$AB$60,$AD$60,E1351=$AB$61,$AD$61,E1351=$AB$62,$AD$62,E1351=$AB$63,$AD$63,E1351=$AB$64,$AD$64,E1351=$AB$65,$AD$65,E1351=$AB$66,$AD$66,TRUE,"0")</f>
        <v xml:space="preserve">BFM </v>
      </c>
      <c r="E1351" s="2" t="s">
        <v>623</v>
      </c>
      <c r="F1351" s="2" t="s">
        <v>145</v>
      </c>
      <c r="G1351" s="2" t="s">
        <v>190</v>
      </c>
      <c r="H1351" s="3">
        <v>45416.666666666664</v>
      </c>
      <c r="I1351" s="2" t="s">
        <v>364</v>
      </c>
      <c r="J1351" s="2" t="s">
        <v>611</v>
      </c>
      <c r="K1351" s="2">
        <v>3.15</v>
      </c>
      <c r="L1351" s="2">
        <v>20</v>
      </c>
      <c r="M1351" s="2">
        <v>2.15</v>
      </c>
      <c r="N1351" s="2">
        <v>29</v>
      </c>
      <c r="O1351" s="2">
        <v>0</v>
      </c>
      <c r="P1351" s="2">
        <v>10</v>
      </c>
      <c r="Q1351" s="2" t="s">
        <v>95</v>
      </c>
      <c r="R1351" s="10" t="s">
        <v>222</v>
      </c>
      <c r="S1351" s="10" t="s">
        <v>196</v>
      </c>
      <c r="T1351" s="188">
        <v>1000</v>
      </c>
      <c r="U1351" s="8">
        <f t="shared" si="147"/>
        <v>180</v>
      </c>
      <c r="V1351" s="234">
        <f t="shared" si="154"/>
        <v>136444.15524616028</v>
      </c>
      <c r="W1351" s="15">
        <v>25</v>
      </c>
      <c r="X1351" s="8">
        <f t="shared" si="149"/>
        <v>4.5</v>
      </c>
      <c r="Y1351" s="233">
        <f t="shared" si="150"/>
        <v>5277</v>
      </c>
    </row>
    <row r="1352" spans="1:25">
      <c r="A1352" s="156" t="e" cm="1">
        <f t="array" aca="1" ref="A1352" ca="1">_xlfn.IFS(E1352=$AB$42,$AC$42,E1352=$AB$43,$AC$43,E1352=$AB$44,$AC$44,E1352=$AB$45,$AC$45,E1352=$AB$46,$AC$46,E1352=$AB$47,$AC$47,E1352=$AB$48,$AC$48,E1352=$AB$49,$AC$49,E1352=$AB$50,$AC$50,E1352=$AB$51,$AC$51,E1352=$AB$52,$AC$52,E1352=$AB$53,$AC$53,E1352=$AB$54,$AC$54,E1352=$AB$55,$AC$55,E1352=$AB$56,$AC$56,E1352=$AB$57,$AC$57,E1352=$AB$58,$AC$58,E1352=$AB$59,$AC$59,E1352=$AB$60,$AC$60,E1352=$AB$61,$AC$61,E1352=$AB$62,$AC$62,E1352=$AB$63,$AC$63,E1352=$AB$64,$AC$64,E1352=$AB$65,$AC$65,E1352=$AB$66,$AC$66,TRUE,"0")</f>
        <v>#NAME?</v>
      </c>
      <c r="C1352" s="161" t="str" cm="1">
        <f t="array" ref="C1352">_xlfn.IFS(E1352=$AB$42,$AF$42,E1352=$AB$43,$AF$43,E1352=$AB$44,$AF$44,E1352=$AB$45,$AF$45,E1352=$AB$46,$AF$46,E1352=$AB$47,$AF$47,E1352=$AB$48,$AF$48,E1352=$AB$49,$AF$49,E1352=$AB$50,$AF$50,E1352=$AB$51,$AF$51,E1352=$AB$52,$AF$52,E1352=$AB$53,$AF$53,E1352=$AB$54,$AF$54,E1352=$AB$55,$AF$55,E1352=$AB$56,$AF$56,E1352=$AB$57,$AF$57,E1352=$AB$58,$AF$58,E1352=$AB$59,$AF$59,E1352=$AB$60,$AF$60,E1352=$AB$61,$AF$61,E1352=$AB$62,$AF$62,E1352=$AB$63,$AF$63,E1352=$AB$64,$AF$64,E1352=$AB$65,$AF$65,E1352=$AB$66,$AF$66,TRUE,"0")</f>
        <v>40 mins Back ANother Goal</v>
      </c>
      <c r="D1352" s="270" t="str" cm="1">
        <f t="array" ref="D1352">_xlfn.IFS(E1352=$AB$42,$AD$42,E1352=$AB$43,$AD$43,E1352=$AB$44,$AD$44,E1352=$AB$45,$AD$45,E1352=$AB$46,$AD$46,E1352=$AB$47,$AD$47,E1352=$AB$48,$AD$48,E1352=$AB$49,$AD$49,E1352=$AB$50,$AD$50,E1352=$AB$51,$AD$51,E1352=$AB$52,$AD$52,E1352=$AB$53,$AD$53,E1352=$AB$54,$AD$54,E1352=$AB$55,$AD$55,E1352=$AB$56,$AD$56,E1352=$AB$57,$AD$57,E1352=$AB$58,$AD$58,E1352=$AB$59,$AD$59,E1352=$AB$60,$AD$60,E1352=$AB$61,$AD$61,E1352=$AB$62,$AD$62,E1352=$AB$63,$AD$63,E1352=$AB$64,$AD$64,E1352=$AB$65,$AD$65,E1352=$AB$66,$AD$66,TRUE,"0")</f>
        <v xml:space="preserve">  BANG</v>
      </c>
      <c r="E1352" s="2" t="s">
        <v>792</v>
      </c>
      <c r="F1352" s="2" t="s">
        <v>119</v>
      </c>
      <c r="G1352" s="2" t="s">
        <v>120</v>
      </c>
      <c r="H1352" s="3">
        <v>45416.729166666664</v>
      </c>
      <c r="I1352" s="2" t="s">
        <v>453</v>
      </c>
      <c r="J1352" s="2" t="s">
        <v>361</v>
      </c>
      <c r="K1352" s="2">
        <v>2</v>
      </c>
      <c r="L1352" s="2">
        <v>85</v>
      </c>
      <c r="M1352" s="2">
        <v>70</v>
      </c>
      <c r="N1352" s="2">
        <v>59</v>
      </c>
      <c r="O1352" s="2">
        <v>20</v>
      </c>
      <c r="P1352" s="2"/>
      <c r="Q1352" s="2" t="s">
        <v>95</v>
      </c>
      <c r="R1352" s="10" t="s">
        <v>223</v>
      </c>
      <c r="S1352" s="10" t="s">
        <v>277</v>
      </c>
      <c r="T1352" s="188">
        <v>1000</v>
      </c>
      <c r="U1352" s="8">
        <f t="shared" si="147"/>
        <v>180</v>
      </c>
      <c r="V1352" s="234">
        <f t="shared" si="154"/>
        <v>136624.15524616028</v>
      </c>
      <c r="W1352" s="15">
        <v>25</v>
      </c>
      <c r="X1352" s="8">
        <f t="shared" si="149"/>
        <v>4.5</v>
      </c>
      <c r="Y1352" s="233">
        <f t="shared" si="150"/>
        <v>5281.5</v>
      </c>
    </row>
    <row r="1353" spans="1:25">
      <c r="A1353" s="156" t="e" cm="1">
        <f t="array" aca="1" ref="A1353" ca="1">_xlfn.IFS(E1353=$AB$42,$AC$42,E1353=$AB$43,$AC$43,E1353=$AB$44,$AC$44,E1353=$AB$45,$AC$45,E1353=$AB$46,$AC$46,E1353=$AB$47,$AC$47,E1353=$AB$48,$AC$48,E1353=$AB$49,$AC$49,E1353=$AB$50,$AC$50,E1353=$AB$51,$AC$51,E1353=$AB$52,$AC$52,E1353=$AB$53,$AC$53,E1353=$AB$54,$AC$54,E1353=$AB$55,$AC$55,E1353=$AB$56,$AC$56,E1353=$AB$57,$AC$57,E1353=$AB$58,$AC$58,E1353=$AB$59,$AC$59,E1353=$AB$60,$AC$60,E1353=$AB$61,$AC$61,E1353=$AB$62,$AC$62,E1353=$AB$63,$AC$63,E1353=$AB$64,$AC$64,E1353=$AB$65,$AC$65,E1353=$AB$66,$AC$66,TRUE,"0")</f>
        <v>#NAME?</v>
      </c>
      <c r="C1353" s="161" t="str" cm="1">
        <f t="array" ref="C1353">_xlfn.IFS(E1353=$AB$42,$AF$42,E1353=$AB$43,$AF$43,E1353=$AB$44,$AF$44,E1353=$AB$45,$AF$45,E1353=$AB$46,$AF$46,E1353=$AB$47,$AF$47,E1353=$AB$48,$AF$48,E1353=$AB$49,$AF$49,E1353=$AB$50,$AF$50,E1353=$AB$51,$AF$51,E1353=$AB$52,$AF$52,E1353=$AB$53,$AF$53,E1353=$AB$54,$AF$54,E1353=$AB$55,$AF$55,E1353=$AB$56,$AF$56,E1353=$AB$57,$AF$57,E1353=$AB$58,$AF$58,E1353=$AB$59,$AF$59,E1353=$AB$60,$AF$60,E1353=$AB$61,$AF$61,E1353=$AB$62,$AF$62,E1353=$AB$63,$AF$63,E1353=$AB$64,$AF$64,E1353=$AB$65,$AF$65,E1353=$AB$66,$AF$66,TRUE,"0")</f>
        <v>40 mins Back ANother Goal</v>
      </c>
      <c r="D1353" s="270" t="str" cm="1">
        <f t="array" ref="D1353">_xlfn.IFS(E1353=$AB$42,$AD$42,E1353=$AB$43,$AD$43,E1353=$AB$44,$AD$44,E1353=$AB$45,$AD$45,E1353=$AB$46,$AD$46,E1353=$AB$47,$AD$47,E1353=$AB$48,$AD$48,E1353=$AB$49,$AD$49,E1353=$AB$50,$AD$50,E1353=$AB$51,$AD$51,E1353=$AB$52,$AD$52,E1353=$AB$53,$AD$53,E1353=$AB$54,$AD$54,E1353=$AB$55,$AD$55,E1353=$AB$56,$AD$56,E1353=$AB$57,$AD$57,E1353=$AB$58,$AD$58,E1353=$AB$59,$AD$59,E1353=$AB$60,$AD$60,E1353=$AB$61,$AD$61,E1353=$AB$62,$AD$62,E1353=$AB$63,$AD$63,E1353=$AB$64,$AD$64,E1353=$AB$65,$AD$65,E1353=$AB$66,$AD$66,TRUE,"0")</f>
        <v xml:space="preserve">  BANG</v>
      </c>
      <c r="E1353" s="2" t="s">
        <v>726</v>
      </c>
      <c r="F1353" s="2" t="s">
        <v>119</v>
      </c>
      <c r="G1353" s="2" t="s">
        <v>120</v>
      </c>
      <c r="H1353" s="3">
        <v>45416.729166666664</v>
      </c>
      <c r="I1353" s="2" t="s">
        <v>453</v>
      </c>
      <c r="J1353" s="2" t="s">
        <v>361</v>
      </c>
      <c r="K1353" s="2">
        <v>85</v>
      </c>
      <c r="L1353" s="2">
        <v>20</v>
      </c>
      <c r="M1353" s="2">
        <v>2</v>
      </c>
      <c r="N1353" s="2">
        <v>59</v>
      </c>
      <c r="O1353" s="2"/>
      <c r="P1353" s="2"/>
      <c r="Q1353" s="2" t="s">
        <v>95</v>
      </c>
      <c r="R1353" s="10" t="s">
        <v>223</v>
      </c>
      <c r="S1353" s="10" t="s">
        <v>277</v>
      </c>
      <c r="T1353" s="188">
        <v>1000</v>
      </c>
      <c r="U1353" s="8">
        <f t="shared" si="147"/>
        <v>180</v>
      </c>
      <c r="V1353" s="234">
        <f t="shared" si="154"/>
        <v>136804.15524616028</v>
      </c>
      <c r="W1353" s="15">
        <v>25</v>
      </c>
      <c r="X1353" s="8">
        <f t="shared" si="149"/>
        <v>4.5</v>
      </c>
      <c r="Y1353" s="233">
        <f t="shared" si="150"/>
        <v>5286</v>
      </c>
    </row>
    <row r="1354" spans="1:25">
      <c r="A1354" s="156" t="e" cm="1">
        <f t="array" aca="1" ref="A1354" ca="1">_xlfn.IFS(E1354=$AB$42,$AC$42,E1354=$AB$43,$AC$43,E1354=$AB$44,$AC$44,E1354=$AB$45,$AC$45,E1354=$AB$46,$AC$46,E1354=$AB$47,$AC$47,E1354=$AB$48,$AC$48,E1354=$AB$49,$AC$49,E1354=$AB$50,$AC$50,E1354=$AB$51,$AC$51,E1354=$AB$52,$AC$52,E1354=$AB$53,$AC$53,E1354=$AB$54,$AC$54,E1354=$AB$55,$AC$55,E1354=$AB$56,$AC$56,E1354=$AB$57,$AC$57,E1354=$AB$58,$AC$58,E1354=$AB$59,$AC$59,E1354=$AB$60,$AC$60,E1354=$AB$61,$AC$61,E1354=$AB$62,$AC$62,E1354=$AB$63,$AC$63,E1354=$AB$64,$AC$64,E1354=$AB$65,$AC$65,E1354=$AB$66,$AC$66,TRUE,"0")</f>
        <v>#NAME?</v>
      </c>
      <c r="C1354" s="161" t="str" cm="1">
        <f t="array" ref="C1354">_xlfn.IFS(E1354=$AB$42,$AF$42,E1354=$AB$43,$AF$43,E1354=$AB$44,$AF$44,E1354=$AB$45,$AF$45,E1354=$AB$46,$AF$46,E1354=$AB$47,$AF$47,E1354=$AB$48,$AF$48,E1354=$AB$49,$AF$49,E1354=$AB$50,$AF$50,E1354=$AB$51,$AF$51,E1354=$AB$52,$AF$52,E1354=$AB$53,$AF$53,E1354=$AB$54,$AF$54,E1354=$AB$55,$AF$55,E1354=$AB$56,$AF$56,E1354=$AB$57,$AF$57,E1354=$AB$58,$AF$58,E1354=$AB$59,$AF$59,E1354=$AB$60,$AF$60,E1354=$AB$61,$AF$61,E1354=$AB$62,$AF$62,E1354=$AB$63,$AF$63,E1354=$AB$64,$AF$64,E1354=$AB$65,$AF$65,E1354=$AB$66,$AF$66,TRUE,"0")</f>
        <v>B4 match BACK FT +1.5 goals. X AFTER  GOAL</v>
      </c>
      <c r="D1354" s="270" t="str" cm="1">
        <f t="array" ref="D1354">_xlfn.IFS(E1354=$AB$42,$AD$42,E1354=$AB$43,$AD$43,E1354=$AB$44,$AD$44,E1354=$AB$45,$AD$45,E1354=$AB$46,$AD$46,E1354=$AB$47,$AD$47,E1354=$AB$48,$AD$48,E1354=$AB$49,$AD$49,E1354=$AB$50,$AD$50,E1354=$AB$51,$AD$51,E1354=$AB$52,$AD$52,E1354=$AB$53,$AD$53,E1354=$AB$54,$AD$54,E1354=$AB$55,$AD$55,E1354=$AB$56,$AD$56,E1354=$AB$57,$AD$57,E1354=$AB$58,$AD$58,E1354=$AB$59,$AD$59,E1354=$AB$60,$AD$60,E1354=$AB$61,$AD$61,E1354=$AB$62,$AD$62,E1354=$AB$63,$AD$63,E1354=$AB$64,$AD$64,E1354=$AB$65,$AD$65,E1354=$AB$66,$AD$66,TRUE,"0")</f>
        <v xml:space="preserve">BFM </v>
      </c>
      <c r="E1354" s="2" t="s">
        <v>623</v>
      </c>
      <c r="F1354" s="2" t="s">
        <v>6</v>
      </c>
      <c r="G1354" s="2" t="s">
        <v>62</v>
      </c>
      <c r="H1354" s="3">
        <v>45416.729166666664</v>
      </c>
      <c r="I1354" s="2" t="s">
        <v>72</v>
      </c>
      <c r="J1354" s="2" t="s">
        <v>64</v>
      </c>
      <c r="K1354" s="2">
        <v>2.3199999999999998</v>
      </c>
      <c r="L1354" s="2">
        <v>20</v>
      </c>
      <c r="M1354" s="2">
        <v>3.05</v>
      </c>
      <c r="N1354" s="2">
        <v>27</v>
      </c>
      <c r="O1354" s="2">
        <v>2</v>
      </c>
      <c r="P1354" s="2">
        <v>10</v>
      </c>
      <c r="Q1354" s="2" t="s">
        <v>95</v>
      </c>
      <c r="R1354" s="10" t="s">
        <v>207</v>
      </c>
      <c r="S1354" s="10" t="s">
        <v>197</v>
      </c>
      <c r="T1354" s="188">
        <v>1000</v>
      </c>
      <c r="U1354" s="8">
        <f t="shared" si="147"/>
        <v>180</v>
      </c>
      <c r="V1354" s="234">
        <f t="shared" si="154"/>
        <v>136984.15524616028</v>
      </c>
      <c r="W1354" s="15">
        <v>25</v>
      </c>
      <c r="X1354" s="8">
        <f t="shared" si="149"/>
        <v>4.5</v>
      </c>
      <c r="Y1354" s="233">
        <f t="shared" si="150"/>
        <v>5290.5</v>
      </c>
    </row>
    <row r="1355" spans="1:25">
      <c r="A1355" s="156" t="e" cm="1">
        <f t="array" aca="1" ref="A1355" ca="1">_xlfn.IFS(E1355=$AB$42,$AC$42,E1355=$AB$43,$AC$43,E1355=$AB$44,$AC$44,E1355=$AB$45,$AC$45,E1355=$AB$46,$AC$46,E1355=$AB$47,$AC$47,E1355=$AB$48,$AC$48,E1355=$AB$49,$AC$49,E1355=$AB$50,$AC$50,E1355=$AB$51,$AC$51,E1355=$AB$52,$AC$52,E1355=$AB$53,$AC$53,E1355=$AB$54,$AC$54,E1355=$AB$55,$AC$55,E1355=$AB$56,$AC$56,E1355=$AB$57,$AC$57,E1355=$AB$58,$AC$58,E1355=$AB$59,$AC$59,E1355=$AB$60,$AC$60,E1355=$AB$61,$AC$61,E1355=$AB$62,$AC$62,E1355=$AB$63,$AC$63,E1355=$AB$64,$AC$64,E1355=$AB$65,$AC$65,E1355=$AB$66,$AC$66,TRUE,"0")</f>
        <v>#NAME?</v>
      </c>
      <c r="C1355" s="161" t="str" cm="1">
        <f t="array" ref="C1355">_xlfn.IFS(E1355=$AB$42,$AF$42,E1355=$AB$43,$AF$43,E1355=$AB$44,$AF$44,E1355=$AB$45,$AF$45,E1355=$AB$46,$AF$46,E1355=$AB$47,$AF$47,E1355=$AB$48,$AF$48,E1355=$AB$49,$AF$49,E1355=$AB$50,$AF$50,E1355=$AB$51,$AF$51,E1355=$AB$52,$AF$52,E1355=$AB$53,$AF$53,E1355=$AB$54,$AF$54,E1355=$AB$55,$AF$55,E1355=$AB$56,$AF$56,E1355=$AB$57,$AF$57,E1355=$AB$58,$AF$58,E1355=$AB$59,$AF$59,E1355=$AB$60,$AF$60,E1355=$AB$61,$AF$61,E1355=$AB$62,$AF$62,E1355=$AB$63,$AF$63,E1355=$AB$64,$AF$64,E1355=$AB$65,$AF$65,E1355=$AB$66,$AF$66,TRUE,"0")</f>
        <v>40 mins Back ANother Goal</v>
      </c>
      <c r="D1355" s="270" t="str" cm="1">
        <f t="array" ref="D1355">_xlfn.IFS(E1355=$AB$42,$AD$42,E1355=$AB$43,$AD$43,E1355=$AB$44,$AD$44,E1355=$AB$45,$AD$45,E1355=$AB$46,$AD$46,E1355=$AB$47,$AD$47,E1355=$AB$48,$AD$48,E1355=$AB$49,$AD$49,E1355=$AB$50,$AD$50,E1355=$AB$51,$AD$51,E1355=$AB$52,$AD$52,E1355=$AB$53,$AD$53,E1355=$AB$54,$AD$54,E1355=$AB$55,$AD$55,E1355=$AB$56,$AD$56,E1355=$AB$57,$AD$57,E1355=$AB$58,$AD$58,E1355=$AB$59,$AD$59,E1355=$AB$60,$AD$60,E1355=$AB$61,$AD$61,E1355=$AB$62,$AD$62,E1355=$AB$63,$AD$63,E1355=$AB$64,$AD$64,E1355=$AB$65,$AD$65,E1355=$AB$66,$AD$66,TRUE,"0")</f>
        <v xml:space="preserve">  BANG</v>
      </c>
      <c r="E1355" s="2" t="s">
        <v>792</v>
      </c>
      <c r="F1355" s="2" t="s">
        <v>58</v>
      </c>
      <c r="G1355" s="2" t="s">
        <v>59</v>
      </c>
      <c r="H1355" s="3">
        <v>45416.75</v>
      </c>
      <c r="I1355" s="2" t="s">
        <v>125</v>
      </c>
      <c r="J1355" s="2" t="s">
        <v>128</v>
      </c>
      <c r="K1355" s="2">
        <v>2.65</v>
      </c>
      <c r="L1355" s="2">
        <v>95</v>
      </c>
      <c r="M1355" s="2">
        <v>70</v>
      </c>
      <c r="N1355" s="2">
        <v>59</v>
      </c>
      <c r="O1355" s="2">
        <v>20</v>
      </c>
      <c r="P1355" s="2"/>
      <c r="Q1355" s="2" t="s">
        <v>95</v>
      </c>
      <c r="R1355" s="10" t="s">
        <v>214</v>
      </c>
      <c r="S1355" s="10" t="s">
        <v>207</v>
      </c>
      <c r="T1355" s="188">
        <v>1000</v>
      </c>
      <c r="U1355" s="8">
        <f t="shared" si="147"/>
        <v>180</v>
      </c>
      <c r="V1355" s="234">
        <f t="shared" si="154"/>
        <v>137164.15524616028</v>
      </c>
      <c r="W1355" s="15">
        <v>25</v>
      </c>
      <c r="X1355" s="8">
        <f t="shared" si="149"/>
        <v>4.5</v>
      </c>
      <c r="Y1355" s="233">
        <f t="shared" si="150"/>
        <v>5295</v>
      </c>
    </row>
    <row r="1356" spans="1:25">
      <c r="A1356" s="156" t="e" cm="1">
        <f t="array" aca="1" ref="A1356" ca="1">_xlfn.IFS(E1356=$AB$42,$AC$42,E1356=$AB$43,$AC$43,E1356=$AB$44,$AC$44,E1356=$AB$45,$AC$45,E1356=$AB$46,$AC$46,E1356=$AB$47,$AC$47,E1356=$AB$48,$AC$48,E1356=$AB$49,$AC$49,E1356=$AB$50,$AC$50,E1356=$AB$51,$AC$51,E1356=$AB$52,$AC$52,E1356=$AB$53,$AC$53,E1356=$AB$54,$AC$54,E1356=$AB$55,$AC$55,E1356=$AB$56,$AC$56,E1356=$AB$57,$AC$57,E1356=$AB$58,$AC$58,E1356=$AB$59,$AC$59,E1356=$AB$60,$AC$60,E1356=$AB$61,$AC$61,E1356=$AB$62,$AC$62,E1356=$AB$63,$AC$63,E1356=$AB$64,$AC$64,E1356=$AB$65,$AC$65,E1356=$AB$66,$AC$66,TRUE,"0")</f>
        <v>#NAME?</v>
      </c>
      <c r="C1356" s="161" t="str" cm="1">
        <f t="array" ref="C1356">_xlfn.IFS(E1356=$AB$42,$AF$42,E1356=$AB$43,$AF$43,E1356=$AB$44,$AF$44,E1356=$AB$45,$AF$45,E1356=$AB$46,$AF$46,E1356=$AB$47,$AF$47,E1356=$AB$48,$AF$48,E1356=$AB$49,$AF$49,E1356=$AB$50,$AF$50,E1356=$AB$51,$AF$51,E1356=$AB$52,$AF$52,E1356=$AB$53,$AF$53,E1356=$AB$54,$AF$54,E1356=$AB$55,$AF$55,E1356=$AB$56,$AF$56,E1356=$AB$57,$AF$57,E1356=$AB$58,$AF$58,E1356=$AB$59,$AF$59,E1356=$AB$60,$AF$60,E1356=$AB$61,$AF$61,E1356=$AB$62,$AF$62,E1356=$AB$63,$AF$63,E1356=$AB$64,$AF$64,E1356=$AB$65,$AF$65,E1356=$AB$66,$AF$66,TRUE,"0")</f>
        <v>40 mins Back ANother Goal</v>
      </c>
      <c r="D1356" s="270" t="str" cm="1">
        <f t="array" ref="D1356">_xlfn.IFS(E1356=$AB$42,$AD$42,E1356=$AB$43,$AD$43,E1356=$AB$44,$AD$44,E1356=$AB$45,$AD$45,E1356=$AB$46,$AD$46,E1356=$AB$47,$AD$47,E1356=$AB$48,$AD$48,E1356=$AB$49,$AD$49,E1356=$AB$50,$AD$50,E1356=$AB$51,$AD$51,E1356=$AB$52,$AD$52,E1356=$AB$53,$AD$53,E1356=$AB$54,$AD$54,E1356=$AB$55,$AD$55,E1356=$AB$56,$AD$56,E1356=$AB$57,$AD$57,E1356=$AB$58,$AD$58,E1356=$AB$59,$AD$59,E1356=$AB$60,$AD$60,E1356=$AB$61,$AD$61,E1356=$AB$62,$AD$62,E1356=$AB$63,$AD$63,E1356=$AB$64,$AD$64,E1356=$AB$65,$AD$65,E1356=$AB$66,$AD$66,TRUE,"0")</f>
        <v xml:space="preserve">  BANG</v>
      </c>
      <c r="E1356" s="2" t="s">
        <v>726</v>
      </c>
      <c r="F1356" s="2" t="s">
        <v>58</v>
      </c>
      <c r="G1356" s="2" t="s">
        <v>59</v>
      </c>
      <c r="H1356" s="3">
        <v>45416.75</v>
      </c>
      <c r="I1356" s="2" t="s">
        <v>125</v>
      </c>
      <c r="J1356" s="2" t="s">
        <v>128</v>
      </c>
      <c r="K1356" s="2">
        <v>95</v>
      </c>
      <c r="L1356" s="2">
        <v>20</v>
      </c>
      <c r="M1356" s="2">
        <v>2.65</v>
      </c>
      <c r="N1356" s="2">
        <v>59</v>
      </c>
      <c r="O1356" s="2"/>
      <c r="P1356" s="2"/>
      <c r="Q1356" s="2" t="s">
        <v>95</v>
      </c>
      <c r="R1356" s="10" t="s">
        <v>214</v>
      </c>
      <c r="S1356" s="10" t="s">
        <v>207</v>
      </c>
      <c r="T1356" s="188">
        <v>1000</v>
      </c>
      <c r="U1356" s="8">
        <f t="shared" ref="U1356:U1419" si="155">IF(Q1356="won",T1356*0.18,-T1356)</f>
        <v>180</v>
      </c>
      <c r="V1356" s="234">
        <f t="shared" ref="V1356:V1419" si="156">SUM(V1355,U1356)</f>
        <v>137344.15524616028</v>
      </c>
      <c r="W1356" s="15">
        <v>25</v>
      </c>
      <c r="X1356" s="8">
        <f t="shared" si="149"/>
        <v>4.5</v>
      </c>
      <c r="Y1356" s="233">
        <f t="shared" si="150"/>
        <v>5299.5</v>
      </c>
    </row>
    <row r="1357" spans="1:25">
      <c r="A1357" s="156" t="e" cm="1">
        <f t="array" aca="1" ref="A1357" ca="1">_xlfn.IFS(E1357=$AB$42,$AC$42,E1357=$AB$43,$AC$43,E1357=$AB$44,$AC$44,E1357=$AB$45,$AC$45,E1357=$AB$46,$AC$46,E1357=$AB$47,$AC$47,E1357=$AB$48,$AC$48,E1357=$AB$49,$AC$49,E1357=$AB$50,$AC$50,E1357=$AB$51,$AC$51,E1357=$AB$52,$AC$52,E1357=$AB$53,$AC$53,E1357=$AB$54,$AC$54,E1357=$AB$55,$AC$55,E1357=$AB$56,$AC$56,E1357=$AB$57,$AC$57,E1357=$AB$58,$AC$58,E1357=$AB$59,$AC$59,E1357=$AB$60,$AC$60,E1357=$AB$61,$AC$61,E1357=$AB$62,$AC$62,E1357=$AB$63,$AC$63,E1357=$AB$64,$AC$64,E1357=$AB$65,$AC$65,E1357=$AB$66,$AC$66,TRUE,"0")</f>
        <v>#NAME?</v>
      </c>
      <c r="C1357" s="161" t="str" cm="1">
        <f t="array" ref="C1357">_xlfn.IFS(E1357=$AB$42,$AF$42,E1357=$AB$43,$AF$43,E1357=$AB$44,$AF$44,E1357=$AB$45,$AF$45,E1357=$AB$46,$AF$46,E1357=$AB$47,$AF$47,E1357=$AB$48,$AF$48,E1357=$AB$49,$AF$49,E1357=$AB$50,$AF$50,E1357=$AB$51,$AF$51,E1357=$AB$52,$AF$52,E1357=$AB$53,$AF$53,E1357=$AB$54,$AF$54,E1357=$AB$55,$AF$55,E1357=$AB$56,$AF$56,E1357=$AB$57,$AF$57,E1357=$AB$58,$AF$58,E1357=$AB$59,$AF$59,E1357=$AB$60,$AF$60,E1357=$AB$61,$AF$61,E1357=$AB$62,$AF$62,E1357=$AB$63,$AF$63,E1357=$AB$64,$AF$64,E1357=$AB$65,$AF$65,E1357=$AB$66,$AF$66,TRUE,"0")</f>
        <v>if 0-0, BACK+ 0.5 GOALS  @ 1.15+odds.  or @ 40 mins</v>
      </c>
      <c r="D1357" s="270" t="str" cm="1">
        <f t="array" ref="D1357">_xlfn.IFS(E1357=$AB$42,$AD$42,E1357=$AB$43,$AD$43,E1357=$AB$44,$AD$44,E1357=$AB$45,$AD$45,E1357=$AB$46,$AD$46,E1357=$AB$47,$AD$47,E1357=$AB$48,$AD$48,E1357=$AB$49,$AD$49,E1357=$AB$50,$AD$50,E1357=$AB$51,$AD$51,E1357=$AB$52,$AD$52,E1357=$AB$53,$AD$53,E1357=$AB$54,$AD$54,E1357=$AB$55,$AD$55,E1357=$AB$56,$AD$56,E1357=$AB$57,$AD$57,E1357=$AB$58,$AD$58,E1357=$AB$59,$AD$59,E1357=$AB$60,$AD$60,E1357=$AB$61,$AD$61,E1357=$AB$62,$AD$62,E1357=$AB$63,$AD$63,E1357=$AB$64,$AD$64,E1357=$AB$65,$AD$65,E1357=$AB$66,$AD$66,TRUE,"0")</f>
        <v>IP</v>
      </c>
      <c r="E1357" s="2" t="s">
        <v>270</v>
      </c>
      <c r="F1357" s="2" t="s">
        <v>58</v>
      </c>
      <c r="G1357" s="2" t="s">
        <v>59</v>
      </c>
      <c r="H1357" s="3">
        <v>45416.75</v>
      </c>
      <c r="I1357" s="2" t="s">
        <v>125</v>
      </c>
      <c r="J1357" s="2" t="s">
        <v>128</v>
      </c>
      <c r="K1357" s="2">
        <v>61</v>
      </c>
      <c r="L1357" s="2">
        <v>0</v>
      </c>
      <c r="M1357" s="2">
        <v>20</v>
      </c>
      <c r="N1357" s="2">
        <v>24</v>
      </c>
      <c r="O1357" s="2">
        <v>2.86</v>
      </c>
      <c r="P1357" s="2"/>
      <c r="Q1357" s="2" t="s">
        <v>95</v>
      </c>
      <c r="R1357" s="10" t="s">
        <v>214</v>
      </c>
      <c r="S1357" s="10" t="s">
        <v>207</v>
      </c>
      <c r="T1357" s="188">
        <v>1000</v>
      </c>
      <c r="U1357" s="8">
        <f t="shared" si="155"/>
        <v>180</v>
      </c>
      <c r="V1357" s="234">
        <f t="shared" si="156"/>
        <v>137524.15524616028</v>
      </c>
      <c r="W1357" s="15">
        <v>25</v>
      </c>
      <c r="X1357" s="8">
        <f t="shared" si="149"/>
        <v>4.5</v>
      </c>
      <c r="Y1357" s="233">
        <f t="shared" si="150"/>
        <v>5304</v>
      </c>
    </row>
    <row r="1358" spans="1:25">
      <c r="A1358" s="156" t="e" cm="1">
        <f t="array" aca="1" ref="A1358" ca="1">_xlfn.IFS(E1358=$AB$42,$AC$42,E1358=$AB$43,$AC$43,E1358=$AB$44,$AC$44,E1358=$AB$45,$AC$45,E1358=$AB$46,$AC$46,E1358=$AB$47,$AC$47,E1358=$AB$48,$AC$48,E1358=$AB$49,$AC$49,E1358=$AB$50,$AC$50,E1358=$AB$51,$AC$51,E1358=$AB$52,$AC$52,E1358=$AB$53,$AC$53,E1358=$AB$54,$AC$54,E1358=$AB$55,$AC$55,E1358=$AB$56,$AC$56,E1358=$AB$57,$AC$57,E1358=$AB$58,$AC$58,E1358=$AB$59,$AC$59,E1358=$AB$60,$AC$60,E1358=$AB$61,$AC$61,E1358=$AB$62,$AC$62,E1358=$AB$63,$AC$63,E1358=$AB$64,$AC$64,E1358=$AB$65,$AC$65,E1358=$AB$66,$AC$66,TRUE,"0")</f>
        <v>#NAME?</v>
      </c>
      <c r="C1358" s="161" t="str" cm="1">
        <f t="array" ref="C1358">_xlfn.IFS(E1358=$AB$42,$AF$42,E1358=$AB$43,$AF$43,E1358=$AB$44,$AF$44,E1358=$AB$45,$AF$45,E1358=$AB$46,$AF$46,E1358=$AB$47,$AF$47,E1358=$AB$48,$AF$48,E1358=$AB$49,$AF$49,E1358=$AB$50,$AF$50,E1358=$AB$51,$AF$51,E1358=$AB$52,$AF$52,E1358=$AB$53,$AF$53,E1358=$AB$54,$AF$54,E1358=$AB$55,$AF$55,E1358=$AB$56,$AF$56,E1358=$AB$57,$AF$57,E1358=$AB$58,$AF$58,E1358=$AB$59,$AF$59,E1358=$AB$60,$AF$60,E1358=$AB$61,$AF$61,E1358=$AB$62,$AF$62,E1358=$AB$63,$AF$63,E1358=$AB$64,$AF$64,E1358=$AB$65,$AF$65,E1358=$AB$66,$AF$66,TRUE,"0")</f>
        <v>40 mins Back ANother Goal</v>
      </c>
      <c r="D1358" s="270" t="str" cm="1">
        <f t="array" ref="D1358">_xlfn.IFS(E1358=$AB$42,$AD$42,E1358=$AB$43,$AD$43,E1358=$AB$44,$AD$44,E1358=$AB$45,$AD$45,E1358=$AB$46,$AD$46,E1358=$AB$47,$AD$47,E1358=$AB$48,$AD$48,E1358=$AB$49,$AD$49,E1358=$AB$50,$AD$50,E1358=$AB$51,$AD$51,E1358=$AB$52,$AD$52,E1358=$AB$53,$AD$53,E1358=$AB$54,$AD$54,E1358=$AB$55,$AD$55,E1358=$AB$56,$AD$56,E1358=$AB$57,$AD$57,E1358=$AB$58,$AD$58,E1358=$AB$59,$AD$59,E1358=$AB$60,$AD$60,E1358=$AB$61,$AD$61,E1358=$AB$62,$AD$62,E1358=$AB$63,$AD$63,E1358=$AB$64,$AD$64,E1358=$AB$65,$AD$65,E1358=$AB$66,$AD$66,TRUE,"0")</f>
        <v xml:space="preserve">  BANG</v>
      </c>
      <c r="E1358" s="2" t="s">
        <v>726</v>
      </c>
      <c r="F1358" s="2" t="s">
        <v>77</v>
      </c>
      <c r="G1358" s="2" t="s">
        <v>234</v>
      </c>
      <c r="H1358" s="3">
        <v>45416.8125</v>
      </c>
      <c r="I1358" s="2" t="s">
        <v>631</v>
      </c>
      <c r="J1358" s="2" t="s">
        <v>413</v>
      </c>
      <c r="K1358" s="2">
        <v>80</v>
      </c>
      <c r="L1358" s="2">
        <v>20</v>
      </c>
      <c r="M1358" s="2">
        <v>1.9</v>
      </c>
      <c r="N1358" s="2">
        <v>57</v>
      </c>
      <c r="O1358" s="2"/>
      <c r="P1358" s="2"/>
      <c r="Q1358" s="2" t="s">
        <v>95</v>
      </c>
      <c r="R1358" s="10" t="s">
        <v>220</v>
      </c>
      <c r="S1358" s="10" t="s">
        <v>196</v>
      </c>
      <c r="T1358" s="188">
        <v>1000</v>
      </c>
      <c r="U1358" s="8">
        <f t="shared" si="155"/>
        <v>180</v>
      </c>
      <c r="V1358" s="234">
        <f t="shared" si="156"/>
        <v>137704.15524616028</v>
      </c>
      <c r="W1358" s="15">
        <v>25</v>
      </c>
      <c r="X1358" s="8">
        <f t="shared" si="149"/>
        <v>4.5</v>
      </c>
      <c r="Y1358" s="233">
        <f t="shared" si="150"/>
        <v>5308.5</v>
      </c>
    </row>
    <row r="1359" spans="1:25">
      <c r="A1359" s="156" t="e" cm="1">
        <f t="array" aca="1" ref="A1359" ca="1">_xlfn.IFS(E1359=$AB$42,$AC$42,E1359=$AB$43,$AC$43,E1359=$AB$44,$AC$44,E1359=$AB$45,$AC$45,E1359=$AB$46,$AC$46,E1359=$AB$47,$AC$47,E1359=$AB$48,$AC$48,E1359=$AB$49,$AC$49,E1359=$AB$50,$AC$50,E1359=$AB$51,$AC$51,E1359=$AB$52,$AC$52,E1359=$AB$53,$AC$53,E1359=$AB$54,$AC$54,E1359=$AB$55,$AC$55,E1359=$AB$56,$AC$56,E1359=$AB$57,$AC$57,E1359=$AB$58,$AC$58,E1359=$AB$59,$AC$59,E1359=$AB$60,$AC$60,E1359=$AB$61,$AC$61,E1359=$AB$62,$AC$62,E1359=$AB$63,$AC$63,E1359=$AB$64,$AC$64,E1359=$AB$65,$AC$65,E1359=$AB$66,$AC$66,TRUE,"0")</f>
        <v>#NAME?</v>
      </c>
      <c r="C1359" s="161" t="str" cm="1">
        <f t="array" ref="C1359">_xlfn.IFS(E1359=$AB$42,$AF$42,E1359=$AB$43,$AF$43,E1359=$AB$44,$AF$44,E1359=$AB$45,$AF$45,E1359=$AB$46,$AF$46,E1359=$AB$47,$AF$47,E1359=$AB$48,$AF$48,E1359=$AB$49,$AF$49,E1359=$AB$50,$AF$50,E1359=$AB$51,$AF$51,E1359=$AB$52,$AF$52,E1359=$AB$53,$AF$53,E1359=$AB$54,$AF$54,E1359=$AB$55,$AF$55,E1359=$AB$56,$AF$56,E1359=$AB$57,$AF$57,E1359=$AB$58,$AF$58,E1359=$AB$59,$AF$59,E1359=$AB$60,$AF$60,E1359=$AB$61,$AF$61,E1359=$AB$62,$AF$62,E1359=$AB$63,$AF$63,E1359=$AB$64,$AF$64,E1359=$AB$65,$AF$65,E1359=$AB$66,$AF$66,TRUE,"0")</f>
        <v>if 0-0, BACK+ 0.5 GOALS  @ 1.15+odds.  or @ 40 mins</v>
      </c>
      <c r="D1359" s="270" t="str" cm="1">
        <f t="array" ref="D1359">_xlfn.IFS(E1359=$AB$42,$AD$42,E1359=$AB$43,$AD$43,E1359=$AB$44,$AD$44,E1359=$AB$45,$AD$45,E1359=$AB$46,$AD$46,E1359=$AB$47,$AD$47,E1359=$AB$48,$AD$48,E1359=$AB$49,$AD$49,E1359=$AB$50,$AD$50,E1359=$AB$51,$AD$51,E1359=$AB$52,$AD$52,E1359=$AB$53,$AD$53,E1359=$AB$54,$AD$54,E1359=$AB$55,$AD$55,E1359=$AB$56,$AD$56,E1359=$AB$57,$AD$57,E1359=$AB$58,$AD$58,E1359=$AB$59,$AD$59,E1359=$AB$60,$AD$60,E1359=$AB$61,$AD$61,E1359=$AB$62,$AD$62,E1359=$AB$63,$AD$63,E1359=$AB$64,$AD$64,E1359=$AB$65,$AD$65,E1359=$AB$66,$AD$66,TRUE,"0")</f>
        <v>IP</v>
      </c>
      <c r="E1359" s="2" t="s">
        <v>270</v>
      </c>
      <c r="F1359" s="2" t="s">
        <v>67</v>
      </c>
      <c r="G1359" s="2" t="s">
        <v>68</v>
      </c>
      <c r="H1359" s="3">
        <v>45416.822916666664</v>
      </c>
      <c r="I1359" s="2" t="s">
        <v>337</v>
      </c>
      <c r="J1359" s="2" t="s">
        <v>343</v>
      </c>
      <c r="K1359" s="2">
        <v>66</v>
      </c>
      <c r="L1359" s="2">
        <v>0</v>
      </c>
      <c r="M1359" s="2">
        <v>20</v>
      </c>
      <c r="N1359" s="2">
        <v>41</v>
      </c>
      <c r="O1359" s="2">
        <v>2.86</v>
      </c>
      <c r="P1359" s="2"/>
      <c r="Q1359" s="153" t="s">
        <v>95</v>
      </c>
      <c r="R1359" s="10" t="s">
        <v>215</v>
      </c>
      <c r="S1359" s="10" t="s">
        <v>196</v>
      </c>
      <c r="T1359" s="188">
        <v>1000</v>
      </c>
      <c r="U1359" s="8">
        <f t="shared" si="155"/>
        <v>180</v>
      </c>
      <c r="V1359" s="234">
        <f t="shared" si="156"/>
        <v>137884.15524616028</v>
      </c>
      <c r="W1359" s="15">
        <v>25</v>
      </c>
      <c r="X1359" s="8">
        <f t="shared" si="149"/>
        <v>4.5</v>
      </c>
      <c r="Y1359" s="233">
        <f t="shared" si="150"/>
        <v>5313</v>
      </c>
    </row>
    <row r="1360" spans="1:25">
      <c r="A1360" s="156" t="e" cm="1">
        <f t="array" aca="1" ref="A1360" ca="1">_xlfn.IFS(E1360=$AB$42,$AC$42,E1360=$AB$43,$AC$43,E1360=$AB$44,$AC$44,E1360=$AB$45,$AC$45,E1360=$AB$46,$AC$46,E1360=$AB$47,$AC$47,E1360=$AB$48,$AC$48,E1360=$AB$49,$AC$49,E1360=$AB$50,$AC$50,E1360=$AB$51,$AC$51,E1360=$AB$52,$AC$52,E1360=$AB$53,$AC$53,E1360=$AB$54,$AC$54,E1360=$AB$55,$AC$55,E1360=$AB$56,$AC$56,E1360=$AB$57,$AC$57,E1360=$AB$58,$AC$58,E1360=$AB$59,$AC$59,E1360=$AB$60,$AC$60,E1360=$AB$61,$AC$61,E1360=$AB$62,$AC$62,E1360=$AB$63,$AC$63,E1360=$AB$64,$AC$64,E1360=$AB$65,$AC$65,E1360=$AB$66,$AC$66,TRUE,"0")</f>
        <v>#NAME?</v>
      </c>
      <c r="C1360" s="161" t="str" cm="1">
        <f t="array" ref="C1360">_xlfn.IFS(E1360=$AB$42,$AF$42,E1360=$AB$43,$AF$43,E1360=$AB$44,$AF$44,E1360=$AB$45,$AF$45,E1360=$AB$46,$AF$46,E1360=$AB$47,$AF$47,E1360=$AB$48,$AF$48,E1360=$AB$49,$AF$49,E1360=$AB$50,$AF$50,E1360=$AB$51,$AF$51,E1360=$AB$52,$AF$52,E1360=$AB$53,$AF$53,E1360=$AB$54,$AF$54,E1360=$AB$55,$AF$55,E1360=$AB$56,$AF$56,E1360=$AB$57,$AF$57,E1360=$AB$58,$AF$58,E1360=$AB$59,$AF$59,E1360=$AB$60,$AF$60,E1360=$AB$61,$AF$61,E1360=$AB$62,$AF$62,E1360=$AB$63,$AF$63,E1360=$AB$64,$AF$64,E1360=$AB$65,$AF$65,E1360=$AB$66,$AF$66,TRUE,"0")</f>
        <v>B4 match BACK FT +1.5 goals. X AFTER  GOAL</v>
      </c>
      <c r="D1360" s="270" t="str" cm="1">
        <f t="array" ref="D1360">_xlfn.IFS(E1360=$AB$42,$AD$42,E1360=$AB$43,$AD$43,E1360=$AB$44,$AD$44,E1360=$AB$45,$AD$45,E1360=$AB$46,$AD$46,E1360=$AB$47,$AD$47,E1360=$AB$48,$AD$48,E1360=$AB$49,$AD$49,E1360=$AB$50,$AD$50,E1360=$AB$51,$AD$51,E1360=$AB$52,$AD$52,E1360=$AB$53,$AD$53,E1360=$AB$54,$AD$54,E1360=$AB$55,$AD$55,E1360=$AB$56,$AD$56,E1360=$AB$57,$AD$57,E1360=$AB$58,$AD$58,E1360=$AB$59,$AD$59,E1360=$AB$60,$AD$60,E1360=$AB$61,$AD$61,E1360=$AB$62,$AD$62,E1360=$AB$63,$AD$63,E1360=$AB$64,$AD$64,E1360=$AB$65,$AD$65,E1360=$AB$66,$AD$66,TRUE,"0")</f>
        <v xml:space="preserve">BFM </v>
      </c>
      <c r="E1360" s="2" t="s">
        <v>531</v>
      </c>
      <c r="F1360" s="2" t="s">
        <v>20</v>
      </c>
      <c r="G1360" s="2" t="s">
        <v>21</v>
      </c>
      <c r="H1360" s="3">
        <v>45416.822916666664</v>
      </c>
      <c r="I1360" s="2" t="s">
        <v>370</v>
      </c>
      <c r="J1360" s="2" t="s">
        <v>25</v>
      </c>
      <c r="K1360" s="2">
        <v>5.2</v>
      </c>
      <c r="L1360" s="2">
        <v>33</v>
      </c>
      <c r="M1360" s="2">
        <v>3.03</v>
      </c>
      <c r="N1360" s="2">
        <v>29</v>
      </c>
      <c r="O1360" s="2">
        <v>4</v>
      </c>
      <c r="P1360" s="2">
        <v>16</v>
      </c>
      <c r="Q1360" s="2" t="s">
        <v>95</v>
      </c>
      <c r="R1360" s="10" t="s">
        <v>214</v>
      </c>
      <c r="S1360" s="10" t="s">
        <v>214</v>
      </c>
      <c r="T1360" s="188">
        <v>1000</v>
      </c>
      <c r="U1360" s="8">
        <f t="shared" si="155"/>
        <v>180</v>
      </c>
      <c r="V1360" s="234">
        <f t="shared" si="156"/>
        <v>138064.15524616028</v>
      </c>
      <c r="W1360" s="15">
        <v>25</v>
      </c>
      <c r="X1360" s="8">
        <f t="shared" si="149"/>
        <v>4.5</v>
      </c>
      <c r="Y1360" s="233">
        <f t="shared" si="150"/>
        <v>5317.5</v>
      </c>
    </row>
    <row r="1361" spans="1:25">
      <c r="A1361" s="156" t="e" cm="1">
        <f t="array" aca="1" ref="A1361" ca="1">_xlfn.IFS(E1361=$AB$42,$AC$42,E1361=$AB$43,$AC$43,E1361=$AB$44,$AC$44,E1361=$AB$45,$AC$45,E1361=$AB$46,$AC$46,E1361=$AB$47,$AC$47,E1361=$AB$48,$AC$48,E1361=$AB$49,$AC$49,E1361=$AB$50,$AC$50,E1361=$AB$51,$AC$51,E1361=$AB$52,$AC$52,E1361=$AB$53,$AC$53,E1361=$AB$54,$AC$54,E1361=$AB$55,$AC$55,E1361=$AB$56,$AC$56,E1361=$AB$57,$AC$57,E1361=$AB$58,$AC$58,E1361=$AB$59,$AC$59,E1361=$AB$60,$AC$60,E1361=$AB$61,$AC$61,E1361=$AB$62,$AC$62,E1361=$AB$63,$AC$63,E1361=$AB$64,$AC$64,E1361=$AB$65,$AC$65,E1361=$AB$66,$AC$66,TRUE,"0")</f>
        <v>#NAME?</v>
      </c>
      <c r="C1361" s="161" t="str" cm="1">
        <f t="array" ref="C1361">_xlfn.IFS(E1361=$AB$42,$AF$42,E1361=$AB$43,$AF$43,E1361=$AB$44,$AF$44,E1361=$AB$45,$AF$45,E1361=$AB$46,$AF$46,E1361=$AB$47,$AF$47,E1361=$AB$48,$AF$48,E1361=$AB$49,$AF$49,E1361=$AB$50,$AF$50,E1361=$AB$51,$AF$51,E1361=$AB$52,$AF$52,E1361=$AB$53,$AF$53,E1361=$AB$54,$AF$54,E1361=$AB$55,$AF$55,E1361=$AB$56,$AF$56,E1361=$AB$57,$AF$57,E1361=$AB$58,$AF$58,E1361=$AB$59,$AF$59,E1361=$AB$60,$AF$60,E1361=$AB$61,$AF$61,E1361=$AB$62,$AF$62,E1361=$AB$63,$AF$63,E1361=$AB$64,$AF$64,E1361=$AB$65,$AF$65,E1361=$AB$66,$AF$66,TRUE,"0")</f>
        <v>B4 Match, lay HT 0-0 or BACK H1 +0.5 GOALS</v>
      </c>
      <c r="D1361" s="270" t="str" cm="1">
        <f t="array" ref="D1361">_xlfn.IFS(E1361=$AB$42,$AD$42,E1361=$AB$43,$AD$43,E1361=$AB$44,$AD$44,E1361=$AB$45,$AD$45,E1361=$AB$46,$AD$46,E1361=$AB$47,$AD$47,E1361=$AB$48,$AD$48,E1361=$AB$49,$AD$49,E1361=$AB$50,$AD$50,E1361=$AB$51,$AD$51,E1361=$AB$52,$AD$52,E1361=$AB$53,$AD$53,E1361=$AB$54,$AD$54,E1361=$AB$55,$AD$55,E1361=$AB$56,$AD$56,E1361=$AB$57,$AD$57,E1361=$AB$58,$AD$58,E1361=$AB$59,$AD$59,E1361=$AB$60,$AD$60,E1361=$AB$61,$AD$61,E1361=$AB$62,$AD$62,E1361=$AB$63,$AD$63,E1361=$AB$64,$AD$64,E1361=$AB$65,$AD$65,E1361=$AB$66,$AD$66,TRUE,"0")</f>
        <v xml:space="preserve">BFM </v>
      </c>
      <c r="E1361" s="2" t="s">
        <v>432</v>
      </c>
      <c r="F1361" s="2" t="s">
        <v>20</v>
      </c>
      <c r="G1361" s="2" t="s">
        <v>21</v>
      </c>
      <c r="H1361" s="3">
        <v>45416.822916666664</v>
      </c>
      <c r="I1361" s="2" t="s">
        <v>370</v>
      </c>
      <c r="J1361" s="2" t="s">
        <v>25</v>
      </c>
      <c r="K1361" s="2">
        <v>5</v>
      </c>
      <c r="L1361" s="2">
        <v>20</v>
      </c>
      <c r="M1361" s="2">
        <v>14</v>
      </c>
      <c r="N1361" s="2">
        <v>14</v>
      </c>
      <c r="O1361" s="2">
        <v>24</v>
      </c>
      <c r="P1361" s="2">
        <v>1.55</v>
      </c>
      <c r="Q1361" s="2" t="s">
        <v>95</v>
      </c>
      <c r="R1361" s="10" t="s">
        <v>214</v>
      </c>
      <c r="S1361" s="10" t="s">
        <v>214</v>
      </c>
      <c r="T1361" s="188">
        <v>1000</v>
      </c>
      <c r="U1361" s="8">
        <f t="shared" si="155"/>
        <v>180</v>
      </c>
      <c r="V1361" s="234">
        <f t="shared" si="156"/>
        <v>138244.15524616028</v>
      </c>
      <c r="W1361" s="15">
        <v>25</v>
      </c>
      <c r="X1361" s="8">
        <f t="shared" si="149"/>
        <v>4.5</v>
      </c>
      <c r="Y1361" s="233">
        <f t="shared" si="150"/>
        <v>5322</v>
      </c>
    </row>
    <row r="1362" spans="1:25">
      <c r="A1362" s="156" t="e" cm="1">
        <f t="array" aca="1" ref="A1362" ca="1">_xlfn.IFS(E1362=$AB$42,$AC$42,E1362=$AB$43,$AC$43,E1362=$AB$44,$AC$44,E1362=$AB$45,$AC$45,E1362=$AB$46,$AC$46,E1362=$AB$47,$AC$47,E1362=$AB$48,$AC$48,E1362=$AB$49,$AC$49,E1362=$AB$50,$AC$50,E1362=$AB$51,$AC$51,E1362=$AB$52,$AC$52,E1362=$AB$53,$AC$53,E1362=$AB$54,$AC$54,E1362=$AB$55,$AC$55,E1362=$AB$56,$AC$56,E1362=$AB$57,$AC$57,E1362=$AB$58,$AC$58,E1362=$AB$59,$AC$59,E1362=$AB$60,$AC$60,E1362=$AB$61,$AC$61,E1362=$AB$62,$AC$62,E1362=$AB$63,$AC$63,E1362=$AB$64,$AC$64,E1362=$AB$65,$AC$65,E1362=$AB$66,$AC$66,TRUE,"0")</f>
        <v>#NAME?</v>
      </c>
      <c r="C1362" s="161" t="str" cm="1">
        <f t="array" ref="C1362">_xlfn.IFS(E1362=$AB$42,$AF$42,E1362=$AB$43,$AF$43,E1362=$AB$44,$AF$44,E1362=$AB$45,$AF$45,E1362=$AB$46,$AF$46,E1362=$AB$47,$AF$47,E1362=$AB$48,$AF$48,E1362=$AB$49,$AF$49,E1362=$AB$50,$AF$50,E1362=$AB$51,$AF$51,E1362=$AB$52,$AF$52,E1362=$AB$53,$AF$53,E1362=$AB$54,$AF$54,E1362=$AB$55,$AF$55,E1362=$AB$56,$AF$56,E1362=$AB$57,$AF$57,E1362=$AB$58,$AF$58,E1362=$AB$59,$AF$59,E1362=$AB$60,$AF$60,E1362=$AB$61,$AF$61,E1362=$AB$62,$AF$62,E1362=$AB$63,$AF$63,E1362=$AB$64,$AF$64,E1362=$AB$65,$AF$65,E1362=$AB$66,$AF$66,TRUE,"0")</f>
        <v>B4 match BACK FT +1.5 goals. X AFTER  GOAL</v>
      </c>
      <c r="D1362" s="270" t="str" cm="1">
        <f t="array" ref="D1362">_xlfn.IFS(E1362=$AB$42,$AD$42,E1362=$AB$43,$AD$43,E1362=$AB$44,$AD$44,E1362=$AB$45,$AD$45,E1362=$AB$46,$AD$46,E1362=$AB$47,$AD$47,E1362=$AB$48,$AD$48,E1362=$AB$49,$AD$49,E1362=$AB$50,$AD$50,E1362=$AB$51,$AD$51,E1362=$AB$52,$AD$52,E1362=$AB$53,$AD$53,E1362=$AB$54,$AD$54,E1362=$AB$55,$AD$55,E1362=$AB$56,$AD$56,E1362=$AB$57,$AD$57,E1362=$AB$58,$AD$58,E1362=$AB$59,$AD$59,E1362=$AB$60,$AD$60,E1362=$AB$61,$AD$61,E1362=$AB$62,$AD$62,E1362=$AB$63,$AD$63,E1362=$AB$64,$AD$64,E1362=$AB$65,$AD$65,E1362=$AB$66,$AD$66,TRUE,"0")</f>
        <v xml:space="preserve">BFM </v>
      </c>
      <c r="E1362" s="2" t="s">
        <v>531</v>
      </c>
      <c r="F1362" s="2" t="s">
        <v>58</v>
      </c>
      <c r="G1362" s="2" t="s">
        <v>59</v>
      </c>
      <c r="H1362" s="3">
        <v>45416.854166666664</v>
      </c>
      <c r="I1362" s="2" t="s">
        <v>165</v>
      </c>
      <c r="J1362" s="2" t="s">
        <v>172</v>
      </c>
      <c r="K1362" s="2">
        <v>3.75</v>
      </c>
      <c r="L1362" s="2">
        <v>30</v>
      </c>
      <c r="M1362" s="2">
        <v>3.07</v>
      </c>
      <c r="N1362" s="2">
        <v>29</v>
      </c>
      <c r="O1362" s="2">
        <v>0</v>
      </c>
      <c r="P1362" s="2">
        <v>15</v>
      </c>
      <c r="Q1362" s="2" t="s">
        <v>95</v>
      </c>
      <c r="R1362" s="10" t="s">
        <v>217</v>
      </c>
      <c r="S1362" s="10" t="s">
        <v>218</v>
      </c>
      <c r="T1362" s="188">
        <v>1000</v>
      </c>
      <c r="U1362" s="8">
        <f t="shared" si="155"/>
        <v>180</v>
      </c>
      <c r="V1362" s="234">
        <f t="shared" si="156"/>
        <v>138424.15524616028</v>
      </c>
      <c r="W1362" s="15">
        <v>25</v>
      </c>
      <c r="X1362" s="8">
        <f t="shared" si="149"/>
        <v>4.5</v>
      </c>
      <c r="Y1362" s="233">
        <f t="shared" si="150"/>
        <v>5326.5</v>
      </c>
    </row>
    <row r="1363" spans="1:25">
      <c r="A1363" s="156" t="e" cm="1">
        <f t="array" aca="1" ref="A1363" ca="1">_xlfn.IFS(E1363=$AB$42,$AC$42,E1363=$AB$43,$AC$43,E1363=$AB$44,$AC$44,E1363=$AB$45,$AC$45,E1363=$AB$46,$AC$46,E1363=$AB$47,$AC$47,E1363=$AB$48,$AC$48,E1363=$AB$49,$AC$49,E1363=$AB$50,$AC$50,E1363=$AB$51,$AC$51,E1363=$AB$52,$AC$52,E1363=$AB$53,$AC$53,E1363=$AB$54,$AC$54,E1363=$AB$55,$AC$55,E1363=$AB$56,$AC$56,E1363=$AB$57,$AC$57,E1363=$AB$58,$AC$58,E1363=$AB$59,$AC$59,E1363=$AB$60,$AC$60,E1363=$AB$61,$AC$61,E1363=$AB$62,$AC$62,E1363=$AB$63,$AC$63,E1363=$AB$64,$AC$64,E1363=$AB$65,$AC$65,E1363=$AB$66,$AC$66,TRUE,"0")</f>
        <v>#NAME?</v>
      </c>
      <c r="C1363" s="161" t="str" cm="1">
        <f t="array" ref="C1363">_xlfn.IFS(E1363=$AB$42,$AF$42,E1363=$AB$43,$AF$43,E1363=$AB$44,$AF$44,E1363=$AB$45,$AF$45,E1363=$AB$46,$AF$46,E1363=$AB$47,$AF$47,E1363=$AB$48,$AF$48,E1363=$AB$49,$AF$49,E1363=$AB$50,$AF$50,E1363=$AB$51,$AF$51,E1363=$AB$52,$AF$52,E1363=$AB$53,$AF$53,E1363=$AB$54,$AF$54,E1363=$AB$55,$AF$55,E1363=$AB$56,$AF$56,E1363=$AB$57,$AF$57,E1363=$AB$58,$AF$58,E1363=$AB$59,$AF$59,E1363=$AB$60,$AF$60,E1363=$AB$61,$AF$61,E1363=$AB$62,$AF$62,E1363=$AB$63,$AF$63,E1363=$AB$64,$AF$64,E1363=$AB$65,$AF$65,E1363=$AB$66,$AF$66,TRUE,"0")</f>
        <v>10mins if  0-0, BACK over 1.5 goals X after goal OR LET RUN</v>
      </c>
      <c r="D1363" s="270" t="str" cm="1">
        <f t="array" ref="D1363">_xlfn.IFS(E1363=$AB$42,$AD$42,E1363=$AB$43,$AD$43,E1363=$AB$44,$AD$44,E1363=$AB$45,$AD$45,E1363=$AB$46,$AD$46,E1363=$AB$47,$AD$47,E1363=$AB$48,$AD$48,E1363=$AB$49,$AD$49,E1363=$AB$50,$AD$50,E1363=$AB$51,$AD$51,E1363=$AB$52,$AD$52,E1363=$AB$53,$AD$53,E1363=$AB$54,$AD$54,E1363=$AB$55,$AD$55,E1363=$AB$56,$AD$56,E1363=$AB$57,$AD$57,E1363=$AB$58,$AD$58,E1363=$AB$59,$AD$59,E1363=$AB$60,$AD$60,E1363=$AB$61,$AD$61,E1363=$AB$62,$AD$62,E1363=$AB$63,$AD$63,E1363=$AB$64,$AD$64,E1363=$AB$65,$AD$65,E1363=$AB$66,$AD$66,TRUE,"0")</f>
        <v>IP</v>
      </c>
      <c r="E1363" s="2" t="s">
        <v>498</v>
      </c>
      <c r="F1363" s="2" t="s">
        <v>58</v>
      </c>
      <c r="G1363" s="2" t="s">
        <v>59</v>
      </c>
      <c r="H1363" s="3">
        <v>45416.854166666664</v>
      </c>
      <c r="I1363" s="2" t="s">
        <v>165</v>
      </c>
      <c r="J1363" s="2" t="s">
        <v>172</v>
      </c>
      <c r="K1363" s="2">
        <v>66</v>
      </c>
      <c r="L1363" s="2">
        <v>90</v>
      </c>
      <c r="M1363" s="2">
        <v>1.55</v>
      </c>
      <c r="N1363" s="2">
        <v>20</v>
      </c>
      <c r="O1363" s="2"/>
      <c r="P1363" s="2"/>
      <c r="Q1363" s="2" t="s">
        <v>95</v>
      </c>
      <c r="R1363" s="10" t="s">
        <v>217</v>
      </c>
      <c r="S1363" s="10" t="s">
        <v>218</v>
      </c>
      <c r="T1363" s="188">
        <v>1000</v>
      </c>
      <c r="U1363" s="8">
        <f t="shared" si="155"/>
        <v>180</v>
      </c>
      <c r="V1363" s="234">
        <f t="shared" si="156"/>
        <v>138604.15524616028</v>
      </c>
      <c r="W1363" s="15">
        <v>25</v>
      </c>
      <c r="X1363" s="8">
        <f t="shared" si="149"/>
        <v>4.5</v>
      </c>
      <c r="Y1363" s="233">
        <f t="shared" si="150"/>
        <v>5331</v>
      </c>
    </row>
    <row r="1364" spans="1:25">
      <c r="A1364" s="156" t="e" cm="1">
        <f t="array" aca="1" ref="A1364" ca="1">_xlfn.IFS(E1364=$AB$42,$AC$42,E1364=$AB$43,$AC$43,E1364=$AB$44,$AC$44,E1364=$AB$45,$AC$45,E1364=$AB$46,$AC$46,E1364=$AB$47,$AC$47,E1364=$AB$48,$AC$48,E1364=$AB$49,$AC$49,E1364=$AB$50,$AC$50,E1364=$AB$51,$AC$51,E1364=$AB$52,$AC$52,E1364=$AB$53,$AC$53,E1364=$AB$54,$AC$54,E1364=$AB$55,$AC$55,E1364=$AB$56,$AC$56,E1364=$AB$57,$AC$57,E1364=$AB$58,$AC$58,E1364=$AB$59,$AC$59,E1364=$AB$60,$AC$60,E1364=$AB$61,$AC$61,E1364=$AB$62,$AC$62,E1364=$AB$63,$AC$63,E1364=$AB$64,$AC$64,E1364=$AB$65,$AC$65,E1364=$AB$66,$AC$66,TRUE,"0")</f>
        <v>#NAME?</v>
      </c>
      <c r="C1364" s="161" t="str" cm="1">
        <f t="array" ref="C1364">_xlfn.IFS(E1364=$AB$42,$AF$42,E1364=$AB$43,$AF$43,E1364=$AB$44,$AF$44,E1364=$AB$45,$AF$45,E1364=$AB$46,$AF$46,E1364=$AB$47,$AF$47,E1364=$AB$48,$AF$48,E1364=$AB$49,$AF$49,E1364=$AB$50,$AF$50,E1364=$AB$51,$AF$51,E1364=$AB$52,$AF$52,E1364=$AB$53,$AF$53,E1364=$AB$54,$AF$54,E1364=$AB$55,$AF$55,E1364=$AB$56,$AF$56,E1364=$AB$57,$AF$57,E1364=$AB$58,$AF$58,E1364=$AB$59,$AF$59,E1364=$AB$60,$AF$60,E1364=$AB$61,$AF$61,E1364=$AB$62,$AF$62,E1364=$AB$63,$AF$63,E1364=$AB$64,$AF$64,E1364=$AB$65,$AF$65,E1364=$AB$66,$AF$66,TRUE,"0")</f>
        <v>40 mins Back ANother Goal</v>
      </c>
      <c r="D1364" s="270" t="str" cm="1">
        <f t="array" ref="D1364">_xlfn.IFS(E1364=$AB$42,$AD$42,E1364=$AB$43,$AD$43,E1364=$AB$44,$AD$44,E1364=$AB$45,$AD$45,E1364=$AB$46,$AD$46,E1364=$AB$47,$AD$47,E1364=$AB$48,$AD$48,E1364=$AB$49,$AD$49,E1364=$AB$50,$AD$50,E1364=$AB$51,$AD$51,E1364=$AB$52,$AD$52,E1364=$AB$53,$AD$53,E1364=$AB$54,$AD$54,E1364=$AB$55,$AD$55,E1364=$AB$56,$AD$56,E1364=$AB$57,$AD$57,E1364=$AB$58,$AD$58,E1364=$AB$59,$AD$59,E1364=$AB$60,$AD$60,E1364=$AB$61,$AD$61,E1364=$AB$62,$AD$62,E1364=$AB$63,$AD$63,E1364=$AB$64,$AD$64,E1364=$AB$65,$AD$65,E1364=$AB$66,$AD$66,TRUE,"0")</f>
        <v xml:space="preserve">  BANG</v>
      </c>
      <c r="E1364" s="2" t="s">
        <v>515</v>
      </c>
      <c r="F1364" s="2" t="s">
        <v>534</v>
      </c>
      <c r="G1364" s="2" t="s">
        <v>535</v>
      </c>
      <c r="H1364" s="3">
        <v>45417.25</v>
      </c>
      <c r="I1364" s="2" t="s">
        <v>536</v>
      </c>
      <c r="J1364" s="2" t="s">
        <v>799</v>
      </c>
      <c r="K1364" s="2">
        <v>20</v>
      </c>
      <c r="L1364" s="2">
        <v>74</v>
      </c>
      <c r="M1364" s="2">
        <v>2.1</v>
      </c>
      <c r="N1364" s="2"/>
      <c r="O1364" s="2"/>
      <c r="P1364" s="2"/>
      <c r="Q1364" s="2" t="s">
        <v>95</v>
      </c>
      <c r="R1364" s="10" t="s">
        <v>221</v>
      </c>
      <c r="S1364" s="10" t="s">
        <v>223</v>
      </c>
      <c r="T1364" s="188">
        <v>1000</v>
      </c>
      <c r="U1364" s="8">
        <f t="shared" si="155"/>
        <v>180</v>
      </c>
      <c r="V1364" s="234">
        <f t="shared" si="156"/>
        <v>138784.15524616028</v>
      </c>
      <c r="W1364" s="15">
        <v>25</v>
      </c>
      <c r="X1364" s="8">
        <f t="shared" si="149"/>
        <v>4.5</v>
      </c>
      <c r="Y1364" s="233">
        <f t="shared" si="150"/>
        <v>5335.5</v>
      </c>
    </row>
    <row r="1365" spans="1:25">
      <c r="A1365" s="156" t="e" cm="1">
        <f t="array" aca="1" ref="A1365" ca="1">_xlfn.IFS(E1365=$AB$42,$AC$42,E1365=$AB$43,$AC$43,E1365=$AB$44,$AC$44,E1365=$AB$45,$AC$45,E1365=$AB$46,$AC$46,E1365=$AB$47,$AC$47,E1365=$AB$48,$AC$48,E1365=$AB$49,$AC$49,E1365=$AB$50,$AC$50,E1365=$AB$51,$AC$51,E1365=$AB$52,$AC$52,E1365=$AB$53,$AC$53,E1365=$AB$54,$AC$54,E1365=$AB$55,$AC$55,E1365=$AB$56,$AC$56,E1365=$AB$57,$AC$57,E1365=$AB$58,$AC$58,E1365=$AB$59,$AC$59,E1365=$AB$60,$AC$60,E1365=$AB$61,$AC$61,E1365=$AB$62,$AC$62,E1365=$AB$63,$AC$63,E1365=$AB$64,$AC$64,E1365=$AB$65,$AC$65,E1365=$AB$66,$AC$66,TRUE,"0")</f>
        <v>#NAME?</v>
      </c>
      <c r="C1365" s="161" t="str" cm="1">
        <f t="array" ref="C1365">_xlfn.IFS(E1365=$AB$42,$AF$42,E1365=$AB$43,$AF$43,E1365=$AB$44,$AF$44,E1365=$AB$45,$AF$45,E1365=$AB$46,$AF$46,E1365=$AB$47,$AF$47,E1365=$AB$48,$AF$48,E1365=$AB$49,$AF$49,E1365=$AB$50,$AF$50,E1365=$AB$51,$AF$51,E1365=$AB$52,$AF$52,E1365=$AB$53,$AF$53,E1365=$AB$54,$AF$54,E1365=$AB$55,$AF$55,E1365=$AB$56,$AF$56,E1365=$AB$57,$AF$57,E1365=$AB$58,$AF$58,E1365=$AB$59,$AF$59,E1365=$AB$60,$AF$60,E1365=$AB$61,$AF$61,E1365=$AB$62,$AF$62,E1365=$AB$63,$AF$63,E1365=$AB$64,$AF$64,E1365=$AB$65,$AF$65,E1365=$AB$66,$AF$66,TRUE,"0")</f>
        <v>B4 match BACK FT +1.5 goals. X AFTER  GOAL</v>
      </c>
      <c r="D1365" s="270" t="str" cm="1">
        <f t="array" ref="D1365">_xlfn.IFS(E1365=$AB$42,$AD$42,E1365=$AB$43,$AD$43,E1365=$AB$44,$AD$44,E1365=$AB$45,$AD$45,E1365=$AB$46,$AD$46,E1365=$AB$47,$AD$47,E1365=$AB$48,$AD$48,E1365=$AB$49,$AD$49,E1365=$AB$50,$AD$50,E1365=$AB$51,$AD$51,E1365=$AB$52,$AD$52,E1365=$AB$53,$AD$53,E1365=$AB$54,$AD$54,E1365=$AB$55,$AD$55,E1365=$AB$56,$AD$56,E1365=$AB$57,$AD$57,E1365=$AB$58,$AD$58,E1365=$AB$59,$AD$59,E1365=$AB$60,$AD$60,E1365=$AB$61,$AD$61,E1365=$AB$62,$AD$62,E1365=$AB$63,$AD$63,E1365=$AB$64,$AD$64,E1365=$AB$65,$AD$65,E1365=$AB$66,$AD$66,TRUE,"0")</f>
        <v xml:space="preserve">BFM </v>
      </c>
      <c r="E1365" s="2" t="s">
        <v>623</v>
      </c>
      <c r="F1365" s="2" t="s">
        <v>149</v>
      </c>
      <c r="G1365" s="2" t="s">
        <v>153</v>
      </c>
      <c r="H1365" s="3">
        <v>45417.46875</v>
      </c>
      <c r="I1365" s="2" t="s">
        <v>188</v>
      </c>
      <c r="J1365" s="2" t="s">
        <v>395</v>
      </c>
      <c r="K1365" s="2">
        <v>2.38</v>
      </c>
      <c r="L1365" s="2">
        <v>20</v>
      </c>
      <c r="M1365" s="2">
        <v>3.4</v>
      </c>
      <c r="N1365" s="2">
        <v>27</v>
      </c>
      <c r="O1365" s="2">
        <v>4</v>
      </c>
      <c r="P1365" s="2">
        <v>10</v>
      </c>
      <c r="Q1365" s="2" t="s">
        <v>95</v>
      </c>
      <c r="R1365" s="10" t="s">
        <v>210</v>
      </c>
      <c r="S1365" s="10" t="s">
        <v>277</v>
      </c>
      <c r="T1365" s="188">
        <v>1000</v>
      </c>
      <c r="U1365" s="8">
        <f t="shared" si="155"/>
        <v>180</v>
      </c>
      <c r="V1365" s="234">
        <f t="shared" si="156"/>
        <v>138964.15524616028</v>
      </c>
      <c r="W1365" s="15">
        <v>25</v>
      </c>
      <c r="X1365" s="8">
        <f t="shared" si="149"/>
        <v>4.5</v>
      </c>
      <c r="Y1365" s="233">
        <f t="shared" si="150"/>
        <v>5340</v>
      </c>
    </row>
    <row r="1366" spans="1:25">
      <c r="A1366" s="156" t="e" cm="1">
        <f t="array" aca="1" ref="A1366" ca="1">_xlfn.IFS(E1366=$AB$42,$AC$42,E1366=$AB$43,$AC$43,E1366=$AB$44,$AC$44,E1366=$AB$45,$AC$45,E1366=$AB$46,$AC$46,E1366=$AB$47,$AC$47,E1366=$AB$48,$AC$48,E1366=$AB$49,$AC$49,E1366=$AB$50,$AC$50,E1366=$AB$51,$AC$51,E1366=$AB$52,$AC$52,E1366=$AB$53,$AC$53,E1366=$AB$54,$AC$54,E1366=$AB$55,$AC$55,E1366=$AB$56,$AC$56,E1366=$AB$57,$AC$57,E1366=$AB$58,$AC$58,E1366=$AB$59,$AC$59,E1366=$AB$60,$AC$60,E1366=$AB$61,$AC$61,E1366=$AB$62,$AC$62,E1366=$AB$63,$AC$63,E1366=$AB$64,$AC$64,E1366=$AB$65,$AC$65,E1366=$AB$66,$AC$66,TRUE,"0")</f>
        <v>#NAME?</v>
      </c>
      <c r="C1366" s="161" t="str" cm="1">
        <f t="array" ref="C1366">_xlfn.IFS(E1366=$AB$42,$AF$42,E1366=$AB$43,$AF$43,E1366=$AB$44,$AF$44,E1366=$AB$45,$AF$45,E1366=$AB$46,$AF$46,E1366=$AB$47,$AF$47,E1366=$AB$48,$AF$48,E1366=$AB$49,$AF$49,E1366=$AB$50,$AF$50,E1366=$AB$51,$AF$51,E1366=$AB$52,$AF$52,E1366=$AB$53,$AF$53,E1366=$AB$54,$AF$54,E1366=$AB$55,$AF$55,E1366=$AB$56,$AF$56,E1366=$AB$57,$AF$57,E1366=$AB$58,$AF$58,E1366=$AB$59,$AF$59,E1366=$AB$60,$AF$60,E1366=$AB$61,$AF$61,E1366=$AB$62,$AF$62,E1366=$AB$63,$AF$63,E1366=$AB$64,$AF$64,E1366=$AB$65,$AF$65,E1366=$AB$66,$AF$66,TRUE,"0")</f>
        <v>40 mins Back ANother Goal</v>
      </c>
      <c r="D1366" s="270" t="str" cm="1">
        <f t="array" ref="D1366">_xlfn.IFS(E1366=$AB$42,$AD$42,E1366=$AB$43,$AD$43,E1366=$AB$44,$AD$44,E1366=$AB$45,$AD$45,E1366=$AB$46,$AD$46,E1366=$AB$47,$AD$47,E1366=$AB$48,$AD$48,E1366=$AB$49,$AD$49,E1366=$AB$50,$AD$50,E1366=$AB$51,$AD$51,E1366=$AB$52,$AD$52,E1366=$AB$53,$AD$53,E1366=$AB$54,$AD$54,E1366=$AB$55,$AD$55,E1366=$AB$56,$AD$56,E1366=$AB$57,$AD$57,E1366=$AB$58,$AD$58,E1366=$AB$59,$AD$59,E1366=$AB$60,$AD$60,E1366=$AB$61,$AD$61,E1366=$AB$62,$AD$62,E1366=$AB$63,$AD$63,E1366=$AB$64,$AD$64,E1366=$AB$65,$AD$65,E1366=$AB$66,$AD$66,TRUE,"0")</f>
        <v xml:space="preserve">  BANG</v>
      </c>
      <c r="E1366" s="2" t="s">
        <v>792</v>
      </c>
      <c r="F1366" s="2" t="s">
        <v>67</v>
      </c>
      <c r="G1366" s="2" t="s">
        <v>68</v>
      </c>
      <c r="H1366" s="3">
        <v>45417.520833333336</v>
      </c>
      <c r="I1366" s="2" t="s">
        <v>371</v>
      </c>
      <c r="J1366" s="2" t="s">
        <v>265</v>
      </c>
      <c r="K1366" s="2">
        <v>2</v>
      </c>
      <c r="L1366" s="2">
        <v>85</v>
      </c>
      <c r="M1366" s="2">
        <v>70</v>
      </c>
      <c r="N1366" s="2">
        <v>64</v>
      </c>
      <c r="O1366" s="2">
        <v>20</v>
      </c>
      <c r="P1366" s="2"/>
      <c r="Q1366" s="2" t="s">
        <v>95</v>
      </c>
      <c r="R1366" s="10" t="s">
        <v>221</v>
      </c>
      <c r="S1366" s="10" t="s">
        <v>223</v>
      </c>
      <c r="T1366" s="188">
        <v>1000</v>
      </c>
      <c r="U1366" s="8">
        <f t="shared" si="155"/>
        <v>180</v>
      </c>
      <c r="V1366" s="234">
        <f t="shared" si="156"/>
        <v>139144.15524616028</v>
      </c>
      <c r="W1366" s="15">
        <v>25</v>
      </c>
      <c r="X1366" s="8">
        <f t="shared" si="149"/>
        <v>4.5</v>
      </c>
      <c r="Y1366" s="233">
        <f t="shared" si="150"/>
        <v>5344.5</v>
      </c>
    </row>
    <row r="1367" spans="1:25">
      <c r="A1367" s="156" t="e" cm="1">
        <f t="array" aca="1" ref="A1367" ca="1">_xlfn.IFS(E1367=$AB$42,$AC$42,E1367=$AB$43,$AC$43,E1367=$AB$44,$AC$44,E1367=$AB$45,$AC$45,E1367=$AB$46,$AC$46,E1367=$AB$47,$AC$47,E1367=$AB$48,$AC$48,E1367=$AB$49,$AC$49,E1367=$AB$50,$AC$50,E1367=$AB$51,$AC$51,E1367=$AB$52,$AC$52,E1367=$AB$53,$AC$53,E1367=$AB$54,$AC$54,E1367=$AB$55,$AC$55,E1367=$AB$56,$AC$56,E1367=$AB$57,$AC$57,E1367=$AB$58,$AC$58,E1367=$AB$59,$AC$59,E1367=$AB$60,$AC$60,E1367=$AB$61,$AC$61,E1367=$AB$62,$AC$62,E1367=$AB$63,$AC$63,E1367=$AB$64,$AC$64,E1367=$AB$65,$AC$65,E1367=$AB$66,$AC$66,TRUE,"0")</f>
        <v>#NAME?</v>
      </c>
      <c r="C1367" s="161" t="str" cm="1">
        <f t="array" ref="C1367">_xlfn.IFS(E1367=$AB$42,$AF$42,E1367=$AB$43,$AF$43,E1367=$AB$44,$AF$44,E1367=$AB$45,$AF$45,E1367=$AB$46,$AF$46,E1367=$AB$47,$AF$47,E1367=$AB$48,$AF$48,E1367=$AB$49,$AF$49,E1367=$AB$50,$AF$50,E1367=$AB$51,$AF$51,E1367=$AB$52,$AF$52,E1367=$AB$53,$AF$53,E1367=$AB$54,$AF$54,E1367=$AB$55,$AF$55,E1367=$AB$56,$AF$56,E1367=$AB$57,$AF$57,E1367=$AB$58,$AF$58,E1367=$AB$59,$AF$59,E1367=$AB$60,$AF$60,E1367=$AB$61,$AF$61,E1367=$AB$62,$AF$62,E1367=$AB$63,$AF$63,E1367=$AB$64,$AF$64,E1367=$AB$65,$AF$65,E1367=$AB$66,$AF$66,TRUE,"0")</f>
        <v>40 mins Back ANother Goal</v>
      </c>
      <c r="D1367" s="270" t="str" cm="1">
        <f t="array" ref="D1367">_xlfn.IFS(E1367=$AB$42,$AD$42,E1367=$AB$43,$AD$43,E1367=$AB$44,$AD$44,E1367=$AB$45,$AD$45,E1367=$AB$46,$AD$46,E1367=$AB$47,$AD$47,E1367=$AB$48,$AD$48,E1367=$AB$49,$AD$49,E1367=$AB$50,$AD$50,E1367=$AB$51,$AD$51,E1367=$AB$52,$AD$52,E1367=$AB$53,$AD$53,E1367=$AB$54,$AD$54,E1367=$AB$55,$AD$55,E1367=$AB$56,$AD$56,E1367=$AB$57,$AD$57,E1367=$AB$58,$AD$58,E1367=$AB$59,$AD$59,E1367=$AB$60,$AD$60,E1367=$AB$61,$AD$61,E1367=$AB$62,$AD$62,E1367=$AB$63,$AD$63,E1367=$AB$64,$AD$64,E1367=$AB$65,$AD$65,E1367=$AB$66,$AD$66,TRUE,"0")</f>
        <v xml:space="preserve">  BANG</v>
      </c>
      <c r="E1367" s="2" t="s">
        <v>35</v>
      </c>
      <c r="F1367" s="2" t="s">
        <v>67</v>
      </c>
      <c r="G1367" s="2" t="s">
        <v>68</v>
      </c>
      <c r="H1367" s="3">
        <v>45417.520833333336</v>
      </c>
      <c r="I1367" s="2" t="s">
        <v>371</v>
      </c>
      <c r="J1367" s="2" t="s">
        <v>265</v>
      </c>
      <c r="K1367" s="2">
        <v>71</v>
      </c>
      <c r="L1367" s="2">
        <v>85</v>
      </c>
      <c r="M1367" s="2">
        <v>70</v>
      </c>
      <c r="N1367" s="2">
        <v>40</v>
      </c>
      <c r="O1367" s="2">
        <v>20</v>
      </c>
      <c r="P1367" s="2">
        <v>1.77</v>
      </c>
      <c r="Q1367" s="2" t="s">
        <v>95</v>
      </c>
      <c r="R1367" s="10" t="s">
        <v>221</v>
      </c>
      <c r="S1367" s="10" t="s">
        <v>223</v>
      </c>
      <c r="T1367" s="188">
        <v>1000</v>
      </c>
      <c r="U1367" s="8">
        <f t="shared" si="155"/>
        <v>180</v>
      </c>
      <c r="V1367" s="234">
        <f t="shared" si="156"/>
        <v>139324.15524616028</v>
      </c>
      <c r="W1367" s="15">
        <v>25</v>
      </c>
      <c r="X1367" s="8">
        <f t="shared" si="149"/>
        <v>4.5</v>
      </c>
      <c r="Y1367" s="233">
        <f t="shared" si="150"/>
        <v>5349</v>
      </c>
    </row>
    <row r="1368" spans="1:25">
      <c r="A1368" s="156" t="e" cm="1">
        <f t="array" aca="1" ref="A1368" ca="1">_xlfn.IFS(E1368=$AB$42,$AC$42,E1368=$AB$43,$AC$43,E1368=$AB$44,$AC$44,E1368=$AB$45,$AC$45,E1368=$AB$46,$AC$46,E1368=$AB$47,$AC$47,E1368=$AB$48,$AC$48,E1368=$AB$49,$AC$49,E1368=$AB$50,$AC$50,E1368=$AB$51,$AC$51,E1368=$AB$52,$AC$52,E1368=$AB$53,$AC$53,E1368=$AB$54,$AC$54,E1368=$AB$55,$AC$55,E1368=$AB$56,$AC$56,E1368=$AB$57,$AC$57,E1368=$AB$58,$AC$58,E1368=$AB$59,$AC$59,E1368=$AB$60,$AC$60,E1368=$AB$61,$AC$61,E1368=$AB$62,$AC$62,E1368=$AB$63,$AC$63,E1368=$AB$64,$AC$64,E1368=$AB$65,$AC$65,E1368=$AB$66,$AC$66,TRUE,"0")</f>
        <v>#NAME?</v>
      </c>
      <c r="C1368" s="161" t="str" cm="1">
        <f t="array" ref="C1368">_xlfn.IFS(E1368=$AB$42,$AF$42,E1368=$AB$43,$AF$43,E1368=$AB$44,$AF$44,E1368=$AB$45,$AF$45,E1368=$AB$46,$AF$46,E1368=$AB$47,$AF$47,E1368=$AB$48,$AF$48,E1368=$AB$49,$AF$49,E1368=$AB$50,$AF$50,E1368=$AB$51,$AF$51,E1368=$AB$52,$AF$52,E1368=$AB$53,$AF$53,E1368=$AB$54,$AF$54,E1368=$AB$55,$AF$55,E1368=$AB$56,$AF$56,E1368=$AB$57,$AF$57,E1368=$AB$58,$AF$58,E1368=$AB$59,$AF$59,E1368=$AB$60,$AF$60,E1368=$AB$61,$AF$61,E1368=$AB$62,$AF$62,E1368=$AB$63,$AF$63,E1368=$AB$64,$AF$64,E1368=$AB$65,$AF$65,E1368=$AB$66,$AF$66,TRUE,"0")</f>
        <v>40 mins Back ANother Goal</v>
      </c>
      <c r="D1368" s="270" t="str" cm="1">
        <f t="array" ref="D1368">_xlfn.IFS(E1368=$AB$42,$AD$42,E1368=$AB$43,$AD$43,E1368=$AB$44,$AD$44,E1368=$AB$45,$AD$45,E1368=$AB$46,$AD$46,E1368=$AB$47,$AD$47,E1368=$AB$48,$AD$48,E1368=$AB$49,$AD$49,E1368=$AB$50,$AD$50,E1368=$AB$51,$AD$51,E1368=$AB$52,$AD$52,E1368=$AB$53,$AD$53,E1368=$AB$54,$AD$54,E1368=$AB$55,$AD$55,E1368=$AB$56,$AD$56,E1368=$AB$57,$AD$57,E1368=$AB$58,$AD$58,E1368=$AB$59,$AD$59,E1368=$AB$60,$AD$60,E1368=$AB$61,$AD$61,E1368=$AB$62,$AD$62,E1368=$AB$63,$AD$63,E1368=$AB$64,$AD$64,E1368=$AB$65,$AD$65,E1368=$AB$66,$AD$66,TRUE,"0")</f>
        <v xml:space="preserve">  BANG</v>
      </c>
      <c r="E1368" s="2" t="s">
        <v>726</v>
      </c>
      <c r="F1368" s="2" t="s">
        <v>67</v>
      </c>
      <c r="G1368" s="2" t="s">
        <v>68</v>
      </c>
      <c r="H1368" s="3">
        <v>45417.520833333336</v>
      </c>
      <c r="I1368" s="2" t="s">
        <v>371</v>
      </c>
      <c r="J1368" s="2" t="s">
        <v>265</v>
      </c>
      <c r="K1368" s="2">
        <v>85</v>
      </c>
      <c r="L1368" s="2">
        <v>20</v>
      </c>
      <c r="M1368" s="2">
        <v>2</v>
      </c>
      <c r="N1368" s="2">
        <v>64</v>
      </c>
      <c r="O1368" s="2"/>
      <c r="P1368" s="2"/>
      <c r="Q1368" s="2" t="s">
        <v>95</v>
      </c>
      <c r="R1368" s="10" t="s">
        <v>221</v>
      </c>
      <c r="S1368" s="10" t="s">
        <v>223</v>
      </c>
      <c r="T1368" s="188">
        <v>1000</v>
      </c>
      <c r="U1368" s="8">
        <f t="shared" si="155"/>
        <v>180</v>
      </c>
      <c r="V1368" s="234">
        <f t="shared" si="156"/>
        <v>139504.15524616028</v>
      </c>
      <c r="W1368" s="15">
        <v>25</v>
      </c>
      <c r="X1368" s="8">
        <f t="shared" si="149"/>
        <v>4.5</v>
      </c>
      <c r="Y1368" s="233">
        <f t="shared" si="150"/>
        <v>5353.5</v>
      </c>
    </row>
    <row r="1369" spans="1:25">
      <c r="A1369" s="156" t="e" cm="1">
        <f t="array" aca="1" ref="A1369" ca="1">_xlfn.IFS(E1369=$AB$42,$AC$42,E1369=$AB$43,$AC$43,E1369=$AB$44,$AC$44,E1369=$AB$45,$AC$45,E1369=$AB$46,$AC$46,E1369=$AB$47,$AC$47,E1369=$AB$48,$AC$48,E1369=$AB$49,$AC$49,E1369=$AB$50,$AC$50,E1369=$AB$51,$AC$51,E1369=$AB$52,$AC$52,E1369=$AB$53,$AC$53,E1369=$AB$54,$AC$54,E1369=$AB$55,$AC$55,E1369=$AB$56,$AC$56,E1369=$AB$57,$AC$57,E1369=$AB$58,$AC$58,E1369=$AB$59,$AC$59,E1369=$AB$60,$AC$60,E1369=$AB$61,$AC$61,E1369=$AB$62,$AC$62,E1369=$AB$63,$AC$63,E1369=$AB$64,$AC$64,E1369=$AB$65,$AC$65,E1369=$AB$66,$AC$66,TRUE,"0")</f>
        <v>#NAME?</v>
      </c>
      <c r="C1369" s="161" t="str" cm="1">
        <f t="array" ref="C1369">_xlfn.IFS(E1369=$AB$42,$AF$42,E1369=$AB$43,$AF$43,E1369=$AB$44,$AF$44,E1369=$AB$45,$AF$45,E1369=$AB$46,$AF$46,E1369=$AB$47,$AF$47,E1369=$AB$48,$AF$48,E1369=$AB$49,$AF$49,E1369=$AB$50,$AF$50,E1369=$AB$51,$AF$51,E1369=$AB$52,$AF$52,E1369=$AB$53,$AF$53,E1369=$AB$54,$AF$54,E1369=$AB$55,$AF$55,E1369=$AB$56,$AF$56,E1369=$AB$57,$AF$57,E1369=$AB$58,$AF$58,E1369=$AB$59,$AF$59,E1369=$AB$60,$AF$60,E1369=$AB$61,$AF$61,E1369=$AB$62,$AF$62,E1369=$AB$63,$AF$63,E1369=$AB$64,$AF$64,E1369=$AB$65,$AF$65,E1369=$AB$66,$AF$66,TRUE,"0")</f>
        <v>40 mins Back ANother Goal</v>
      </c>
      <c r="D1369" s="270" t="str" cm="1">
        <f t="array" ref="D1369">_xlfn.IFS(E1369=$AB$42,$AD$42,E1369=$AB$43,$AD$43,E1369=$AB$44,$AD$44,E1369=$AB$45,$AD$45,E1369=$AB$46,$AD$46,E1369=$AB$47,$AD$47,E1369=$AB$48,$AD$48,E1369=$AB$49,$AD$49,E1369=$AB$50,$AD$50,E1369=$AB$51,$AD$51,E1369=$AB$52,$AD$52,E1369=$AB$53,$AD$53,E1369=$AB$54,$AD$54,E1369=$AB$55,$AD$55,E1369=$AB$56,$AD$56,E1369=$AB$57,$AD$57,E1369=$AB$58,$AD$58,E1369=$AB$59,$AD$59,E1369=$AB$60,$AD$60,E1369=$AB$61,$AD$61,E1369=$AB$62,$AD$62,E1369=$AB$63,$AD$63,E1369=$AB$64,$AD$64,E1369=$AB$65,$AD$65,E1369=$AB$66,$AD$66,TRUE,"0")</f>
        <v xml:space="preserve">  BANG</v>
      </c>
      <c r="E1369" s="2" t="s">
        <v>515</v>
      </c>
      <c r="F1369" s="2" t="s">
        <v>67</v>
      </c>
      <c r="G1369" s="2" t="s">
        <v>68</v>
      </c>
      <c r="H1369" s="3">
        <v>45417.520833333336</v>
      </c>
      <c r="I1369" s="2" t="s">
        <v>371</v>
      </c>
      <c r="J1369" s="2" t="s">
        <v>265</v>
      </c>
      <c r="K1369" s="2">
        <v>20</v>
      </c>
      <c r="L1369" s="2">
        <v>71</v>
      </c>
      <c r="M1369" s="2">
        <v>2</v>
      </c>
      <c r="N1369" s="2"/>
      <c r="O1369" s="2"/>
      <c r="P1369" s="2"/>
      <c r="Q1369" s="2" t="s">
        <v>95</v>
      </c>
      <c r="R1369" s="10" t="s">
        <v>221</v>
      </c>
      <c r="S1369" s="10" t="s">
        <v>223</v>
      </c>
      <c r="T1369" s="188">
        <v>1000</v>
      </c>
      <c r="U1369" s="8">
        <f t="shared" si="155"/>
        <v>180</v>
      </c>
      <c r="V1369" s="234">
        <f t="shared" si="156"/>
        <v>139684.15524616028</v>
      </c>
      <c r="W1369" s="15">
        <v>25</v>
      </c>
      <c r="X1369" s="8">
        <f t="shared" si="149"/>
        <v>4.5</v>
      </c>
      <c r="Y1369" s="233">
        <f t="shared" si="150"/>
        <v>5358</v>
      </c>
    </row>
    <row r="1370" spans="1:25">
      <c r="A1370" s="156" t="e" cm="1">
        <f t="array" aca="1" ref="A1370" ca="1">_xlfn.IFS(E1370=$AB$42,$AC$42,E1370=$AB$43,$AC$43,E1370=$AB$44,$AC$44,E1370=$AB$45,$AC$45,E1370=$AB$46,$AC$46,E1370=$AB$47,$AC$47,E1370=$AB$48,$AC$48,E1370=$AB$49,$AC$49,E1370=$AB$50,$AC$50,E1370=$AB$51,$AC$51,E1370=$AB$52,$AC$52,E1370=$AB$53,$AC$53,E1370=$AB$54,$AC$54,E1370=$AB$55,$AC$55,E1370=$AB$56,$AC$56,E1370=$AB$57,$AC$57,E1370=$AB$58,$AC$58,E1370=$AB$59,$AC$59,E1370=$AB$60,$AC$60,E1370=$AB$61,$AC$61,E1370=$AB$62,$AC$62,E1370=$AB$63,$AC$63,E1370=$AB$64,$AC$64,E1370=$AB$65,$AC$65,E1370=$AB$66,$AC$66,TRUE,"0")</f>
        <v>#NAME?</v>
      </c>
      <c r="C1370" s="161" t="str" cm="1">
        <f t="array" ref="C1370">_xlfn.IFS(E1370=$AB$42,$AF$42,E1370=$AB$43,$AF$43,E1370=$AB$44,$AF$44,E1370=$AB$45,$AF$45,E1370=$AB$46,$AF$46,E1370=$AB$47,$AF$47,E1370=$AB$48,$AF$48,E1370=$AB$49,$AF$49,E1370=$AB$50,$AF$50,E1370=$AB$51,$AF$51,E1370=$AB$52,$AF$52,E1370=$AB$53,$AF$53,E1370=$AB$54,$AF$54,E1370=$AB$55,$AF$55,E1370=$AB$56,$AF$56,E1370=$AB$57,$AF$57,E1370=$AB$58,$AF$58,E1370=$AB$59,$AF$59,E1370=$AB$60,$AF$60,E1370=$AB$61,$AF$61,E1370=$AB$62,$AF$62,E1370=$AB$63,$AF$63,E1370=$AB$64,$AF$64,E1370=$AB$65,$AF$65,E1370=$AB$66,$AF$66,TRUE,"0")</f>
        <v>10mins if  0-0, BACK over 1.5 goals X after goal OR LET RUN</v>
      </c>
      <c r="D1370" s="270" t="str" cm="1">
        <f t="array" ref="D1370">_xlfn.IFS(E1370=$AB$42,$AD$42,E1370=$AB$43,$AD$43,E1370=$AB$44,$AD$44,E1370=$AB$45,$AD$45,E1370=$AB$46,$AD$46,E1370=$AB$47,$AD$47,E1370=$AB$48,$AD$48,E1370=$AB$49,$AD$49,E1370=$AB$50,$AD$50,E1370=$AB$51,$AD$51,E1370=$AB$52,$AD$52,E1370=$AB$53,$AD$53,E1370=$AB$54,$AD$54,E1370=$AB$55,$AD$55,E1370=$AB$56,$AD$56,E1370=$AB$57,$AD$57,E1370=$AB$58,$AD$58,E1370=$AB$59,$AD$59,E1370=$AB$60,$AD$60,E1370=$AB$61,$AD$61,E1370=$AB$62,$AD$62,E1370=$AB$63,$AD$63,E1370=$AB$64,$AD$64,E1370=$AB$65,$AD$65,E1370=$AB$66,$AD$66,TRUE,"0")</f>
        <v>IP</v>
      </c>
      <c r="E1370" s="2" t="s">
        <v>498</v>
      </c>
      <c r="F1370" s="2" t="s">
        <v>77</v>
      </c>
      <c r="G1370" s="2" t="s">
        <v>234</v>
      </c>
      <c r="H1370" s="3">
        <v>45417.520833333336</v>
      </c>
      <c r="I1370" s="2" t="s">
        <v>499</v>
      </c>
      <c r="J1370" s="2" t="s">
        <v>475</v>
      </c>
      <c r="K1370" s="2">
        <v>74</v>
      </c>
      <c r="L1370" s="2">
        <v>85</v>
      </c>
      <c r="M1370" s="2">
        <v>1.35</v>
      </c>
      <c r="N1370" s="2">
        <v>20</v>
      </c>
      <c r="O1370" s="2"/>
      <c r="P1370" s="2"/>
      <c r="Q1370" s="2" t="s">
        <v>95</v>
      </c>
      <c r="R1370" s="10" t="s">
        <v>216</v>
      </c>
      <c r="S1370" s="10" t="s">
        <v>277</v>
      </c>
      <c r="T1370" s="188">
        <v>1000</v>
      </c>
      <c r="U1370" s="8">
        <f t="shared" si="155"/>
        <v>180</v>
      </c>
      <c r="V1370" s="234">
        <f t="shared" si="156"/>
        <v>139864.15524616028</v>
      </c>
      <c r="W1370" s="15">
        <v>25</v>
      </c>
      <c r="X1370" s="8">
        <f t="shared" si="149"/>
        <v>4.5</v>
      </c>
      <c r="Y1370" s="233">
        <f t="shared" si="150"/>
        <v>5362.5</v>
      </c>
    </row>
    <row r="1371" spans="1:25">
      <c r="A1371" s="156" t="e" cm="1">
        <f t="array" aca="1" ref="A1371" ca="1">_xlfn.IFS(E1371=$AB$42,$AC$42,E1371=$AB$43,$AC$43,E1371=$AB$44,$AC$44,E1371=$AB$45,$AC$45,E1371=$AB$46,$AC$46,E1371=$AB$47,$AC$47,E1371=$AB$48,$AC$48,E1371=$AB$49,$AC$49,E1371=$AB$50,$AC$50,E1371=$AB$51,$AC$51,E1371=$AB$52,$AC$52,E1371=$AB$53,$AC$53,E1371=$AB$54,$AC$54,E1371=$AB$55,$AC$55,E1371=$AB$56,$AC$56,E1371=$AB$57,$AC$57,E1371=$AB$58,$AC$58,E1371=$AB$59,$AC$59,E1371=$AB$60,$AC$60,E1371=$AB$61,$AC$61,E1371=$AB$62,$AC$62,E1371=$AB$63,$AC$63,E1371=$AB$64,$AC$64,E1371=$AB$65,$AC$65,E1371=$AB$66,$AC$66,TRUE,"0")</f>
        <v>#NAME?</v>
      </c>
      <c r="C1371" s="161" t="str" cm="1">
        <f t="array" ref="C1371">_xlfn.IFS(E1371=$AB$42,$AF$42,E1371=$AB$43,$AF$43,E1371=$AB$44,$AF$44,E1371=$AB$45,$AF$45,E1371=$AB$46,$AF$46,E1371=$AB$47,$AF$47,E1371=$AB$48,$AF$48,E1371=$AB$49,$AF$49,E1371=$AB$50,$AF$50,E1371=$AB$51,$AF$51,E1371=$AB$52,$AF$52,E1371=$AB$53,$AF$53,E1371=$AB$54,$AF$54,E1371=$AB$55,$AF$55,E1371=$AB$56,$AF$56,E1371=$AB$57,$AF$57,E1371=$AB$58,$AF$58,E1371=$AB$59,$AF$59,E1371=$AB$60,$AF$60,E1371=$AB$61,$AF$61,E1371=$AB$62,$AF$62,E1371=$AB$63,$AF$63,E1371=$AB$64,$AF$64,E1371=$AB$65,$AF$65,E1371=$AB$66,$AF$66,TRUE,"0")</f>
        <v>10mins if  0-0, BACK over 1.5 goals X after goal OR LET RUN</v>
      </c>
      <c r="D1371" s="270" t="str" cm="1">
        <f t="array" ref="D1371">_xlfn.IFS(E1371=$AB$42,$AD$42,E1371=$AB$43,$AD$43,E1371=$AB$44,$AD$44,E1371=$AB$45,$AD$45,E1371=$AB$46,$AD$46,E1371=$AB$47,$AD$47,E1371=$AB$48,$AD$48,E1371=$AB$49,$AD$49,E1371=$AB$50,$AD$50,E1371=$AB$51,$AD$51,E1371=$AB$52,$AD$52,E1371=$AB$53,$AD$53,E1371=$AB$54,$AD$54,E1371=$AB$55,$AD$55,E1371=$AB$56,$AD$56,E1371=$AB$57,$AD$57,E1371=$AB$58,$AD$58,E1371=$AB$59,$AD$59,E1371=$AB$60,$AD$60,E1371=$AB$61,$AD$61,E1371=$AB$62,$AD$62,E1371=$AB$63,$AD$63,E1371=$AB$64,$AD$64,E1371=$AB$65,$AD$65,E1371=$AB$66,$AD$66,TRUE,"0")</f>
        <v>IP</v>
      </c>
      <c r="E1371" s="2" t="s">
        <v>498</v>
      </c>
      <c r="F1371" s="2" t="s">
        <v>77</v>
      </c>
      <c r="G1371" s="2" t="s">
        <v>234</v>
      </c>
      <c r="H1371" s="3">
        <v>45417.520833333336</v>
      </c>
      <c r="I1371" s="2" t="s">
        <v>407</v>
      </c>
      <c r="J1371" s="2" t="s">
        <v>235</v>
      </c>
      <c r="K1371" s="2">
        <v>64</v>
      </c>
      <c r="L1371" s="2">
        <v>80</v>
      </c>
      <c r="M1371" s="2">
        <v>1.25</v>
      </c>
      <c r="N1371" s="2">
        <v>20</v>
      </c>
      <c r="O1371" s="2"/>
      <c r="P1371" s="2"/>
      <c r="Q1371" s="2" t="s">
        <v>95</v>
      </c>
      <c r="R1371" s="10" t="s">
        <v>221</v>
      </c>
      <c r="S1371" s="10" t="s">
        <v>193</v>
      </c>
      <c r="T1371" s="188">
        <v>1000</v>
      </c>
      <c r="U1371" s="8">
        <f t="shared" si="155"/>
        <v>180</v>
      </c>
      <c r="V1371" s="234">
        <f t="shared" si="156"/>
        <v>140044.15524616028</v>
      </c>
      <c r="W1371" s="15">
        <v>25</v>
      </c>
      <c r="X1371" s="8">
        <f t="shared" si="149"/>
        <v>4.5</v>
      </c>
      <c r="Y1371" s="233">
        <f t="shared" si="150"/>
        <v>5367</v>
      </c>
    </row>
    <row r="1372" spans="1:25">
      <c r="A1372" s="156" t="e" cm="1">
        <f t="array" aca="1" ref="A1372" ca="1">_xlfn.IFS(E1372=$AB$42,$AC$42,E1372=$AB$43,$AC$43,E1372=$AB$44,$AC$44,E1372=$AB$45,$AC$45,E1372=$AB$46,$AC$46,E1372=$AB$47,$AC$47,E1372=$AB$48,$AC$48,E1372=$AB$49,$AC$49,E1372=$AB$50,$AC$50,E1372=$AB$51,$AC$51,E1372=$AB$52,$AC$52,E1372=$AB$53,$AC$53,E1372=$AB$54,$AC$54,E1372=$AB$55,$AC$55,E1372=$AB$56,$AC$56,E1372=$AB$57,$AC$57,E1372=$AB$58,$AC$58,E1372=$AB$59,$AC$59,E1372=$AB$60,$AC$60,E1372=$AB$61,$AC$61,E1372=$AB$62,$AC$62,E1372=$AB$63,$AC$63,E1372=$AB$64,$AC$64,E1372=$AB$65,$AC$65,E1372=$AB$66,$AC$66,TRUE,"0")</f>
        <v>#NAME?</v>
      </c>
      <c r="C1372" s="161" t="str" cm="1">
        <f t="array" ref="C1372">_xlfn.IFS(E1372=$AB$42,$AF$42,E1372=$AB$43,$AF$43,E1372=$AB$44,$AF$44,E1372=$AB$45,$AF$45,E1372=$AB$46,$AF$46,E1372=$AB$47,$AF$47,E1372=$AB$48,$AF$48,E1372=$AB$49,$AF$49,E1372=$AB$50,$AF$50,E1372=$AB$51,$AF$51,E1372=$AB$52,$AF$52,E1372=$AB$53,$AF$53,E1372=$AB$54,$AF$54,E1372=$AB$55,$AF$55,E1372=$AB$56,$AF$56,E1372=$AB$57,$AF$57,E1372=$AB$58,$AF$58,E1372=$AB$59,$AF$59,E1372=$AB$60,$AF$60,E1372=$AB$61,$AF$61,E1372=$AB$62,$AF$62,E1372=$AB$63,$AF$63,E1372=$AB$64,$AF$64,E1372=$AB$65,$AF$65,E1372=$AB$66,$AF$66,TRUE,"0")</f>
        <v>if 0-0, BACK+ 0.5 GOALS  @ 1.15+odds.  or @ 40 mins</v>
      </c>
      <c r="D1372" s="270" t="str" cm="1">
        <f t="array" ref="D1372">_xlfn.IFS(E1372=$AB$42,$AD$42,E1372=$AB$43,$AD$43,E1372=$AB$44,$AD$44,E1372=$AB$45,$AD$45,E1372=$AB$46,$AD$46,E1372=$AB$47,$AD$47,E1372=$AB$48,$AD$48,E1372=$AB$49,$AD$49,E1372=$AB$50,$AD$50,E1372=$AB$51,$AD$51,E1372=$AB$52,$AD$52,E1372=$AB$53,$AD$53,E1372=$AB$54,$AD$54,E1372=$AB$55,$AD$55,E1372=$AB$56,$AD$56,E1372=$AB$57,$AD$57,E1372=$AB$58,$AD$58,E1372=$AB$59,$AD$59,E1372=$AB$60,$AD$60,E1372=$AB$61,$AD$61,E1372=$AB$62,$AD$62,E1372=$AB$63,$AD$63,E1372=$AB$64,$AD$64,E1372=$AB$65,$AD$65,E1372=$AB$66,$AD$66,TRUE,"0")</f>
        <v>IP</v>
      </c>
      <c r="E1372" s="2" t="s">
        <v>270</v>
      </c>
      <c r="F1372" s="2" t="s">
        <v>434</v>
      </c>
      <c r="G1372" s="2" t="s">
        <v>435</v>
      </c>
      <c r="H1372" s="3">
        <v>45417.541666666664</v>
      </c>
      <c r="I1372" s="2" t="s">
        <v>532</v>
      </c>
      <c r="J1372" s="2" t="s">
        <v>599</v>
      </c>
      <c r="K1372" s="2">
        <v>63</v>
      </c>
      <c r="L1372" s="2">
        <v>0</v>
      </c>
      <c r="M1372" s="2">
        <v>20</v>
      </c>
      <c r="N1372" s="2">
        <v>33</v>
      </c>
      <c r="O1372" s="2">
        <v>2.67</v>
      </c>
      <c r="P1372" s="2"/>
      <c r="Q1372" s="2" t="s">
        <v>95</v>
      </c>
      <c r="R1372" s="10" t="s">
        <v>221</v>
      </c>
      <c r="S1372" s="10" t="s">
        <v>193</v>
      </c>
      <c r="T1372" s="188">
        <v>1000</v>
      </c>
      <c r="U1372" s="8">
        <f t="shared" si="155"/>
        <v>180</v>
      </c>
      <c r="V1372" s="234">
        <f t="shared" si="156"/>
        <v>140224.15524616028</v>
      </c>
      <c r="W1372" s="15">
        <v>25</v>
      </c>
      <c r="X1372" s="8">
        <f t="shared" si="149"/>
        <v>4.5</v>
      </c>
      <c r="Y1372" s="233">
        <f t="shared" si="150"/>
        <v>5371.5</v>
      </c>
    </row>
    <row r="1373" spans="1:25">
      <c r="A1373" s="156" t="e" cm="1">
        <f t="array" aca="1" ref="A1373" ca="1">_xlfn.IFS(E1373=$AB$42,$AC$42,E1373=$AB$43,$AC$43,E1373=$AB$44,$AC$44,E1373=$AB$45,$AC$45,E1373=$AB$46,$AC$46,E1373=$AB$47,$AC$47,E1373=$AB$48,$AC$48,E1373=$AB$49,$AC$49,E1373=$AB$50,$AC$50,E1373=$AB$51,$AC$51,E1373=$AB$52,$AC$52,E1373=$AB$53,$AC$53,E1373=$AB$54,$AC$54,E1373=$AB$55,$AC$55,E1373=$AB$56,$AC$56,E1373=$AB$57,$AC$57,E1373=$AB$58,$AC$58,E1373=$AB$59,$AC$59,E1373=$AB$60,$AC$60,E1373=$AB$61,$AC$61,E1373=$AB$62,$AC$62,E1373=$AB$63,$AC$63,E1373=$AB$64,$AC$64,E1373=$AB$65,$AC$65,E1373=$AB$66,$AC$66,TRUE,"0")</f>
        <v>#NAME?</v>
      </c>
      <c r="C1373" s="161" t="str" cm="1">
        <f t="array" ref="C1373">_xlfn.IFS(E1373=$AB$42,$AF$42,E1373=$AB$43,$AF$43,E1373=$AB$44,$AF$44,E1373=$AB$45,$AF$45,E1373=$AB$46,$AF$46,E1373=$AB$47,$AF$47,E1373=$AB$48,$AF$48,E1373=$AB$49,$AF$49,E1373=$AB$50,$AF$50,E1373=$AB$51,$AF$51,E1373=$AB$52,$AF$52,E1373=$AB$53,$AF$53,E1373=$AB$54,$AF$54,E1373=$AB$55,$AF$55,E1373=$AB$56,$AF$56,E1373=$AB$57,$AF$57,E1373=$AB$58,$AF$58,E1373=$AB$59,$AF$59,E1373=$AB$60,$AF$60,E1373=$AB$61,$AF$61,E1373=$AB$62,$AF$62,E1373=$AB$63,$AF$63,E1373=$AB$64,$AF$64,E1373=$AB$65,$AF$65,E1373=$AB$66,$AF$66,TRUE,"0")</f>
        <v>B4 match BACK FT +1.5 goals. X AFTER  GOAL</v>
      </c>
      <c r="D1373" s="270" t="str" cm="1">
        <f t="array" ref="D1373">_xlfn.IFS(E1373=$AB$42,$AD$42,E1373=$AB$43,$AD$43,E1373=$AB$44,$AD$44,E1373=$AB$45,$AD$45,E1373=$AB$46,$AD$46,E1373=$AB$47,$AD$47,E1373=$AB$48,$AD$48,E1373=$AB$49,$AD$49,E1373=$AB$50,$AD$50,E1373=$AB$51,$AD$51,E1373=$AB$52,$AD$52,E1373=$AB$53,$AD$53,E1373=$AB$54,$AD$54,E1373=$AB$55,$AD$55,E1373=$AB$56,$AD$56,E1373=$AB$57,$AD$57,E1373=$AB$58,$AD$58,E1373=$AB$59,$AD$59,E1373=$AB$60,$AD$60,E1373=$AB$61,$AD$61,E1373=$AB$62,$AD$62,E1373=$AB$63,$AD$63,E1373=$AB$64,$AD$64,E1373=$AB$65,$AD$65,E1373=$AB$66,$AD$66,TRUE,"0")</f>
        <v xml:space="preserve">BFM </v>
      </c>
      <c r="E1373" s="2" t="s">
        <v>406</v>
      </c>
      <c r="F1373" s="2" t="s">
        <v>13</v>
      </c>
      <c r="G1373" s="2" t="s">
        <v>37</v>
      </c>
      <c r="H1373" s="3">
        <v>45417.541666666664</v>
      </c>
      <c r="I1373" s="2" t="s">
        <v>79</v>
      </c>
      <c r="J1373" s="2" t="s">
        <v>324</v>
      </c>
      <c r="K1373" s="2">
        <v>1.26</v>
      </c>
      <c r="L1373" s="2">
        <v>14</v>
      </c>
      <c r="M1373" s="2">
        <v>2.8</v>
      </c>
      <c r="N1373" s="2">
        <v>3.85</v>
      </c>
      <c r="O1373" s="2">
        <v>2.77</v>
      </c>
      <c r="P1373" s="2"/>
      <c r="Q1373" s="2" t="s">
        <v>95</v>
      </c>
      <c r="R1373" s="10" t="s">
        <v>216</v>
      </c>
      <c r="S1373" s="10" t="s">
        <v>196</v>
      </c>
      <c r="T1373" s="188">
        <v>1000</v>
      </c>
      <c r="U1373" s="8">
        <f t="shared" si="155"/>
        <v>180</v>
      </c>
      <c r="V1373" s="234">
        <f t="shared" si="156"/>
        <v>140404.15524616028</v>
      </c>
      <c r="W1373" s="15">
        <v>25</v>
      </c>
      <c r="X1373" s="8">
        <f t="shared" si="149"/>
        <v>4.5</v>
      </c>
      <c r="Y1373" s="233">
        <f t="shared" si="150"/>
        <v>5376</v>
      </c>
    </row>
    <row r="1374" spans="1:25">
      <c r="A1374" s="156" t="e" cm="1">
        <f t="array" aca="1" ref="A1374" ca="1">_xlfn.IFS(E1374=$AB$42,$AC$42,E1374=$AB$43,$AC$43,E1374=$AB$44,$AC$44,E1374=$AB$45,$AC$45,E1374=$AB$46,$AC$46,E1374=$AB$47,$AC$47,E1374=$AB$48,$AC$48,E1374=$AB$49,$AC$49,E1374=$AB$50,$AC$50,E1374=$AB$51,$AC$51,E1374=$AB$52,$AC$52,E1374=$AB$53,$AC$53,E1374=$AB$54,$AC$54,E1374=$AB$55,$AC$55,E1374=$AB$56,$AC$56,E1374=$AB$57,$AC$57,E1374=$AB$58,$AC$58,E1374=$AB$59,$AC$59,E1374=$AB$60,$AC$60,E1374=$AB$61,$AC$61,E1374=$AB$62,$AC$62,E1374=$AB$63,$AC$63,E1374=$AB$64,$AC$64,E1374=$AB$65,$AC$65,E1374=$AB$66,$AC$66,TRUE,"0")</f>
        <v>#NAME?</v>
      </c>
      <c r="C1374" s="161" t="str" cm="1">
        <f t="array" ref="C1374">_xlfn.IFS(E1374=$AB$42,$AF$42,E1374=$AB$43,$AF$43,E1374=$AB$44,$AF$44,E1374=$AB$45,$AF$45,E1374=$AB$46,$AF$46,E1374=$AB$47,$AF$47,E1374=$AB$48,$AF$48,E1374=$AB$49,$AF$49,E1374=$AB$50,$AF$50,E1374=$AB$51,$AF$51,E1374=$AB$52,$AF$52,E1374=$AB$53,$AF$53,E1374=$AB$54,$AF$54,E1374=$AB$55,$AF$55,E1374=$AB$56,$AF$56,E1374=$AB$57,$AF$57,E1374=$AB$58,$AF$58,E1374=$AB$59,$AF$59,E1374=$AB$60,$AF$60,E1374=$AB$61,$AF$61,E1374=$AB$62,$AF$62,E1374=$AB$63,$AF$63,E1374=$AB$64,$AF$64,E1374=$AB$65,$AF$65,E1374=$AB$66,$AF$66,TRUE,"0")</f>
        <v>B4 match BACK FT +1.5 goals. X AFTER  GOAL</v>
      </c>
      <c r="D1374" s="270" t="str" cm="1">
        <f t="array" ref="D1374">_xlfn.IFS(E1374=$AB$42,$AD$42,E1374=$AB$43,$AD$43,E1374=$AB$44,$AD$44,E1374=$AB$45,$AD$45,E1374=$AB$46,$AD$46,E1374=$AB$47,$AD$47,E1374=$AB$48,$AD$48,E1374=$AB$49,$AD$49,E1374=$AB$50,$AD$50,E1374=$AB$51,$AD$51,E1374=$AB$52,$AD$52,E1374=$AB$53,$AD$53,E1374=$AB$54,$AD$54,E1374=$AB$55,$AD$55,E1374=$AB$56,$AD$56,E1374=$AB$57,$AD$57,E1374=$AB$58,$AD$58,E1374=$AB$59,$AD$59,E1374=$AB$60,$AD$60,E1374=$AB$61,$AD$61,E1374=$AB$62,$AD$62,E1374=$AB$63,$AD$63,E1374=$AB$64,$AD$64,E1374=$AB$65,$AD$65,E1374=$AB$66,$AD$66,TRUE,"0")</f>
        <v xml:space="preserve">BFM </v>
      </c>
      <c r="E1374" s="2" t="s">
        <v>623</v>
      </c>
      <c r="F1374" s="2" t="s">
        <v>13</v>
      </c>
      <c r="G1374" s="2" t="s">
        <v>37</v>
      </c>
      <c r="H1374" s="3">
        <v>45417.541666666664</v>
      </c>
      <c r="I1374" s="2" t="s">
        <v>79</v>
      </c>
      <c r="J1374" s="2" t="s">
        <v>324</v>
      </c>
      <c r="K1374" s="2">
        <v>3.85</v>
      </c>
      <c r="L1374" s="2">
        <v>20</v>
      </c>
      <c r="M1374" s="2">
        <v>2.8</v>
      </c>
      <c r="N1374" s="2">
        <v>23</v>
      </c>
      <c r="O1374" s="2">
        <v>1</v>
      </c>
      <c r="P1374" s="2">
        <v>10</v>
      </c>
      <c r="Q1374" s="2" t="s">
        <v>95</v>
      </c>
      <c r="R1374" s="10" t="s">
        <v>216</v>
      </c>
      <c r="S1374" s="10" t="s">
        <v>196</v>
      </c>
      <c r="T1374" s="188">
        <v>1000</v>
      </c>
      <c r="U1374" s="8">
        <f t="shared" si="155"/>
        <v>180</v>
      </c>
      <c r="V1374" s="234">
        <f t="shared" si="156"/>
        <v>140584.15524616028</v>
      </c>
      <c r="W1374" s="15">
        <v>25</v>
      </c>
      <c r="X1374" s="8">
        <f t="shared" si="149"/>
        <v>4.5</v>
      </c>
      <c r="Y1374" s="233">
        <f t="shared" si="150"/>
        <v>5380.5</v>
      </c>
    </row>
    <row r="1375" spans="1:25">
      <c r="A1375" s="156" t="e" cm="1">
        <f t="array" aca="1" ref="A1375" ca="1">_xlfn.IFS(E1375=$AB$42,$AC$42,E1375=$AB$43,$AC$43,E1375=$AB$44,$AC$44,E1375=$AB$45,$AC$45,E1375=$AB$46,$AC$46,E1375=$AB$47,$AC$47,E1375=$AB$48,$AC$48,E1375=$AB$49,$AC$49,E1375=$AB$50,$AC$50,E1375=$AB$51,$AC$51,E1375=$AB$52,$AC$52,E1375=$AB$53,$AC$53,E1375=$AB$54,$AC$54,E1375=$AB$55,$AC$55,E1375=$AB$56,$AC$56,E1375=$AB$57,$AC$57,E1375=$AB$58,$AC$58,E1375=$AB$59,$AC$59,E1375=$AB$60,$AC$60,E1375=$AB$61,$AC$61,E1375=$AB$62,$AC$62,E1375=$AB$63,$AC$63,E1375=$AB$64,$AC$64,E1375=$AB$65,$AC$65,E1375=$AB$66,$AC$66,TRUE,"0")</f>
        <v>#NAME?</v>
      </c>
      <c r="C1375" s="161" t="str" cm="1">
        <f t="array" ref="C1375">_xlfn.IFS(E1375=$AB$42,$AF$42,E1375=$AB$43,$AF$43,E1375=$AB$44,$AF$44,E1375=$AB$45,$AF$45,E1375=$AB$46,$AF$46,E1375=$AB$47,$AF$47,E1375=$AB$48,$AF$48,E1375=$AB$49,$AF$49,E1375=$AB$50,$AF$50,E1375=$AB$51,$AF$51,E1375=$AB$52,$AF$52,E1375=$AB$53,$AF$53,E1375=$AB$54,$AF$54,E1375=$AB$55,$AF$55,E1375=$AB$56,$AF$56,E1375=$AB$57,$AF$57,E1375=$AB$58,$AF$58,E1375=$AB$59,$AF$59,E1375=$AB$60,$AF$60,E1375=$AB$61,$AF$61,E1375=$AB$62,$AF$62,E1375=$AB$63,$AF$63,E1375=$AB$64,$AF$64,E1375=$AB$65,$AF$65,E1375=$AB$66,$AF$66,TRUE,"0")</f>
        <v>40 mins Back ANother Goal</v>
      </c>
      <c r="D1375" s="270" t="str" cm="1">
        <f t="array" ref="D1375">_xlfn.IFS(E1375=$AB$42,$AD$42,E1375=$AB$43,$AD$43,E1375=$AB$44,$AD$44,E1375=$AB$45,$AD$45,E1375=$AB$46,$AD$46,E1375=$AB$47,$AD$47,E1375=$AB$48,$AD$48,E1375=$AB$49,$AD$49,E1375=$AB$50,$AD$50,E1375=$AB$51,$AD$51,E1375=$AB$52,$AD$52,E1375=$AB$53,$AD$53,E1375=$AB$54,$AD$54,E1375=$AB$55,$AD$55,E1375=$AB$56,$AD$56,E1375=$AB$57,$AD$57,E1375=$AB$58,$AD$58,E1375=$AB$59,$AD$59,E1375=$AB$60,$AD$60,E1375=$AB$61,$AD$61,E1375=$AB$62,$AD$62,E1375=$AB$63,$AD$63,E1375=$AB$64,$AD$64,E1375=$AB$65,$AD$65,E1375=$AB$66,$AD$66,TRUE,"0")</f>
        <v xml:space="preserve">  BANG</v>
      </c>
      <c r="E1375" s="2" t="s">
        <v>792</v>
      </c>
      <c r="F1375" s="2" t="s">
        <v>149</v>
      </c>
      <c r="G1375" s="2" t="s">
        <v>153</v>
      </c>
      <c r="H1375" s="3">
        <v>45417.5625</v>
      </c>
      <c r="I1375" s="2" t="s">
        <v>250</v>
      </c>
      <c r="J1375" s="2" t="s">
        <v>281</v>
      </c>
      <c r="K1375" s="2">
        <v>2.35</v>
      </c>
      <c r="L1375" s="2">
        <v>90</v>
      </c>
      <c r="M1375" s="2">
        <v>65</v>
      </c>
      <c r="N1375" s="2">
        <v>59</v>
      </c>
      <c r="O1375" s="2">
        <v>20</v>
      </c>
      <c r="P1375" s="2"/>
      <c r="Q1375" s="2" t="s">
        <v>95</v>
      </c>
      <c r="R1375" s="10" t="s">
        <v>221</v>
      </c>
      <c r="S1375" s="10" t="s">
        <v>214</v>
      </c>
      <c r="T1375" s="188">
        <v>1000</v>
      </c>
      <c r="U1375" s="8">
        <f t="shared" si="155"/>
        <v>180</v>
      </c>
      <c r="V1375" s="234">
        <f t="shared" si="156"/>
        <v>140764.15524616028</v>
      </c>
      <c r="W1375" s="15">
        <v>25</v>
      </c>
      <c r="X1375" s="8">
        <f t="shared" si="149"/>
        <v>4.5</v>
      </c>
      <c r="Y1375" s="233">
        <f t="shared" si="150"/>
        <v>5385</v>
      </c>
    </row>
    <row r="1376" spans="1:25">
      <c r="A1376" s="156" t="e" cm="1">
        <f t="array" aca="1" ref="A1376" ca="1">_xlfn.IFS(E1376=$AB$42,$AC$42,E1376=$AB$43,$AC$43,E1376=$AB$44,$AC$44,E1376=$AB$45,$AC$45,E1376=$AB$46,$AC$46,E1376=$AB$47,$AC$47,E1376=$AB$48,$AC$48,E1376=$AB$49,$AC$49,E1376=$AB$50,$AC$50,E1376=$AB$51,$AC$51,E1376=$AB$52,$AC$52,E1376=$AB$53,$AC$53,E1376=$AB$54,$AC$54,E1376=$AB$55,$AC$55,E1376=$AB$56,$AC$56,E1376=$AB$57,$AC$57,E1376=$AB$58,$AC$58,E1376=$AB$59,$AC$59,E1376=$AB$60,$AC$60,E1376=$AB$61,$AC$61,E1376=$AB$62,$AC$62,E1376=$AB$63,$AC$63,E1376=$AB$64,$AC$64,E1376=$AB$65,$AC$65,E1376=$AB$66,$AC$66,TRUE,"0")</f>
        <v>#NAME?</v>
      </c>
      <c r="C1376" s="161" t="str" cm="1">
        <f t="array" ref="C1376">_xlfn.IFS(E1376=$AB$42,$AF$42,E1376=$AB$43,$AF$43,E1376=$AB$44,$AF$44,E1376=$AB$45,$AF$45,E1376=$AB$46,$AF$46,E1376=$AB$47,$AF$47,E1376=$AB$48,$AF$48,E1376=$AB$49,$AF$49,E1376=$AB$50,$AF$50,E1376=$AB$51,$AF$51,E1376=$AB$52,$AF$52,E1376=$AB$53,$AF$53,E1376=$AB$54,$AF$54,E1376=$AB$55,$AF$55,E1376=$AB$56,$AF$56,E1376=$AB$57,$AF$57,E1376=$AB$58,$AF$58,E1376=$AB$59,$AF$59,E1376=$AB$60,$AF$60,E1376=$AB$61,$AF$61,E1376=$AB$62,$AF$62,E1376=$AB$63,$AF$63,E1376=$AB$64,$AF$64,E1376=$AB$65,$AF$65,E1376=$AB$66,$AF$66,TRUE,"0")</f>
        <v>40 mins Back ANother Goal</v>
      </c>
      <c r="D1376" s="270" t="str" cm="1">
        <f t="array" ref="D1376">_xlfn.IFS(E1376=$AB$42,$AD$42,E1376=$AB$43,$AD$43,E1376=$AB$44,$AD$44,E1376=$AB$45,$AD$45,E1376=$AB$46,$AD$46,E1376=$AB$47,$AD$47,E1376=$AB$48,$AD$48,E1376=$AB$49,$AD$49,E1376=$AB$50,$AD$50,E1376=$AB$51,$AD$51,E1376=$AB$52,$AD$52,E1376=$AB$53,$AD$53,E1376=$AB$54,$AD$54,E1376=$AB$55,$AD$55,E1376=$AB$56,$AD$56,E1376=$AB$57,$AD$57,E1376=$AB$58,$AD$58,E1376=$AB$59,$AD$59,E1376=$AB$60,$AD$60,E1376=$AB$61,$AD$61,E1376=$AB$62,$AD$62,E1376=$AB$63,$AD$63,E1376=$AB$64,$AD$64,E1376=$AB$65,$AD$65,E1376=$AB$66,$AD$66,TRUE,"0")</f>
        <v xml:space="preserve">  BANG</v>
      </c>
      <c r="E1376" s="2" t="s">
        <v>726</v>
      </c>
      <c r="F1376" s="2" t="s">
        <v>149</v>
      </c>
      <c r="G1376" s="2" t="s">
        <v>153</v>
      </c>
      <c r="H1376" s="3">
        <v>45417.5625</v>
      </c>
      <c r="I1376" s="2" t="s">
        <v>250</v>
      </c>
      <c r="J1376" s="2" t="s">
        <v>281</v>
      </c>
      <c r="K1376" s="2">
        <v>90</v>
      </c>
      <c r="L1376" s="2">
        <v>20</v>
      </c>
      <c r="M1376" s="2">
        <v>2.35</v>
      </c>
      <c r="N1376" s="2">
        <v>59</v>
      </c>
      <c r="O1376" s="2"/>
      <c r="P1376" s="2"/>
      <c r="Q1376" s="2" t="s">
        <v>95</v>
      </c>
      <c r="R1376" s="10" t="s">
        <v>221</v>
      </c>
      <c r="S1376" s="10" t="s">
        <v>214</v>
      </c>
      <c r="T1376" s="188">
        <v>1000</v>
      </c>
      <c r="U1376" s="8">
        <f t="shared" si="155"/>
        <v>180</v>
      </c>
      <c r="V1376" s="234">
        <f t="shared" si="156"/>
        <v>140944.15524616028</v>
      </c>
      <c r="W1376" s="15">
        <v>25</v>
      </c>
      <c r="X1376" s="8">
        <f t="shared" si="149"/>
        <v>4.5</v>
      </c>
      <c r="Y1376" s="233">
        <f t="shared" si="150"/>
        <v>5389.5</v>
      </c>
    </row>
    <row r="1377" spans="1:25">
      <c r="A1377" s="156" t="e" cm="1">
        <f t="array" aca="1" ref="A1377" ca="1">_xlfn.IFS(E1377=$AB$42,$AC$42,E1377=$AB$43,$AC$43,E1377=$AB$44,$AC$44,E1377=$AB$45,$AC$45,E1377=$AB$46,$AC$46,E1377=$AB$47,$AC$47,E1377=$AB$48,$AC$48,E1377=$AB$49,$AC$49,E1377=$AB$50,$AC$50,E1377=$AB$51,$AC$51,E1377=$AB$52,$AC$52,E1377=$AB$53,$AC$53,E1377=$AB$54,$AC$54,E1377=$AB$55,$AC$55,E1377=$AB$56,$AC$56,E1377=$AB$57,$AC$57,E1377=$AB$58,$AC$58,E1377=$AB$59,$AC$59,E1377=$AB$60,$AC$60,E1377=$AB$61,$AC$61,E1377=$AB$62,$AC$62,E1377=$AB$63,$AC$63,E1377=$AB$64,$AC$64,E1377=$AB$65,$AC$65,E1377=$AB$66,$AC$66,TRUE,"0")</f>
        <v>#NAME?</v>
      </c>
      <c r="C1377" s="161" t="str" cm="1">
        <f t="array" ref="C1377">_xlfn.IFS(E1377=$AB$42,$AF$42,E1377=$AB$43,$AF$43,E1377=$AB$44,$AF$44,E1377=$AB$45,$AF$45,E1377=$AB$46,$AF$46,E1377=$AB$47,$AF$47,E1377=$AB$48,$AF$48,E1377=$AB$49,$AF$49,E1377=$AB$50,$AF$50,E1377=$AB$51,$AF$51,E1377=$AB$52,$AF$52,E1377=$AB$53,$AF$53,E1377=$AB$54,$AF$54,E1377=$AB$55,$AF$55,E1377=$AB$56,$AF$56,E1377=$AB$57,$AF$57,E1377=$AB$58,$AF$58,E1377=$AB$59,$AF$59,E1377=$AB$60,$AF$60,E1377=$AB$61,$AF$61,E1377=$AB$62,$AF$62,E1377=$AB$63,$AF$63,E1377=$AB$64,$AF$64,E1377=$AB$65,$AF$65,E1377=$AB$66,$AF$66,TRUE,"0")</f>
        <v>B4 match BACK FT +1.5 goals. X AFTER  GOAL</v>
      </c>
      <c r="D1377" s="270" t="str" cm="1">
        <f t="array" ref="D1377">_xlfn.IFS(E1377=$AB$42,$AD$42,E1377=$AB$43,$AD$43,E1377=$AB$44,$AD$44,E1377=$AB$45,$AD$45,E1377=$AB$46,$AD$46,E1377=$AB$47,$AD$47,E1377=$AB$48,$AD$48,E1377=$AB$49,$AD$49,E1377=$AB$50,$AD$50,E1377=$AB$51,$AD$51,E1377=$AB$52,$AD$52,E1377=$AB$53,$AD$53,E1377=$AB$54,$AD$54,E1377=$AB$55,$AD$55,E1377=$AB$56,$AD$56,E1377=$AB$57,$AD$57,E1377=$AB$58,$AD$58,E1377=$AB$59,$AD$59,E1377=$AB$60,$AD$60,E1377=$AB$61,$AD$61,E1377=$AB$62,$AD$62,E1377=$AB$63,$AD$63,E1377=$AB$64,$AD$64,E1377=$AB$65,$AD$65,E1377=$AB$66,$AD$66,TRUE,"0")</f>
        <v xml:space="preserve">BFM </v>
      </c>
      <c r="E1377" s="2" t="s">
        <v>623</v>
      </c>
      <c r="F1377" s="2" t="s">
        <v>149</v>
      </c>
      <c r="G1377" s="2" t="s">
        <v>153</v>
      </c>
      <c r="H1377" s="3">
        <v>45417.5625</v>
      </c>
      <c r="I1377" s="2" t="s">
        <v>250</v>
      </c>
      <c r="J1377" s="2" t="s">
        <v>281</v>
      </c>
      <c r="K1377" s="2">
        <v>3.95</v>
      </c>
      <c r="L1377" s="2">
        <v>20</v>
      </c>
      <c r="M1377" s="2">
        <v>3.6</v>
      </c>
      <c r="N1377" s="2">
        <v>31</v>
      </c>
      <c r="O1377" s="2">
        <v>3</v>
      </c>
      <c r="P1377" s="2">
        <v>10</v>
      </c>
      <c r="Q1377" s="2" t="s">
        <v>95</v>
      </c>
      <c r="R1377" s="10" t="s">
        <v>221</v>
      </c>
      <c r="S1377" s="10" t="s">
        <v>214</v>
      </c>
      <c r="T1377" s="188">
        <v>1000</v>
      </c>
      <c r="U1377" s="8">
        <f t="shared" si="155"/>
        <v>180</v>
      </c>
      <c r="V1377" s="234">
        <f t="shared" si="156"/>
        <v>141124.15524616028</v>
      </c>
      <c r="W1377" s="15">
        <v>25</v>
      </c>
      <c r="X1377" s="8">
        <f t="shared" ref="X1377:X1440" si="157">IF(Q1377="won",W1377*0.18,-W1377)</f>
        <v>4.5</v>
      </c>
      <c r="Y1377" s="233">
        <f t="shared" si="150"/>
        <v>5394</v>
      </c>
    </row>
    <row r="1378" spans="1:25">
      <c r="A1378" s="156" t="e" cm="1">
        <f t="array" aca="1" ref="A1378" ca="1">_xlfn.IFS(E1378=$AB$42,$AC$42,E1378=$AB$43,$AC$43,E1378=$AB$44,$AC$44,E1378=$AB$45,$AC$45,E1378=$AB$46,$AC$46,E1378=$AB$47,$AC$47,E1378=$AB$48,$AC$48,E1378=$AB$49,$AC$49,E1378=$AB$50,$AC$50,E1378=$AB$51,$AC$51,E1378=$AB$52,$AC$52,E1378=$AB$53,$AC$53,E1378=$AB$54,$AC$54,E1378=$AB$55,$AC$55,E1378=$AB$56,$AC$56,E1378=$AB$57,$AC$57,E1378=$AB$58,$AC$58,E1378=$AB$59,$AC$59,E1378=$AB$60,$AC$60,E1378=$AB$61,$AC$61,E1378=$AB$62,$AC$62,E1378=$AB$63,$AC$63,E1378=$AB$64,$AC$64,E1378=$AB$65,$AC$65,E1378=$AB$66,$AC$66,TRUE,"0")</f>
        <v>#NAME?</v>
      </c>
      <c r="C1378" s="161" t="str" cm="1">
        <f t="array" ref="C1378">_xlfn.IFS(E1378=$AB$42,$AF$42,E1378=$AB$43,$AF$43,E1378=$AB$44,$AF$44,E1378=$AB$45,$AF$45,E1378=$AB$46,$AF$46,E1378=$AB$47,$AF$47,E1378=$AB$48,$AF$48,E1378=$AB$49,$AF$49,E1378=$AB$50,$AF$50,E1378=$AB$51,$AF$51,E1378=$AB$52,$AF$52,E1378=$AB$53,$AF$53,E1378=$AB$54,$AF$54,E1378=$AB$55,$AF$55,E1378=$AB$56,$AF$56,E1378=$AB$57,$AF$57,E1378=$AB$58,$AF$58,E1378=$AB$59,$AF$59,E1378=$AB$60,$AF$60,E1378=$AB$61,$AF$61,E1378=$AB$62,$AF$62,E1378=$AB$63,$AF$63,E1378=$AB$64,$AF$64,E1378=$AB$65,$AF$65,E1378=$AB$66,$AF$66,TRUE,"0")</f>
        <v>40 mins Back ANother Goal</v>
      </c>
      <c r="D1378" s="270" t="str" cm="1">
        <f t="array" ref="D1378">_xlfn.IFS(E1378=$AB$42,$AD$42,E1378=$AB$43,$AD$43,E1378=$AB$44,$AD$44,E1378=$AB$45,$AD$45,E1378=$AB$46,$AD$46,E1378=$AB$47,$AD$47,E1378=$AB$48,$AD$48,E1378=$AB$49,$AD$49,E1378=$AB$50,$AD$50,E1378=$AB$51,$AD$51,E1378=$AB$52,$AD$52,E1378=$AB$53,$AD$53,E1378=$AB$54,$AD$54,E1378=$AB$55,$AD$55,E1378=$AB$56,$AD$56,E1378=$AB$57,$AD$57,E1378=$AB$58,$AD$58,E1378=$AB$59,$AD$59,E1378=$AB$60,$AD$60,E1378=$AB$61,$AD$61,E1378=$AB$62,$AD$62,E1378=$AB$63,$AD$63,E1378=$AB$64,$AD$64,E1378=$AB$65,$AD$65,E1378=$AB$66,$AD$66,TRUE,"0")</f>
        <v xml:space="preserve">  BANG</v>
      </c>
      <c r="E1378" s="2" t="s">
        <v>792</v>
      </c>
      <c r="F1378" s="2" t="s">
        <v>149</v>
      </c>
      <c r="G1378" s="2" t="s">
        <v>153</v>
      </c>
      <c r="H1378" s="3">
        <v>45417.5625</v>
      </c>
      <c r="I1378" s="2" t="s">
        <v>244</v>
      </c>
      <c r="J1378" s="2" t="s">
        <v>363</v>
      </c>
      <c r="K1378" s="2">
        <v>2.5499999999999998</v>
      </c>
      <c r="L1378" s="2">
        <v>90</v>
      </c>
      <c r="M1378" s="2">
        <v>80</v>
      </c>
      <c r="N1378" s="2">
        <v>59</v>
      </c>
      <c r="O1378" s="2">
        <v>20</v>
      </c>
      <c r="P1378" s="2"/>
      <c r="Q1378" s="2" t="s">
        <v>95</v>
      </c>
      <c r="R1378" s="10" t="s">
        <v>193</v>
      </c>
      <c r="S1378" s="10" t="s">
        <v>225</v>
      </c>
      <c r="T1378" s="188">
        <v>1000</v>
      </c>
      <c r="U1378" s="8">
        <f t="shared" si="155"/>
        <v>180</v>
      </c>
      <c r="V1378" s="234">
        <f t="shared" si="156"/>
        <v>141304.15524616028</v>
      </c>
      <c r="W1378" s="15">
        <v>25</v>
      </c>
      <c r="X1378" s="8">
        <f t="shared" si="157"/>
        <v>4.5</v>
      </c>
      <c r="Y1378" s="233">
        <f t="shared" si="150"/>
        <v>5398.5</v>
      </c>
    </row>
    <row r="1379" spans="1:25">
      <c r="A1379" s="156" t="e" cm="1">
        <f t="array" aca="1" ref="A1379" ca="1">_xlfn.IFS(E1379=$AB$42,$AC$42,E1379=$AB$43,$AC$43,E1379=$AB$44,$AC$44,E1379=$AB$45,$AC$45,E1379=$AB$46,$AC$46,E1379=$AB$47,$AC$47,E1379=$AB$48,$AC$48,E1379=$AB$49,$AC$49,E1379=$AB$50,$AC$50,E1379=$AB$51,$AC$51,E1379=$AB$52,$AC$52,E1379=$AB$53,$AC$53,E1379=$AB$54,$AC$54,E1379=$AB$55,$AC$55,E1379=$AB$56,$AC$56,E1379=$AB$57,$AC$57,E1379=$AB$58,$AC$58,E1379=$AB$59,$AC$59,E1379=$AB$60,$AC$60,E1379=$AB$61,$AC$61,E1379=$AB$62,$AC$62,E1379=$AB$63,$AC$63,E1379=$AB$64,$AC$64,E1379=$AB$65,$AC$65,E1379=$AB$66,$AC$66,TRUE,"0")</f>
        <v>#NAME?</v>
      </c>
      <c r="C1379" s="161" t="str" cm="1">
        <f t="array" ref="C1379">_xlfn.IFS(E1379=$AB$42,$AF$42,E1379=$AB$43,$AF$43,E1379=$AB$44,$AF$44,E1379=$AB$45,$AF$45,E1379=$AB$46,$AF$46,E1379=$AB$47,$AF$47,E1379=$AB$48,$AF$48,E1379=$AB$49,$AF$49,E1379=$AB$50,$AF$50,E1379=$AB$51,$AF$51,E1379=$AB$52,$AF$52,E1379=$AB$53,$AF$53,E1379=$AB$54,$AF$54,E1379=$AB$55,$AF$55,E1379=$AB$56,$AF$56,E1379=$AB$57,$AF$57,E1379=$AB$58,$AF$58,E1379=$AB$59,$AF$59,E1379=$AB$60,$AF$60,E1379=$AB$61,$AF$61,E1379=$AB$62,$AF$62,E1379=$AB$63,$AF$63,E1379=$AB$64,$AF$64,E1379=$AB$65,$AF$65,E1379=$AB$66,$AF$66,TRUE,"0")</f>
        <v>40 mins Back ANother Goal</v>
      </c>
      <c r="D1379" s="270" t="str" cm="1">
        <f t="array" ref="D1379">_xlfn.IFS(E1379=$AB$42,$AD$42,E1379=$AB$43,$AD$43,E1379=$AB$44,$AD$44,E1379=$AB$45,$AD$45,E1379=$AB$46,$AD$46,E1379=$AB$47,$AD$47,E1379=$AB$48,$AD$48,E1379=$AB$49,$AD$49,E1379=$AB$50,$AD$50,E1379=$AB$51,$AD$51,E1379=$AB$52,$AD$52,E1379=$AB$53,$AD$53,E1379=$AB$54,$AD$54,E1379=$AB$55,$AD$55,E1379=$AB$56,$AD$56,E1379=$AB$57,$AD$57,E1379=$AB$58,$AD$58,E1379=$AB$59,$AD$59,E1379=$AB$60,$AD$60,E1379=$AB$61,$AD$61,E1379=$AB$62,$AD$62,E1379=$AB$63,$AD$63,E1379=$AB$64,$AD$64,E1379=$AB$65,$AD$65,E1379=$AB$66,$AD$66,TRUE,"0")</f>
        <v xml:space="preserve">  BANG</v>
      </c>
      <c r="E1379" s="2" t="s">
        <v>726</v>
      </c>
      <c r="F1379" s="2" t="s">
        <v>149</v>
      </c>
      <c r="G1379" s="2" t="s">
        <v>153</v>
      </c>
      <c r="H1379" s="3">
        <v>45417.5625</v>
      </c>
      <c r="I1379" s="2" t="s">
        <v>244</v>
      </c>
      <c r="J1379" s="2" t="s">
        <v>363</v>
      </c>
      <c r="K1379" s="2">
        <v>90</v>
      </c>
      <c r="L1379" s="2">
        <v>20</v>
      </c>
      <c r="M1379" s="2">
        <v>2.5499999999999998</v>
      </c>
      <c r="N1379" s="2">
        <v>59</v>
      </c>
      <c r="O1379" s="2"/>
      <c r="P1379" s="2"/>
      <c r="Q1379" s="2" t="s">
        <v>95</v>
      </c>
      <c r="R1379" s="10" t="s">
        <v>193</v>
      </c>
      <c r="S1379" s="10" t="s">
        <v>225</v>
      </c>
      <c r="T1379" s="188">
        <v>1000</v>
      </c>
      <c r="U1379" s="8">
        <f t="shared" si="155"/>
        <v>180</v>
      </c>
      <c r="V1379" s="234">
        <f t="shared" si="156"/>
        <v>141484.15524616028</v>
      </c>
      <c r="W1379" s="15">
        <v>25</v>
      </c>
      <c r="X1379" s="8">
        <f t="shared" si="157"/>
        <v>4.5</v>
      </c>
      <c r="Y1379" s="233">
        <f t="shared" si="150"/>
        <v>5403</v>
      </c>
    </row>
    <row r="1380" spans="1:25">
      <c r="A1380" s="156" t="e" cm="1">
        <f t="array" aca="1" ref="A1380" ca="1">_xlfn.IFS(E1380=$AB$42,$AC$42,E1380=$AB$43,$AC$43,E1380=$AB$44,$AC$44,E1380=$AB$45,$AC$45,E1380=$AB$46,$AC$46,E1380=$AB$47,$AC$47,E1380=$AB$48,$AC$48,E1380=$AB$49,$AC$49,E1380=$AB$50,$AC$50,E1380=$AB$51,$AC$51,E1380=$AB$52,$AC$52,E1380=$AB$53,$AC$53,E1380=$AB$54,$AC$54,E1380=$AB$55,$AC$55,E1380=$AB$56,$AC$56,E1380=$AB$57,$AC$57,E1380=$AB$58,$AC$58,E1380=$AB$59,$AC$59,E1380=$AB$60,$AC$60,E1380=$AB$61,$AC$61,E1380=$AB$62,$AC$62,E1380=$AB$63,$AC$63,E1380=$AB$64,$AC$64,E1380=$AB$65,$AC$65,E1380=$AB$66,$AC$66,TRUE,"0")</f>
        <v>#NAME?</v>
      </c>
      <c r="C1380" s="161" t="str" cm="1">
        <f t="array" ref="C1380">_xlfn.IFS(E1380=$AB$42,$AF$42,E1380=$AB$43,$AF$43,E1380=$AB$44,$AF$44,E1380=$AB$45,$AF$45,E1380=$AB$46,$AF$46,E1380=$AB$47,$AF$47,E1380=$AB$48,$AF$48,E1380=$AB$49,$AF$49,E1380=$AB$50,$AF$50,E1380=$AB$51,$AF$51,E1380=$AB$52,$AF$52,E1380=$AB$53,$AF$53,E1380=$AB$54,$AF$54,E1380=$AB$55,$AF$55,E1380=$AB$56,$AF$56,E1380=$AB$57,$AF$57,E1380=$AB$58,$AF$58,E1380=$AB$59,$AF$59,E1380=$AB$60,$AF$60,E1380=$AB$61,$AF$61,E1380=$AB$62,$AF$62,E1380=$AB$63,$AF$63,E1380=$AB$64,$AF$64,E1380=$AB$65,$AF$65,E1380=$AB$66,$AF$66,TRUE,"0")</f>
        <v>40 mins Back ANother Goal</v>
      </c>
      <c r="D1380" s="270" t="str" cm="1">
        <f t="array" ref="D1380">_xlfn.IFS(E1380=$AB$42,$AD$42,E1380=$AB$43,$AD$43,E1380=$AB$44,$AD$44,E1380=$AB$45,$AD$45,E1380=$AB$46,$AD$46,E1380=$AB$47,$AD$47,E1380=$AB$48,$AD$48,E1380=$AB$49,$AD$49,E1380=$AB$50,$AD$50,E1380=$AB$51,$AD$51,E1380=$AB$52,$AD$52,E1380=$AB$53,$AD$53,E1380=$AB$54,$AD$54,E1380=$AB$55,$AD$55,E1380=$AB$56,$AD$56,E1380=$AB$57,$AD$57,E1380=$AB$58,$AD$58,E1380=$AB$59,$AD$59,E1380=$AB$60,$AD$60,E1380=$AB$61,$AD$61,E1380=$AB$62,$AD$62,E1380=$AB$63,$AD$63,E1380=$AB$64,$AD$64,E1380=$AB$65,$AD$65,E1380=$AB$66,$AD$66,TRUE,"0")</f>
        <v xml:space="preserve">  BANG</v>
      </c>
      <c r="E1380" s="2" t="s">
        <v>792</v>
      </c>
      <c r="F1380" s="2" t="s">
        <v>6</v>
      </c>
      <c r="G1380" s="2" t="s">
        <v>62</v>
      </c>
      <c r="H1380" s="3">
        <v>45417.583333333336</v>
      </c>
      <c r="I1380" s="2" t="s">
        <v>65</v>
      </c>
      <c r="J1380" s="2" t="s">
        <v>74</v>
      </c>
      <c r="K1380" s="2">
        <v>2.1</v>
      </c>
      <c r="L1380" s="2">
        <v>95</v>
      </c>
      <c r="M1380" s="2">
        <v>75</v>
      </c>
      <c r="N1380" s="2">
        <v>63</v>
      </c>
      <c r="O1380" s="2">
        <v>20</v>
      </c>
      <c r="P1380" s="2"/>
      <c r="Q1380" s="2" t="s">
        <v>95</v>
      </c>
      <c r="R1380" s="10" t="s">
        <v>207</v>
      </c>
      <c r="S1380" s="10" t="s">
        <v>195</v>
      </c>
      <c r="T1380" s="188">
        <v>1000</v>
      </c>
      <c r="U1380" s="8">
        <f t="shared" si="155"/>
        <v>180</v>
      </c>
      <c r="V1380" s="234">
        <f t="shared" si="156"/>
        <v>141664.15524616028</v>
      </c>
      <c r="W1380" s="15">
        <v>25</v>
      </c>
      <c r="X1380" s="8">
        <f t="shared" si="157"/>
        <v>4.5</v>
      </c>
      <c r="Y1380" s="233">
        <f t="shared" si="150"/>
        <v>5407.5</v>
      </c>
    </row>
    <row r="1381" spans="1:25">
      <c r="A1381" s="156" t="e" cm="1">
        <f t="array" aca="1" ref="A1381" ca="1">_xlfn.IFS(E1381=$AB$42,$AC$42,E1381=$AB$43,$AC$43,E1381=$AB$44,$AC$44,E1381=$AB$45,$AC$45,E1381=$AB$46,$AC$46,E1381=$AB$47,$AC$47,E1381=$AB$48,$AC$48,E1381=$AB$49,$AC$49,E1381=$AB$50,$AC$50,E1381=$AB$51,$AC$51,E1381=$AB$52,$AC$52,E1381=$AB$53,$AC$53,E1381=$AB$54,$AC$54,E1381=$AB$55,$AC$55,E1381=$AB$56,$AC$56,E1381=$AB$57,$AC$57,E1381=$AB$58,$AC$58,E1381=$AB$59,$AC$59,E1381=$AB$60,$AC$60,E1381=$AB$61,$AC$61,E1381=$AB$62,$AC$62,E1381=$AB$63,$AC$63,E1381=$AB$64,$AC$64,E1381=$AB$65,$AC$65,E1381=$AB$66,$AC$66,TRUE,"0")</f>
        <v>#NAME?</v>
      </c>
      <c r="C1381" s="161" t="str" cm="1">
        <f t="array" ref="C1381">_xlfn.IFS(E1381=$AB$42,$AF$42,E1381=$AB$43,$AF$43,E1381=$AB$44,$AF$44,E1381=$AB$45,$AF$45,E1381=$AB$46,$AF$46,E1381=$AB$47,$AF$47,E1381=$AB$48,$AF$48,E1381=$AB$49,$AF$49,E1381=$AB$50,$AF$50,E1381=$AB$51,$AF$51,E1381=$AB$52,$AF$52,E1381=$AB$53,$AF$53,E1381=$AB$54,$AF$54,E1381=$AB$55,$AF$55,E1381=$AB$56,$AF$56,E1381=$AB$57,$AF$57,E1381=$AB$58,$AF$58,E1381=$AB$59,$AF$59,E1381=$AB$60,$AF$60,E1381=$AB$61,$AF$61,E1381=$AB$62,$AF$62,E1381=$AB$63,$AF$63,E1381=$AB$64,$AF$64,E1381=$AB$65,$AF$65,E1381=$AB$66,$AF$66,TRUE,"0")</f>
        <v>40 mins Back ANother Goal</v>
      </c>
      <c r="D1381" s="270" t="str" cm="1">
        <f t="array" ref="D1381">_xlfn.IFS(E1381=$AB$42,$AD$42,E1381=$AB$43,$AD$43,E1381=$AB$44,$AD$44,E1381=$AB$45,$AD$45,E1381=$AB$46,$AD$46,E1381=$AB$47,$AD$47,E1381=$AB$48,$AD$48,E1381=$AB$49,$AD$49,E1381=$AB$50,$AD$50,E1381=$AB$51,$AD$51,E1381=$AB$52,$AD$52,E1381=$AB$53,$AD$53,E1381=$AB$54,$AD$54,E1381=$AB$55,$AD$55,E1381=$AB$56,$AD$56,E1381=$AB$57,$AD$57,E1381=$AB$58,$AD$58,E1381=$AB$59,$AD$59,E1381=$AB$60,$AD$60,E1381=$AB$61,$AD$61,E1381=$AB$62,$AD$62,E1381=$AB$63,$AD$63,E1381=$AB$64,$AD$64,E1381=$AB$65,$AD$65,E1381=$AB$66,$AD$66,TRUE,"0")</f>
        <v xml:space="preserve">  BANG</v>
      </c>
      <c r="E1381" s="2" t="s">
        <v>726</v>
      </c>
      <c r="F1381" s="2" t="s">
        <v>6</v>
      </c>
      <c r="G1381" s="2" t="s">
        <v>62</v>
      </c>
      <c r="H1381" s="3">
        <v>45417.583333333336</v>
      </c>
      <c r="I1381" s="2" t="s">
        <v>65</v>
      </c>
      <c r="J1381" s="2" t="s">
        <v>74</v>
      </c>
      <c r="K1381" s="2">
        <v>95</v>
      </c>
      <c r="L1381" s="2">
        <v>20</v>
      </c>
      <c r="M1381" s="2">
        <v>2.1</v>
      </c>
      <c r="N1381" s="2">
        <v>63</v>
      </c>
      <c r="O1381" s="2"/>
      <c r="P1381" s="2"/>
      <c r="Q1381" s="2" t="s">
        <v>95</v>
      </c>
      <c r="R1381" s="10" t="s">
        <v>207</v>
      </c>
      <c r="S1381" s="10" t="s">
        <v>195</v>
      </c>
      <c r="T1381" s="188">
        <v>1000</v>
      </c>
      <c r="U1381" s="8">
        <f t="shared" si="155"/>
        <v>180</v>
      </c>
      <c r="V1381" s="234">
        <f t="shared" si="156"/>
        <v>141844.15524616028</v>
      </c>
      <c r="W1381" s="15">
        <v>25</v>
      </c>
      <c r="X1381" s="8">
        <f t="shared" si="157"/>
        <v>4.5</v>
      </c>
      <c r="Y1381" s="233">
        <f t="shared" ref="Y1381:Y1444" si="158">SUM(Y1380,X1381)</f>
        <v>5412</v>
      </c>
    </row>
    <row r="1382" spans="1:25">
      <c r="A1382" s="156" t="e" cm="1">
        <f t="array" aca="1" ref="A1382" ca="1">_xlfn.IFS(E1382=$AB$42,$AC$42,E1382=$AB$43,$AC$43,E1382=$AB$44,$AC$44,E1382=$AB$45,$AC$45,E1382=$AB$46,$AC$46,E1382=$AB$47,$AC$47,E1382=$AB$48,$AC$48,E1382=$AB$49,$AC$49,E1382=$AB$50,$AC$50,E1382=$AB$51,$AC$51,E1382=$AB$52,$AC$52,E1382=$AB$53,$AC$53,E1382=$AB$54,$AC$54,E1382=$AB$55,$AC$55,E1382=$AB$56,$AC$56,E1382=$AB$57,$AC$57,E1382=$AB$58,$AC$58,E1382=$AB$59,$AC$59,E1382=$AB$60,$AC$60,E1382=$AB$61,$AC$61,E1382=$AB$62,$AC$62,E1382=$AB$63,$AC$63,E1382=$AB$64,$AC$64,E1382=$AB$65,$AC$65,E1382=$AB$66,$AC$66,TRUE,"0")</f>
        <v>#NAME?</v>
      </c>
      <c r="C1382" s="161" t="str" cm="1">
        <f t="array" ref="C1382">_xlfn.IFS(E1382=$AB$42,$AF$42,E1382=$AB$43,$AF$43,E1382=$AB$44,$AF$44,E1382=$AB$45,$AF$45,E1382=$AB$46,$AF$46,E1382=$AB$47,$AF$47,E1382=$AB$48,$AF$48,E1382=$AB$49,$AF$49,E1382=$AB$50,$AF$50,E1382=$AB$51,$AF$51,E1382=$AB$52,$AF$52,E1382=$AB$53,$AF$53,E1382=$AB$54,$AF$54,E1382=$AB$55,$AF$55,E1382=$AB$56,$AF$56,E1382=$AB$57,$AF$57,E1382=$AB$58,$AF$58,E1382=$AB$59,$AF$59,E1382=$AB$60,$AF$60,E1382=$AB$61,$AF$61,E1382=$AB$62,$AF$62,E1382=$AB$63,$AF$63,E1382=$AB$64,$AF$64,E1382=$AB$65,$AF$65,E1382=$AB$66,$AF$66,TRUE,"0")</f>
        <v>B4 Match, lay HT 0-0 or BACK H1 +0.5 GOALS</v>
      </c>
      <c r="D1382" s="270" t="str" cm="1">
        <f t="array" ref="D1382">_xlfn.IFS(E1382=$AB$42,$AD$42,E1382=$AB$43,$AD$43,E1382=$AB$44,$AD$44,E1382=$AB$45,$AD$45,E1382=$AB$46,$AD$46,E1382=$AB$47,$AD$47,E1382=$AB$48,$AD$48,E1382=$AB$49,$AD$49,E1382=$AB$50,$AD$50,E1382=$AB$51,$AD$51,E1382=$AB$52,$AD$52,E1382=$AB$53,$AD$53,E1382=$AB$54,$AD$54,E1382=$AB$55,$AD$55,E1382=$AB$56,$AD$56,E1382=$AB$57,$AD$57,E1382=$AB$58,$AD$58,E1382=$AB$59,$AD$59,E1382=$AB$60,$AD$60,E1382=$AB$61,$AD$61,E1382=$AB$62,$AD$62,E1382=$AB$63,$AD$63,E1382=$AB$64,$AD$64,E1382=$AB$65,$AD$65,E1382=$AB$66,$AD$66,TRUE,"0")</f>
        <v xml:space="preserve">BFM </v>
      </c>
      <c r="E1382" s="2" t="s">
        <v>448</v>
      </c>
      <c r="F1382" s="2" t="s">
        <v>6</v>
      </c>
      <c r="G1382" s="2" t="s">
        <v>62</v>
      </c>
      <c r="H1382" s="3">
        <v>45417.583333333336</v>
      </c>
      <c r="I1382" s="2" t="s">
        <v>65</v>
      </c>
      <c r="J1382" s="2" t="s">
        <v>74</v>
      </c>
      <c r="K1382" s="2">
        <v>20</v>
      </c>
      <c r="L1382" s="2">
        <v>10</v>
      </c>
      <c r="M1382" s="2">
        <v>39</v>
      </c>
      <c r="N1382" s="2">
        <v>4</v>
      </c>
      <c r="O1382" s="2">
        <v>10</v>
      </c>
      <c r="P1382" s="2">
        <v>8</v>
      </c>
      <c r="Q1382" s="2" t="s">
        <v>95</v>
      </c>
      <c r="R1382" s="10" t="s">
        <v>207</v>
      </c>
      <c r="S1382" s="10" t="s">
        <v>195</v>
      </c>
      <c r="T1382" s="188">
        <v>1000</v>
      </c>
      <c r="U1382" s="8">
        <f t="shared" si="155"/>
        <v>180</v>
      </c>
      <c r="V1382" s="234">
        <f t="shared" si="156"/>
        <v>142024.15524616028</v>
      </c>
      <c r="W1382" s="15">
        <v>25</v>
      </c>
      <c r="X1382" s="8">
        <f t="shared" si="157"/>
        <v>4.5</v>
      </c>
      <c r="Y1382" s="233">
        <f t="shared" si="158"/>
        <v>5416.5</v>
      </c>
    </row>
    <row r="1383" spans="1:25">
      <c r="A1383" s="156" t="e" cm="1">
        <f t="array" aca="1" ref="A1383" ca="1">_xlfn.IFS(E1383=$AB$42,$AC$42,E1383=$AB$43,$AC$43,E1383=$AB$44,$AC$44,E1383=$AB$45,$AC$45,E1383=$AB$46,$AC$46,E1383=$AB$47,$AC$47,E1383=$AB$48,$AC$48,E1383=$AB$49,$AC$49,E1383=$AB$50,$AC$50,E1383=$AB$51,$AC$51,E1383=$AB$52,$AC$52,E1383=$AB$53,$AC$53,E1383=$AB$54,$AC$54,E1383=$AB$55,$AC$55,E1383=$AB$56,$AC$56,E1383=$AB$57,$AC$57,E1383=$AB$58,$AC$58,E1383=$AB$59,$AC$59,E1383=$AB$60,$AC$60,E1383=$AB$61,$AC$61,E1383=$AB$62,$AC$62,E1383=$AB$63,$AC$63,E1383=$AB$64,$AC$64,E1383=$AB$65,$AC$65,E1383=$AB$66,$AC$66,TRUE,"0")</f>
        <v>#NAME?</v>
      </c>
      <c r="C1383" s="161" t="str" cm="1">
        <f t="array" ref="C1383">_xlfn.IFS(E1383=$AB$42,$AF$42,E1383=$AB$43,$AF$43,E1383=$AB$44,$AF$44,E1383=$AB$45,$AF$45,E1383=$AB$46,$AF$46,E1383=$AB$47,$AF$47,E1383=$AB$48,$AF$48,E1383=$AB$49,$AF$49,E1383=$AB$50,$AF$50,E1383=$AB$51,$AF$51,E1383=$AB$52,$AF$52,E1383=$AB$53,$AF$53,E1383=$AB$54,$AF$54,E1383=$AB$55,$AF$55,E1383=$AB$56,$AF$56,E1383=$AB$57,$AF$57,E1383=$AB$58,$AF$58,E1383=$AB$59,$AF$59,E1383=$AB$60,$AF$60,E1383=$AB$61,$AF$61,E1383=$AB$62,$AF$62,E1383=$AB$63,$AF$63,E1383=$AB$64,$AF$64,E1383=$AB$65,$AF$65,E1383=$AB$66,$AF$66,TRUE,"0")</f>
        <v>10mins if  0-0, BACK over 1.5 goals X after goal OR LET RUN</v>
      </c>
      <c r="D1383" s="270" t="str" cm="1">
        <f t="array" ref="D1383">_xlfn.IFS(E1383=$AB$42,$AD$42,E1383=$AB$43,$AD$43,E1383=$AB$44,$AD$44,E1383=$AB$45,$AD$45,E1383=$AB$46,$AD$46,E1383=$AB$47,$AD$47,E1383=$AB$48,$AD$48,E1383=$AB$49,$AD$49,E1383=$AB$50,$AD$50,E1383=$AB$51,$AD$51,E1383=$AB$52,$AD$52,E1383=$AB$53,$AD$53,E1383=$AB$54,$AD$54,E1383=$AB$55,$AD$55,E1383=$AB$56,$AD$56,E1383=$AB$57,$AD$57,E1383=$AB$58,$AD$58,E1383=$AB$59,$AD$59,E1383=$AB$60,$AD$60,E1383=$AB$61,$AD$61,E1383=$AB$62,$AD$62,E1383=$AB$63,$AD$63,E1383=$AB$64,$AD$64,E1383=$AB$65,$AD$65,E1383=$AB$66,$AD$66,TRUE,"0")</f>
        <v>IP</v>
      </c>
      <c r="E1383" s="2" t="s">
        <v>498</v>
      </c>
      <c r="F1383" s="2" t="s">
        <v>58</v>
      </c>
      <c r="G1383" s="2" t="s">
        <v>289</v>
      </c>
      <c r="H1383" s="3">
        <v>45417.583333333336</v>
      </c>
      <c r="I1383" s="2" t="s">
        <v>416</v>
      </c>
      <c r="J1383" s="2" t="s">
        <v>800</v>
      </c>
      <c r="K1383" s="2">
        <v>63</v>
      </c>
      <c r="L1383" s="2">
        <v>85</v>
      </c>
      <c r="M1383" s="2">
        <v>1.55</v>
      </c>
      <c r="N1383" s="2">
        <v>20</v>
      </c>
      <c r="O1383" s="2"/>
      <c r="P1383" s="2"/>
      <c r="Q1383" s="2" t="s">
        <v>95</v>
      </c>
      <c r="R1383" s="10" t="s">
        <v>220</v>
      </c>
      <c r="S1383" s="10" t="s">
        <v>194</v>
      </c>
      <c r="T1383" s="188">
        <v>1000</v>
      </c>
      <c r="U1383" s="8">
        <f t="shared" si="155"/>
        <v>180</v>
      </c>
      <c r="V1383" s="234">
        <f t="shared" si="156"/>
        <v>142204.15524616028</v>
      </c>
      <c r="W1383" s="15">
        <v>25</v>
      </c>
      <c r="X1383" s="8">
        <f t="shared" si="157"/>
        <v>4.5</v>
      </c>
      <c r="Y1383" s="233">
        <f t="shared" si="158"/>
        <v>5421</v>
      </c>
    </row>
    <row r="1384" spans="1:25">
      <c r="A1384" s="156" t="e" cm="1">
        <f t="array" aca="1" ref="A1384" ca="1">_xlfn.IFS(E1384=$AB$42,$AC$42,E1384=$AB$43,$AC$43,E1384=$AB$44,$AC$44,E1384=$AB$45,$AC$45,E1384=$AB$46,$AC$46,E1384=$AB$47,$AC$47,E1384=$AB$48,$AC$48,E1384=$AB$49,$AC$49,E1384=$AB$50,$AC$50,E1384=$AB$51,$AC$51,E1384=$AB$52,$AC$52,E1384=$AB$53,$AC$53,E1384=$AB$54,$AC$54,E1384=$AB$55,$AC$55,E1384=$AB$56,$AC$56,E1384=$AB$57,$AC$57,E1384=$AB$58,$AC$58,E1384=$AB$59,$AC$59,E1384=$AB$60,$AC$60,E1384=$AB$61,$AC$61,E1384=$AB$62,$AC$62,E1384=$AB$63,$AC$63,E1384=$AB$64,$AC$64,E1384=$AB$65,$AC$65,E1384=$AB$66,$AC$66,TRUE,"0")</f>
        <v>#NAME?</v>
      </c>
      <c r="C1384" s="161" t="str" cm="1">
        <f t="array" ref="C1384">_xlfn.IFS(E1384=$AB$42,$AF$42,E1384=$AB$43,$AF$43,E1384=$AB$44,$AF$44,E1384=$AB$45,$AF$45,E1384=$AB$46,$AF$46,E1384=$AB$47,$AF$47,E1384=$AB$48,$AF$48,E1384=$AB$49,$AF$49,E1384=$AB$50,$AF$50,E1384=$AB$51,$AF$51,E1384=$AB$52,$AF$52,E1384=$AB$53,$AF$53,E1384=$AB$54,$AF$54,E1384=$AB$55,$AF$55,E1384=$AB$56,$AF$56,E1384=$AB$57,$AF$57,E1384=$AB$58,$AF$58,E1384=$AB$59,$AF$59,E1384=$AB$60,$AF$60,E1384=$AB$61,$AF$61,E1384=$AB$62,$AF$62,E1384=$AB$63,$AF$63,E1384=$AB$64,$AF$64,E1384=$AB$65,$AF$65,E1384=$AB$66,$AF$66,TRUE,"0")</f>
        <v>40 mins Back ANother Goal</v>
      </c>
      <c r="D1384" s="270" t="str" cm="1">
        <f t="array" ref="D1384">_xlfn.IFS(E1384=$AB$42,$AD$42,E1384=$AB$43,$AD$43,E1384=$AB$44,$AD$44,E1384=$AB$45,$AD$45,E1384=$AB$46,$AD$46,E1384=$AB$47,$AD$47,E1384=$AB$48,$AD$48,E1384=$AB$49,$AD$49,E1384=$AB$50,$AD$50,E1384=$AB$51,$AD$51,E1384=$AB$52,$AD$52,E1384=$AB$53,$AD$53,E1384=$AB$54,$AD$54,E1384=$AB$55,$AD$55,E1384=$AB$56,$AD$56,E1384=$AB$57,$AD$57,E1384=$AB$58,$AD$58,E1384=$AB$59,$AD$59,E1384=$AB$60,$AD$60,E1384=$AB$61,$AD$61,E1384=$AB$62,$AD$62,E1384=$AB$63,$AD$63,E1384=$AB$64,$AD$64,E1384=$AB$65,$AD$65,E1384=$AB$66,$AD$66,TRUE,"0")</f>
        <v xml:space="preserve">  BANG</v>
      </c>
      <c r="E1384" s="2" t="s">
        <v>43</v>
      </c>
      <c r="F1384" s="2" t="s">
        <v>20</v>
      </c>
      <c r="G1384" s="2" t="s">
        <v>322</v>
      </c>
      <c r="H1384" s="3">
        <v>45417.583333333336</v>
      </c>
      <c r="I1384" s="2" t="s">
        <v>796</v>
      </c>
      <c r="J1384" s="2" t="s">
        <v>730</v>
      </c>
      <c r="K1384" s="2">
        <v>70</v>
      </c>
      <c r="L1384" s="2">
        <v>67</v>
      </c>
      <c r="M1384" s="2">
        <v>63</v>
      </c>
      <c r="N1384" s="2">
        <v>1.9</v>
      </c>
      <c r="O1384" s="2">
        <v>1.02</v>
      </c>
      <c r="P1384" s="2"/>
      <c r="Q1384" s="2" t="s">
        <v>95</v>
      </c>
      <c r="R1384" s="10" t="s">
        <v>214</v>
      </c>
      <c r="S1384" s="10" t="s">
        <v>210</v>
      </c>
      <c r="T1384" s="188">
        <v>1000</v>
      </c>
      <c r="U1384" s="8">
        <f t="shared" si="155"/>
        <v>180</v>
      </c>
      <c r="V1384" s="234">
        <f t="shared" si="156"/>
        <v>142384.15524616028</v>
      </c>
      <c r="W1384" s="15">
        <v>25</v>
      </c>
      <c r="X1384" s="8">
        <f t="shared" si="157"/>
        <v>4.5</v>
      </c>
      <c r="Y1384" s="233">
        <f t="shared" si="158"/>
        <v>5425.5</v>
      </c>
    </row>
    <row r="1385" spans="1:25">
      <c r="A1385" s="156" t="e" cm="1">
        <f t="array" aca="1" ref="A1385" ca="1">_xlfn.IFS(E1385=$AB$42,$AC$42,E1385=$AB$43,$AC$43,E1385=$AB$44,$AC$44,E1385=$AB$45,$AC$45,E1385=$AB$46,$AC$46,E1385=$AB$47,$AC$47,E1385=$AB$48,$AC$48,E1385=$AB$49,$AC$49,E1385=$AB$50,$AC$50,E1385=$AB$51,$AC$51,E1385=$AB$52,$AC$52,E1385=$AB$53,$AC$53,E1385=$AB$54,$AC$54,E1385=$AB$55,$AC$55,E1385=$AB$56,$AC$56,E1385=$AB$57,$AC$57,E1385=$AB$58,$AC$58,E1385=$AB$59,$AC$59,E1385=$AB$60,$AC$60,E1385=$AB$61,$AC$61,E1385=$AB$62,$AC$62,E1385=$AB$63,$AC$63,E1385=$AB$64,$AC$64,E1385=$AB$65,$AC$65,E1385=$AB$66,$AC$66,TRUE,"0")</f>
        <v>#NAME?</v>
      </c>
      <c r="C1385" s="161" t="str" cm="1">
        <f t="array" ref="C1385">_xlfn.IFS(E1385=$AB$42,$AF$42,E1385=$AB$43,$AF$43,E1385=$AB$44,$AF$44,E1385=$AB$45,$AF$45,E1385=$AB$46,$AF$46,E1385=$AB$47,$AF$47,E1385=$AB$48,$AF$48,E1385=$AB$49,$AF$49,E1385=$AB$50,$AF$50,E1385=$AB$51,$AF$51,E1385=$AB$52,$AF$52,E1385=$AB$53,$AF$53,E1385=$AB$54,$AF$54,E1385=$AB$55,$AF$55,E1385=$AB$56,$AF$56,E1385=$AB$57,$AF$57,E1385=$AB$58,$AF$58,E1385=$AB$59,$AF$59,E1385=$AB$60,$AF$60,E1385=$AB$61,$AF$61,E1385=$AB$62,$AF$62,E1385=$AB$63,$AF$63,E1385=$AB$64,$AF$64,E1385=$AB$65,$AF$65,E1385=$AB$66,$AF$66,TRUE,"0")</f>
        <v>40 mins Back ANother Goal</v>
      </c>
      <c r="D1385" s="270" t="str" cm="1">
        <f t="array" ref="D1385">_xlfn.IFS(E1385=$AB$42,$AD$42,E1385=$AB$43,$AD$43,E1385=$AB$44,$AD$44,E1385=$AB$45,$AD$45,E1385=$AB$46,$AD$46,E1385=$AB$47,$AD$47,E1385=$AB$48,$AD$48,E1385=$AB$49,$AD$49,E1385=$AB$50,$AD$50,E1385=$AB$51,$AD$51,E1385=$AB$52,$AD$52,E1385=$AB$53,$AD$53,E1385=$AB$54,$AD$54,E1385=$AB$55,$AD$55,E1385=$AB$56,$AD$56,E1385=$AB$57,$AD$57,E1385=$AB$58,$AD$58,E1385=$AB$59,$AD$59,E1385=$AB$60,$AD$60,E1385=$AB$61,$AD$61,E1385=$AB$62,$AD$62,E1385=$AB$63,$AD$63,E1385=$AB$64,$AD$64,E1385=$AB$65,$AD$65,E1385=$AB$66,$AD$66,TRUE,"0")</f>
        <v xml:space="preserve">  BANG</v>
      </c>
      <c r="E1385" s="2" t="s">
        <v>726</v>
      </c>
      <c r="F1385" s="2" t="s">
        <v>20</v>
      </c>
      <c r="G1385" s="2" t="s">
        <v>322</v>
      </c>
      <c r="H1385" s="3">
        <v>45417.583333333336</v>
      </c>
      <c r="I1385" s="2" t="s">
        <v>796</v>
      </c>
      <c r="J1385" s="2" t="s">
        <v>730</v>
      </c>
      <c r="K1385" s="2">
        <v>95</v>
      </c>
      <c r="L1385" s="2">
        <v>20</v>
      </c>
      <c r="M1385" s="2">
        <v>1.9</v>
      </c>
      <c r="N1385" s="2">
        <v>63</v>
      </c>
      <c r="O1385" s="2"/>
      <c r="P1385" s="2"/>
      <c r="Q1385" s="2" t="s">
        <v>95</v>
      </c>
      <c r="R1385" s="10" t="s">
        <v>214</v>
      </c>
      <c r="S1385" s="10" t="s">
        <v>210</v>
      </c>
      <c r="T1385" s="188">
        <v>1000</v>
      </c>
      <c r="U1385" s="8">
        <f t="shared" si="155"/>
        <v>180</v>
      </c>
      <c r="V1385" s="234">
        <f t="shared" si="156"/>
        <v>142564.15524616028</v>
      </c>
      <c r="W1385" s="15">
        <v>25</v>
      </c>
      <c r="X1385" s="8">
        <f t="shared" si="157"/>
        <v>4.5</v>
      </c>
      <c r="Y1385" s="233">
        <f t="shared" si="158"/>
        <v>5430</v>
      </c>
    </row>
    <row r="1386" spans="1:25">
      <c r="A1386" s="156" t="e" cm="1">
        <f t="array" aca="1" ref="A1386" ca="1">_xlfn.IFS(E1386=$AB$42,$AC$42,E1386=$AB$43,$AC$43,E1386=$AB$44,$AC$44,E1386=$AB$45,$AC$45,E1386=$AB$46,$AC$46,E1386=$AB$47,$AC$47,E1386=$AB$48,$AC$48,E1386=$AB$49,$AC$49,E1386=$AB$50,$AC$50,E1386=$AB$51,$AC$51,E1386=$AB$52,$AC$52,E1386=$AB$53,$AC$53,E1386=$AB$54,$AC$54,E1386=$AB$55,$AC$55,E1386=$AB$56,$AC$56,E1386=$AB$57,$AC$57,E1386=$AB$58,$AC$58,E1386=$AB$59,$AC$59,E1386=$AB$60,$AC$60,E1386=$AB$61,$AC$61,E1386=$AB$62,$AC$62,E1386=$AB$63,$AC$63,E1386=$AB$64,$AC$64,E1386=$AB$65,$AC$65,E1386=$AB$66,$AC$66,TRUE,"0")</f>
        <v>#NAME?</v>
      </c>
      <c r="C1386" s="161" t="str" cm="1">
        <f t="array" ref="C1386">_xlfn.IFS(E1386=$AB$42,$AF$42,E1386=$AB$43,$AF$43,E1386=$AB$44,$AF$44,E1386=$AB$45,$AF$45,E1386=$AB$46,$AF$46,E1386=$AB$47,$AF$47,E1386=$AB$48,$AF$48,E1386=$AB$49,$AF$49,E1386=$AB$50,$AF$50,E1386=$AB$51,$AF$51,E1386=$AB$52,$AF$52,E1386=$AB$53,$AF$53,E1386=$AB$54,$AF$54,E1386=$AB$55,$AF$55,E1386=$AB$56,$AF$56,E1386=$AB$57,$AF$57,E1386=$AB$58,$AF$58,E1386=$AB$59,$AF$59,E1386=$AB$60,$AF$60,E1386=$AB$61,$AF$61,E1386=$AB$62,$AF$62,E1386=$AB$63,$AF$63,E1386=$AB$64,$AF$64,E1386=$AB$65,$AF$65,E1386=$AB$66,$AF$66,TRUE,"0")</f>
        <v>if 0-0, BACK+ 0.5 GOALS  @ 1.15+odds.  or @ 40 mins</v>
      </c>
      <c r="D1386" s="270" t="str" cm="1">
        <f t="array" ref="D1386">_xlfn.IFS(E1386=$AB$42,$AD$42,E1386=$AB$43,$AD$43,E1386=$AB$44,$AD$44,E1386=$AB$45,$AD$45,E1386=$AB$46,$AD$46,E1386=$AB$47,$AD$47,E1386=$AB$48,$AD$48,E1386=$AB$49,$AD$49,E1386=$AB$50,$AD$50,E1386=$AB$51,$AD$51,E1386=$AB$52,$AD$52,E1386=$AB$53,$AD$53,E1386=$AB$54,$AD$54,E1386=$AB$55,$AD$55,E1386=$AB$56,$AD$56,E1386=$AB$57,$AD$57,E1386=$AB$58,$AD$58,E1386=$AB$59,$AD$59,E1386=$AB$60,$AD$60,E1386=$AB$61,$AD$61,E1386=$AB$62,$AD$62,E1386=$AB$63,$AD$63,E1386=$AB$64,$AD$64,E1386=$AB$65,$AD$65,E1386=$AB$66,$AD$66,TRUE,"0")</f>
        <v>IP</v>
      </c>
      <c r="E1386" s="2" t="s">
        <v>270</v>
      </c>
      <c r="F1386" s="2" t="s">
        <v>20</v>
      </c>
      <c r="G1386" s="2" t="s">
        <v>322</v>
      </c>
      <c r="H1386" s="3">
        <v>45417.583333333336</v>
      </c>
      <c r="I1386" s="2" t="s">
        <v>796</v>
      </c>
      <c r="J1386" s="2" t="s">
        <v>730</v>
      </c>
      <c r="K1386" s="2">
        <v>62</v>
      </c>
      <c r="L1386" s="2">
        <v>0</v>
      </c>
      <c r="M1386" s="2">
        <v>20</v>
      </c>
      <c r="N1386" s="2">
        <v>38</v>
      </c>
      <c r="O1386" s="2">
        <v>2.02</v>
      </c>
      <c r="P1386" s="2"/>
      <c r="Q1386" s="2" t="s">
        <v>95</v>
      </c>
      <c r="R1386" s="10" t="s">
        <v>214</v>
      </c>
      <c r="S1386" s="10" t="s">
        <v>210</v>
      </c>
      <c r="T1386" s="188">
        <v>1000</v>
      </c>
      <c r="U1386" s="8">
        <f t="shared" si="155"/>
        <v>180</v>
      </c>
      <c r="V1386" s="234">
        <f t="shared" si="156"/>
        <v>142744.15524616028</v>
      </c>
      <c r="W1386" s="15">
        <v>25</v>
      </c>
      <c r="X1386" s="8">
        <f t="shared" si="157"/>
        <v>4.5</v>
      </c>
      <c r="Y1386" s="233">
        <f t="shared" si="158"/>
        <v>5434.5</v>
      </c>
    </row>
    <row r="1387" spans="1:25">
      <c r="A1387" s="156" t="e" cm="1">
        <f t="array" aca="1" ref="A1387" ca="1">_xlfn.IFS(E1387=$AB$42,$AC$42,E1387=$AB$43,$AC$43,E1387=$AB$44,$AC$44,E1387=$AB$45,$AC$45,E1387=$AB$46,$AC$46,E1387=$AB$47,$AC$47,E1387=$AB$48,$AC$48,E1387=$AB$49,$AC$49,E1387=$AB$50,$AC$50,E1387=$AB$51,$AC$51,E1387=$AB$52,$AC$52,E1387=$AB$53,$AC$53,E1387=$AB$54,$AC$54,E1387=$AB$55,$AC$55,E1387=$AB$56,$AC$56,E1387=$AB$57,$AC$57,E1387=$AB$58,$AC$58,E1387=$AB$59,$AC$59,E1387=$AB$60,$AC$60,E1387=$AB$61,$AC$61,E1387=$AB$62,$AC$62,E1387=$AB$63,$AC$63,E1387=$AB$64,$AC$64,E1387=$AB$65,$AC$65,E1387=$AB$66,$AC$66,TRUE,"0")</f>
        <v>#NAME?</v>
      </c>
      <c r="C1387" s="161" t="str" cm="1">
        <f t="array" ref="C1387">_xlfn.IFS(E1387=$AB$42,$AF$42,E1387=$AB$43,$AF$43,E1387=$AB$44,$AF$44,E1387=$AB$45,$AF$45,E1387=$AB$46,$AF$46,E1387=$AB$47,$AF$47,E1387=$AB$48,$AF$48,E1387=$AB$49,$AF$49,E1387=$AB$50,$AF$50,E1387=$AB$51,$AF$51,E1387=$AB$52,$AF$52,E1387=$AB$53,$AF$53,E1387=$AB$54,$AF$54,E1387=$AB$55,$AF$55,E1387=$AB$56,$AF$56,E1387=$AB$57,$AF$57,E1387=$AB$58,$AF$58,E1387=$AB$59,$AF$59,E1387=$AB$60,$AF$60,E1387=$AB$61,$AF$61,E1387=$AB$62,$AF$62,E1387=$AB$63,$AF$63,E1387=$AB$64,$AF$64,E1387=$AB$65,$AF$65,E1387=$AB$66,$AF$66,TRUE,"0")</f>
        <v>40 mins Back ANother Goal</v>
      </c>
      <c r="D1387" s="270" t="str" cm="1">
        <f t="array" ref="D1387">_xlfn.IFS(E1387=$AB$42,$AD$42,E1387=$AB$43,$AD$43,E1387=$AB$44,$AD$44,E1387=$AB$45,$AD$45,E1387=$AB$46,$AD$46,E1387=$AB$47,$AD$47,E1387=$AB$48,$AD$48,E1387=$AB$49,$AD$49,E1387=$AB$50,$AD$50,E1387=$AB$51,$AD$51,E1387=$AB$52,$AD$52,E1387=$AB$53,$AD$53,E1387=$AB$54,$AD$54,E1387=$AB$55,$AD$55,E1387=$AB$56,$AD$56,E1387=$AB$57,$AD$57,E1387=$AB$58,$AD$58,E1387=$AB$59,$AD$59,E1387=$AB$60,$AD$60,E1387=$AB$61,$AD$61,E1387=$AB$62,$AD$62,E1387=$AB$63,$AD$63,E1387=$AB$64,$AD$64,E1387=$AB$65,$AD$65,E1387=$AB$66,$AD$66,TRUE,"0")</f>
        <v xml:space="preserve">  BANG</v>
      </c>
      <c r="E1387" s="2" t="s">
        <v>515</v>
      </c>
      <c r="F1387" s="2" t="s">
        <v>119</v>
      </c>
      <c r="G1387" s="2" t="s">
        <v>166</v>
      </c>
      <c r="H1387" s="3">
        <v>45417.635416666664</v>
      </c>
      <c r="I1387" s="2" t="s">
        <v>603</v>
      </c>
      <c r="J1387" s="2" t="s">
        <v>238</v>
      </c>
      <c r="K1387" s="2">
        <v>20</v>
      </c>
      <c r="L1387" s="2">
        <v>70</v>
      </c>
      <c r="M1387" s="2">
        <v>1.85</v>
      </c>
      <c r="N1387" s="2"/>
      <c r="O1387" s="2"/>
      <c r="P1387" s="2"/>
      <c r="Q1387" s="2" t="s">
        <v>95</v>
      </c>
      <c r="R1387" s="10" t="s">
        <v>221</v>
      </c>
      <c r="S1387" s="10" t="s">
        <v>193</v>
      </c>
      <c r="T1387" s="188">
        <v>1000</v>
      </c>
      <c r="U1387" s="8">
        <f t="shared" si="155"/>
        <v>180</v>
      </c>
      <c r="V1387" s="234">
        <f t="shared" si="156"/>
        <v>142924.15524616028</v>
      </c>
      <c r="W1387" s="15">
        <v>25</v>
      </c>
      <c r="X1387" s="8">
        <f t="shared" si="157"/>
        <v>4.5</v>
      </c>
      <c r="Y1387" s="233">
        <f t="shared" si="158"/>
        <v>5439</v>
      </c>
    </row>
    <row r="1388" spans="1:25">
      <c r="A1388" s="156" t="e" cm="1">
        <f t="array" aca="1" ref="A1388" ca="1">_xlfn.IFS(E1388=$AB$42,$AC$42,E1388=$AB$43,$AC$43,E1388=$AB$44,$AC$44,E1388=$AB$45,$AC$45,E1388=$AB$46,$AC$46,E1388=$AB$47,$AC$47,E1388=$AB$48,$AC$48,E1388=$AB$49,$AC$49,E1388=$AB$50,$AC$50,E1388=$AB$51,$AC$51,E1388=$AB$52,$AC$52,E1388=$AB$53,$AC$53,E1388=$AB$54,$AC$54,E1388=$AB$55,$AC$55,E1388=$AB$56,$AC$56,E1388=$AB$57,$AC$57,E1388=$AB$58,$AC$58,E1388=$AB$59,$AC$59,E1388=$AB$60,$AC$60,E1388=$AB$61,$AC$61,E1388=$AB$62,$AC$62,E1388=$AB$63,$AC$63,E1388=$AB$64,$AC$64,E1388=$AB$65,$AC$65,E1388=$AB$66,$AC$66,TRUE,"0")</f>
        <v>#NAME?</v>
      </c>
      <c r="C1388" s="161" t="str" cm="1">
        <f t="array" ref="C1388">_xlfn.IFS(E1388=$AB$42,$AF$42,E1388=$AB$43,$AF$43,E1388=$AB$44,$AF$44,E1388=$AB$45,$AF$45,E1388=$AB$46,$AF$46,E1388=$AB$47,$AF$47,E1388=$AB$48,$AF$48,E1388=$AB$49,$AF$49,E1388=$AB$50,$AF$50,E1388=$AB$51,$AF$51,E1388=$AB$52,$AF$52,E1388=$AB$53,$AF$53,E1388=$AB$54,$AF$54,E1388=$AB$55,$AF$55,E1388=$AB$56,$AF$56,E1388=$AB$57,$AF$57,E1388=$AB$58,$AF$58,E1388=$AB$59,$AF$59,E1388=$AB$60,$AF$60,E1388=$AB$61,$AF$61,E1388=$AB$62,$AF$62,E1388=$AB$63,$AF$63,E1388=$AB$64,$AF$64,E1388=$AB$65,$AF$65,E1388=$AB$66,$AF$66,TRUE,"0")</f>
        <v>40 mins Back ANother Goal</v>
      </c>
      <c r="D1388" s="270" t="str" cm="1">
        <f t="array" ref="D1388">_xlfn.IFS(E1388=$AB$42,$AD$42,E1388=$AB$43,$AD$43,E1388=$AB$44,$AD$44,E1388=$AB$45,$AD$45,E1388=$AB$46,$AD$46,E1388=$AB$47,$AD$47,E1388=$AB$48,$AD$48,E1388=$AB$49,$AD$49,E1388=$AB$50,$AD$50,E1388=$AB$51,$AD$51,E1388=$AB$52,$AD$52,E1388=$AB$53,$AD$53,E1388=$AB$54,$AD$54,E1388=$AB$55,$AD$55,E1388=$AB$56,$AD$56,E1388=$AB$57,$AD$57,E1388=$AB$58,$AD$58,E1388=$AB$59,$AD$59,E1388=$AB$60,$AD$60,E1388=$AB$61,$AD$61,E1388=$AB$62,$AD$62,E1388=$AB$63,$AD$63,E1388=$AB$64,$AD$64,E1388=$AB$65,$AD$65,E1388=$AB$66,$AD$66,TRUE,"0")</f>
        <v xml:space="preserve">  BANG</v>
      </c>
      <c r="E1388" s="2" t="s">
        <v>726</v>
      </c>
      <c r="F1388" s="2" t="s">
        <v>6</v>
      </c>
      <c r="G1388" s="2" t="s">
        <v>62</v>
      </c>
      <c r="H1388" s="3">
        <v>45417.6875</v>
      </c>
      <c r="I1388" s="2" t="s">
        <v>285</v>
      </c>
      <c r="J1388" s="2" t="s">
        <v>116</v>
      </c>
      <c r="K1388" s="2">
        <v>80</v>
      </c>
      <c r="L1388" s="2">
        <v>20</v>
      </c>
      <c r="M1388" s="2">
        <v>1.95</v>
      </c>
      <c r="N1388" s="2">
        <v>59</v>
      </c>
      <c r="O1388" s="2"/>
      <c r="P1388" s="2"/>
      <c r="Q1388" s="2" t="s">
        <v>95</v>
      </c>
      <c r="R1388" s="10" t="s">
        <v>220</v>
      </c>
      <c r="S1388" s="10" t="s">
        <v>277</v>
      </c>
      <c r="T1388" s="188">
        <v>1000</v>
      </c>
      <c r="U1388" s="8">
        <f t="shared" si="155"/>
        <v>180</v>
      </c>
      <c r="V1388" s="234">
        <f t="shared" si="156"/>
        <v>143104.15524616028</v>
      </c>
      <c r="W1388" s="15">
        <v>25</v>
      </c>
      <c r="X1388" s="8">
        <f t="shared" si="157"/>
        <v>4.5</v>
      </c>
      <c r="Y1388" s="233">
        <f t="shared" si="158"/>
        <v>5443.5</v>
      </c>
    </row>
    <row r="1389" spans="1:25">
      <c r="A1389" s="156" t="e" cm="1">
        <f t="array" aca="1" ref="A1389" ca="1">_xlfn.IFS(E1389=$AB$42,$AC$42,E1389=$AB$43,$AC$43,E1389=$AB$44,$AC$44,E1389=$AB$45,$AC$45,E1389=$AB$46,$AC$46,E1389=$AB$47,$AC$47,E1389=$AB$48,$AC$48,E1389=$AB$49,$AC$49,E1389=$AB$50,$AC$50,E1389=$AB$51,$AC$51,E1389=$AB$52,$AC$52,E1389=$AB$53,$AC$53,E1389=$AB$54,$AC$54,E1389=$AB$55,$AC$55,E1389=$AB$56,$AC$56,E1389=$AB$57,$AC$57,E1389=$AB$58,$AC$58,E1389=$AB$59,$AC$59,E1389=$AB$60,$AC$60,E1389=$AB$61,$AC$61,E1389=$AB$62,$AC$62,E1389=$AB$63,$AC$63,E1389=$AB$64,$AC$64,E1389=$AB$65,$AC$65,E1389=$AB$66,$AC$66,TRUE,"0")</f>
        <v>#NAME?</v>
      </c>
      <c r="C1389" s="161" t="str" cm="1">
        <f t="array" ref="C1389">_xlfn.IFS(E1389=$AB$42,$AF$42,E1389=$AB$43,$AF$43,E1389=$AB$44,$AF$44,E1389=$AB$45,$AF$45,E1389=$AB$46,$AF$46,E1389=$AB$47,$AF$47,E1389=$AB$48,$AF$48,E1389=$AB$49,$AF$49,E1389=$AB$50,$AF$50,E1389=$AB$51,$AF$51,E1389=$AB$52,$AF$52,E1389=$AB$53,$AF$53,E1389=$AB$54,$AF$54,E1389=$AB$55,$AF$55,E1389=$AB$56,$AF$56,E1389=$AB$57,$AF$57,E1389=$AB$58,$AF$58,E1389=$AB$59,$AF$59,E1389=$AB$60,$AF$60,E1389=$AB$61,$AF$61,E1389=$AB$62,$AF$62,E1389=$AB$63,$AF$63,E1389=$AB$64,$AF$64,E1389=$AB$65,$AF$65,E1389=$AB$66,$AF$66,TRUE,"0")</f>
        <v>B4 match BACK FT +1.5 goals. X AFTER  GOAL</v>
      </c>
      <c r="D1389" s="270" t="str" cm="1">
        <f t="array" ref="D1389">_xlfn.IFS(E1389=$AB$42,$AD$42,E1389=$AB$43,$AD$43,E1389=$AB$44,$AD$44,E1389=$AB$45,$AD$45,E1389=$AB$46,$AD$46,E1389=$AB$47,$AD$47,E1389=$AB$48,$AD$48,E1389=$AB$49,$AD$49,E1389=$AB$50,$AD$50,E1389=$AB$51,$AD$51,E1389=$AB$52,$AD$52,E1389=$AB$53,$AD$53,E1389=$AB$54,$AD$54,E1389=$AB$55,$AD$55,E1389=$AB$56,$AD$56,E1389=$AB$57,$AD$57,E1389=$AB$58,$AD$58,E1389=$AB$59,$AD$59,E1389=$AB$60,$AD$60,E1389=$AB$61,$AD$61,E1389=$AB$62,$AD$62,E1389=$AB$63,$AD$63,E1389=$AB$64,$AD$64,E1389=$AB$65,$AD$65,E1389=$AB$66,$AD$66,TRUE,"0")</f>
        <v xml:space="preserve">BFM </v>
      </c>
      <c r="E1389" s="2" t="s">
        <v>623</v>
      </c>
      <c r="F1389" s="2" t="s">
        <v>6</v>
      </c>
      <c r="G1389" s="2" t="s">
        <v>62</v>
      </c>
      <c r="H1389" s="3">
        <v>45417.6875</v>
      </c>
      <c r="I1389" s="2" t="s">
        <v>285</v>
      </c>
      <c r="J1389" s="2" t="s">
        <v>116</v>
      </c>
      <c r="K1389" s="2">
        <v>3.5</v>
      </c>
      <c r="L1389" s="2">
        <v>20</v>
      </c>
      <c r="M1389" s="2">
        <v>3.45</v>
      </c>
      <c r="N1389" s="2">
        <v>21</v>
      </c>
      <c r="O1389" s="2">
        <v>3</v>
      </c>
      <c r="P1389" s="2">
        <v>10</v>
      </c>
      <c r="Q1389" s="2" t="s">
        <v>95</v>
      </c>
      <c r="R1389" s="10" t="s">
        <v>220</v>
      </c>
      <c r="S1389" s="10" t="s">
        <v>277</v>
      </c>
      <c r="T1389" s="188">
        <v>1000</v>
      </c>
      <c r="U1389" s="8">
        <f t="shared" si="155"/>
        <v>180</v>
      </c>
      <c r="V1389" s="234">
        <f t="shared" si="156"/>
        <v>143284.15524616028</v>
      </c>
      <c r="W1389" s="15">
        <v>25</v>
      </c>
      <c r="X1389" s="8">
        <f t="shared" si="157"/>
        <v>4.5</v>
      </c>
      <c r="Y1389" s="233">
        <f t="shared" si="158"/>
        <v>5448</v>
      </c>
    </row>
    <row r="1390" spans="1:25">
      <c r="A1390" s="156" t="e" cm="1">
        <f t="array" aca="1" ref="A1390" ca="1">_xlfn.IFS(E1390=$AB$42,$AC$42,E1390=$AB$43,$AC$43,E1390=$AB$44,$AC$44,E1390=$AB$45,$AC$45,E1390=$AB$46,$AC$46,E1390=$AB$47,$AC$47,E1390=$AB$48,$AC$48,E1390=$AB$49,$AC$49,E1390=$AB$50,$AC$50,E1390=$AB$51,$AC$51,E1390=$AB$52,$AC$52,E1390=$AB$53,$AC$53,E1390=$AB$54,$AC$54,E1390=$AB$55,$AC$55,E1390=$AB$56,$AC$56,E1390=$AB$57,$AC$57,E1390=$AB$58,$AC$58,E1390=$AB$59,$AC$59,E1390=$AB$60,$AC$60,E1390=$AB$61,$AC$61,E1390=$AB$62,$AC$62,E1390=$AB$63,$AC$63,E1390=$AB$64,$AC$64,E1390=$AB$65,$AC$65,E1390=$AB$66,$AC$66,TRUE,"0")</f>
        <v>#NAME?</v>
      </c>
      <c r="C1390" s="161" t="str" cm="1">
        <f t="array" ref="C1390">_xlfn.IFS(E1390=$AB$42,$AF$42,E1390=$AB$43,$AF$43,E1390=$AB$44,$AF$44,E1390=$AB$45,$AF$45,E1390=$AB$46,$AF$46,E1390=$AB$47,$AF$47,E1390=$AB$48,$AF$48,E1390=$AB$49,$AF$49,E1390=$AB$50,$AF$50,E1390=$AB$51,$AF$51,E1390=$AB$52,$AF$52,E1390=$AB$53,$AF$53,E1390=$AB$54,$AF$54,E1390=$AB$55,$AF$55,E1390=$AB$56,$AF$56,E1390=$AB$57,$AF$57,E1390=$AB$58,$AF$58,E1390=$AB$59,$AF$59,E1390=$AB$60,$AF$60,E1390=$AB$61,$AF$61,E1390=$AB$62,$AF$62,E1390=$AB$63,$AF$63,E1390=$AB$64,$AF$64,E1390=$AB$65,$AF$65,E1390=$AB$66,$AF$66,TRUE,"0")</f>
        <v>if 0-0, BACK+ 0.5 GOALS  @ 1.15+odds.  or @ 40 mins</v>
      </c>
      <c r="D1390" s="270" t="str" cm="1">
        <f t="array" ref="D1390">_xlfn.IFS(E1390=$AB$42,$AD$42,E1390=$AB$43,$AD$43,E1390=$AB$44,$AD$44,E1390=$AB$45,$AD$45,E1390=$AB$46,$AD$46,E1390=$AB$47,$AD$47,E1390=$AB$48,$AD$48,E1390=$AB$49,$AD$49,E1390=$AB$50,$AD$50,E1390=$AB$51,$AD$51,E1390=$AB$52,$AD$52,E1390=$AB$53,$AD$53,E1390=$AB$54,$AD$54,E1390=$AB$55,$AD$55,E1390=$AB$56,$AD$56,E1390=$AB$57,$AD$57,E1390=$AB$58,$AD$58,E1390=$AB$59,$AD$59,E1390=$AB$60,$AD$60,E1390=$AB$61,$AD$61,E1390=$AB$62,$AD$62,E1390=$AB$63,$AD$63,E1390=$AB$64,$AD$64,E1390=$AB$65,$AD$65,E1390=$AB$66,$AD$66,TRUE,"0")</f>
        <v>IP</v>
      </c>
      <c r="E1390" s="2" t="s">
        <v>270</v>
      </c>
      <c r="F1390" s="2" t="s">
        <v>58</v>
      </c>
      <c r="G1390" s="2" t="s">
        <v>289</v>
      </c>
      <c r="H1390" s="3">
        <v>45417.75</v>
      </c>
      <c r="I1390" s="2" t="s">
        <v>716</v>
      </c>
      <c r="J1390" s="2" t="s">
        <v>624</v>
      </c>
      <c r="K1390" s="2">
        <v>65</v>
      </c>
      <c r="L1390" s="2">
        <v>0</v>
      </c>
      <c r="M1390" s="2">
        <v>20</v>
      </c>
      <c r="N1390" s="2">
        <v>44</v>
      </c>
      <c r="O1390" s="2">
        <v>0</v>
      </c>
      <c r="P1390" s="2"/>
      <c r="Q1390" s="2" t="s">
        <v>95</v>
      </c>
      <c r="R1390" s="10" t="s">
        <v>220</v>
      </c>
      <c r="S1390" s="10" t="s">
        <v>210</v>
      </c>
      <c r="T1390" s="188">
        <v>1000</v>
      </c>
      <c r="U1390" s="8">
        <f t="shared" si="155"/>
        <v>180</v>
      </c>
      <c r="V1390" s="234">
        <f t="shared" si="156"/>
        <v>143464.15524616028</v>
      </c>
      <c r="W1390" s="15">
        <v>25</v>
      </c>
      <c r="X1390" s="8">
        <f t="shared" si="157"/>
        <v>4.5</v>
      </c>
      <c r="Y1390" s="233">
        <f t="shared" si="158"/>
        <v>5452.5</v>
      </c>
    </row>
    <row r="1391" spans="1:25">
      <c r="A1391" s="156" t="e" cm="1">
        <f t="array" aca="1" ref="A1391" ca="1">_xlfn.IFS(E1391=$AB$42,$AC$42,E1391=$AB$43,$AC$43,E1391=$AB$44,$AC$44,E1391=$AB$45,$AC$45,E1391=$AB$46,$AC$46,E1391=$AB$47,$AC$47,E1391=$AB$48,$AC$48,E1391=$AB$49,$AC$49,E1391=$AB$50,$AC$50,E1391=$AB$51,$AC$51,E1391=$AB$52,$AC$52,E1391=$AB$53,$AC$53,E1391=$AB$54,$AC$54,E1391=$AB$55,$AC$55,E1391=$AB$56,$AC$56,E1391=$AB$57,$AC$57,E1391=$AB$58,$AC$58,E1391=$AB$59,$AC$59,E1391=$AB$60,$AC$60,E1391=$AB$61,$AC$61,E1391=$AB$62,$AC$62,E1391=$AB$63,$AC$63,E1391=$AB$64,$AC$64,E1391=$AB$65,$AC$65,E1391=$AB$66,$AC$66,TRUE,"0")</f>
        <v>#NAME?</v>
      </c>
      <c r="C1391" s="161" t="str" cm="1">
        <f t="array" ref="C1391">_xlfn.IFS(E1391=$AB$42,$AF$42,E1391=$AB$43,$AF$43,E1391=$AB$44,$AF$44,E1391=$AB$45,$AF$45,E1391=$AB$46,$AF$46,E1391=$AB$47,$AF$47,E1391=$AB$48,$AF$48,E1391=$AB$49,$AF$49,E1391=$AB$50,$AF$50,E1391=$AB$51,$AF$51,E1391=$AB$52,$AF$52,E1391=$AB$53,$AF$53,E1391=$AB$54,$AF$54,E1391=$AB$55,$AF$55,E1391=$AB$56,$AF$56,E1391=$AB$57,$AF$57,E1391=$AB$58,$AF$58,E1391=$AB$59,$AF$59,E1391=$AB$60,$AF$60,E1391=$AB$61,$AF$61,E1391=$AB$62,$AF$62,E1391=$AB$63,$AF$63,E1391=$AB$64,$AF$64,E1391=$AB$65,$AF$65,E1391=$AB$66,$AF$66,TRUE,"0")</f>
        <v>B4 MATCH bet H1 'under 2.5goals'- X at 40 minutes</v>
      </c>
      <c r="D1391" s="270" t="str" cm="1">
        <f t="array" ref="D1391">_xlfn.IFS(E1391=$AB$42,$AD$42,E1391=$AB$43,$AD$43,E1391=$AB$44,$AD$44,E1391=$AB$45,$AD$45,E1391=$AB$46,$AD$46,E1391=$AB$47,$AD$47,E1391=$AB$48,$AD$48,E1391=$AB$49,$AD$49,E1391=$AB$50,$AD$50,E1391=$AB$51,$AD$51,E1391=$AB$52,$AD$52,E1391=$AB$53,$AD$53,E1391=$AB$54,$AD$54,E1391=$AB$55,$AD$55,E1391=$AB$56,$AD$56,E1391=$AB$57,$AD$57,E1391=$AB$58,$AD$58,E1391=$AB$59,$AD$59,E1391=$AB$60,$AD$60,E1391=$AB$61,$AD$61,E1391=$AB$62,$AD$62,E1391=$AB$63,$AD$63,E1391=$AB$64,$AD$64,E1391=$AB$65,$AD$65,E1391=$AB$66,$AD$66,TRUE,"0")</f>
        <v xml:space="preserve">BFM </v>
      </c>
      <c r="E1391" s="160" t="s">
        <v>458</v>
      </c>
      <c r="F1391" s="2" t="s">
        <v>58</v>
      </c>
      <c r="G1391" s="2" t="s">
        <v>289</v>
      </c>
      <c r="H1391" s="3">
        <v>45417.75</v>
      </c>
      <c r="I1391" s="2" t="s">
        <v>716</v>
      </c>
      <c r="J1391" s="2" t="s">
        <v>624</v>
      </c>
      <c r="K1391" s="2">
        <v>20</v>
      </c>
      <c r="L1391" s="2">
        <v>85</v>
      </c>
      <c r="M1391" s="2">
        <v>100</v>
      </c>
      <c r="N1391" s="2">
        <v>44</v>
      </c>
      <c r="O1391" s="2">
        <v>1.85</v>
      </c>
      <c r="P1391" s="2"/>
      <c r="Q1391" s="2" t="s">
        <v>95</v>
      </c>
      <c r="R1391" s="10" t="s">
        <v>220</v>
      </c>
      <c r="S1391" s="10" t="s">
        <v>210</v>
      </c>
      <c r="T1391" s="188">
        <v>1000</v>
      </c>
      <c r="U1391" s="8">
        <f t="shared" si="155"/>
        <v>180</v>
      </c>
      <c r="V1391" s="234">
        <f t="shared" si="156"/>
        <v>143644.15524616028</v>
      </c>
      <c r="W1391" s="15">
        <v>25</v>
      </c>
      <c r="X1391" s="8">
        <f t="shared" si="157"/>
        <v>4.5</v>
      </c>
      <c r="Y1391" s="233">
        <f t="shared" si="158"/>
        <v>5457</v>
      </c>
    </row>
    <row r="1392" spans="1:25">
      <c r="A1392" s="156" t="e" cm="1">
        <f t="array" aca="1" ref="A1392" ca="1">_xlfn.IFS(E1392=$AB$42,$AC$42,E1392=$AB$43,$AC$43,E1392=$AB$44,$AC$44,E1392=$AB$45,$AC$45,E1392=$AB$46,$AC$46,E1392=$AB$47,$AC$47,E1392=$AB$48,$AC$48,E1392=$AB$49,$AC$49,E1392=$AB$50,$AC$50,E1392=$AB$51,$AC$51,E1392=$AB$52,$AC$52,E1392=$AB$53,$AC$53,E1392=$AB$54,$AC$54,E1392=$AB$55,$AC$55,E1392=$AB$56,$AC$56,E1392=$AB$57,$AC$57,E1392=$AB$58,$AC$58,E1392=$AB$59,$AC$59,E1392=$AB$60,$AC$60,E1392=$AB$61,$AC$61,E1392=$AB$62,$AC$62,E1392=$AB$63,$AC$63,E1392=$AB$64,$AC$64,E1392=$AB$65,$AC$65,E1392=$AB$66,$AC$66,TRUE,"0")</f>
        <v>#NAME?</v>
      </c>
      <c r="C1392" s="161" t="str" cm="1">
        <f t="array" ref="C1392">_xlfn.IFS(E1392=$AB$42,$AF$42,E1392=$AB$43,$AF$43,E1392=$AB$44,$AF$44,E1392=$AB$45,$AF$45,E1392=$AB$46,$AF$46,E1392=$AB$47,$AF$47,E1392=$AB$48,$AF$48,E1392=$AB$49,$AF$49,E1392=$AB$50,$AF$50,E1392=$AB$51,$AF$51,E1392=$AB$52,$AF$52,E1392=$AB$53,$AF$53,E1392=$AB$54,$AF$54,E1392=$AB$55,$AF$55,E1392=$AB$56,$AF$56,E1392=$AB$57,$AF$57,E1392=$AB$58,$AF$58,E1392=$AB$59,$AF$59,E1392=$AB$60,$AF$60,E1392=$AB$61,$AF$61,E1392=$AB$62,$AF$62,E1392=$AB$63,$AF$63,E1392=$AB$64,$AF$64,E1392=$AB$65,$AF$65,E1392=$AB$66,$AF$66,TRUE,"0")</f>
        <v>40 mins Back ANother Goal</v>
      </c>
      <c r="D1392" s="270" t="str" cm="1">
        <f t="array" ref="D1392">_xlfn.IFS(E1392=$AB$42,$AD$42,E1392=$AB$43,$AD$43,E1392=$AB$44,$AD$44,E1392=$AB$45,$AD$45,E1392=$AB$46,$AD$46,E1392=$AB$47,$AD$47,E1392=$AB$48,$AD$48,E1392=$AB$49,$AD$49,E1392=$AB$50,$AD$50,E1392=$AB$51,$AD$51,E1392=$AB$52,$AD$52,E1392=$AB$53,$AD$53,E1392=$AB$54,$AD$54,E1392=$AB$55,$AD$55,E1392=$AB$56,$AD$56,E1392=$AB$57,$AD$57,E1392=$AB$58,$AD$58,E1392=$AB$59,$AD$59,E1392=$AB$60,$AD$60,E1392=$AB$61,$AD$61,E1392=$AB$62,$AD$62,E1392=$AB$63,$AD$63,E1392=$AB$64,$AD$64,E1392=$AB$65,$AD$65,E1392=$AB$66,$AD$66,TRUE,"0")</f>
        <v xml:space="preserve">  BANG</v>
      </c>
      <c r="E1392" s="2" t="s">
        <v>726</v>
      </c>
      <c r="F1392" s="2" t="s">
        <v>58</v>
      </c>
      <c r="G1392" s="2" t="s">
        <v>59</v>
      </c>
      <c r="H1392" s="3">
        <v>45417.75</v>
      </c>
      <c r="I1392" s="2" t="s">
        <v>112</v>
      </c>
      <c r="J1392" s="2" t="s">
        <v>111</v>
      </c>
      <c r="K1392" s="2">
        <v>85</v>
      </c>
      <c r="L1392" s="2">
        <v>20</v>
      </c>
      <c r="M1392" s="2">
        <v>1.85</v>
      </c>
      <c r="N1392" s="2">
        <v>62</v>
      </c>
      <c r="O1392" s="2"/>
      <c r="P1392" s="2"/>
      <c r="Q1392" s="2" t="s">
        <v>95</v>
      </c>
      <c r="R1392" s="10" t="s">
        <v>216</v>
      </c>
      <c r="S1392" s="10" t="s">
        <v>212</v>
      </c>
      <c r="T1392" s="188">
        <v>1000</v>
      </c>
      <c r="U1392" s="8">
        <f t="shared" si="155"/>
        <v>180</v>
      </c>
      <c r="V1392" s="234">
        <f t="shared" si="156"/>
        <v>143824.15524616028</v>
      </c>
      <c r="W1392" s="15">
        <v>25</v>
      </c>
      <c r="X1392" s="8">
        <f t="shared" si="157"/>
        <v>4.5</v>
      </c>
      <c r="Y1392" s="233">
        <f t="shared" si="158"/>
        <v>5461.5</v>
      </c>
    </row>
    <row r="1393" spans="1:25">
      <c r="A1393" s="156" t="e" cm="1">
        <f t="array" aca="1" ref="A1393" ca="1">_xlfn.IFS(E1393=$AB$42,$AC$42,E1393=$AB$43,$AC$43,E1393=$AB$44,$AC$44,E1393=$AB$45,$AC$45,E1393=$AB$46,$AC$46,E1393=$AB$47,$AC$47,E1393=$AB$48,$AC$48,E1393=$AB$49,$AC$49,E1393=$AB$50,$AC$50,E1393=$AB$51,$AC$51,E1393=$AB$52,$AC$52,E1393=$AB$53,$AC$53,E1393=$AB$54,$AC$54,E1393=$AB$55,$AC$55,E1393=$AB$56,$AC$56,E1393=$AB$57,$AC$57,E1393=$AB$58,$AC$58,E1393=$AB$59,$AC$59,E1393=$AB$60,$AC$60,E1393=$AB$61,$AC$61,E1393=$AB$62,$AC$62,E1393=$AB$63,$AC$63,E1393=$AB$64,$AC$64,E1393=$AB$65,$AC$65,E1393=$AB$66,$AC$66,TRUE,"0")</f>
        <v>#NAME?</v>
      </c>
      <c r="C1393" s="161" t="str" cm="1">
        <f t="array" ref="C1393">_xlfn.IFS(E1393=$AB$42,$AF$42,E1393=$AB$43,$AF$43,E1393=$AB$44,$AF$44,E1393=$AB$45,$AF$45,E1393=$AB$46,$AF$46,E1393=$AB$47,$AF$47,E1393=$AB$48,$AF$48,E1393=$AB$49,$AF$49,E1393=$AB$50,$AF$50,E1393=$AB$51,$AF$51,E1393=$AB$52,$AF$52,E1393=$AB$53,$AF$53,E1393=$AB$54,$AF$54,E1393=$AB$55,$AF$55,E1393=$AB$56,$AF$56,E1393=$AB$57,$AF$57,E1393=$AB$58,$AF$58,E1393=$AB$59,$AF$59,E1393=$AB$60,$AF$60,E1393=$AB$61,$AF$61,E1393=$AB$62,$AF$62,E1393=$AB$63,$AF$63,E1393=$AB$64,$AF$64,E1393=$AB$65,$AF$65,E1393=$AB$66,$AF$66,TRUE,"0")</f>
        <v>if 0-0, BACK+ 0.5 GOALS  @ 1.15+odds.  or @ 40 mins</v>
      </c>
      <c r="D1393" s="270" t="str" cm="1">
        <f t="array" ref="D1393">_xlfn.IFS(E1393=$AB$42,$AD$42,E1393=$AB$43,$AD$43,E1393=$AB$44,$AD$44,E1393=$AB$45,$AD$45,E1393=$AB$46,$AD$46,E1393=$AB$47,$AD$47,E1393=$AB$48,$AD$48,E1393=$AB$49,$AD$49,E1393=$AB$50,$AD$50,E1393=$AB$51,$AD$51,E1393=$AB$52,$AD$52,E1393=$AB$53,$AD$53,E1393=$AB$54,$AD$54,E1393=$AB$55,$AD$55,E1393=$AB$56,$AD$56,E1393=$AB$57,$AD$57,E1393=$AB$58,$AD$58,E1393=$AB$59,$AD$59,E1393=$AB$60,$AD$60,E1393=$AB$61,$AD$61,E1393=$AB$62,$AD$62,E1393=$AB$63,$AD$63,E1393=$AB$64,$AD$64,E1393=$AB$65,$AD$65,E1393=$AB$66,$AD$66,TRUE,"0")</f>
        <v>IP</v>
      </c>
      <c r="E1393" s="2" t="s">
        <v>270</v>
      </c>
      <c r="F1393" s="2" t="s">
        <v>77</v>
      </c>
      <c r="G1393" s="2" t="s">
        <v>251</v>
      </c>
      <c r="H1393" s="3">
        <v>45417.770833333336</v>
      </c>
      <c r="I1393" s="2" t="s">
        <v>788</v>
      </c>
      <c r="J1393" s="2" t="s">
        <v>259</v>
      </c>
      <c r="K1393" s="2">
        <v>60</v>
      </c>
      <c r="L1393" s="2">
        <v>0</v>
      </c>
      <c r="M1393" s="2">
        <v>20</v>
      </c>
      <c r="N1393" s="2">
        <v>28</v>
      </c>
      <c r="O1393" s="2">
        <v>0</v>
      </c>
      <c r="P1393" s="2"/>
      <c r="Q1393" s="2" t="s">
        <v>95</v>
      </c>
      <c r="R1393" s="10" t="s">
        <v>221</v>
      </c>
      <c r="S1393" s="10" t="s">
        <v>216</v>
      </c>
      <c r="T1393" s="188">
        <v>1000</v>
      </c>
      <c r="U1393" s="8">
        <f t="shared" si="155"/>
        <v>180</v>
      </c>
      <c r="V1393" s="234">
        <f t="shared" si="156"/>
        <v>144004.15524616028</v>
      </c>
      <c r="W1393" s="15">
        <v>25</v>
      </c>
      <c r="X1393" s="8">
        <f t="shared" si="157"/>
        <v>4.5</v>
      </c>
      <c r="Y1393" s="233">
        <f t="shared" si="158"/>
        <v>5466</v>
      </c>
    </row>
    <row r="1394" spans="1:25">
      <c r="A1394" s="156" t="e" cm="1">
        <f t="array" aca="1" ref="A1394" ca="1">_xlfn.IFS(E1394=$AB$42,$AC$42,E1394=$AB$43,$AC$43,E1394=$AB$44,$AC$44,E1394=$AB$45,$AC$45,E1394=$AB$46,$AC$46,E1394=$AB$47,$AC$47,E1394=$AB$48,$AC$48,E1394=$AB$49,$AC$49,E1394=$AB$50,$AC$50,E1394=$AB$51,$AC$51,E1394=$AB$52,$AC$52,E1394=$AB$53,$AC$53,E1394=$AB$54,$AC$54,E1394=$AB$55,$AC$55,E1394=$AB$56,$AC$56,E1394=$AB$57,$AC$57,E1394=$AB$58,$AC$58,E1394=$AB$59,$AC$59,E1394=$AB$60,$AC$60,E1394=$AB$61,$AC$61,E1394=$AB$62,$AC$62,E1394=$AB$63,$AC$63,E1394=$AB$64,$AC$64,E1394=$AB$65,$AC$65,E1394=$AB$66,$AC$66,TRUE,"0")</f>
        <v>#NAME?</v>
      </c>
      <c r="C1394" s="161" t="str" cm="1">
        <f t="array" ref="C1394">_xlfn.IFS(E1394=$AB$42,$AF$42,E1394=$AB$43,$AF$43,E1394=$AB$44,$AF$44,E1394=$AB$45,$AF$45,E1394=$AB$46,$AF$46,E1394=$AB$47,$AF$47,E1394=$AB$48,$AF$48,E1394=$AB$49,$AF$49,E1394=$AB$50,$AF$50,E1394=$AB$51,$AF$51,E1394=$AB$52,$AF$52,E1394=$AB$53,$AF$53,E1394=$AB$54,$AF$54,E1394=$AB$55,$AF$55,E1394=$AB$56,$AF$56,E1394=$AB$57,$AF$57,E1394=$AB$58,$AF$58,E1394=$AB$59,$AF$59,E1394=$AB$60,$AF$60,E1394=$AB$61,$AF$61,E1394=$AB$62,$AF$62,E1394=$AB$63,$AF$63,E1394=$AB$64,$AF$64,E1394=$AB$65,$AF$65,E1394=$AB$66,$AF$66,TRUE,"0")</f>
        <v>40 mins Back ANother Goal</v>
      </c>
      <c r="D1394" s="270" t="str" cm="1">
        <f t="array" ref="D1394">_xlfn.IFS(E1394=$AB$42,$AD$42,E1394=$AB$43,$AD$43,E1394=$AB$44,$AD$44,E1394=$AB$45,$AD$45,E1394=$AB$46,$AD$46,E1394=$AB$47,$AD$47,E1394=$AB$48,$AD$48,E1394=$AB$49,$AD$49,E1394=$AB$50,$AD$50,E1394=$AB$51,$AD$51,E1394=$AB$52,$AD$52,E1394=$AB$53,$AD$53,E1394=$AB$54,$AD$54,E1394=$AB$55,$AD$55,E1394=$AB$56,$AD$56,E1394=$AB$57,$AD$57,E1394=$AB$58,$AD$58,E1394=$AB$59,$AD$59,E1394=$AB$60,$AD$60,E1394=$AB$61,$AD$61,E1394=$AB$62,$AD$62,E1394=$AB$63,$AD$63,E1394=$AB$64,$AD$64,E1394=$AB$65,$AD$65,E1394=$AB$66,$AD$66,TRUE,"0")</f>
        <v xml:space="preserve">  BANG</v>
      </c>
      <c r="E1394" s="2" t="s">
        <v>792</v>
      </c>
      <c r="F1394" s="2" t="s">
        <v>149</v>
      </c>
      <c r="G1394" s="2" t="s">
        <v>153</v>
      </c>
      <c r="H1394" s="3">
        <v>45417.791666666664</v>
      </c>
      <c r="I1394" s="2" t="s">
        <v>282</v>
      </c>
      <c r="J1394" s="2" t="s">
        <v>205</v>
      </c>
      <c r="K1394" s="2">
        <v>2.2999999999999998</v>
      </c>
      <c r="L1394" s="2">
        <v>90</v>
      </c>
      <c r="M1394" s="2">
        <v>65</v>
      </c>
      <c r="N1394" s="2">
        <v>63</v>
      </c>
      <c r="O1394" s="2">
        <v>20</v>
      </c>
      <c r="P1394" s="2"/>
      <c r="Q1394" s="2" t="s">
        <v>95</v>
      </c>
      <c r="R1394" s="10" t="s">
        <v>220</v>
      </c>
      <c r="S1394" s="10" t="s">
        <v>195</v>
      </c>
      <c r="T1394" s="188">
        <v>1000</v>
      </c>
      <c r="U1394" s="8">
        <f t="shared" si="155"/>
        <v>180</v>
      </c>
      <c r="V1394" s="234">
        <f t="shared" si="156"/>
        <v>144184.15524616028</v>
      </c>
      <c r="W1394" s="15">
        <v>25</v>
      </c>
      <c r="X1394" s="8">
        <f t="shared" si="157"/>
        <v>4.5</v>
      </c>
      <c r="Y1394" s="233">
        <f t="shared" si="158"/>
        <v>5470.5</v>
      </c>
    </row>
    <row r="1395" spans="1:25">
      <c r="A1395" s="156" t="e" cm="1">
        <f t="array" aca="1" ref="A1395" ca="1">_xlfn.IFS(E1395=$AB$42,$AC$42,E1395=$AB$43,$AC$43,E1395=$AB$44,$AC$44,E1395=$AB$45,$AC$45,E1395=$AB$46,$AC$46,E1395=$AB$47,$AC$47,E1395=$AB$48,$AC$48,E1395=$AB$49,$AC$49,E1395=$AB$50,$AC$50,E1395=$AB$51,$AC$51,E1395=$AB$52,$AC$52,E1395=$AB$53,$AC$53,E1395=$AB$54,$AC$54,E1395=$AB$55,$AC$55,E1395=$AB$56,$AC$56,E1395=$AB$57,$AC$57,E1395=$AB$58,$AC$58,E1395=$AB$59,$AC$59,E1395=$AB$60,$AC$60,E1395=$AB$61,$AC$61,E1395=$AB$62,$AC$62,E1395=$AB$63,$AC$63,E1395=$AB$64,$AC$64,E1395=$AB$65,$AC$65,E1395=$AB$66,$AC$66,TRUE,"0")</f>
        <v>#NAME?</v>
      </c>
      <c r="C1395" s="161" t="str" cm="1">
        <f t="array" ref="C1395">_xlfn.IFS(E1395=$AB$42,$AF$42,E1395=$AB$43,$AF$43,E1395=$AB$44,$AF$44,E1395=$AB$45,$AF$45,E1395=$AB$46,$AF$46,E1395=$AB$47,$AF$47,E1395=$AB$48,$AF$48,E1395=$AB$49,$AF$49,E1395=$AB$50,$AF$50,E1395=$AB$51,$AF$51,E1395=$AB$52,$AF$52,E1395=$AB$53,$AF$53,E1395=$AB$54,$AF$54,E1395=$AB$55,$AF$55,E1395=$AB$56,$AF$56,E1395=$AB$57,$AF$57,E1395=$AB$58,$AF$58,E1395=$AB$59,$AF$59,E1395=$AB$60,$AF$60,E1395=$AB$61,$AF$61,E1395=$AB$62,$AF$62,E1395=$AB$63,$AF$63,E1395=$AB$64,$AF$64,E1395=$AB$65,$AF$65,E1395=$AB$66,$AF$66,TRUE,"0")</f>
        <v>40 mins Back ANother Goal</v>
      </c>
      <c r="D1395" s="270" t="str" cm="1">
        <f t="array" ref="D1395">_xlfn.IFS(E1395=$AB$42,$AD$42,E1395=$AB$43,$AD$43,E1395=$AB$44,$AD$44,E1395=$AB$45,$AD$45,E1395=$AB$46,$AD$46,E1395=$AB$47,$AD$47,E1395=$AB$48,$AD$48,E1395=$AB$49,$AD$49,E1395=$AB$50,$AD$50,E1395=$AB$51,$AD$51,E1395=$AB$52,$AD$52,E1395=$AB$53,$AD$53,E1395=$AB$54,$AD$54,E1395=$AB$55,$AD$55,E1395=$AB$56,$AD$56,E1395=$AB$57,$AD$57,E1395=$AB$58,$AD$58,E1395=$AB$59,$AD$59,E1395=$AB$60,$AD$60,E1395=$AB$61,$AD$61,E1395=$AB$62,$AD$62,E1395=$AB$63,$AD$63,E1395=$AB$64,$AD$64,E1395=$AB$65,$AD$65,E1395=$AB$66,$AD$66,TRUE,"0")</f>
        <v xml:space="preserve">  BANG</v>
      </c>
      <c r="E1395" s="2" t="s">
        <v>35</v>
      </c>
      <c r="F1395" s="2" t="s">
        <v>149</v>
      </c>
      <c r="G1395" s="2" t="s">
        <v>153</v>
      </c>
      <c r="H1395" s="3">
        <v>45417.791666666664</v>
      </c>
      <c r="I1395" s="2" t="s">
        <v>282</v>
      </c>
      <c r="J1395" s="2" t="s">
        <v>205</v>
      </c>
      <c r="K1395" s="2">
        <v>69</v>
      </c>
      <c r="L1395" s="2">
        <v>90</v>
      </c>
      <c r="M1395" s="2">
        <v>65</v>
      </c>
      <c r="N1395" s="2">
        <v>45</v>
      </c>
      <c r="O1395" s="2">
        <v>20</v>
      </c>
      <c r="P1395" s="2">
        <v>1.65</v>
      </c>
      <c r="Q1395" s="2" t="s">
        <v>95</v>
      </c>
      <c r="R1395" s="10" t="s">
        <v>220</v>
      </c>
      <c r="S1395" s="10" t="s">
        <v>195</v>
      </c>
      <c r="T1395" s="188">
        <v>1000</v>
      </c>
      <c r="U1395" s="8">
        <f t="shared" si="155"/>
        <v>180</v>
      </c>
      <c r="V1395" s="234">
        <f t="shared" si="156"/>
        <v>144364.15524616028</v>
      </c>
      <c r="W1395" s="15">
        <v>25</v>
      </c>
      <c r="X1395" s="8">
        <f t="shared" si="157"/>
        <v>4.5</v>
      </c>
      <c r="Y1395" s="233">
        <f t="shared" si="158"/>
        <v>5475</v>
      </c>
    </row>
    <row r="1396" spans="1:25">
      <c r="A1396" s="156" t="e" cm="1">
        <f t="array" aca="1" ref="A1396" ca="1">_xlfn.IFS(E1396=$AB$42,$AC$42,E1396=$AB$43,$AC$43,E1396=$AB$44,$AC$44,E1396=$AB$45,$AC$45,E1396=$AB$46,$AC$46,E1396=$AB$47,$AC$47,E1396=$AB$48,$AC$48,E1396=$AB$49,$AC$49,E1396=$AB$50,$AC$50,E1396=$AB$51,$AC$51,E1396=$AB$52,$AC$52,E1396=$AB$53,$AC$53,E1396=$AB$54,$AC$54,E1396=$AB$55,$AC$55,E1396=$AB$56,$AC$56,E1396=$AB$57,$AC$57,E1396=$AB$58,$AC$58,E1396=$AB$59,$AC$59,E1396=$AB$60,$AC$60,E1396=$AB$61,$AC$61,E1396=$AB$62,$AC$62,E1396=$AB$63,$AC$63,E1396=$AB$64,$AC$64,E1396=$AB$65,$AC$65,E1396=$AB$66,$AC$66,TRUE,"0")</f>
        <v>#NAME?</v>
      </c>
      <c r="C1396" s="161" t="str" cm="1">
        <f t="array" ref="C1396">_xlfn.IFS(E1396=$AB$42,$AF$42,E1396=$AB$43,$AF$43,E1396=$AB$44,$AF$44,E1396=$AB$45,$AF$45,E1396=$AB$46,$AF$46,E1396=$AB$47,$AF$47,E1396=$AB$48,$AF$48,E1396=$AB$49,$AF$49,E1396=$AB$50,$AF$50,E1396=$AB$51,$AF$51,E1396=$AB$52,$AF$52,E1396=$AB$53,$AF$53,E1396=$AB$54,$AF$54,E1396=$AB$55,$AF$55,E1396=$AB$56,$AF$56,E1396=$AB$57,$AF$57,E1396=$AB$58,$AF$58,E1396=$AB$59,$AF$59,E1396=$AB$60,$AF$60,E1396=$AB$61,$AF$61,E1396=$AB$62,$AF$62,E1396=$AB$63,$AF$63,E1396=$AB$64,$AF$64,E1396=$AB$65,$AF$65,E1396=$AB$66,$AF$66,TRUE,"0")</f>
        <v>40 mins Back ANother Goal</v>
      </c>
      <c r="D1396" s="270" t="str" cm="1">
        <f t="array" ref="D1396">_xlfn.IFS(E1396=$AB$42,$AD$42,E1396=$AB$43,$AD$43,E1396=$AB$44,$AD$44,E1396=$AB$45,$AD$45,E1396=$AB$46,$AD$46,E1396=$AB$47,$AD$47,E1396=$AB$48,$AD$48,E1396=$AB$49,$AD$49,E1396=$AB$50,$AD$50,E1396=$AB$51,$AD$51,E1396=$AB$52,$AD$52,E1396=$AB$53,$AD$53,E1396=$AB$54,$AD$54,E1396=$AB$55,$AD$55,E1396=$AB$56,$AD$56,E1396=$AB$57,$AD$57,E1396=$AB$58,$AD$58,E1396=$AB$59,$AD$59,E1396=$AB$60,$AD$60,E1396=$AB$61,$AD$61,E1396=$AB$62,$AD$62,E1396=$AB$63,$AD$63,E1396=$AB$64,$AD$64,E1396=$AB$65,$AD$65,E1396=$AB$66,$AD$66,TRUE,"0")</f>
        <v xml:space="preserve">  BANG</v>
      </c>
      <c r="E1396" s="2" t="s">
        <v>726</v>
      </c>
      <c r="F1396" s="2" t="s">
        <v>149</v>
      </c>
      <c r="G1396" s="2" t="s">
        <v>153</v>
      </c>
      <c r="H1396" s="3">
        <v>45417.791666666664</v>
      </c>
      <c r="I1396" s="2" t="s">
        <v>282</v>
      </c>
      <c r="J1396" s="2" t="s">
        <v>205</v>
      </c>
      <c r="K1396" s="2">
        <v>90</v>
      </c>
      <c r="L1396" s="2">
        <v>20</v>
      </c>
      <c r="M1396" s="2">
        <v>2.2999999999999998</v>
      </c>
      <c r="N1396" s="2">
        <v>63</v>
      </c>
      <c r="O1396" s="2"/>
      <c r="P1396" s="2"/>
      <c r="Q1396" s="2" t="s">
        <v>95</v>
      </c>
      <c r="R1396" s="10" t="s">
        <v>220</v>
      </c>
      <c r="S1396" s="10" t="s">
        <v>195</v>
      </c>
      <c r="T1396" s="188">
        <v>1000</v>
      </c>
      <c r="U1396" s="8">
        <f t="shared" si="155"/>
        <v>180</v>
      </c>
      <c r="V1396" s="234">
        <f t="shared" si="156"/>
        <v>144544.15524616028</v>
      </c>
      <c r="W1396" s="15">
        <v>25</v>
      </c>
      <c r="X1396" s="8">
        <f t="shared" si="157"/>
        <v>4.5</v>
      </c>
      <c r="Y1396" s="233">
        <f t="shared" si="158"/>
        <v>5479.5</v>
      </c>
    </row>
    <row r="1397" spans="1:25">
      <c r="A1397" s="156" t="e" cm="1">
        <f t="array" aca="1" ref="A1397" ca="1">_xlfn.IFS(E1397=$AB$42,$AC$42,E1397=$AB$43,$AC$43,E1397=$AB$44,$AC$44,E1397=$AB$45,$AC$45,E1397=$AB$46,$AC$46,E1397=$AB$47,$AC$47,E1397=$AB$48,$AC$48,E1397=$AB$49,$AC$49,E1397=$AB$50,$AC$50,E1397=$AB$51,$AC$51,E1397=$AB$52,$AC$52,E1397=$AB$53,$AC$53,E1397=$AB$54,$AC$54,E1397=$AB$55,$AC$55,E1397=$AB$56,$AC$56,E1397=$AB$57,$AC$57,E1397=$AB$58,$AC$58,E1397=$AB$59,$AC$59,E1397=$AB$60,$AC$60,E1397=$AB$61,$AC$61,E1397=$AB$62,$AC$62,E1397=$AB$63,$AC$63,E1397=$AB$64,$AC$64,E1397=$AB$65,$AC$65,E1397=$AB$66,$AC$66,TRUE,"0")</f>
        <v>#NAME?</v>
      </c>
      <c r="C1397" s="161" t="str" cm="1">
        <f t="array" ref="C1397">_xlfn.IFS(E1397=$AB$42,$AF$42,E1397=$AB$43,$AF$43,E1397=$AB$44,$AF$44,E1397=$AB$45,$AF$45,E1397=$AB$46,$AF$46,E1397=$AB$47,$AF$47,E1397=$AB$48,$AF$48,E1397=$AB$49,$AF$49,E1397=$AB$50,$AF$50,E1397=$AB$51,$AF$51,E1397=$AB$52,$AF$52,E1397=$AB$53,$AF$53,E1397=$AB$54,$AF$54,E1397=$AB$55,$AF$55,E1397=$AB$56,$AF$56,E1397=$AB$57,$AF$57,E1397=$AB$58,$AF$58,E1397=$AB$59,$AF$59,E1397=$AB$60,$AF$60,E1397=$AB$61,$AF$61,E1397=$AB$62,$AF$62,E1397=$AB$63,$AF$63,E1397=$AB$64,$AF$64,E1397=$AB$65,$AF$65,E1397=$AB$66,$AF$66,TRUE,"0")</f>
        <v>B4 match BACK FT +1.5 goals. X AFTER  GOAL</v>
      </c>
      <c r="D1397" s="270" t="str" cm="1">
        <f t="array" ref="D1397">_xlfn.IFS(E1397=$AB$42,$AD$42,E1397=$AB$43,$AD$43,E1397=$AB$44,$AD$44,E1397=$AB$45,$AD$45,E1397=$AB$46,$AD$46,E1397=$AB$47,$AD$47,E1397=$AB$48,$AD$48,E1397=$AB$49,$AD$49,E1397=$AB$50,$AD$50,E1397=$AB$51,$AD$51,E1397=$AB$52,$AD$52,E1397=$AB$53,$AD$53,E1397=$AB$54,$AD$54,E1397=$AB$55,$AD$55,E1397=$AB$56,$AD$56,E1397=$AB$57,$AD$57,E1397=$AB$58,$AD$58,E1397=$AB$59,$AD$59,E1397=$AB$60,$AD$60,E1397=$AB$61,$AD$61,E1397=$AB$62,$AD$62,E1397=$AB$63,$AD$63,E1397=$AB$64,$AD$64,E1397=$AB$65,$AD$65,E1397=$AB$66,$AD$66,TRUE,"0")</f>
        <v xml:space="preserve">BFM </v>
      </c>
      <c r="E1397" s="2" t="s">
        <v>623</v>
      </c>
      <c r="F1397" s="2" t="s">
        <v>149</v>
      </c>
      <c r="G1397" s="2" t="s">
        <v>153</v>
      </c>
      <c r="H1397" s="3">
        <v>45417.791666666664</v>
      </c>
      <c r="I1397" s="2" t="s">
        <v>282</v>
      </c>
      <c r="J1397" s="2" t="s">
        <v>205</v>
      </c>
      <c r="K1397" s="2">
        <v>2.36</v>
      </c>
      <c r="L1397" s="2">
        <v>20</v>
      </c>
      <c r="M1397" s="2">
        <v>3.35</v>
      </c>
      <c r="N1397" s="2">
        <v>38</v>
      </c>
      <c r="O1397" s="2">
        <v>2</v>
      </c>
      <c r="P1397" s="2">
        <v>10</v>
      </c>
      <c r="Q1397" s="2" t="s">
        <v>95</v>
      </c>
      <c r="R1397" s="10" t="s">
        <v>220</v>
      </c>
      <c r="S1397" s="10" t="s">
        <v>195</v>
      </c>
      <c r="T1397" s="188">
        <v>1000</v>
      </c>
      <c r="U1397" s="8">
        <f t="shared" si="155"/>
        <v>180</v>
      </c>
      <c r="V1397" s="234">
        <f t="shared" si="156"/>
        <v>144724.15524616028</v>
      </c>
      <c r="W1397" s="15">
        <v>25</v>
      </c>
      <c r="X1397" s="8">
        <f t="shared" si="157"/>
        <v>4.5</v>
      </c>
      <c r="Y1397" s="233">
        <f t="shared" si="158"/>
        <v>5484</v>
      </c>
    </row>
    <row r="1398" spans="1:25">
      <c r="A1398" s="156" t="e" cm="1">
        <f t="array" aca="1" ref="A1398" ca="1">_xlfn.IFS(E1398=$AB$42,$AC$42,E1398=$AB$43,$AC$43,E1398=$AB$44,$AC$44,E1398=$AB$45,$AC$45,E1398=$AB$46,$AC$46,E1398=$AB$47,$AC$47,E1398=$AB$48,$AC$48,E1398=$AB$49,$AC$49,E1398=$AB$50,$AC$50,E1398=$AB$51,$AC$51,E1398=$AB$52,$AC$52,E1398=$AB$53,$AC$53,E1398=$AB$54,$AC$54,E1398=$AB$55,$AC$55,E1398=$AB$56,$AC$56,E1398=$AB$57,$AC$57,E1398=$AB$58,$AC$58,E1398=$AB$59,$AC$59,E1398=$AB$60,$AC$60,E1398=$AB$61,$AC$61,E1398=$AB$62,$AC$62,E1398=$AB$63,$AC$63,E1398=$AB$64,$AC$64,E1398=$AB$65,$AC$65,E1398=$AB$66,$AC$66,TRUE,"0")</f>
        <v>#NAME?</v>
      </c>
      <c r="C1398" s="161" t="str" cm="1">
        <f t="array" ref="C1398">_xlfn.IFS(E1398=$AB$42,$AF$42,E1398=$AB$43,$AF$43,E1398=$AB$44,$AF$44,E1398=$AB$45,$AF$45,E1398=$AB$46,$AF$46,E1398=$AB$47,$AF$47,E1398=$AB$48,$AF$48,E1398=$AB$49,$AF$49,E1398=$AB$50,$AF$50,E1398=$AB$51,$AF$51,E1398=$AB$52,$AF$52,E1398=$AB$53,$AF$53,E1398=$AB$54,$AF$54,E1398=$AB$55,$AF$55,E1398=$AB$56,$AF$56,E1398=$AB$57,$AF$57,E1398=$AB$58,$AF$58,E1398=$AB$59,$AF$59,E1398=$AB$60,$AF$60,E1398=$AB$61,$AF$61,E1398=$AB$62,$AF$62,E1398=$AB$63,$AF$63,E1398=$AB$64,$AF$64,E1398=$AB$65,$AF$65,E1398=$AB$66,$AF$66,TRUE,"0")</f>
        <v>20mins if  0-0, BACK over 1.5 goals X after goal OR LET RUN</v>
      </c>
      <c r="D1398" s="270" t="str" cm="1">
        <f t="array" ref="D1398">_xlfn.IFS(E1398=$AB$42,$AD$42,E1398=$AB$43,$AD$43,E1398=$AB$44,$AD$44,E1398=$AB$45,$AD$45,E1398=$AB$46,$AD$46,E1398=$AB$47,$AD$47,E1398=$AB$48,$AD$48,E1398=$AB$49,$AD$49,E1398=$AB$50,$AD$50,E1398=$AB$51,$AD$51,E1398=$AB$52,$AD$52,E1398=$AB$53,$AD$53,E1398=$AB$54,$AD$54,E1398=$AB$55,$AD$55,E1398=$AB$56,$AD$56,E1398=$AB$57,$AD$57,E1398=$AB$58,$AD$58,E1398=$AB$59,$AD$59,E1398=$AB$60,$AD$60,E1398=$AB$61,$AD$61,E1398=$AB$62,$AD$62,E1398=$AB$63,$AD$63,E1398=$AB$64,$AD$64,E1398=$AB$65,$AD$65,E1398=$AB$66,$AD$66,TRUE,"0")</f>
        <v>IP</v>
      </c>
      <c r="E1398" s="2" t="s">
        <v>474</v>
      </c>
      <c r="F1398" s="2" t="s">
        <v>149</v>
      </c>
      <c r="G1398" s="2" t="s">
        <v>153</v>
      </c>
      <c r="H1398" s="3">
        <v>45417.791666666664</v>
      </c>
      <c r="I1398" s="2" t="s">
        <v>282</v>
      </c>
      <c r="J1398" s="2" t="s">
        <v>205</v>
      </c>
      <c r="K1398" s="2">
        <v>53</v>
      </c>
      <c r="L1398" s="2">
        <v>3.35</v>
      </c>
      <c r="M1398" s="2">
        <v>20</v>
      </c>
      <c r="N1398" s="2">
        <v>65</v>
      </c>
      <c r="O1398" s="2">
        <v>85</v>
      </c>
      <c r="P1398" s="2"/>
      <c r="Q1398" s="2" t="s">
        <v>95</v>
      </c>
      <c r="R1398" s="10" t="s">
        <v>220</v>
      </c>
      <c r="S1398" s="10" t="s">
        <v>195</v>
      </c>
      <c r="T1398" s="188">
        <v>1000</v>
      </c>
      <c r="U1398" s="8">
        <f t="shared" si="155"/>
        <v>180</v>
      </c>
      <c r="V1398" s="234">
        <f t="shared" si="156"/>
        <v>144904.15524616028</v>
      </c>
      <c r="W1398" s="15">
        <v>25</v>
      </c>
      <c r="X1398" s="8">
        <f t="shared" si="157"/>
        <v>4.5</v>
      </c>
      <c r="Y1398" s="233">
        <f t="shared" si="158"/>
        <v>5488.5</v>
      </c>
    </row>
    <row r="1399" spans="1:25">
      <c r="A1399" s="156" t="e" cm="1">
        <f t="array" aca="1" ref="A1399" ca="1">_xlfn.IFS(E1399=$AB$42,$AC$42,E1399=$AB$43,$AC$43,E1399=$AB$44,$AC$44,E1399=$AB$45,$AC$45,E1399=$AB$46,$AC$46,E1399=$AB$47,$AC$47,E1399=$AB$48,$AC$48,E1399=$AB$49,$AC$49,E1399=$AB$50,$AC$50,E1399=$AB$51,$AC$51,E1399=$AB$52,$AC$52,E1399=$AB$53,$AC$53,E1399=$AB$54,$AC$54,E1399=$AB$55,$AC$55,E1399=$AB$56,$AC$56,E1399=$AB$57,$AC$57,E1399=$AB$58,$AC$58,E1399=$AB$59,$AC$59,E1399=$AB$60,$AC$60,E1399=$AB$61,$AC$61,E1399=$AB$62,$AC$62,E1399=$AB$63,$AC$63,E1399=$AB$64,$AC$64,E1399=$AB$65,$AC$65,E1399=$AB$66,$AC$66,TRUE,"0")</f>
        <v>#NAME?</v>
      </c>
      <c r="C1399" s="161" t="str" cm="1">
        <f t="array" ref="C1399">_xlfn.IFS(E1399=$AB$42,$AF$42,E1399=$AB$43,$AF$43,E1399=$AB$44,$AF$44,E1399=$AB$45,$AF$45,E1399=$AB$46,$AF$46,E1399=$AB$47,$AF$47,E1399=$AB$48,$AF$48,E1399=$AB$49,$AF$49,E1399=$AB$50,$AF$50,E1399=$AB$51,$AF$51,E1399=$AB$52,$AF$52,E1399=$AB$53,$AF$53,E1399=$AB$54,$AF$54,E1399=$AB$55,$AF$55,E1399=$AB$56,$AF$56,E1399=$AB$57,$AF$57,E1399=$AB$58,$AF$58,E1399=$AB$59,$AF$59,E1399=$AB$60,$AF$60,E1399=$AB$61,$AF$61,E1399=$AB$62,$AF$62,E1399=$AB$63,$AF$63,E1399=$AB$64,$AF$64,E1399=$AB$65,$AF$65,E1399=$AB$66,$AF$66,TRUE,"0")</f>
        <v>B4 match BACK FT +1.5 goals. X AFTER  GOAL</v>
      </c>
      <c r="D1399" s="270" t="str" cm="1">
        <f t="array" ref="D1399">_xlfn.IFS(E1399=$AB$42,$AD$42,E1399=$AB$43,$AD$43,E1399=$AB$44,$AD$44,E1399=$AB$45,$AD$45,E1399=$AB$46,$AD$46,E1399=$AB$47,$AD$47,E1399=$AB$48,$AD$48,E1399=$AB$49,$AD$49,E1399=$AB$50,$AD$50,E1399=$AB$51,$AD$51,E1399=$AB$52,$AD$52,E1399=$AB$53,$AD$53,E1399=$AB$54,$AD$54,E1399=$AB$55,$AD$55,E1399=$AB$56,$AD$56,E1399=$AB$57,$AD$57,E1399=$AB$58,$AD$58,E1399=$AB$59,$AD$59,E1399=$AB$60,$AD$60,E1399=$AB$61,$AD$61,E1399=$AB$62,$AD$62,E1399=$AB$63,$AD$63,E1399=$AB$64,$AD$64,E1399=$AB$65,$AD$65,E1399=$AB$66,$AD$66,TRUE,"0")</f>
        <v xml:space="preserve">BFM </v>
      </c>
      <c r="E1399" s="2" t="s">
        <v>531</v>
      </c>
      <c r="F1399" s="2" t="s">
        <v>58</v>
      </c>
      <c r="G1399" s="2" t="s">
        <v>59</v>
      </c>
      <c r="H1399" s="3">
        <v>45417.854166666664</v>
      </c>
      <c r="I1399" s="2" t="s">
        <v>61</v>
      </c>
      <c r="J1399" s="2" t="s">
        <v>60</v>
      </c>
      <c r="K1399" s="2">
        <v>4.9000000000000004</v>
      </c>
      <c r="L1399" s="2">
        <v>30</v>
      </c>
      <c r="M1399" s="2">
        <v>2.77</v>
      </c>
      <c r="N1399" s="2">
        <v>27</v>
      </c>
      <c r="O1399" s="2">
        <v>2</v>
      </c>
      <c r="P1399" s="2">
        <v>15</v>
      </c>
      <c r="Q1399" s="2" t="s">
        <v>95</v>
      </c>
      <c r="R1399" s="10" t="s">
        <v>221</v>
      </c>
      <c r="S1399" s="10" t="s">
        <v>220</v>
      </c>
      <c r="T1399" s="188">
        <v>1000</v>
      </c>
      <c r="U1399" s="8">
        <f t="shared" si="155"/>
        <v>180</v>
      </c>
      <c r="V1399" s="234">
        <f t="shared" si="156"/>
        <v>145084.15524616028</v>
      </c>
      <c r="W1399" s="15">
        <v>25</v>
      </c>
      <c r="X1399" s="8">
        <f t="shared" si="157"/>
        <v>4.5</v>
      </c>
      <c r="Y1399" s="233">
        <f t="shared" si="158"/>
        <v>5493</v>
      </c>
    </row>
    <row r="1400" spans="1:25">
      <c r="A1400" s="156" t="e" cm="1">
        <f t="array" aca="1" ref="A1400" ca="1">_xlfn.IFS(E1400=$AB$42,$AC$42,E1400=$AB$43,$AC$43,E1400=$AB$44,$AC$44,E1400=$AB$45,$AC$45,E1400=$AB$46,$AC$46,E1400=$AB$47,$AC$47,E1400=$AB$48,$AC$48,E1400=$AB$49,$AC$49,E1400=$AB$50,$AC$50,E1400=$AB$51,$AC$51,E1400=$AB$52,$AC$52,E1400=$AB$53,$AC$53,E1400=$AB$54,$AC$54,E1400=$AB$55,$AC$55,E1400=$AB$56,$AC$56,E1400=$AB$57,$AC$57,E1400=$AB$58,$AC$58,E1400=$AB$59,$AC$59,E1400=$AB$60,$AC$60,E1400=$AB$61,$AC$61,E1400=$AB$62,$AC$62,E1400=$AB$63,$AC$63,E1400=$AB$64,$AC$64,E1400=$AB$65,$AC$65,E1400=$AB$66,$AC$66,TRUE,"0")</f>
        <v>#NAME?</v>
      </c>
      <c r="C1400" s="161" t="str" cm="1">
        <f t="array" ref="C1400">_xlfn.IFS(E1400=$AB$42,$AF$42,E1400=$AB$43,$AF$43,E1400=$AB$44,$AF$44,E1400=$AB$45,$AF$45,E1400=$AB$46,$AF$46,E1400=$AB$47,$AF$47,E1400=$AB$48,$AF$48,E1400=$AB$49,$AF$49,E1400=$AB$50,$AF$50,E1400=$AB$51,$AF$51,E1400=$AB$52,$AF$52,E1400=$AB$53,$AF$53,E1400=$AB$54,$AF$54,E1400=$AB$55,$AF$55,E1400=$AB$56,$AF$56,E1400=$AB$57,$AF$57,E1400=$AB$58,$AF$58,E1400=$AB$59,$AF$59,E1400=$AB$60,$AF$60,E1400=$AB$61,$AF$61,E1400=$AB$62,$AF$62,E1400=$AB$63,$AF$63,E1400=$AB$64,$AF$64,E1400=$AB$65,$AF$65,E1400=$AB$66,$AF$66,TRUE,"0")</f>
        <v>B4 match BACK FT +1.5 goals. X AFTER  GOAL</v>
      </c>
      <c r="D1400" s="270" t="str" cm="1">
        <f t="array" ref="D1400">_xlfn.IFS(E1400=$AB$42,$AD$42,E1400=$AB$43,$AD$43,E1400=$AB$44,$AD$44,E1400=$AB$45,$AD$45,E1400=$AB$46,$AD$46,E1400=$AB$47,$AD$47,E1400=$AB$48,$AD$48,E1400=$AB$49,$AD$49,E1400=$AB$50,$AD$50,E1400=$AB$51,$AD$51,E1400=$AB$52,$AD$52,E1400=$AB$53,$AD$53,E1400=$AB$54,$AD$54,E1400=$AB$55,$AD$55,E1400=$AB$56,$AD$56,E1400=$AB$57,$AD$57,E1400=$AB$58,$AD$58,E1400=$AB$59,$AD$59,E1400=$AB$60,$AD$60,E1400=$AB$61,$AD$61,E1400=$AB$62,$AD$62,E1400=$AB$63,$AD$63,E1400=$AB$64,$AD$64,E1400=$AB$65,$AD$65,E1400=$AB$66,$AD$66,TRUE,"0")</f>
        <v xml:space="preserve">BFM </v>
      </c>
      <c r="E1400" s="2" t="s">
        <v>531</v>
      </c>
      <c r="F1400" s="2" t="s">
        <v>20</v>
      </c>
      <c r="G1400" s="2" t="s">
        <v>21</v>
      </c>
      <c r="H1400" s="3">
        <v>45418.708333333336</v>
      </c>
      <c r="I1400" s="2" t="s">
        <v>110</v>
      </c>
      <c r="J1400" s="2" t="s">
        <v>97</v>
      </c>
      <c r="K1400" s="2">
        <v>4.5</v>
      </c>
      <c r="L1400" s="2">
        <v>34</v>
      </c>
      <c r="M1400" s="2">
        <v>2.94</v>
      </c>
      <c r="N1400" s="2">
        <v>32</v>
      </c>
      <c r="O1400" s="2">
        <v>2</v>
      </c>
      <c r="P1400" s="2">
        <v>17</v>
      </c>
      <c r="Q1400" s="2" t="s">
        <v>95</v>
      </c>
      <c r="R1400" s="10" t="s">
        <v>214</v>
      </c>
      <c r="S1400" s="10" t="s">
        <v>223</v>
      </c>
      <c r="T1400" s="188">
        <v>1000</v>
      </c>
      <c r="U1400" s="8">
        <f t="shared" si="155"/>
        <v>180</v>
      </c>
      <c r="V1400" s="234">
        <f t="shared" si="156"/>
        <v>145264.15524616028</v>
      </c>
      <c r="W1400" s="15">
        <v>25</v>
      </c>
      <c r="X1400" s="8">
        <f t="shared" si="157"/>
        <v>4.5</v>
      </c>
      <c r="Y1400" s="233">
        <f t="shared" si="158"/>
        <v>5497.5</v>
      </c>
    </row>
    <row r="1401" spans="1:25">
      <c r="A1401" s="156" t="e" cm="1">
        <f t="array" aca="1" ref="A1401" ca="1">_xlfn.IFS(E1401=$AB$42,$AC$42,E1401=$AB$43,$AC$43,E1401=$AB$44,$AC$44,E1401=$AB$45,$AC$45,E1401=$AB$46,$AC$46,E1401=$AB$47,$AC$47,E1401=$AB$48,$AC$48,E1401=$AB$49,$AC$49,E1401=$AB$50,$AC$50,E1401=$AB$51,$AC$51,E1401=$AB$52,$AC$52,E1401=$AB$53,$AC$53,E1401=$AB$54,$AC$54,E1401=$AB$55,$AC$55,E1401=$AB$56,$AC$56,E1401=$AB$57,$AC$57,E1401=$AB$58,$AC$58,E1401=$AB$59,$AC$59,E1401=$AB$60,$AC$60,E1401=$AB$61,$AC$61,E1401=$AB$62,$AC$62,E1401=$AB$63,$AC$63,E1401=$AB$64,$AC$64,E1401=$AB$65,$AC$65,E1401=$AB$66,$AC$66,TRUE,"0")</f>
        <v>#NAME?</v>
      </c>
      <c r="C1401" s="161" t="str" cm="1">
        <f t="array" ref="C1401">_xlfn.IFS(E1401=$AB$42,$AF$42,E1401=$AB$43,$AF$43,E1401=$AB$44,$AF$44,E1401=$AB$45,$AF$45,E1401=$AB$46,$AF$46,E1401=$AB$47,$AF$47,E1401=$AB$48,$AF$48,E1401=$AB$49,$AF$49,E1401=$AB$50,$AF$50,E1401=$AB$51,$AF$51,E1401=$AB$52,$AF$52,E1401=$AB$53,$AF$53,E1401=$AB$54,$AF$54,E1401=$AB$55,$AF$55,E1401=$AB$56,$AF$56,E1401=$AB$57,$AF$57,E1401=$AB$58,$AF$58,E1401=$AB$59,$AF$59,E1401=$AB$60,$AF$60,E1401=$AB$61,$AF$61,E1401=$AB$62,$AF$62,E1401=$AB$63,$AF$63,E1401=$AB$64,$AF$64,E1401=$AB$65,$AF$65,E1401=$AB$66,$AF$66,TRUE,"0")</f>
        <v>B4 match BACK FT +1.5 goals. X AFTER  GOAL</v>
      </c>
      <c r="D1401" s="270" t="str" cm="1">
        <f t="array" ref="D1401">_xlfn.IFS(E1401=$AB$42,$AD$42,E1401=$AB$43,$AD$43,E1401=$AB$44,$AD$44,E1401=$AB$45,$AD$45,E1401=$AB$46,$AD$46,E1401=$AB$47,$AD$47,E1401=$AB$48,$AD$48,E1401=$AB$49,$AD$49,E1401=$AB$50,$AD$50,E1401=$AB$51,$AD$51,E1401=$AB$52,$AD$52,E1401=$AB$53,$AD$53,E1401=$AB$54,$AD$54,E1401=$AB$55,$AD$55,E1401=$AB$56,$AD$56,E1401=$AB$57,$AD$57,E1401=$AB$58,$AD$58,E1401=$AB$59,$AD$59,E1401=$AB$60,$AD$60,E1401=$AB$61,$AD$61,E1401=$AB$62,$AD$62,E1401=$AB$63,$AD$63,E1401=$AB$64,$AD$64,E1401=$AB$65,$AD$65,E1401=$AB$66,$AD$66,TRUE,"0")</f>
        <v xml:space="preserve">BFM </v>
      </c>
      <c r="E1401" s="2" t="s">
        <v>531</v>
      </c>
      <c r="F1401" s="2" t="s">
        <v>80</v>
      </c>
      <c r="G1401" s="2" t="s">
        <v>81</v>
      </c>
      <c r="H1401" s="3">
        <v>45418.75</v>
      </c>
      <c r="I1401" s="2" t="s">
        <v>82</v>
      </c>
      <c r="J1401" s="2" t="s">
        <v>314</v>
      </c>
      <c r="K1401" s="2">
        <v>5.7</v>
      </c>
      <c r="L1401" s="2">
        <v>33</v>
      </c>
      <c r="M1401" s="2">
        <v>2.7</v>
      </c>
      <c r="N1401" s="2">
        <v>37</v>
      </c>
      <c r="O1401" s="2">
        <v>3</v>
      </c>
      <c r="P1401" s="2">
        <v>17</v>
      </c>
      <c r="Q1401" s="2" t="s">
        <v>96</v>
      </c>
      <c r="R1401" s="10" t="s">
        <v>221</v>
      </c>
      <c r="S1401" s="10" t="s">
        <v>221</v>
      </c>
      <c r="T1401" s="188">
        <v>1000</v>
      </c>
      <c r="U1401" s="8">
        <f t="shared" si="155"/>
        <v>-1000</v>
      </c>
      <c r="V1401" s="234">
        <f t="shared" si="156"/>
        <v>144264.15524616028</v>
      </c>
      <c r="W1401" s="15">
        <v>25</v>
      </c>
      <c r="X1401" s="8">
        <f t="shared" si="157"/>
        <v>-25</v>
      </c>
      <c r="Y1401" s="233">
        <f t="shared" si="158"/>
        <v>5472.5</v>
      </c>
    </row>
    <row r="1402" spans="1:25">
      <c r="A1402" s="156" t="e" cm="1">
        <f t="array" aca="1" ref="A1402" ca="1">_xlfn.IFS(E1402=$AB$42,$AC$42,E1402=$AB$43,$AC$43,E1402=$AB$44,$AC$44,E1402=$AB$45,$AC$45,E1402=$AB$46,$AC$46,E1402=$AB$47,$AC$47,E1402=$AB$48,$AC$48,E1402=$AB$49,$AC$49,E1402=$AB$50,$AC$50,E1402=$AB$51,$AC$51,E1402=$AB$52,$AC$52,E1402=$AB$53,$AC$53,E1402=$AB$54,$AC$54,E1402=$AB$55,$AC$55,E1402=$AB$56,$AC$56,E1402=$AB$57,$AC$57,E1402=$AB$58,$AC$58,E1402=$AB$59,$AC$59,E1402=$AB$60,$AC$60,E1402=$AB$61,$AC$61,E1402=$AB$62,$AC$62,E1402=$AB$63,$AC$63,E1402=$AB$64,$AC$64,E1402=$AB$65,$AC$65,E1402=$AB$66,$AC$66,TRUE,"0")</f>
        <v>#NAME?</v>
      </c>
      <c r="C1402" s="161" t="str" cm="1">
        <f t="array" ref="C1402">_xlfn.IFS(E1402=$AB$42,$AF$42,E1402=$AB$43,$AF$43,E1402=$AB$44,$AF$44,E1402=$AB$45,$AF$45,E1402=$AB$46,$AF$46,E1402=$AB$47,$AF$47,E1402=$AB$48,$AF$48,E1402=$AB$49,$AF$49,E1402=$AB$50,$AF$50,E1402=$AB$51,$AF$51,E1402=$AB$52,$AF$52,E1402=$AB$53,$AF$53,E1402=$AB$54,$AF$54,E1402=$AB$55,$AF$55,E1402=$AB$56,$AF$56,E1402=$AB$57,$AF$57,E1402=$AB$58,$AF$58,E1402=$AB$59,$AF$59,E1402=$AB$60,$AF$60,E1402=$AB$61,$AF$61,E1402=$AB$62,$AF$62,E1402=$AB$63,$AF$63,E1402=$AB$64,$AF$64,E1402=$AB$65,$AF$65,E1402=$AB$66,$AF$66,TRUE,"0")</f>
        <v>15mins if  0-0, BACK over 1.5 goals X after goal OR LET RUN</v>
      </c>
      <c r="D1402" s="270" t="str" cm="1">
        <f t="array" ref="D1402">_xlfn.IFS(E1402=$AB$42,$AD$42,E1402=$AB$43,$AD$43,E1402=$AB$44,$AD$44,E1402=$AB$45,$AD$45,E1402=$AB$46,$AD$46,E1402=$AB$47,$AD$47,E1402=$AB$48,$AD$48,E1402=$AB$49,$AD$49,E1402=$AB$50,$AD$50,E1402=$AB$51,$AD$51,E1402=$AB$52,$AD$52,E1402=$AB$53,$AD$53,E1402=$AB$54,$AD$54,E1402=$AB$55,$AD$55,E1402=$AB$56,$AD$56,E1402=$AB$57,$AD$57,E1402=$AB$58,$AD$58,E1402=$AB$59,$AD$59,E1402=$AB$60,$AD$60,E1402=$AB$61,$AD$61,E1402=$AB$62,$AD$62,E1402=$AB$63,$AD$63,E1402=$AB$64,$AD$64,E1402=$AB$65,$AD$65,E1402=$AB$66,$AD$66,TRUE,"0")</f>
        <v>IP</v>
      </c>
      <c r="E1402" s="2" t="s">
        <v>473</v>
      </c>
      <c r="F1402" s="2" t="s">
        <v>802</v>
      </c>
      <c r="G1402" s="2" t="s">
        <v>803</v>
      </c>
      <c r="H1402" s="3">
        <v>45418.75</v>
      </c>
      <c r="I1402" s="2" t="s">
        <v>804</v>
      </c>
      <c r="J1402" s="2" t="s">
        <v>805</v>
      </c>
      <c r="K1402" s="2">
        <v>66</v>
      </c>
      <c r="L1402" s="2">
        <v>80</v>
      </c>
      <c r="M1402" s="2">
        <v>20</v>
      </c>
      <c r="N1402" s="2">
        <v>2.7</v>
      </c>
      <c r="O1402" s="2"/>
      <c r="P1402" s="2"/>
      <c r="Q1402" s="2" t="s">
        <v>95</v>
      </c>
      <c r="R1402" s="10" t="s">
        <v>193</v>
      </c>
      <c r="S1402" s="10" t="s">
        <v>193</v>
      </c>
      <c r="T1402" s="188">
        <v>1000</v>
      </c>
      <c r="U1402" s="8">
        <f t="shared" si="155"/>
        <v>180</v>
      </c>
      <c r="V1402" s="234">
        <f t="shared" si="156"/>
        <v>144444.15524616028</v>
      </c>
      <c r="W1402" s="15">
        <v>25</v>
      </c>
      <c r="X1402" s="8">
        <f t="shared" si="157"/>
        <v>4.5</v>
      </c>
      <c r="Y1402" s="233">
        <f t="shared" si="158"/>
        <v>5477</v>
      </c>
    </row>
    <row r="1403" spans="1:25">
      <c r="A1403" s="156" t="e" cm="1">
        <f t="array" aca="1" ref="A1403" ca="1">_xlfn.IFS(E1403=$AB$42,$AC$42,E1403=$AB$43,$AC$43,E1403=$AB$44,$AC$44,E1403=$AB$45,$AC$45,E1403=$AB$46,$AC$46,E1403=$AB$47,$AC$47,E1403=$AB$48,$AC$48,E1403=$AB$49,$AC$49,E1403=$AB$50,$AC$50,E1403=$AB$51,$AC$51,E1403=$AB$52,$AC$52,E1403=$AB$53,$AC$53,E1403=$AB$54,$AC$54,E1403=$AB$55,$AC$55,E1403=$AB$56,$AC$56,E1403=$AB$57,$AC$57,E1403=$AB$58,$AC$58,E1403=$AB$59,$AC$59,E1403=$AB$60,$AC$60,E1403=$AB$61,$AC$61,E1403=$AB$62,$AC$62,E1403=$AB$63,$AC$63,E1403=$AB$64,$AC$64,E1403=$AB$65,$AC$65,E1403=$AB$66,$AC$66,TRUE,"0")</f>
        <v>#NAME?</v>
      </c>
      <c r="C1403" s="161" t="str" cm="1">
        <f t="array" ref="C1403">_xlfn.IFS(E1403=$AB$42,$AF$42,E1403=$AB$43,$AF$43,E1403=$AB$44,$AF$44,E1403=$AB$45,$AF$45,E1403=$AB$46,$AF$46,E1403=$AB$47,$AF$47,E1403=$AB$48,$AF$48,E1403=$AB$49,$AF$49,E1403=$AB$50,$AF$50,E1403=$AB$51,$AF$51,E1403=$AB$52,$AF$52,E1403=$AB$53,$AF$53,E1403=$AB$54,$AF$54,E1403=$AB$55,$AF$55,E1403=$AB$56,$AF$56,E1403=$AB$57,$AF$57,E1403=$AB$58,$AF$58,E1403=$AB$59,$AF$59,E1403=$AB$60,$AF$60,E1403=$AB$61,$AF$61,E1403=$AB$62,$AF$62,E1403=$AB$63,$AF$63,E1403=$AB$64,$AF$64,E1403=$AB$65,$AF$65,E1403=$AB$66,$AF$66,TRUE,"0")</f>
        <v>40 mins Back ANother Goal</v>
      </c>
      <c r="D1403" s="270" t="str" cm="1">
        <f t="array" ref="D1403">_xlfn.IFS(E1403=$AB$42,$AD$42,E1403=$AB$43,$AD$43,E1403=$AB$44,$AD$44,E1403=$AB$45,$AD$45,E1403=$AB$46,$AD$46,E1403=$AB$47,$AD$47,E1403=$AB$48,$AD$48,E1403=$AB$49,$AD$49,E1403=$AB$50,$AD$50,E1403=$AB$51,$AD$51,E1403=$AB$52,$AD$52,E1403=$AB$53,$AD$53,E1403=$AB$54,$AD$54,E1403=$AB$55,$AD$55,E1403=$AB$56,$AD$56,E1403=$AB$57,$AD$57,E1403=$AB$58,$AD$58,E1403=$AB$59,$AD$59,E1403=$AB$60,$AD$60,E1403=$AB$61,$AD$61,E1403=$AB$62,$AD$62,E1403=$AB$63,$AD$63,E1403=$AB$64,$AD$64,E1403=$AB$65,$AD$65,E1403=$AB$66,$AD$66,TRUE,"0")</f>
        <v xml:space="preserve">  BANG</v>
      </c>
      <c r="E1403" s="2" t="s">
        <v>792</v>
      </c>
      <c r="F1403" s="2" t="s">
        <v>149</v>
      </c>
      <c r="G1403" s="2" t="s">
        <v>153</v>
      </c>
      <c r="H1403" s="3">
        <v>45418.791666666664</v>
      </c>
      <c r="I1403" s="2" t="s">
        <v>647</v>
      </c>
      <c r="J1403" s="2" t="s">
        <v>241</v>
      </c>
      <c r="K1403" s="2">
        <v>2</v>
      </c>
      <c r="L1403" s="2">
        <v>90</v>
      </c>
      <c r="M1403" s="2">
        <v>65</v>
      </c>
      <c r="N1403" s="2">
        <v>60</v>
      </c>
      <c r="O1403" s="2">
        <v>20</v>
      </c>
      <c r="P1403" s="2"/>
      <c r="Q1403" s="2" t="s">
        <v>95</v>
      </c>
      <c r="R1403" s="10" t="s">
        <v>221</v>
      </c>
      <c r="S1403" s="10" t="s">
        <v>218</v>
      </c>
      <c r="T1403" s="188">
        <v>1000</v>
      </c>
      <c r="U1403" s="8">
        <f t="shared" si="155"/>
        <v>180</v>
      </c>
      <c r="V1403" s="234">
        <f t="shared" si="156"/>
        <v>144624.15524616028</v>
      </c>
      <c r="W1403" s="15">
        <v>25</v>
      </c>
      <c r="X1403" s="8">
        <f t="shared" si="157"/>
        <v>4.5</v>
      </c>
      <c r="Y1403" s="233">
        <f t="shared" si="158"/>
        <v>5481.5</v>
      </c>
    </row>
    <row r="1404" spans="1:25">
      <c r="A1404" s="156" t="e" cm="1">
        <f t="array" aca="1" ref="A1404" ca="1">_xlfn.IFS(E1404=$AB$42,$AC$42,E1404=$AB$43,$AC$43,E1404=$AB$44,$AC$44,E1404=$AB$45,$AC$45,E1404=$AB$46,$AC$46,E1404=$AB$47,$AC$47,E1404=$AB$48,$AC$48,E1404=$AB$49,$AC$49,E1404=$AB$50,$AC$50,E1404=$AB$51,$AC$51,E1404=$AB$52,$AC$52,E1404=$AB$53,$AC$53,E1404=$AB$54,$AC$54,E1404=$AB$55,$AC$55,E1404=$AB$56,$AC$56,E1404=$AB$57,$AC$57,E1404=$AB$58,$AC$58,E1404=$AB$59,$AC$59,E1404=$AB$60,$AC$60,E1404=$AB$61,$AC$61,E1404=$AB$62,$AC$62,E1404=$AB$63,$AC$63,E1404=$AB$64,$AC$64,E1404=$AB$65,$AC$65,E1404=$AB$66,$AC$66,TRUE,"0")</f>
        <v>#NAME?</v>
      </c>
      <c r="C1404" s="161" t="str" cm="1">
        <f t="array" ref="C1404">_xlfn.IFS(E1404=$AB$42,$AF$42,E1404=$AB$43,$AF$43,E1404=$AB$44,$AF$44,E1404=$AB$45,$AF$45,E1404=$AB$46,$AF$46,E1404=$AB$47,$AF$47,E1404=$AB$48,$AF$48,E1404=$AB$49,$AF$49,E1404=$AB$50,$AF$50,E1404=$AB$51,$AF$51,E1404=$AB$52,$AF$52,E1404=$AB$53,$AF$53,E1404=$AB$54,$AF$54,E1404=$AB$55,$AF$55,E1404=$AB$56,$AF$56,E1404=$AB$57,$AF$57,E1404=$AB$58,$AF$58,E1404=$AB$59,$AF$59,E1404=$AB$60,$AF$60,E1404=$AB$61,$AF$61,E1404=$AB$62,$AF$62,E1404=$AB$63,$AF$63,E1404=$AB$64,$AF$64,E1404=$AB$65,$AF$65,E1404=$AB$66,$AF$66,TRUE,"0")</f>
        <v>40 mins Back ANother Goal</v>
      </c>
      <c r="D1404" s="270" t="str" cm="1">
        <f t="array" ref="D1404">_xlfn.IFS(E1404=$AB$42,$AD$42,E1404=$AB$43,$AD$43,E1404=$AB$44,$AD$44,E1404=$AB$45,$AD$45,E1404=$AB$46,$AD$46,E1404=$AB$47,$AD$47,E1404=$AB$48,$AD$48,E1404=$AB$49,$AD$49,E1404=$AB$50,$AD$50,E1404=$AB$51,$AD$51,E1404=$AB$52,$AD$52,E1404=$AB$53,$AD$53,E1404=$AB$54,$AD$54,E1404=$AB$55,$AD$55,E1404=$AB$56,$AD$56,E1404=$AB$57,$AD$57,E1404=$AB$58,$AD$58,E1404=$AB$59,$AD$59,E1404=$AB$60,$AD$60,E1404=$AB$61,$AD$61,E1404=$AB$62,$AD$62,E1404=$AB$63,$AD$63,E1404=$AB$64,$AD$64,E1404=$AB$65,$AD$65,E1404=$AB$66,$AD$66,TRUE,"0")</f>
        <v xml:space="preserve">  BANG</v>
      </c>
      <c r="E1404" s="2" t="s">
        <v>726</v>
      </c>
      <c r="F1404" s="2" t="s">
        <v>149</v>
      </c>
      <c r="G1404" s="2" t="s">
        <v>153</v>
      </c>
      <c r="H1404" s="3">
        <v>45418.791666666664</v>
      </c>
      <c r="I1404" s="2" t="s">
        <v>647</v>
      </c>
      <c r="J1404" s="2" t="s">
        <v>241</v>
      </c>
      <c r="K1404" s="2">
        <v>90</v>
      </c>
      <c r="L1404" s="2">
        <v>20</v>
      </c>
      <c r="M1404" s="2">
        <v>2</v>
      </c>
      <c r="N1404" s="2">
        <v>60</v>
      </c>
      <c r="O1404" s="2"/>
      <c r="P1404" s="2"/>
      <c r="Q1404" s="2" t="s">
        <v>95</v>
      </c>
      <c r="R1404" s="10" t="s">
        <v>221</v>
      </c>
      <c r="S1404" s="10" t="s">
        <v>218</v>
      </c>
      <c r="T1404" s="188">
        <v>1000</v>
      </c>
      <c r="U1404" s="8">
        <f t="shared" si="155"/>
        <v>180</v>
      </c>
      <c r="V1404" s="234">
        <f t="shared" si="156"/>
        <v>144804.15524616028</v>
      </c>
      <c r="W1404" s="15">
        <v>25</v>
      </c>
      <c r="X1404" s="8">
        <f t="shared" si="157"/>
        <v>4.5</v>
      </c>
      <c r="Y1404" s="233">
        <f t="shared" si="158"/>
        <v>5486</v>
      </c>
    </row>
    <row r="1405" spans="1:25">
      <c r="A1405" s="156" t="e" cm="1">
        <f t="array" aca="1" ref="A1405" ca="1">_xlfn.IFS(E1405=$AB$42,$AC$42,E1405=$AB$43,$AC$43,E1405=$AB$44,$AC$44,E1405=$AB$45,$AC$45,E1405=$AB$46,$AC$46,E1405=$AB$47,$AC$47,E1405=$AB$48,$AC$48,E1405=$AB$49,$AC$49,E1405=$AB$50,$AC$50,E1405=$AB$51,$AC$51,E1405=$AB$52,$AC$52,E1405=$AB$53,$AC$53,E1405=$AB$54,$AC$54,E1405=$AB$55,$AC$55,E1405=$AB$56,$AC$56,E1405=$AB$57,$AC$57,E1405=$AB$58,$AC$58,E1405=$AB$59,$AC$59,E1405=$AB$60,$AC$60,E1405=$AB$61,$AC$61,E1405=$AB$62,$AC$62,E1405=$AB$63,$AC$63,E1405=$AB$64,$AC$64,E1405=$AB$65,$AC$65,E1405=$AB$66,$AC$66,TRUE,"0")</f>
        <v>#NAME?</v>
      </c>
      <c r="C1405" s="161" t="str" cm="1">
        <f t="array" ref="C1405">_xlfn.IFS(E1405=$AB$42,$AF$42,E1405=$AB$43,$AF$43,E1405=$AB$44,$AF$44,E1405=$AB$45,$AF$45,E1405=$AB$46,$AF$46,E1405=$AB$47,$AF$47,E1405=$AB$48,$AF$48,E1405=$AB$49,$AF$49,E1405=$AB$50,$AF$50,E1405=$AB$51,$AF$51,E1405=$AB$52,$AF$52,E1405=$AB$53,$AF$53,E1405=$AB$54,$AF$54,E1405=$AB$55,$AF$55,E1405=$AB$56,$AF$56,E1405=$AB$57,$AF$57,E1405=$AB$58,$AF$58,E1405=$AB$59,$AF$59,E1405=$AB$60,$AF$60,E1405=$AB$61,$AF$61,E1405=$AB$62,$AF$62,E1405=$AB$63,$AF$63,E1405=$AB$64,$AF$64,E1405=$AB$65,$AF$65,E1405=$AB$66,$AF$66,TRUE,"0")</f>
        <v>40 mins Back ANother Goal</v>
      </c>
      <c r="D1405" s="270" t="str" cm="1">
        <f t="array" ref="D1405">_xlfn.IFS(E1405=$AB$42,$AD$42,E1405=$AB$43,$AD$43,E1405=$AB$44,$AD$44,E1405=$AB$45,$AD$45,E1405=$AB$46,$AD$46,E1405=$AB$47,$AD$47,E1405=$AB$48,$AD$48,E1405=$AB$49,$AD$49,E1405=$AB$50,$AD$50,E1405=$AB$51,$AD$51,E1405=$AB$52,$AD$52,E1405=$AB$53,$AD$53,E1405=$AB$54,$AD$54,E1405=$AB$55,$AD$55,E1405=$AB$56,$AD$56,E1405=$AB$57,$AD$57,E1405=$AB$58,$AD$58,E1405=$AB$59,$AD$59,E1405=$AB$60,$AD$60,E1405=$AB$61,$AD$61,E1405=$AB$62,$AD$62,E1405=$AB$63,$AD$63,E1405=$AB$64,$AD$64,E1405=$AB$65,$AD$65,E1405=$AB$66,$AD$66,TRUE,"0")</f>
        <v xml:space="preserve">  BANG</v>
      </c>
      <c r="E1405" s="2" t="s">
        <v>515</v>
      </c>
      <c r="F1405" s="2" t="s">
        <v>564</v>
      </c>
      <c r="G1405" s="2" t="s">
        <v>565</v>
      </c>
      <c r="H1405" s="3">
        <v>45418.822916666664</v>
      </c>
      <c r="I1405" s="2" t="s">
        <v>743</v>
      </c>
      <c r="J1405" s="2" t="s">
        <v>567</v>
      </c>
      <c r="K1405" s="2">
        <v>20</v>
      </c>
      <c r="L1405" s="2">
        <v>73</v>
      </c>
      <c r="M1405" s="2">
        <v>1.9</v>
      </c>
      <c r="N1405" s="2"/>
      <c r="O1405" s="2"/>
      <c r="P1405" s="2"/>
      <c r="Q1405" s="2" t="s">
        <v>95</v>
      </c>
      <c r="R1405" s="10" t="s">
        <v>221</v>
      </c>
      <c r="S1405" s="10" t="s">
        <v>216</v>
      </c>
      <c r="T1405" s="188">
        <v>1000</v>
      </c>
      <c r="U1405" s="8">
        <f t="shared" si="155"/>
        <v>180</v>
      </c>
      <c r="V1405" s="234">
        <f t="shared" si="156"/>
        <v>144984.15524616028</v>
      </c>
      <c r="W1405" s="15">
        <v>25</v>
      </c>
      <c r="X1405" s="8">
        <f t="shared" si="157"/>
        <v>4.5</v>
      </c>
      <c r="Y1405" s="233">
        <f t="shared" si="158"/>
        <v>5490.5</v>
      </c>
    </row>
    <row r="1406" spans="1:25">
      <c r="A1406" s="156" t="e" cm="1">
        <f t="array" aca="1" ref="A1406" ca="1">_xlfn.IFS(E1406=$AB$42,$AC$42,E1406=$AB$43,$AC$43,E1406=$AB$44,$AC$44,E1406=$AB$45,$AC$45,E1406=$AB$46,$AC$46,E1406=$AB$47,$AC$47,E1406=$AB$48,$AC$48,E1406=$AB$49,$AC$49,E1406=$AB$50,$AC$50,E1406=$AB$51,$AC$51,E1406=$AB$52,$AC$52,E1406=$AB$53,$AC$53,E1406=$AB$54,$AC$54,E1406=$AB$55,$AC$55,E1406=$AB$56,$AC$56,E1406=$AB$57,$AC$57,E1406=$AB$58,$AC$58,E1406=$AB$59,$AC$59,E1406=$AB$60,$AC$60,E1406=$AB$61,$AC$61,E1406=$AB$62,$AC$62,E1406=$AB$63,$AC$63,E1406=$AB$64,$AC$64,E1406=$AB$65,$AC$65,E1406=$AB$66,$AC$66,TRUE,"0")</f>
        <v>#NAME?</v>
      </c>
      <c r="C1406" s="161" t="str" cm="1">
        <f t="array" ref="C1406">_xlfn.IFS(E1406=$AB$42,$AF$42,E1406=$AB$43,$AF$43,E1406=$AB$44,$AF$44,E1406=$AB$45,$AF$45,E1406=$AB$46,$AF$46,E1406=$AB$47,$AF$47,E1406=$AB$48,$AF$48,E1406=$AB$49,$AF$49,E1406=$AB$50,$AF$50,E1406=$AB$51,$AF$51,E1406=$AB$52,$AF$52,E1406=$AB$53,$AF$53,E1406=$AB$54,$AF$54,E1406=$AB$55,$AF$55,E1406=$AB$56,$AF$56,E1406=$AB$57,$AF$57,E1406=$AB$58,$AF$58,E1406=$AB$59,$AF$59,E1406=$AB$60,$AF$60,E1406=$AB$61,$AF$61,E1406=$AB$62,$AF$62,E1406=$AB$63,$AF$63,E1406=$AB$64,$AF$64,E1406=$AB$65,$AF$65,E1406=$AB$66,$AF$66,TRUE,"0")</f>
        <v>40 mins Back ANother Goal</v>
      </c>
      <c r="D1406" s="270" t="str" cm="1">
        <f t="array" ref="D1406">_xlfn.IFS(E1406=$AB$42,$AD$42,E1406=$AB$43,$AD$43,E1406=$AB$44,$AD$44,E1406=$AB$45,$AD$45,E1406=$AB$46,$AD$46,E1406=$AB$47,$AD$47,E1406=$AB$48,$AD$48,E1406=$AB$49,$AD$49,E1406=$AB$50,$AD$50,E1406=$AB$51,$AD$51,E1406=$AB$52,$AD$52,E1406=$AB$53,$AD$53,E1406=$AB$54,$AD$54,E1406=$AB$55,$AD$55,E1406=$AB$56,$AD$56,E1406=$AB$57,$AD$57,E1406=$AB$58,$AD$58,E1406=$AB$59,$AD$59,E1406=$AB$60,$AD$60,E1406=$AB$61,$AD$61,E1406=$AB$62,$AD$62,E1406=$AB$63,$AD$63,E1406=$AB$64,$AD$64,E1406=$AB$65,$AD$65,E1406=$AB$66,$AD$66,TRUE,"0")</f>
        <v xml:space="preserve">  BANG</v>
      </c>
      <c r="E1406" s="2" t="s">
        <v>792</v>
      </c>
      <c r="F1406" s="2" t="s">
        <v>6</v>
      </c>
      <c r="G1406" s="2" t="s">
        <v>62</v>
      </c>
      <c r="H1406" s="3">
        <v>45418.833333333336</v>
      </c>
      <c r="I1406" s="2" t="s">
        <v>66</v>
      </c>
      <c r="J1406" s="2" t="s">
        <v>383</v>
      </c>
      <c r="K1406" s="2">
        <v>2.1</v>
      </c>
      <c r="L1406" s="2">
        <v>90</v>
      </c>
      <c r="M1406" s="2">
        <v>65</v>
      </c>
      <c r="N1406" s="2">
        <v>61</v>
      </c>
      <c r="O1406" s="2">
        <v>20</v>
      </c>
      <c r="P1406" s="2"/>
      <c r="Q1406" s="2" t="s">
        <v>95</v>
      </c>
      <c r="R1406" s="10" t="s">
        <v>220</v>
      </c>
      <c r="S1406" s="10" t="s">
        <v>194</v>
      </c>
      <c r="T1406" s="188">
        <v>1000</v>
      </c>
      <c r="U1406" s="8">
        <f t="shared" si="155"/>
        <v>180</v>
      </c>
      <c r="V1406" s="234">
        <f t="shared" si="156"/>
        <v>145164.15524616028</v>
      </c>
      <c r="W1406" s="15">
        <v>25</v>
      </c>
      <c r="X1406" s="8">
        <f t="shared" si="157"/>
        <v>4.5</v>
      </c>
      <c r="Y1406" s="233">
        <f t="shared" si="158"/>
        <v>5495</v>
      </c>
    </row>
    <row r="1407" spans="1:25">
      <c r="A1407" s="156" t="e" cm="1">
        <f t="array" aca="1" ref="A1407" ca="1">_xlfn.IFS(E1407=$AB$42,$AC$42,E1407=$AB$43,$AC$43,E1407=$AB$44,$AC$44,E1407=$AB$45,$AC$45,E1407=$AB$46,$AC$46,E1407=$AB$47,$AC$47,E1407=$AB$48,$AC$48,E1407=$AB$49,$AC$49,E1407=$AB$50,$AC$50,E1407=$AB$51,$AC$51,E1407=$AB$52,$AC$52,E1407=$AB$53,$AC$53,E1407=$AB$54,$AC$54,E1407=$AB$55,$AC$55,E1407=$AB$56,$AC$56,E1407=$AB$57,$AC$57,E1407=$AB$58,$AC$58,E1407=$AB$59,$AC$59,E1407=$AB$60,$AC$60,E1407=$AB$61,$AC$61,E1407=$AB$62,$AC$62,E1407=$AB$63,$AC$63,E1407=$AB$64,$AC$64,E1407=$AB$65,$AC$65,E1407=$AB$66,$AC$66,TRUE,"0")</f>
        <v>#NAME?</v>
      </c>
      <c r="C1407" s="161" t="str" cm="1">
        <f t="array" ref="C1407">_xlfn.IFS(E1407=$AB$42,$AF$42,E1407=$AB$43,$AF$43,E1407=$AB$44,$AF$44,E1407=$AB$45,$AF$45,E1407=$AB$46,$AF$46,E1407=$AB$47,$AF$47,E1407=$AB$48,$AF$48,E1407=$AB$49,$AF$49,E1407=$AB$50,$AF$50,E1407=$AB$51,$AF$51,E1407=$AB$52,$AF$52,E1407=$AB$53,$AF$53,E1407=$AB$54,$AF$54,E1407=$AB$55,$AF$55,E1407=$AB$56,$AF$56,E1407=$AB$57,$AF$57,E1407=$AB$58,$AF$58,E1407=$AB$59,$AF$59,E1407=$AB$60,$AF$60,E1407=$AB$61,$AF$61,E1407=$AB$62,$AF$62,E1407=$AB$63,$AF$63,E1407=$AB$64,$AF$64,E1407=$AB$65,$AF$65,E1407=$AB$66,$AF$66,TRUE,"0")</f>
        <v>40 mins Back ANother Goal</v>
      </c>
      <c r="D1407" s="270" t="str" cm="1">
        <f t="array" ref="D1407">_xlfn.IFS(E1407=$AB$42,$AD$42,E1407=$AB$43,$AD$43,E1407=$AB$44,$AD$44,E1407=$AB$45,$AD$45,E1407=$AB$46,$AD$46,E1407=$AB$47,$AD$47,E1407=$AB$48,$AD$48,E1407=$AB$49,$AD$49,E1407=$AB$50,$AD$50,E1407=$AB$51,$AD$51,E1407=$AB$52,$AD$52,E1407=$AB$53,$AD$53,E1407=$AB$54,$AD$54,E1407=$AB$55,$AD$55,E1407=$AB$56,$AD$56,E1407=$AB$57,$AD$57,E1407=$AB$58,$AD$58,E1407=$AB$59,$AD$59,E1407=$AB$60,$AD$60,E1407=$AB$61,$AD$61,E1407=$AB$62,$AD$62,E1407=$AB$63,$AD$63,E1407=$AB$64,$AD$64,E1407=$AB$65,$AD$65,E1407=$AB$66,$AD$66,TRUE,"0")</f>
        <v xml:space="preserve">  BANG</v>
      </c>
      <c r="E1407" s="2" t="s">
        <v>726</v>
      </c>
      <c r="F1407" s="2" t="s">
        <v>6</v>
      </c>
      <c r="G1407" s="2" t="s">
        <v>62</v>
      </c>
      <c r="H1407" s="3">
        <v>45418.833333333336</v>
      </c>
      <c r="I1407" s="2" t="s">
        <v>66</v>
      </c>
      <c r="J1407" s="2" t="s">
        <v>383</v>
      </c>
      <c r="K1407" s="2">
        <v>90</v>
      </c>
      <c r="L1407" s="2">
        <v>20</v>
      </c>
      <c r="M1407" s="2">
        <v>2.1</v>
      </c>
      <c r="N1407" s="2">
        <v>61</v>
      </c>
      <c r="O1407" s="2"/>
      <c r="P1407" s="2"/>
      <c r="Q1407" s="2" t="s">
        <v>95</v>
      </c>
      <c r="R1407" s="10" t="s">
        <v>220</v>
      </c>
      <c r="S1407" s="10" t="s">
        <v>194</v>
      </c>
      <c r="T1407" s="188">
        <v>1000</v>
      </c>
      <c r="U1407" s="8">
        <f t="shared" si="155"/>
        <v>180</v>
      </c>
      <c r="V1407" s="234">
        <f t="shared" si="156"/>
        <v>145344.15524616028</v>
      </c>
      <c r="W1407" s="15">
        <v>25</v>
      </c>
      <c r="X1407" s="8">
        <f t="shared" si="157"/>
        <v>4.5</v>
      </c>
      <c r="Y1407" s="233">
        <f t="shared" si="158"/>
        <v>5499.5</v>
      </c>
    </row>
    <row r="1408" spans="1:25">
      <c r="A1408" s="156" t="e" cm="1">
        <f t="array" aca="1" ref="A1408" ca="1">_xlfn.IFS(E1408=$AB$42,$AC$42,E1408=$AB$43,$AC$43,E1408=$AB$44,$AC$44,E1408=$AB$45,$AC$45,E1408=$AB$46,$AC$46,E1408=$AB$47,$AC$47,E1408=$AB$48,$AC$48,E1408=$AB$49,$AC$49,E1408=$AB$50,$AC$50,E1408=$AB$51,$AC$51,E1408=$AB$52,$AC$52,E1408=$AB$53,$AC$53,E1408=$AB$54,$AC$54,E1408=$AB$55,$AC$55,E1408=$AB$56,$AC$56,E1408=$AB$57,$AC$57,E1408=$AB$58,$AC$58,E1408=$AB$59,$AC$59,E1408=$AB$60,$AC$60,E1408=$AB$61,$AC$61,E1408=$AB$62,$AC$62,E1408=$AB$63,$AC$63,E1408=$AB$64,$AC$64,E1408=$AB$65,$AC$65,E1408=$AB$66,$AC$66,TRUE,"0")</f>
        <v>#NAME?</v>
      </c>
      <c r="C1408" s="161" t="str" cm="1">
        <f t="array" ref="C1408">_xlfn.IFS(E1408=$AB$42,$AF$42,E1408=$AB$43,$AF$43,E1408=$AB$44,$AF$44,E1408=$AB$45,$AF$45,E1408=$AB$46,$AF$46,E1408=$AB$47,$AF$47,E1408=$AB$48,$AF$48,E1408=$AB$49,$AF$49,E1408=$AB$50,$AF$50,E1408=$AB$51,$AF$51,E1408=$AB$52,$AF$52,E1408=$AB$53,$AF$53,E1408=$AB$54,$AF$54,E1408=$AB$55,$AF$55,E1408=$AB$56,$AF$56,E1408=$AB$57,$AF$57,E1408=$AB$58,$AF$58,E1408=$AB$59,$AF$59,E1408=$AB$60,$AF$60,E1408=$AB$61,$AF$61,E1408=$AB$62,$AF$62,E1408=$AB$63,$AF$63,E1408=$AB$64,$AF$64,E1408=$AB$65,$AF$65,E1408=$AB$66,$AF$66,TRUE,"0")</f>
        <v>if 0-0, BACK+ 0.5 GOALS  @ 1.15+odds.  or @ 40 mins</v>
      </c>
      <c r="D1408" s="270" t="str" cm="1">
        <f t="array" ref="D1408">_xlfn.IFS(E1408=$AB$42,$AD$42,E1408=$AB$43,$AD$43,E1408=$AB$44,$AD$44,E1408=$AB$45,$AD$45,E1408=$AB$46,$AD$46,E1408=$AB$47,$AD$47,E1408=$AB$48,$AD$48,E1408=$AB$49,$AD$49,E1408=$AB$50,$AD$50,E1408=$AB$51,$AD$51,E1408=$AB$52,$AD$52,E1408=$AB$53,$AD$53,E1408=$AB$54,$AD$54,E1408=$AB$55,$AD$55,E1408=$AB$56,$AD$56,E1408=$AB$57,$AD$57,E1408=$AB$58,$AD$58,E1408=$AB$59,$AD$59,E1408=$AB$60,$AD$60,E1408=$AB$61,$AD$61,E1408=$AB$62,$AD$62,E1408=$AB$63,$AD$63,E1408=$AB$64,$AD$64,E1408=$AB$65,$AD$65,E1408=$AB$66,$AD$66,TRUE,"0")</f>
        <v>IP</v>
      </c>
      <c r="E1408" s="2" t="s">
        <v>270</v>
      </c>
      <c r="F1408" s="2" t="s">
        <v>626</v>
      </c>
      <c r="G1408" s="2" t="s">
        <v>627</v>
      </c>
      <c r="H1408" s="3">
        <v>45419.708333333336</v>
      </c>
      <c r="I1408" s="2" t="s">
        <v>774</v>
      </c>
      <c r="J1408" s="2" t="s">
        <v>725</v>
      </c>
      <c r="K1408" s="2">
        <v>65</v>
      </c>
      <c r="L1408" s="2">
        <v>0</v>
      </c>
      <c r="M1408" s="2">
        <v>20</v>
      </c>
      <c r="N1408" s="2">
        <v>45</v>
      </c>
      <c r="O1408" s="2">
        <v>0</v>
      </c>
      <c r="P1408" s="2"/>
      <c r="Q1408" s="2" t="s">
        <v>95</v>
      </c>
      <c r="R1408" s="10" t="s">
        <v>221</v>
      </c>
      <c r="S1408" s="10" t="s">
        <v>193</v>
      </c>
      <c r="T1408" s="188">
        <v>1000</v>
      </c>
      <c r="U1408" s="8">
        <f t="shared" si="155"/>
        <v>180</v>
      </c>
      <c r="V1408" s="234">
        <f t="shared" si="156"/>
        <v>145524.15524616028</v>
      </c>
      <c r="W1408" s="15">
        <v>25</v>
      </c>
      <c r="X1408" s="8">
        <f t="shared" si="157"/>
        <v>4.5</v>
      </c>
      <c r="Y1408" s="233">
        <f t="shared" si="158"/>
        <v>5504</v>
      </c>
    </row>
    <row r="1409" spans="1:25">
      <c r="A1409" s="156" t="e" cm="1">
        <f t="array" aca="1" ref="A1409" ca="1">_xlfn.IFS(E1409=$AB$42,$AC$42,E1409=$AB$43,$AC$43,E1409=$AB$44,$AC$44,E1409=$AB$45,$AC$45,E1409=$AB$46,$AC$46,E1409=$AB$47,$AC$47,E1409=$AB$48,$AC$48,E1409=$AB$49,$AC$49,E1409=$AB$50,$AC$50,E1409=$AB$51,$AC$51,E1409=$AB$52,$AC$52,E1409=$AB$53,$AC$53,E1409=$AB$54,$AC$54,E1409=$AB$55,$AC$55,E1409=$AB$56,$AC$56,E1409=$AB$57,$AC$57,E1409=$AB$58,$AC$58,E1409=$AB$59,$AC$59,E1409=$AB$60,$AC$60,E1409=$AB$61,$AC$61,E1409=$AB$62,$AC$62,E1409=$AB$63,$AC$63,E1409=$AB$64,$AC$64,E1409=$AB$65,$AC$65,E1409=$AB$66,$AC$66,TRUE,"0")</f>
        <v>#NAME?</v>
      </c>
      <c r="C1409" s="161" t="str" cm="1">
        <f t="array" ref="C1409">_xlfn.IFS(E1409=$AB$42,$AF$42,E1409=$AB$43,$AF$43,E1409=$AB$44,$AF$44,E1409=$AB$45,$AF$45,E1409=$AB$46,$AF$46,E1409=$AB$47,$AF$47,E1409=$AB$48,$AF$48,E1409=$AB$49,$AF$49,E1409=$AB$50,$AF$50,E1409=$AB$51,$AF$51,E1409=$AB$52,$AF$52,E1409=$AB$53,$AF$53,E1409=$AB$54,$AF$54,E1409=$AB$55,$AF$55,E1409=$AB$56,$AF$56,E1409=$AB$57,$AF$57,E1409=$AB$58,$AF$58,E1409=$AB$59,$AF$59,E1409=$AB$60,$AF$60,E1409=$AB$61,$AF$61,E1409=$AB$62,$AF$62,E1409=$AB$63,$AF$63,E1409=$AB$64,$AF$64,E1409=$AB$65,$AF$65,E1409=$AB$66,$AF$66,TRUE,"0")</f>
        <v>if 0-0, BACK+ 0.5 GOALS  @ 1.15+odds.  or @ 40 mins</v>
      </c>
      <c r="D1409" s="270" t="str" cm="1">
        <f t="array" ref="D1409">_xlfn.IFS(E1409=$AB$42,$AD$42,E1409=$AB$43,$AD$43,E1409=$AB$44,$AD$44,E1409=$AB$45,$AD$45,E1409=$AB$46,$AD$46,E1409=$AB$47,$AD$47,E1409=$AB$48,$AD$48,E1409=$AB$49,$AD$49,E1409=$AB$50,$AD$50,E1409=$AB$51,$AD$51,E1409=$AB$52,$AD$52,E1409=$AB$53,$AD$53,E1409=$AB$54,$AD$54,E1409=$AB$55,$AD$55,E1409=$AB$56,$AD$56,E1409=$AB$57,$AD$57,E1409=$AB$58,$AD$58,E1409=$AB$59,$AD$59,E1409=$AB$60,$AD$60,E1409=$AB$61,$AD$61,E1409=$AB$62,$AD$62,E1409=$AB$63,$AD$63,E1409=$AB$64,$AD$64,E1409=$AB$65,$AD$65,E1409=$AB$66,$AD$66,TRUE,"0")</f>
        <v>IP</v>
      </c>
      <c r="E1409" s="2" t="s">
        <v>270</v>
      </c>
      <c r="F1409" s="2" t="s">
        <v>626</v>
      </c>
      <c r="G1409" s="2" t="s">
        <v>627</v>
      </c>
      <c r="H1409" s="3">
        <v>45419.708333333336</v>
      </c>
      <c r="I1409" s="2" t="s">
        <v>724</v>
      </c>
      <c r="J1409" s="2" t="s">
        <v>635</v>
      </c>
      <c r="K1409" s="2">
        <v>69</v>
      </c>
      <c r="L1409" s="2">
        <v>0</v>
      </c>
      <c r="M1409" s="2">
        <v>20</v>
      </c>
      <c r="N1409" s="2">
        <v>41</v>
      </c>
      <c r="O1409" s="2">
        <v>0</v>
      </c>
      <c r="P1409" s="2"/>
      <c r="Q1409" s="2" t="s">
        <v>95</v>
      </c>
      <c r="R1409" s="10" t="s">
        <v>207</v>
      </c>
      <c r="S1409" s="10" t="s">
        <v>215</v>
      </c>
      <c r="T1409" s="188">
        <v>1000</v>
      </c>
      <c r="U1409" s="8">
        <f t="shared" si="155"/>
        <v>180</v>
      </c>
      <c r="V1409" s="234">
        <f t="shared" si="156"/>
        <v>145704.15524616028</v>
      </c>
      <c r="W1409" s="15">
        <v>25</v>
      </c>
      <c r="X1409" s="8">
        <f t="shared" si="157"/>
        <v>4.5</v>
      </c>
      <c r="Y1409" s="233">
        <f t="shared" si="158"/>
        <v>5508.5</v>
      </c>
    </row>
    <row r="1410" spans="1:25">
      <c r="A1410" s="156" t="e" cm="1">
        <f t="array" aca="1" ref="A1410" ca="1">_xlfn.IFS(E1410=$AB$42,$AC$42,E1410=$AB$43,$AC$43,E1410=$AB$44,$AC$44,E1410=$AB$45,$AC$45,E1410=$AB$46,$AC$46,E1410=$AB$47,$AC$47,E1410=$AB$48,$AC$48,E1410=$AB$49,$AC$49,E1410=$AB$50,$AC$50,E1410=$AB$51,$AC$51,E1410=$AB$52,$AC$52,E1410=$AB$53,$AC$53,E1410=$AB$54,$AC$54,E1410=$AB$55,$AC$55,E1410=$AB$56,$AC$56,E1410=$AB$57,$AC$57,E1410=$AB$58,$AC$58,E1410=$AB$59,$AC$59,E1410=$AB$60,$AC$60,E1410=$AB$61,$AC$61,E1410=$AB$62,$AC$62,E1410=$AB$63,$AC$63,E1410=$AB$64,$AC$64,E1410=$AB$65,$AC$65,E1410=$AB$66,$AC$66,TRUE,"0")</f>
        <v>#NAME?</v>
      </c>
      <c r="C1410" s="161" t="str" cm="1">
        <f t="array" ref="C1410">_xlfn.IFS(E1410=$AB$42,$AF$42,E1410=$AB$43,$AF$43,E1410=$AB$44,$AF$44,E1410=$AB$45,$AF$45,E1410=$AB$46,$AF$46,E1410=$AB$47,$AF$47,E1410=$AB$48,$AF$48,E1410=$AB$49,$AF$49,E1410=$AB$50,$AF$50,E1410=$AB$51,$AF$51,E1410=$AB$52,$AF$52,E1410=$AB$53,$AF$53,E1410=$AB$54,$AF$54,E1410=$AB$55,$AF$55,E1410=$AB$56,$AF$56,E1410=$AB$57,$AF$57,E1410=$AB$58,$AF$58,E1410=$AB$59,$AF$59,E1410=$AB$60,$AF$60,E1410=$AB$61,$AF$61,E1410=$AB$62,$AF$62,E1410=$AB$63,$AF$63,E1410=$AB$64,$AF$64,E1410=$AB$65,$AF$65,E1410=$AB$66,$AF$66,TRUE,"0")</f>
        <v>40 mins Back ANother Goal</v>
      </c>
      <c r="D1410" s="270" t="str" cm="1">
        <f t="array" ref="D1410">_xlfn.IFS(E1410=$AB$42,$AD$42,E1410=$AB$43,$AD$43,E1410=$AB$44,$AD$44,E1410=$AB$45,$AD$45,E1410=$AB$46,$AD$46,E1410=$AB$47,$AD$47,E1410=$AB$48,$AD$48,E1410=$AB$49,$AD$49,E1410=$AB$50,$AD$50,E1410=$AB$51,$AD$51,E1410=$AB$52,$AD$52,E1410=$AB$53,$AD$53,E1410=$AB$54,$AD$54,E1410=$AB$55,$AD$55,E1410=$AB$56,$AD$56,E1410=$AB$57,$AD$57,E1410=$AB$58,$AD$58,E1410=$AB$59,$AD$59,E1410=$AB$60,$AD$60,E1410=$AB$61,$AD$61,E1410=$AB$62,$AD$62,E1410=$AB$63,$AD$63,E1410=$AB$64,$AD$64,E1410=$AB$65,$AD$65,E1410=$AB$66,$AD$66,TRUE,"0")</f>
        <v xml:space="preserve">  BANG</v>
      </c>
      <c r="E1410" s="2" t="s">
        <v>792</v>
      </c>
      <c r="F1410" s="2" t="s">
        <v>516</v>
      </c>
      <c r="G1410" s="2" t="s">
        <v>78</v>
      </c>
      <c r="H1410" s="3">
        <v>45422.541666666664</v>
      </c>
      <c r="I1410" s="2" t="s">
        <v>538</v>
      </c>
      <c r="J1410" s="2" t="s">
        <v>518</v>
      </c>
      <c r="K1410" s="2">
        <v>1.95</v>
      </c>
      <c r="L1410" s="2">
        <v>95</v>
      </c>
      <c r="M1410" s="2">
        <v>65</v>
      </c>
      <c r="N1410" s="2">
        <v>63</v>
      </c>
      <c r="O1410" s="2">
        <v>20</v>
      </c>
      <c r="P1410" s="2"/>
      <c r="Q1410" s="2" t="s">
        <v>95</v>
      </c>
      <c r="R1410" s="10" t="s">
        <v>215</v>
      </c>
      <c r="S1410" s="10" t="s">
        <v>208</v>
      </c>
      <c r="T1410" s="188">
        <v>1000</v>
      </c>
      <c r="U1410" s="8">
        <f t="shared" si="155"/>
        <v>180</v>
      </c>
      <c r="V1410" s="234">
        <f t="shared" si="156"/>
        <v>145884.15524616028</v>
      </c>
      <c r="W1410" s="15">
        <v>25</v>
      </c>
      <c r="X1410" s="8">
        <f t="shared" si="157"/>
        <v>4.5</v>
      </c>
      <c r="Y1410" s="233">
        <f t="shared" si="158"/>
        <v>5513</v>
      </c>
    </row>
    <row r="1411" spans="1:25">
      <c r="A1411" s="156" t="e" cm="1">
        <f t="array" aca="1" ref="A1411" ca="1">_xlfn.IFS(E1411=$AB$42,$AC$42,E1411=$AB$43,$AC$43,E1411=$AB$44,$AC$44,E1411=$AB$45,$AC$45,E1411=$AB$46,$AC$46,E1411=$AB$47,$AC$47,E1411=$AB$48,$AC$48,E1411=$AB$49,$AC$49,E1411=$AB$50,$AC$50,E1411=$AB$51,$AC$51,E1411=$AB$52,$AC$52,E1411=$AB$53,$AC$53,E1411=$AB$54,$AC$54,E1411=$AB$55,$AC$55,E1411=$AB$56,$AC$56,E1411=$AB$57,$AC$57,E1411=$AB$58,$AC$58,E1411=$AB$59,$AC$59,E1411=$AB$60,$AC$60,E1411=$AB$61,$AC$61,E1411=$AB$62,$AC$62,E1411=$AB$63,$AC$63,E1411=$AB$64,$AC$64,E1411=$AB$65,$AC$65,E1411=$AB$66,$AC$66,TRUE,"0")</f>
        <v>#NAME?</v>
      </c>
      <c r="C1411" s="161" t="str" cm="1">
        <f t="array" ref="C1411">_xlfn.IFS(E1411=$AB$42,$AF$42,E1411=$AB$43,$AF$43,E1411=$AB$44,$AF$44,E1411=$AB$45,$AF$45,E1411=$AB$46,$AF$46,E1411=$AB$47,$AF$47,E1411=$AB$48,$AF$48,E1411=$AB$49,$AF$49,E1411=$AB$50,$AF$50,E1411=$AB$51,$AF$51,E1411=$AB$52,$AF$52,E1411=$AB$53,$AF$53,E1411=$AB$54,$AF$54,E1411=$AB$55,$AF$55,E1411=$AB$56,$AF$56,E1411=$AB$57,$AF$57,E1411=$AB$58,$AF$58,E1411=$AB$59,$AF$59,E1411=$AB$60,$AF$60,E1411=$AB$61,$AF$61,E1411=$AB$62,$AF$62,E1411=$AB$63,$AF$63,E1411=$AB$64,$AF$64,E1411=$AB$65,$AF$65,E1411=$AB$66,$AF$66,TRUE,"0")</f>
        <v>40 mins Back ANother Goal</v>
      </c>
      <c r="D1411" s="270" t="str" cm="1">
        <f t="array" ref="D1411">_xlfn.IFS(E1411=$AB$42,$AD$42,E1411=$AB$43,$AD$43,E1411=$AB$44,$AD$44,E1411=$AB$45,$AD$45,E1411=$AB$46,$AD$46,E1411=$AB$47,$AD$47,E1411=$AB$48,$AD$48,E1411=$AB$49,$AD$49,E1411=$AB$50,$AD$50,E1411=$AB$51,$AD$51,E1411=$AB$52,$AD$52,E1411=$AB$53,$AD$53,E1411=$AB$54,$AD$54,E1411=$AB$55,$AD$55,E1411=$AB$56,$AD$56,E1411=$AB$57,$AD$57,E1411=$AB$58,$AD$58,E1411=$AB$59,$AD$59,E1411=$AB$60,$AD$60,E1411=$AB$61,$AD$61,E1411=$AB$62,$AD$62,E1411=$AB$63,$AD$63,E1411=$AB$64,$AD$64,E1411=$AB$65,$AD$65,E1411=$AB$66,$AD$66,TRUE,"0")</f>
        <v xml:space="preserve">  BANG</v>
      </c>
      <c r="E1411" s="2" t="s">
        <v>43</v>
      </c>
      <c r="F1411" s="2" t="s">
        <v>516</v>
      </c>
      <c r="G1411" s="2" t="s">
        <v>78</v>
      </c>
      <c r="H1411" s="3">
        <v>45422.541666666664</v>
      </c>
      <c r="I1411" s="2" t="s">
        <v>538</v>
      </c>
      <c r="J1411" s="2" t="s">
        <v>518</v>
      </c>
      <c r="K1411" s="2">
        <v>67</v>
      </c>
      <c r="L1411" s="2">
        <v>80</v>
      </c>
      <c r="M1411" s="2">
        <v>63</v>
      </c>
      <c r="N1411" s="2">
        <v>1.95</v>
      </c>
      <c r="O1411" s="2">
        <v>1.06</v>
      </c>
      <c r="P1411" s="2"/>
      <c r="Q1411" s="2" t="s">
        <v>95</v>
      </c>
      <c r="R1411" s="10" t="s">
        <v>215</v>
      </c>
      <c r="S1411" s="10" t="s">
        <v>208</v>
      </c>
      <c r="T1411" s="188">
        <v>1000</v>
      </c>
      <c r="U1411" s="8">
        <f t="shared" si="155"/>
        <v>180</v>
      </c>
      <c r="V1411" s="234">
        <f t="shared" si="156"/>
        <v>146064.15524616028</v>
      </c>
      <c r="W1411" s="15">
        <v>25</v>
      </c>
      <c r="X1411" s="8">
        <f t="shared" si="157"/>
        <v>4.5</v>
      </c>
      <c r="Y1411" s="233">
        <f t="shared" si="158"/>
        <v>5517.5</v>
      </c>
    </row>
    <row r="1412" spans="1:25">
      <c r="A1412" s="156" t="e" cm="1">
        <f t="array" aca="1" ref="A1412" ca="1">_xlfn.IFS(E1412=$AB$42,$AC$42,E1412=$AB$43,$AC$43,E1412=$AB$44,$AC$44,E1412=$AB$45,$AC$45,E1412=$AB$46,$AC$46,E1412=$AB$47,$AC$47,E1412=$AB$48,$AC$48,E1412=$AB$49,$AC$49,E1412=$AB$50,$AC$50,E1412=$AB$51,$AC$51,E1412=$AB$52,$AC$52,E1412=$AB$53,$AC$53,E1412=$AB$54,$AC$54,E1412=$AB$55,$AC$55,E1412=$AB$56,$AC$56,E1412=$AB$57,$AC$57,E1412=$AB$58,$AC$58,E1412=$AB$59,$AC$59,E1412=$AB$60,$AC$60,E1412=$AB$61,$AC$61,E1412=$AB$62,$AC$62,E1412=$AB$63,$AC$63,E1412=$AB$64,$AC$64,E1412=$AB$65,$AC$65,E1412=$AB$66,$AC$66,TRUE,"0")</f>
        <v>#NAME?</v>
      </c>
      <c r="C1412" s="161" t="str" cm="1">
        <f t="array" ref="C1412">_xlfn.IFS(E1412=$AB$42,$AF$42,E1412=$AB$43,$AF$43,E1412=$AB$44,$AF$44,E1412=$AB$45,$AF$45,E1412=$AB$46,$AF$46,E1412=$AB$47,$AF$47,E1412=$AB$48,$AF$48,E1412=$AB$49,$AF$49,E1412=$AB$50,$AF$50,E1412=$AB$51,$AF$51,E1412=$AB$52,$AF$52,E1412=$AB$53,$AF$53,E1412=$AB$54,$AF$54,E1412=$AB$55,$AF$55,E1412=$AB$56,$AF$56,E1412=$AB$57,$AF$57,E1412=$AB$58,$AF$58,E1412=$AB$59,$AF$59,E1412=$AB$60,$AF$60,E1412=$AB$61,$AF$61,E1412=$AB$62,$AF$62,E1412=$AB$63,$AF$63,E1412=$AB$64,$AF$64,E1412=$AB$65,$AF$65,E1412=$AB$66,$AF$66,TRUE,"0")</f>
        <v>15mins if  0-0, BACK over 1.5 goals X after goal OR LET RUN</v>
      </c>
      <c r="D1412" s="270" t="str" cm="1">
        <f t="array" ref="D1412">_xlfn.IFS(E1412=$AB$42,$AD$42,E1412=$AB$43,$AD$43,E1412=$AB$44,$AD$44,E1412=$AB$45,$AD$45,E1412=$AB$46,$AD$46,E1412=$AB$47,$AD$47,E1412=$AB$48,$AD$48,E1412=$AB$49,$AD$49,E1412=$AB$50,$AD$50,E1412=$AB$51,$AD$51,E1412=$AB$52,$AD$52,E1412=$AB$53,$AD$53,E1412=$AB$54,$AD$54,E1412=$AB$55,$AD$55,E1412=$AB$56,$AD$56,E1412=$AB$57,$AD$57,E1412=$AB$58,$AD$58,E1412=$AB$59,$AD$59,E1412=$AB$60,$AD$60,E1412=$AB$61,$AD$61,E1412=$AB$62,$AD$62,E1412=$AB$63,$AD$63,E1412=$AB$64,$AD$64,E1412=$AB$65,$AD$65,E1412=$AB$66,$AD$66,TRUE,"0")</f>
        <v>IP</v>
      </c>
      <c r="E1412" s="2" t="s">
        <v>473</v>
      </c>
      <c r="F1412" s="2" t="s">
        <v>489</v>
      </c>
      <c r="G1412" s="2" t="s">
        <v>490</v>
      </c>
      <c r="H1412" s="3">
        <v>45422.583333333336</v>
      </c>
      <c r="I1412" s="2" t="s">
        <v>492</v>
      </c>
      <c r="J1412" s="2" t="s">
        <v>820</v>
      </c>
      <c r="K1412" s="2">
        <v>64</v>
      </c>
      <c r="L1412" s="2">
        <v>80</v>
      </c>
      <c r="M1412" s="2">
        <v>20</v>
      </c>
      <c r="N1412" s="2">
        <v>2.5499999999999998</v>
      </c>
      <c r="O1412" s="2"/>
      <c r="P1412" s="2"/>
      <c r="Q1412" s="2" t="s">
        <v>95</v>
      </c>
      <c r="R1412" s="10" t="s">
        <v>221</v>
      </c>
      <c r="S1412" s="10" t="s">
        <v>214</v>
      </c>
      <c r="T1412" s="188">
        <v>1000</v>
      </c>
      <c r="U1412" s="8">
        <f t="shared" si="155"/>
        <v>180</v>
      </c>
      <c r="V1412" s="234">
        <f t="shared" si="156"/>
        <v>146244.15524616028</v>
      </c>
      <c r="W1412" s="15">
        <v>25</v>
      </c>
      <c r="X1412" s="8">
        <f t="shared" si="157"/>
        <v>4.5</v>
      </c>
      <c r="Y1412" s="233">
        <f t="shared" si="158"/>
        <v>5522</v>
      </c>
    </row>
    <row r="1413" spans="1:25">
      <c r="A1413" s="156" t="e" cm="1">
        <f t="array" aca="1" ref="A1413" ca="1">_xlfn.IFS(E1413=$AB$42,$AC$42,E1413=$AB$43,$AC$43,E1413=$AB$44,$AC$44,E1413=$AB$45,$AC$45,E1413=$AB$46,$AC$46,E1413=$AB$47,$AC$47,E1413=$AB$48,$AC$48,E1413=$AB$49,$AC$49,E1413=$AB$50,$AC$50,E1413=$AB$51,$AC$51,E1413=$AB$52,$AC$52,E1413=$AB$53,$AC$53,E1413=$AB$54,$AC$54,E1413=$AB$55,$AC$55,E1413=$AB$56,$AC$56,E1413=$AB$57,$AC$57,E1413=$AB$58,$AC$58,E1413=$AB$59,$AC$59,E1413=$AB$60,$AC$60,E1413=$AB$61,$AC$61,E1413=$AB$62,$AC$62,E1413=$AB$63,$AC$63,E1413=$AB$64,$AC$64,E1413=$AB$65,$AC$65,E1413=$AB$66,$AC$66,TRUE,"0")</f>
        <v>#NAME?</v>
      </c>
      <c r="C1413" s="161" t="str" cm="1">
        <f t="array" ref="C1413">_xlfn.IFS(E1413=$AB$42,$AF$42,E1413=$AB$43,$AF$43,E1413=$AB$44,$AF$44,E1413=$AB$45,$AF$45,E1413=$AB$46,$AF$46,E1413=$AB$47,$AF$47,E1413=$AB$48,$AF$48,E1413=$AB$49,$AF$49,E1413=$AB$50,$AF$50,E1413=$AB$51,$AF$51,E1413=$AB$52,$AF$52,E1413=$AB$53,$AF$53,E1413=$AB$54,$AF$54,E1413=$AB$55,$AF$55,E1413=$AB$56,$AF$56,E1413=$AB$57,$AF$57,E1413=$AB$58,$AF$58,E1413=$AB$59,$AF$59,E1413=$AB$60,$AF$60,E1413=$AB$61,$AF$61,E1413=$AB$62,$AF$62,E1413=$AB$63,$AF$63,E1413=$AB$64,$AF$64,E1413=$AB$65,$AF$65,E1413=$AB$66,$AF$66,TRUE,"0")</f>
        <v>40 mins Back ANother Goal</v>
      </c>
      <c r="D1413" s="270" t="str" cm="1">
        <f t="array" ref="D1413">_xlfn.IFS(E1413=$AB$42,$AD$42,E1413=$AB$43,$AD$43,E1413=$AB$44,$AD$44,E1413=$AB$45,$AD$45,E1413=$AB$46,$AD$46,E1413=$AB$47,$AD$47,E1413=$AB$48,$AD$48,E1413=$AB$49,$AD$49,E1413=$AB$50,$AD$50,E1413=$AB$51,$AD$51,E1413=$AB$52,$AD$52,E1413=$AB$53,$AD$53,E1413=$AB$54,$AD$54,E1413=$AB$55,$AD$55,E1413=$AB$56,$AD$56,E1413=$AB$57,$AD$57,E1413=$AB$58,$AD$58,E1413=$AB$59,$AD$59,E1413=$AB$60,$AD$60,E1413=$AB$61,$AD$61,E1413=$AB$62,$AD$62,E1413=$AB$63,$AD$63,E1413=$AB$64,$AD$64,E1413=$AB$65,$AD$65,E1413=$AB$66,$AD$66,TRUE,"0")</f>
        <v xml:space="preserve">  BANG</v>
      </c>
      <c r="E1413" s="2" t="s">
        <v>726</v>
      </c>
      <c r="F1413" s="2" t="s">
        <v>77</v>
      </c>
      <c r="G1413" s="2" t="s">
        <v>234</v>
      </c>
      <c r="H1413" s="3">
        <v>45422.729166666664</v>
      </c>
      <c r="I1413" s="2" t="s">
        <v>424</v>
      </c>
      <c r="J1413" s="2" t="s">
        <v>247</v>
      </c>
      <c r="K1413" s="2">
        <v>80</v>
      </c>
      <c r="L1413" s="2">
        <v>20</v>
      </c>
      <c r="M1413" s="2">
        <v>2.0499999999999998</v>
      </c>
      <c r="N1413" s="2">
        <v>62</v>
      </c>
      <c r="O1413" s="2"/>
      <c r="P1413" s="2"/>
      <c r="Q1413" s="2" t="s">
        <v>96</v>
      </c>
      <c r="R1413" s="10" t="s">
        <v>214</v>
      </c>
      <c r="S1413" s="10" t="s">
        <v>214</v>
      </c>
      <c r="T1413" s="188">
        <v>1000</v>
      </c>
      <c r="U1413" s="8">
        <f t="shared" si="155"/>
        <v>-1000</v>
      </c>
      <c r="V1413" s="234">
        <f t="shared" si="156"/>
        <v>145244.15524616028</v>
      </c>
      <c r="W1413" s="15">
        <v>25</v>
      </c>
      <c r="X1413" s="8">
        <f t="shared" si="157"/>
        <v>-25</v>
      </c>
      <c r="Y1413" s="233">
        <f t="shared" si="158"/>
        <v>5497</v>
      </c>
    </row>
    <row r="1414" spans="1:25">
      <c r="A1414" s="156" t="e" cm="1">
        <f t="array" aca="1" ref="A1414" ca="1">_xlfn.IFS(E1414=$AB$42,$AC$42,E1414=$AB$43,$AC$43,E1414=$AB$44,$AC$44,E1414=$AB$45,$AC$45,E1414=$AB$46,$AC$46,E1414=$AB$47,$AC$47,E1414=$AB$48,$AC$48,E1414=$AB$49,$AC$49,E1414=$AB$50,$AC$50,E1414=$AB$51,$AC$51,E1414=$AB$52,$AC$52,E1414=$AB$53,$AC$53,E1414=$AB$54,$AC$54,E1414=$AB$55,$AC$55,E1414=$AB$56,$AC$56,E1414=$AB$57,$AC$57,E1414=$AB$58,$AC$58,E1414=$AB$59,$AC$59,E1414=$AB$60,$AC$60,E1414=$AB$61,$AC$61,E1414=$AB$62,$AC$62,E1414=$AB$63,$AC$63,E1414=$AB$64,$AC$64,E1414=$AB$65,$AC$65,E1414=$AB$66,$AC$66,TRUE,"0")</f>
        <v>#NAME?</v>
      </c>
      <c r="C1414" s="161" t="str" cm="1">
        <f t="array" ref="C1414">_xlfn.IFS(E1414=$AB$42,$AF$42,E1414=$AB$43,$AF$43,E1414=$AB$44,$AF$44,E1414=$AB$45,$AF$45,E1414=$AB$46,$AF$46,E1414=$AB$47,$AF$47,E1414=$AB$48,$AF$48,E1414=$AB$49,$AF$49,E1414=$AB$50,$AF$50,E1414=$AB$51,$AF$51,E1414=$AB$52,$AF$52,E1414=$AB$53,$AF$53,E1414=$AB$54,$AF$54,E1414=$AB$55,$AF$55,E1414=$AB$56,$AF$56,E1414=$AB$57,$AF$57,E1414=$AB$58,$AF$58,E1414=$AB$59,$AF$59,E1414=$AB$60,$AF$60,E1414=$AB$61,$AF$61,E1414=$AB$62,$AF$62,E1414=$AB$63,$AF$63,E1414=$AB$64,$AF$64,E1414=$AB$65,$AF$65,E1414=$AB$66,$AF$66,TRUE,"0")</f>
        <v>B4 match BACK FT +1.5 goals. X AFTER  GOAL</v>
      </c>
      <c r="D1414" s="270" t="str" cm="1">
        <f t="array" ref="D1414">_xlfn.IFS(E1414=$AB$42,$AD$42,E1414=$AB$43,$AD$43,E1414=$AB$44,$AD$44,E1414=$AB$45,$AD$45,E1414=$AB$46,$AD$46,E1414=$AB$47,$AD$47,E1414=$AB$48,$AD$48,E1414=$AB$49,$AD$49,E1414=$AB$50,$AD$50,E1414=$AB$51,$AD$51,E1414=$AB$52,$AD$52,E1414=$AB$53,$AD$53,E1414=$AB$54,$AD$54,E1414=$AB$55,$AD$55,E1414=$AB$56,$AD$56,E1414=$AB$57,$AD$57,E1414=$AB$58,$AD$58,E1414=$AB$59,$AD$59,E1414=$AB$60,$AD$60,E1414=$AB$61,$AD$61,E1414=$AB$62,$AD$62,E1414=$AB$63,$AD$63,E1414=$AB$64,$AD$64,E1414=$AB$65,$AD$65,E1414=$AB$66,$AD$66,TRUE,"0")</f>
        <v xml:space="preserve">BFM </v>
      </c>
      <c r="E1414" s="2" t="s">
        <v>531</v>
      </c>
      <c r="F1414" s="2" t="s">
        <v>77</v>
      </c>
      <c r="G1414" s="2" t="s">
        <v>234</v>
      </c>
      <c r="H1414" s="3">
        <v>45422.729166666664</v>
      </c>
      <c r="I1414" s="2" t="s">
        <v>424</v>
      </c>
      <c r="J1414" s="2" t="s">
        <v>247</v>
      </c>
      <c r="K1414" s="2">
        <v>5.3</v>
      </c>
      <c r="L1414" s="2">
        <v>32</v>
      </c>
      <c r="M1414" s="2">
        <v>3.19</v>
      </c>
      <c r="N1414" s="2">
        <v>34</v>
      </c>
      <c r="O1414" s="2">
        <v>2</v>
      </c>
      <c r="P1414" s="2">
        <v>16</v>
      </c>
      <c r="Q1414" s="2" t="s">
        <v>95</v>
      </c>
      <c r="R1414" s="10" t="s">
        <v>214</v>
      </c>
      <c r="S1414" s="10" t="s">
        <v>214</v>
      </c>
      <c r="T1414" s="188">
        <v>1000</v>
      </c>
      <c r="U1414" s="8">
        <f t="shared" si="155"/>
        <v>180</v>
      </c>
      <c r="V1414" s="234">
        <f t="shared" si="156"/>
        <v>145424.15524616028</v>
      </c>
      <c r="W1414" s="15">
        <v>25</v>
      </c>
      <c r="X1414" s="8">
        <f t="shared" si="157"/>
        <v>4.5</v>
      </c>
      <c r="Y1414" s="233">
        <f t="shared" si="158"/>
        <v>5501.5</v>
      </c>
    </row>
    <row r="1415" spans="1:25">
      <c r="A1415" s="156" t="e" cm="1">
        <f t="array" aca="1" ref="A1415" ca="1">_xlfn.IFS(E1415=$AB$42,$AC$42,E1415=$AB$43,$AC$43,E1415=$AB$44,$AC$44,E1415=$AB$45,$AC$45,E1415=$AB$46,$AC$46,E1415=$AB$47,$AC$47,E1415=$AB$48,$AC$48,E1415=$AB$49,$AC$49,E1415=$AB$50,$AC$50,E1415=$AB$51,$AC$51,E1415=$AB$52,$AC$52,E1415=$AB$53,$AC$53,E1415=$AB$54,$AC$54,E1415=$AB$55,$AC$55,E1415=$AB$56,$AC$56,E1415=$AB$57,$AC$57,E1415=$AB$58,$AC$58,E1415=$AB$59,$AC$59,E1415=$AB$60,$AC$60,E1415=$AB$61,$AC$61,E1415=$AB$62,$AC$62,E1415=$AB$63,$AC$63,E1415=$AB$64,$AC$64,E1415=$AB$65,$AC$65,E1415=$AB$66,$AC$66,TRUE,"0")</f>
        <v>#NAME?</v>
      </c>
      <c r="C1415" s="161" t="str" cm="1">
        <f t="array" ref="C1415">_xlfn.IFS(E1415=$AB$42,$AF$42,E1415=$AB$43,$AF$43,E1415=$AB$44,$AF$44,E1415=$AB$45,$AF$45,E1415=$AB$46,$AF$46,E1415=$AB$47,$AF$47,E1415=$AB$48,$AF$48,E1415=$AB$49,$AF$49,E1415=$AB$50,$AF$50,E1415=$AB$51,$AF$51,E1415=$AB$52,$AF$52,E1415=$AB$53,$AF$53,E1415=$AB$54,$AF$54,E1415=$AB$55,$AF$55,E1415=$AB$56,$AF$56,E1415=$AB$57,$AF$57,E1415=$AB$58,$AF$58,E1415=$AB$59,$AF$59,E1415=$AB$60,$AF$60,E1415=$AB$61,$AF$61,E1415=$AB$62,$AF$62,E1415=$AB$63,$AF$63,E1415=$AB$64,$AF$64,E1415=$AB$65,$AF$65,E1415=$AB$66,$AF$66,TRUE,"0")</f>
        <v>40 mins Back ANother Goal</v>
      </c>
      <c r="D1415" s="270" t="str" cm="1">
        <f t="array" ref="D1415">_xlfn.IFS(E1415=$AB$42,$AD$42,E1415=$AB$43,$AD$43,E1415=$AB$44,$AD$44,E1415=$AB$45,$AD$45,E1415=$AB$46,$AD$46,E1415=$AB$47,$AD$47,E1415=$AB$48,$AD$48,E1415=$AB$49,$AD$49,E1415=$AB$50,$AD$50,E1415=$AB$51,$AD$51,E1415=$AB$52,$AD$52,E1415=$AB$53,$AD$53,E1415=$AB$54,$AD$54,E1415=$AB$55,$AD$55,E1415=$AB$56,$AD$56,E1415=$AB$57,$AD$57,E1415=$AB$58,$AD$58,E1415=$AB$59,$AD$59,E1415=$AB$60,$AD$60,E1415=$AB$61,$AD$61,E1415=$AB$62,$AD$62,E1415=$AB$63,$AD$63,E1415=$AB$64,$AD$64,E1415=$AB$65,$AD$65,E1415=$AB$66,$AD$66,TRUE,"0")</f>
        <v xml:space="preserve">  BANG</v>
      </c>
      <c r="E1415" s="2" t="s">
        <v>726</v>
      </c>
      <c r="F1415" s="2" t="s">
        <v>149</v>
      </c>
      <c r="G1415" s="2" t="s">
        <v>150</v>
      </c>
      <c r="H1415" s="3">
        <v>45422.791666666664</v>
      </c>
      <c r="I1415" s="2" t="s">
        <v>178</v>
      </c>
      <c r="J1415" s="2" t="s">
        <v>493</v>
      </c>
      <c r="K1415" s="2">
        <v>95</v>
      </c>
      <c r="L1415" s="2">
        <v>20</v>
      </c>
      <c r="M1415" s="2">
        <v>2</v>
      </c>
      <c r="N1415" s="2">
        <v>62</v>
      </c>
      <c r="O1415" s="2"/>
      <c r="P1415" s="2"/>
      <c r="Q1415" s="2" t="s">
        <v>95</v>
      </c>
      <c r="R1415" s="10" t="s">
        <v>216</v>
      </c>
      <c r="S1415" s="10" t="s">
        <v>213</v>
      </c>
      <c r="T1415" s="188">
        <v>1000</v>
      </c>
      <c r="U1415" s="8">
        <f t="shared" si="155"/>
        <v>180</v>
      </c>
      <c r="V1415" s="234">
        <f t="shared" si="156"/>
        <v>145604.15524616028</v>
      </c>
      <c r="W1415" s="15">
        <v>25</v>
      </c>
      <c r="X1415" s="8">
        <f t="shared" si="157"/>
        <v>4.5</v>
      </c>
      <c r="Y1415" s="233">
        <f t="shared" si="158"/>
        <v>5506</v>
      </c>
    </row>
    <row r="1416" spans="1:25">
      <c r="A1416" s="156" t="e" cm="1">
        <f t="array" aca="1" ref="A1416" ca="1">_xlfn.IFS(E1416=$AB$42,$AC$42,E1416=$AB$43,$AC$43,E1416=$AB$44,$AC$44,E1416=$AB$45,$AC$45,E1416=$AB$46,$AC$46,E1416=$AB$47,$AC$47,E1416=$AB$48,$AC$48,E1416=$AB$49,$AC$49,E1416=$AB$50,$AC$50,E1416=$AB$51,$AC$51,E1416=$AB$52,$AC$52,E1416=$AB$53,$AC$53,E1416=$AB$54,$AC$54,E1416=$AB$55,$AC$55,E1416=$AB$56,$AC$56,E1416=$AB$57,$AC$57,E1416=$AB$58,$AC$58,E1416=$AB$59,$AC$59,E1416=$AB$60,$AC$60,E1416=$AB$61,$AC$61,E1416=$AB$62,$AC$62,E1416=$AB$63,$AC$63,E1416=$AB$64,$AC$64,E1416=$AB$65,$AC$65,E1416=$AB$66,$AC$66,TRUE,"0")</f>
        <v>#NAME?</v>
      </c>
      <c r="C1416" s="161" t="str" cm="1">
        <f t="array" ref="C1416">_xlfn.IFS(E1416=$AB$42,$AF$42,E1416=$AB$43,$AF$43,E1416=$AB$44,$AF$44,E1416=$AB$45,$AF$45,E1416=$AB$46,$AF$46,E1416=$AB$47,$AF$47,E1416=$AB$48,$AF$48,E1416=$AB$49,$AF$49,E1416=$AB$50,$AF$50,E1416=$AB$51,$AF$51,E1416=$AB$52,$AF$52,E1416=$AB$53,$AF$53,E1416=$AB$54,$AF$54,E1416=$AB$55,$AF$55,E1416=$AB$56,$AF$56,E1416=$AB$57,$AF$57,E1416=$AB$58,$AF$58,E1416=$AB$59,$AF$59,E1416=$AB$60,$AF$60,E1416=$AB$61,$AF$61,E1416=$AB$62,$AF$62,E1416=$AB$63,$AF$63,E1416=$AB$64,$AF$64,E1416=$AB$65,$AF$65,E1416=$AB$66,$AF$66,TRUE,"0")</f>
        <v>40 mins Back ANother Goal</v>
      </c>
      <c r="D1416" s="270" t="str" cm="1">
        <f t="array" ref="D1416">_xlfn.IFS(E1416=$AB$42,$AD$42,E1416=$AB$43,$AD$43,E1416=$AB$44,$AD$44,E1416=$AB$45,$AD$45,E1416=$AB$46,$AD$46,E1416=$AB$47,$AD$47,E1416=$AB$48,$AD$48,E1416=$AB$49,$AD$49,E1416=$AB$50,$AD$50,E1416=$AB$51,$AD$51,E1416=$AB$52,$AD$52,E1416=$AB$53,$AD$53,E1416=$AB$54,$AD$54,E1416=$AB$55,$AD$55,E1416=$AB$56,$AD$56,E1416=$AB$57,$AD$57,E1416=$AB$58,$AD$58,E1416=$AB$59,$AD$59,E1416=$AB$60,$AD$60,E1416=$AB$61,$AD$61,E1416=$AB$62,$AD$62,E1416=$AB$63,$AD$63,E1416=$AB$64,$AD$64,E1416=$AB$65,$AD$65,E1416=$AB$66,$AD$66,TRUE,"0")</f>
        <v xml:space="preserve">  BANG</v>
      </c>
      <c r="E1416" s="2" t="s">
        <v>726</v>
      </c>
      <c r="F1416" s="2" t="s">
        <v>149</v>
      </c>
      <c r="G1416" s="2" t="s">
        <v>150</v>
      </c>
      <c r="H1416" s="3">
        <v>45422.791666666664</v>
      </c>
      <c r="I1416" s="2" t="s">
        <v>330</v>
      </c>
      <c r="J1416" s="2" t="s">
        <v>332</v>
      </c>
      <c r="K1416" s="2">
        <v>90</v>
      </c>
      <c r="L1416" s="2">
        <v>20</v>
      </c>
      <c r="M1416" s="2">
        <v>1.85</v>
      </c>
      <c r="N1416" s="2">
        <v>62</v>
      </c>
      <c r="O1416" s="2"/>
      <c r="P1416" s="2"/>
      <c r="Q1416" s="2" t="s">
        <v>95</v>
      </c>
      <c r="R1416" s="10" t="s">
        <v>221</v>
      </c>
      <c r="S1416" s="10" t="s">
        <v>220</v>
      </c>
      <c r="T1416" s="188">
        <v>1000</v>
      </c>
      <c r="U1416" s="8">
        <f t="shared" si="155"/>
        <v>180</v>
      </c>
      <c r="V1416" s="234">
        <f t="shared" si="156"/>
        <v>145784.15524616028</v>
      </c>
      <c r="W1416" s="15">
        <v>25</v>
      </c>
      <c r="X1416" s="8">
        <f t="shared" si="157"/>
        <v>4.5</v>
      </c>
      <c r="Y1416" s="233">
        <f t="shared" si="158"/>
        <v>5510.5</v>
      </c>
    </row>
    <row r="1417" spans="1:25">
      <c r="A1417" s="156" t="e" cm="1">
        <f t="array" aca="1" ref="A1417" ca="1">_xlfn.IFS(E1417=$AB$42,$AC$42,E1417=$AB$43,$AC$43,E1417=$AB$44,$AC$44,E1417=$AB$45,$AC$45,E1417=$AB$46,$AC$46,E1417=$AB$47,$AC$47,E1417=$AB$48,$AC$48,E1417=$AB$49,$AC$49,E1417=$AB$50,$AC$50,E1417=$AB$51,$AC$51,E1417=$AB$52,$AC$52,E1417=$AB$53,$AC$53,E1417=$AB$54,$AC$54,E1417=$AB$55,$AC$55,E1417=$AB$56,$AC$56,E1417=$AB$57,$AC$57,E1417=$AB$58,$AC$58,E1417=$AB$59,$AC$59,E1417=$AB$60,$AC$60,E1417=$AB$61,$AC$61,E1417=$AB$62,$AC$62,E1417=$AB$63,$AC$63,E1417=$AB$64,$AC$64,E1417=$AB$65,$AC$65,E1417=$AB$66,$AC$66,TRUE,"0")</f>
        <v>#NAME?</v>
      </c>
      <c r="C1417" s="161" t="str" cm="1">
        <f t="array" ref="C1417">_xlfn.IFS(E1417=$AB$42,$AF$42,E1417=$AB$43,$AF$43,E1417=$AB$44,$AF$44,E1417=$AB$45,$AF$45,E1417=$AB$46,$AF$46,E1417=$AB$47,$AF$47,E1417=$AB$48,$AF$48,E1417=$AB$49,$AF$49,E1417=$AB$50,$AF$50,E1417=$AB$51,$AF$51,E1417=$AB$52,$AF$52,E1417=$AB$53,$AF$53,E1417=$AB$54,$AF$54,E1417=$AB$55,$AF$55,E1417=$AB$56,$AF$56,E1417=$AB$57,$AF$57,E1417=$AB$58,$AF$58,E1417=$AB$59,$AF$59,E1417=$AB$60,$AF$60,E1417=$AB$61,$AF$61,E1417=$AB$62,$AF$62,E1417=$AB$63,$AF$63,E1417=$AB$64,$AF$64,E1417=$AB$65,$AF$65,E1417=$AB$66,$AF$66,TRUE,"0")</f>
        <v>40 mins Back ANother Goal</v>
      </c>
      <c r="D1417" s="270" t="str" cm="1">
        <f t="array" ref="D1417">_xlfn.IFS(E1417=$AB$42,$AD$42,E1417=$AB$43,$AD$43,E1417=$AB$44,$AD$44,E1417=$AB$45,$AD$45,E1417=$AB$46,$AD$46,E1417=$AB$47,$AD$47,E1417=$AB$48,$AD$48,E1417=$AB$49,$AD$49,E1417=$AB$50,$AD$50,E1417=$AB$51,$AD$51,E1417=$AB$52,$AD$52,E1417=$AB$53,$AD$53,E1417=$AB$54,$AD$54,E1417=$AB$55,$AD$55,E1417=$AB$56,$AD$56,E1417=$AB$57,$AD$57,E1417=$AB$58,$AD$58,E1417=$AB$59,$AD$59,E1417=$AB$60,$AD$60,E1417=$AB$61,$AD$61,E1417=$AB$62,$AD$62,E1417=$AB$63,$AD$63,E1417=$AB$64,$AD$64,E1417=$AB$65,$AD$65,E1417=$AB$66,$AD$66,TRUE,"0")</f>
        <v xml:space="preserve">  BANG</v>
      </c>
      <c r="E1417" s="2" t="s">
        <v>792</v>
      </c>
      <c r="F1417" s="2" t="s">
        <v>149</v>
      </c>
      <c r="G1417" s="2" t="s">
        <v>150</v>
      </c>
      <c r="H1417" s="3">
        <v>45422.791666666664</v>
      </c>
      <c r="I1417" s="2" t="s">
        <v>256</v>
      </c>
      <c r="J1417" s="2" t="s">
        <v>559</v>
      </c>
      <c r="K1417" s="2">
        <v>2</v>
      </c>
      <c r="L1417" s="2">
        <v>85</v>
      </c>
      <c r="M1417" s="2">
        <v>65</v>
      </c>
      <c r="N1417" s="2">
        <v>61</v>
      </c>
      <c r="O1417" s="2">
        <v>20</v>
      </c>
      <c r="P1417" s="2"/>
      <c r="Q1417" s="2" t="s">
        <v>95</v>
      </c>
      <c r="R1417" s="10" t="s">
        <v>193</v>
      </c>
      <c r="S1417" s="10" t="s">
        <v>216</v>
      </c>
      <c r="T1417" s="188">
        <v>1000</v>
      </c>
      <c r="U1417" s="8">
        <f t="shared" si="155"/>
        <v>180</v>
      </c>
      <c r="V1417" s="234">
        <f t="shared" si="156"/>
        <v>145964.15524616028</v>
      </c>
      <c r="W1417" s="15">
        <v>25</v>
      </c>
      <c r="X1417" s="8">
        <f t="shared" si="157"/>
        <v>4.5</v>
      </c>
      <c r="Y1417" s="233">
        <f t="shared" si="158"/>
        <v>5515</v>
      </c>
    </row>
    <row r="1418" spans="1:25">
      <c r="A1418" s="156" t="e" cm="1">
        <f t="array" aca="1" ref="A1418" ca="1">_xlfn.IFS(E1418=$AB$42,$AC$42,E1418=$AB$43,$AC$43,E1418=$AB$44,$AC$44,E1418=$AB$45,$AC$45,E1418=$AB$46,$AC$46,E1418=$AB$47,$AC$47,E1418=$AB$48,$AC$48,E1418=$AB$49,$AC$49,E1418=$AB$50,$AC$50,E1418=$AB$51,$AC$51,E1418=$AB$52,$AC$52,E1418=$AB$53,$AC$53,E1418=$AB$54,$AC$54,E1418=$AB$55,$AC$55,E1418=$AB$56,$AC$56,E1418=$AB$57,$AC$57,E1418=$AB$58,$AC$58,E1418=$AB$59,$AC$59,E1418=$AB$60,$AC$60,E1418=$AB$61,$AC$61,E1418=$AB$62,$AC$62,E1418=$AB$63,$AC$63,E1418=$AB$64,$AC$64,E1418=$AB$65,$AC$65,E1418=$AB$66,$AC$66,TRUE,"0")</f>
        <v>#NAME?</v>
      </c>
      <c r="C1418" s="161" t="str" cm="1">
        <f t="array" ref="C1418">_xlfn.IFS(E1418=$AB$42,$AF$42,E1418=$AB$43,$AF$43,E1418=$AB$44,$AF$44,E1418=$AB$45,$AF$45,E1418=$AB$46,$AF$46,E1418=$AB$47,$AF$47,E1418=$AB$48,$AF$48,E1418=$AB$49,$AF$49,E1418=$AB$50,$AF$50,E1418=$AB$51,$AF$51,E1418=$AB$52,$AF$52,E1418=$AB$53,$AF$53,E1418=$AB$54,$AF$54,E1418=$AB$55,$AF$55,E1418=$AB$56,$AF$56,E1418=$AB$57,$AF$57,E1418=$AB$58,$AF$58,E1418=$AB$59,$AF$59,E1418=$AB$60,$AF$60,E1418=$AB$61,$AF$61,E1418=$AB$62,$AF$62,E1418=$AB$63,$AF$63,E1418=$AB$64,$AF$64,E1418=$AB$65,$AF$65,E1418=$AB$66,$AF$66,TRUE,"0")</f>
        <v>40 mins Back ANother Goal</v>
      </c>
      <c r="D1418" s="270" t="str" cm="1">
        <f t="array" ref="D1418">_xlfn.IFS(E1418=$AB$42,$AD$42,E1418=$AB$43,$AD$43,E1418=$AB$44,$AD$44,E1418=$AB$45,$AD$45,E1418=$AB$46,$AD$46,E1418=$AB$47,$AD$47,E1418=$AB$48,$AD$48,E1418=$AB$49,$AD$49,E1418=$AB$50,$AD$50,E1418=$AB$51,$AD$51,E1418=$AB$52,$AD$52,E1418=$AB$53,$AD$53,E1418=$AB$54,$AD$54,E1418=$AB$55,$AD$55,E1418=$AB$56,$AD$56,E1418=$AB$57,$AD$57,E1418=$AB$58,$AD$58,E1418=$AB$59,$AD$59,E1418=$AB$60,$AD$60,E1418=$AB$61,$AD$61,E1418=$AB$62,$AD$62,E1418=$AB$63,$AD$63,E1418=$AB$64,$AD$64,E1418=$AB$65,$AD$65,E1418=$AB$66,$AD$66,TRUE,"0")</f>
        <v xml:space="preserve">  BANG</v>
      </c>
      <c r="E1418" s="2" t="s">
        <v>726</v>
      </c>
      <c r="F1418" s="2" t="s">
        <v>149</v>
      </c>
      <c r="G1418" s="2" t="s">
        <v>150</v>
      </c>
      <c r="H1418" s="3">
        <v>45422.791666666664</v>
      </c>
      <c r="I1418" s="2" t="s">
        <v>256</v>
      </c>
      <c r="J1418" s="2" t="s">
        <v>559</v>
      </c>
      <c r="K1418" s="2">
        <v>85</v>
      </c>
      <c r="L1418" s="2">
        <v>20</v>
      </c>
      <c r="M1418" s="2">
        <v>2</v>
      </c>
      <c r="N1418" s="2">
        <v>61</v>
      </c>
      <c r="O1418" s="2"/>
      <c r="P1418" s="2"/>
      <c r="Q1418" s="2" t="s">
        <v>95</v>
      </c>
      <c r="R1418" s="10" t="s">
        <v>193</v>
      </c>
      <c r="S1418" s="10" t="s">
        <v>216</v>
      </c>
      <c r="T1418" s="188">
        <v>1000</v>
      </c>
      <c r="U1418" s="8">
        <f t="shared" si="155"/>
        <v>180</v>
      </c>
      <c r="V1418" s="234">
        <f t="shared" si="156"/>
        <v>146144.15524616028</v>
      </c>
      <c r="W1418" s="15">
        <v>25</v>
      </c>
      <c r="X1418" s="8">
        <f t="shared" si="157"/>
        <v>4.5</v>
      </c>
      <c r="Y1418" s="233">
        <f t="shared" si="158"/>
        <v>5519.5</v>
      </c>
    </row>
    <row r="1419" spans="1:25">
      <c r="A1419" s="156" t="e" cm="1">
        <f t="array" aca="1" ref="A1419" ca="1">_xlfn.IFS(E1419=$AB$42,$AC$42,E1419=$AB$43,$AC$43,E1419=$AB$44,$AC$44,E1419=$AB$45,$AC$45,E1419=$AB$46,$AC$46,E1419=$AB$47,$AC$47,E1419=$AB$48,$AC$48,E1419=$AB$49,$AC$49,E1419=$AB$50,$AC$50,E1419=$AB$51,$AC$51,E1419=$AB$52,$AC$52,E1419=$AB$53,$AC$53,E1419=$AB$54,$AC$54,E1419=$AB$55,$AC$55,E1419=$AB$56,$AC$56,E1419=$AB$57,$AC$57,E1419=$AB$58,$AC$58,E1419=$AB$59,$AC$59,E1419=$AB$60,$AC$60,E1419=$AB$61,$AC$61,E1419=$AB$62,$AC$62,E1419=$AB$63,$AC$63,E1419=$AB$64,$AC$64,E1419=$AB$65,$AC$65,E1419=$AB$66,$AC$66,TRUE,"0")</f>
        <v>#NAME?</v>
      </c>
      <c r="C1419" s="161" t="str" cm="1">
        <f t="array" ref="C1419">_xlfn.IFS(E1419=$AB$42,$AF$42,E1419=$AB$43,$AF$43,E1419=$AB$44,$AF$44,E1419=$AB$45,$AF$45,E1419=$AB$46,$AF$46,E1419=$AB$47,$AF$47,E1419=$AB$48,$AF$48,E1419=$AB$49,$AF$49,E1419=$AB$50,$AF$50,E1419=$AB$51,$AF$51,E1419=$AB$52,$AF$52,E1419=$AB$53,$AF$53,E1419=$AB$54,$AF$54,E1419=$AB$55,$AF$55,E1419=$AB$56,$AF$56,E1419=$AB$57,$AF$57,E1419=$AB$58,$AF$58,E1419=$AB$59,$AF$59,E1419=$AB$60,$AF$60,E1419=$AB$61,$AF$61,E1419=$AB$62,$AF$62,E1419=$AB$63,$AF$63,E1419=$AB$64,$AF$64,E1419=$AB$65,$AF$65,E1419=$AB$66,$AF$66,TRUE,"0")</f>
        <v>B4 match BACK FT +1.5 goals. X AFTER  GOAL</v>
      </c>
      <c r="D1419" s="270" t="str" cm="1">
        <f t="array" ref="D1419">_xlfn.IFS(E1419=$AB$42,$AD$42,E1419=$AB$43,$AD$43,E1419=$AB$44,$AD$44,E1419=$AB$45,$AD$45,E1419=$AB$46,$AD$46,E1419=$AB$47,$AD$47,E1419=$AB$48,$AD$48,E1419=$AB$49,$AD$49,E1419=$AB$50,$AD$50,E1419=$AB$51,$AD$51,E1419=$AB$52,$AD$52,E1419=$AB$53,$AD$53,E1419=$AB$54,$AD$54,E1419=$AB$55,$AD$55,E1419=$AB$56,$AD$56,E1419=$AB$57,$AD$57,E1419=$AB$58,$AD$58,E1419=$AB$59,$AD$59,E1419=$AB$60,$AD$60,E1419=$AB$61,$AD$61,E1419=$AB$62,$AD$62,E1419=$AB$63,$AD$63,E1419=$AB$64,$AD$64,E1419=$AB$65,$AD$65,E1419=$AB$66,$AD$66,TRUE,"0")</f>
        <v xml:space="preserve">BFM </v>
      </c>
      <c r="E1419" s="2" t="s">
        <v>623</v>
      </c>
      <c r="F1419" s="2" t="s">
        <v>149</v>
      </c>
      <c r="G1419" s="2" t="s">
        <v>150</v>
      </c>
      <c r="H1419" s="3">
        <v>45422.791666666664</v>
      </c>
      <c r="I1419" s="2" t="s">
        <v>236</v>
      </c>
      <c r="J1419" s="2" t="s">
        <v>187</v>
      </c>
      <c r="K1419" s="2">
        <v>2.82</v>
      </c>
      <c r="L1419" s="2">
        <v>20</v>
      </c>
      <c r="M1419" s="2">
        <v>2.95</v>
      </c>
      <c r="N1419" s="2">
        <v>23</v>
      </c>
      <c r="O1419" s="2">
        <v>2</v>
      </c>
      <c r="P1419" s="2">
        <v>10</v>
      </c>
      <c r="Q1419" s="2" t="s">
        <v>95</v>
      </c>
      <c r="R1419" s="10" t="s">
        <v>217</v>
      </c>
      <c r="S1419" s="10" t="s">
        <v>209</v>
      </c>
      <c r="T1419" s="188">
        <v>1000</v>
      </c>
      <c r="U1419" s="8">
        <f t="shared" si="155"/>
        <v>180</v>
      </c>
      <c r="V1419" s="234">
        <f t="shared" si="156"/>
        <v>146324.15524616028</v>
      </c>
      <c r="W1419" s="15">
        <v>25</v>
      </c>
      <c r="X1419" s="8">
        <f t="shared" si="157"/>
        <v>4.5</v>
      </c>
      <c r="Y1419" s="233">
        <f t="shared" si="158"/>
        <v>5524</v>
      </c>
    </row>
    <row r="1420" spans="1:25">
      <c r="A1420" s="156" t="e" cm="1">
        <f t="array" aca="1" ref="A1420" ca="1">_xlfn.IFS(E1420=$AB$42,$AC$42,E1420=$AB$43,$AC$43,E1420=$AB$44,$AC$44,E1420=$AB$45,$AC$45,E1420=$AB$46,$AC$46,E1420=$AB$47,$AC$47,E1420=$AB$48,$AC$48,E1420=$AB$49,$AC$49,E1420=$AB$50,$AC$50,E1420=$AB$51,$AC$51,E1420=$AB$52,$AC$52,E1420=$AB$53,$AC$53,E1420=$AB$54,$AC$54,E1420=$AB$55,$AC$55,E1420=$AB$56,$AC$56,E1420=$AB$57,$AC$57,E1420=$AB$58,$AC$58,E1420=$AB$59,$AC$59,E1420=$AB$60,$AC$60,E1420=$AB$61,$AC$61,E1420=$AB$62,$AC$62,E1420=$AB$63,$AC$63,E1420=$AB$64,$AC$64,E1420=$AB$65,$AC$65,E1420=$AB$66,$AC$66,TRUE,"0")</f>
        <v>#NAME?</v>
      </c>
      <c r="C1420" s="161" t="str" cm="1">
        <f t="array" ref="C1420">_xlfn.IFS(E1420=$AB$42,$AF$42,E1420=$AB$43,$AF$43,E1420=$AB$44,$AF$44,E1420=$AB$45,$AF$45,E1420=$AB$46,$AF$46,E1420=$AB$47,$AF$47,E1420=$AB$48,$AF$48,E1420=$AB$49,$AF$49,E1420=$AB$50,$AF$50,E1420=$AB$51,$AF$51,E1420=$AB$52,$AF$52,E1420=$AB$53,$AF$53,E1420=$AB$54,$AF$54,E1420=$AB$55,$AF$55,E1420=$AB$56,$AF$56,E1420=$AB$57,$AF$57,E1420=$AB$58,$AF$58,E1420=$AB$59,$AF$59,E1420=$AB$60,$AF$60,E1420=$AB$61,$AF$61,E1420=$AB$62,$AF$62,E1420=$AB$63,$AF$63,E1420=$AB$64,$AF$64,E1420=$AB$65,$AF$65,E1420=$AB$66,$AF$66,TRUE,"0")</f>
        <v>40 mins Back ANother Goal</v>
      </c>
      <c r="D1420" s="270" t="str" cm="1">
        <f t="array" ref="D1420">_xlfn.IFS(E1420=$AB$42,$AD$42,E1420=$AB$43,$AD$43,E1420=$AB$44,$AD$44,E1420=$AB$45,$AD$45,E1420=$AB$46,$AD$46,E1420=$AB$47,$AD$47,E1420=$AB$48,$AD$48,E1420=$AB$49,$AD$49,E1420=$AB$50,$AD$50,E1420=$AB$51,$AD$51,E1420=$AB$52,$AD$52,E1420=$AB$53,$AD$53,E1420=$AB$54,$AD$54,E1420=$AB$55,$AD$55,E1420=$AB$56,$AD$56,E1420=$AB$57,$AD$57,E1420=$AB$58,$AD$58,E1420=$AB$59,$AD$59,E1420=$AB$60,$AD$60,E1420=$AB$61,$AD$61,E1420=$AB$62,$AD$62,E1420=$AB$63,$AD$63,E1420=$AB$64,$AD$64,E1420=$AB$65,$AD$65,E1420=$AB$66,$AD$66,TRUE,"0")</f>
        <v xml:space="preserve">  BANG</v>
      </c>
      <c r="E1420" s="2" t="s">
        <v>726</v>
      </c>
      <c r="F1420" s="2" t="s">
        <v>20</v>
      </c>
      <c r="G1420" s="2" t="s">
        <v>322</v>
      </c>
      <c r="H1420" s="3">
        <v>45422.8125</v>
      </c>
      <c r="I1420" s="2" t="s">
        <v>333</v>
      </c>
      <c r="J1420" s="2" t="s">
        <v>487</v>
      </c>
      <c r="K1420" s="2">
        <v>85</v>
      </c>
      <c r="L1420" s="2">
        <v>20</v>
      </c>
      <c r="M1420" s="2">
        <v>1.85</v>
      </c>
      <c r="N1420" s="2">
        <v>61</v>
      </c>
      <c r="O1420" s="2"/>
      <c r="P1420" s="2"/>
      <c r="Q1420" s="2" t="s">
        <v>95</v>
      </c>
      <c r="R1420" s="10" t="s">
        <v>216</v>
      </c>
      <c r="S1420" s="10" t="s">
        <v>211</v>
      </c>
      <c r="T1420" s="188">
        <v>1000</v>
      </c>
      <c r="U1420" s="8">
        <f t="shared" ref="U1420:U1483" si="159">IF(Q1420="won",T1420*0.18,-T1420)</f>
        <v>180</v>
      </c>
      <c r="V1420" s="234">
        <f t="shared" ref="V1420:V1435" si="160">SUM(V1419,U1420)</f>
        <v>146504.15524616028</v>
      </c>
      <c r="W1420" s="15">
        <v>25</v>
      </c>
      <c r="X1420" s="8">
        <f t="shared" si="157"/>
        <v>4.5</v>
      </c>
      <c r="Y1420" s="233">
        <f t="shared" si="158"/>
        <v>5528.5</v>
      </c>
    </row>
    <row r="1421" spans="1:25">
      <c r="A1421" s="156" t="e" cm="1">
        <f t="array" aca="1" ref="A1421" ca="1">_xlfn.IFS(E1421=$AB$42,$AC$42,E1421=$AB$43,$AC$43,E1421=$AB$44,$AC$44,E1421=$AB$45,$AC$45,E1421=$AB$46,$AC$46,E1421=$AB$47,$AC$47,E1421=$AB$48,$AC$48,E1421=$AB$49,$AC$49,E1421=$AB$50,$AC$50,E1421=$AB$51,$AC$51,E1421=$AB$52,$AC$52,E1421=$AB$53,$AC$53,E1421=$AB$54,$AC$54,E1421=$AB$55,$AC$55,E1421=$AB$56,$AC$56,E1421=$AB$57,$AC$57,E1421=$AB$58,$AC$58,E1421=$AB$59,$AC$59,E1421=$AB$60,$AC$60,E1421=$AB$61,$AC$61,E1421=$AB$62,$AC$62,E1421=$AB$63,$AC$63,E1421=$AB$64,$AC$64,E1421=$AB$65,$AC$65,E1421=$AB$66,$AC$66,TRUE,"0")</f>
        <v>#NAME?</v>
      </c>
      <c r="C1421" s="161" t="str" cm="1">
        <f t="array" ref="C1421">_xlfn.IFS(E1421=$AB$42,$AF$42,E1421=$AB$43,$AF$43,E1421=$AB$44,$AF$44,E1421=$AB$45,$AF$45,E1421=$AB$46,$AF$46,E1421=$AB$47,$AF$47,E1421=$AB$48,$AF$48,E1421=$AB$49,$AF$49,E1421=$AB$50,$AF$50,E1421=$AB$51,$AF$51,E1421=$AB$52,$AF$52,E1421=$AB$53,$AF$53,E1421=$AB$54,$AF$54,E1421=$AB$55,$AF$55,E1421=$AB$56,$AF$56,E1421=$AB$57,$AF$57,E1421=$AB$58,$AF$58,E1421=$AB$59,$AF$59,E1421=$AB$60,$AF$60,E1421=$AB$61,$AF$61,E1421=$AB$62,$AF$62,E1421=$AB$63,$AF$63,E1421=$AB$64,$AF$64,E1421=$AB$65,$AF$65,E1421=$AB$66,$AF$66,TRUE,"0")</f>
        <v>B4 match BACK FT +1.5 goals. X AFTER  GOAL</v>
      </c>
      <c r="D1421" s="270" t="str" cm="1">
        <f t="array" ref="D1421">_xlfn.IFS(E1421=$AB$42,$AD$42,E1421=$AB$43,$AD$43,E1421=$AB$44,$AD$44,E1421=$AB$45,$AD$45,E1421=$AB$46,$AD$46,E1421=$AB$47,$AD$47,E1421=$AB$48,$AD$48,E1421=$AB$49,$AD$49,E1421=$AB$50,$AD$50,E1421=$AB$51,$AD$51,E1421=$AB$52,$AD$52,E1421=$AB$53,$AD$53,E1421=$AB$54,$AD$54,E1421=$AB$55,$AD$55,E1421=$AB$56,$AD$56,E1421=$AB$57,$AD$57,E1421=$AB$58,$AD$58,E1421=$AB$59,$AD$59,E1421=$AB$60,$AD$60,E1421=$AB$61,$AD$61,E1421=$AB$62,$AD$62,E1421=$AB$63,$AD$63,E1421=$AB$64,$AD$64,E1421=$AB$65,$AD$65,E1421=$AB$66,$AD$66,TRUE,"0")</f>
        <v xml:space="preserve">BFM </v>
      </c>
      <c r="E1421" s="2" t="s">
        <v>623</v>
      </c>
      <c r="F1421" s="2" t="s">
        <v>20</v>
      </c>
      <c r="G1421" s="2" t="s">
        <v>322</v>
      </c>
      <c r="H1421" s="3">
        <v>45422.8125</v>
      </c>
      <c r="I1421" s="2" t="s">
        <v>683</v>
      </c>
      <c r="J1421" s="2" t="s">
        <v>579</v>
      </c>
      <c r="K1421" s="2">
        <v>4.9000000000000004</v>
      </c>
      <c r="L1421" s="2">
        <v>20</v>
      </c>
      <c r="M1421" s="2">
        <v>2.5</v>
      </c>
      <c r="N1421" s="2">
        <v>33</v>
      </c>
      <c r="O1421" s="2">
        <v>1</v>
      </c>
      <c r="P1421" s="2">
        <v>10</v>
      </c>
      <c r="Q1421" s="2" t="s">
        <v>95</v>
      </c>
      <c r="R1421" s="10" t="s">
        <v>193</v>
      </c>
      <c r="S1421" s="10" t="s">
        <v>216</v>
      </c>
      <c r="T1421" s="188">
        <v>1000</v>
      </c>
      <c r="U1421" s="8">
        <f t="shared" si="159"/>
        <v>180</v>
      </c>
      <c r="V1421" s="234">
        <f t="shared" si="160"/>
        <v>146684.15524616028</v>
      </c>
      <c r="W1421" s="15">
        <v>25</v>
      </c>
      <c r="X1421" s="8">
        <f t="shared" si="157"/>
        <v>4.5</v>
      </c>
      <c r="Y1421" s="233">
        <f t="shared" si="158"/>
        <v>5533</v>
      </c>
    </row>
    <row r="1422" spans="1:25">
      <c r="A1422" s="156" t="e" cm="1">
        <f t="array" aca="1" ref="A1422" ca="1">_xlfn.IFS(E1422=$AB$42,$AC$42,E1422=$AB$43,$AC$43,E1422=$AB$44,$AC$44,E1422=$AB$45,$AC$45,E1422=$AB$46,$AC$46,E1422=$AB$47,$AC$47,E1422=$AB$48,$AC$48,E1422=$AB$49,$AC$49,E1422=$AB$50,$AC$50,E1422=$AB$51,$AC$51,E1422=$AB$52,$AC$52,E1422=$AB$53,$AC$53,E1422=$AB$54,$AC$54,E1422=$AB$55,$AC$55,E1422=$AB$56,$AC$56,E1422=$AB$57,$AC$57,E1422=$AB$58,$AC$58,E1422=$AB$59,$AC$59,E1422=$AB$60,$AC$60,E1422=$AB$61,$AC$61,E1422=$AB$62,$AC$62,E1422=$AB$63,$AC$63,E1422=$AB$64,$AC$64,E1422=$AB$65,$AC$65,E1422=$AB$66,$AC$66,TRUE,"0")</f>
        <v>#NAME?</v>
      </c>
      <c r="C1422" s="161" t="str" cm="1">
        <f t="array" ref="C1422">_xlfn.IFS(E1422=$AB$42,$AF$42,E1422=$AB$43,$AF$43,E1422=$AB$44,$AF$44,E1422=$AB$45,$AF$45,E1422=$AB$46,$AF$46,E1422=$AB$47,$AF$47,E1422=$AB$48,$AF$48,E1422=$AB$49,$AF$49,E1422=$AB$50,$AF$50,E1422=$AB$51,$AF$51,E1422=$AB$52,$AF$52,E1422=$AB$53,$AF$53,E1422=$AB$54,$AF$54,E1422=$AB$55,$AF$55,E1422=$AB$56,$AF$56,E1422=$AB$57,$AF$57,E1422=$AB$58,$AF$58,E1422=$AB$59,$AF$59,E1422=$AB$60,$AF$60,E1422=$AB$61,$AF$61,E1422=$AB$62,$AF$62,E1422=$AB$63,$AF$63,E1422=$AB$64,$AF$64,E1422=$AB$65,$AF$65,E1422=$AB$66,$AF$66,TRUE,"0")</f>
        <v>B4 match BACK FT +1.5 goals. X AFTER  GOAL</v>
      </c>
      <c r="D1422" s="270" t="str" cm="1">
        <f t="array" ref="D1422">_xlfn.IFS(E1422=$AB$42,$AD$42,E1422=$AB$43,$AD$43,E1422=$AB$44,$AD$44,E1422=$AB$45,$AD$45,E1422=$AB$46,$AD$46,E1422=$AB$47,$AD$47,E1422=$AB$48,$AD$48,E1422=$AB$49,$AD$49,E1422=$AB$50,$AD$50,E1422=$AB$51,$AD$51,E1422=$AB$52,$AD$52,E1422=$AB$53,$AD$53,E1422=$AB$54,$AD$54,E1422=$AB$55,$AD$55,E1422=$AB$56,$AD$56,E1422=$AB$57,$AD$57,E1422=$AB$58,$AD$58,E1422=$AB$59,$AD$59,E1422=$AB$60,$AD$60,E1422=$AB$61,$AD$61,E1422=$AB$62,$AD$62,E1422=$AB$63,$AD$63,E1422=$AB$64,$AD$64,E1422=$AB$65,$AD$65,E1422=$AB$66,$AD$66,TRUE,"0")</f>
        <v xml:space="preserve">BFM </v>
      </c>
      <c r="E1422" s="2" t="s">
        <v>531</v>
      </c>
      <c r="F1422" s="2" t="s">
        <v>77</v>
      </c>
      <c r="G1422" s="2" t="s">
        <v>156</v>
      </c>
      <c r="H1422" s="3">
        <v>45422.8125</v>
      </c>
      <c r="I1422" s="2" t="s">
        <v>284</v>
      </c>
      <c r="J1422" s="2" t="s">
        <v>168</v>
      </c>
      <c r="K1422" s="2">
        <v>6</v>
      </c>
      <c r="L1422" s="2">
        <v>32</v>
      </c>
      <c r="M1422" s="2">
        <v>3.19</v>
      </c>
      <c r="N1422" s="2">
        <v>31</v>
      </c>
      <c r="O1422" s="2">
        <v>1</v>
      </c>
      <c r="P1422" s="2">
        <v>16</v>
      </c>
      <c r="Q1422" s="2" t="s">
        <v>95</v>
      </c>
      <c r="R1422" s="10" t="s">
        <v>221</v>
      </c>
      <c r="S1422" s="10" t="s">
        <v>193</v>
      </c>
      <c r="T1422" s="188">
        <v>1000</v>
      </c>
      <c r="U1422" s="8">
        <f t="shared" si="159"/>
        <v>180</v>
      </c>
      <c r="V1422" s="234">
        <f t="shared" si="160"/>
        <v>146864.15524616028</v>
      </c>
      <c r="W1422" s="15">
        <v>25</v>
      </c>
      <c r="X1422" s="8">
        <f t="shared" si="157"/>
        <v>4.5</v>
      </c>
      <c r="Y1422" s="233">
        <f t="shared" si="158"/>
        <v>5537.5</v>
      </c>
    </row>
    <row r="1423" spans="1:25">
      <c r="A1423" s="156" t="e" cm="1">
        <f t="array" aca="1" ref="A1423" ca="1">_xlfn.IFS(E1423=$AB$42,$AC$42,E1423=$AB$43,$AC$43,E1423=$AB$44,$AC$44,E1423=$AB$45,$AC$45,E1423=$AB$46,$AC$46,E1423=$AB$47,$AC$47,E1423=$AB$48,$AC$48,E1423=$AB$49,$AC$49,E1423=$AB$50,$AC$50,E1423=$AB$51,$AC$51,E1423=$AB$52,$AC$52,E1423=$AB$53,$AC$53,E1423=$AB$54,$AC$54,E1423=$AB$55,$AC$55,E1423=$AB$56,$AC$56,E1423=$AB$57,$AC$57,E1423=$AB$58,$AC$58,E1423=$AB$59,$AC$59,E1423=$AB$60,$AC$60,E1423=$AB$61,$AC$61,E1423=$AB$62,$AC$62,E1423=$AB$63,$AC$63,E1423=$AB$64,$AC$64,E1423=$AB$65,$AC$65,E1423=$AB$66,$AC$66,TRUE,"0")</f>
        <v>#NAME?</v>
      </c>
      <c r="C1423" s="161" t="str" cm="1">
        <f t="array" ref="C1423">_xlfn.IFS(E1423=$AB$42,$AF$42,E1423=$AB$43,$AF$43,E1423=$AB$44,$AF$44,E1423=$AB$45,$AF$45,E1423=$AB$46,$AF$46,E1423=$AB$47,$AF$47,E1423=$AB$48,$AF$48,E1423=$AB$49,$AF$49,E1423=$AB$50,$AF$50,E1423=$AB$51,$AF$51,E1423=$AB$52,$AF$52,E1423=$AB$53,$AF$53,E1423=$AB$54,$AF$54,E1423=$AB$55,$AF$55,E1423=$AB$56,$AF$56,E1423=$AB$57,$AF$57,E1423=$AB$58,$AF$58,E1423=$AB$59,$AF$59,E1423=$AB$60,$AF$60,E1423=$AB$61,$AF$61,E1423=$AB$62,$AF$62,E1423=$AB$63,$AF$63,E1423=$AB$64,$AF$64,E1423=$AB$65,$AF$65,E1423=$AB$66,$AF$66,TRUE,"0")</f>
        <v>if 0-0, BACK+ 0.5 GOALS  @ 1.15+odds.  or @ 40 mins</v>
      </c>
      <c r="D1423" s="270" t="str" cm="1">
        <f t="array" ref="D1423">_xlfn.IFS(E1423=$AB$42,$AD$42,E1423=$AB$43,$AD$43,E1423=$AB$44,$AD$44,E1423=$AB$45,$AD$45,E1423=$AB$46,$AD$46,E1423=$AB$47,$AD$47,E1423=$AB$48,$AD$48,E1423=$AB$49,$AD$49,E1423=$AB$50,$AD$50,E1423=$AB$51,$AD$51,E1423=$AB$52,$AD$52,E1423=$AB$53,$AD$53,E1423=$AB$54,$AD$54,E1423=$AB$55,$AD$55,E1423=$AB$56,$AD$56,E1423=$AB$57,$AD$57,E1423=$AB$58,$AD$58,E1423=$AB$59,$AD$59,E1423=$AB$60,$AD$60,E1423=$AB$61,$AD$61,E1423=$AB$62,$AD$62,E1423=$AB$63,$AD$63,E1423=$AB$64,$AD$64,E1423=$AB$65,$AD$65,E1423=$AB$66,$AD$66,TRUE,"0")</f>
        <v>IP</v>
      </c>
      <c r="E1423" s="2" t="s">
        <v>270</v>
      </c>
      <c r="F1423" s="2" t="s">
        <v>77</v>
      </c>
      <c r="G1423" s="2" t="s">
        <v>156</v>
      </c>
      <c r="H1423" s="3">
        <v>45422.8125</v>
      </c>
      <c r="I1423" s="2" t="s">
        <v>284</v>
      </c>
      <c r="J1423" s="2" t="s">
        <v>168</v>
      </c>
      <c r="K1423" s="2">
        <v>61</v>
      </c>
      <c r="L1423" s="2">
        <v>0</v>
      </c>
      <c r="M1423" s="2">
        <v>20</v>
      </c>
      <c r="N1423" s="2">
        <v>30</v>
      </c>
      <c r="O1423" s="2">
        <v>3.32</v>
      </c>
      <c r="P1423" s="2"/>
      <c r="Q1423" s="2" t="s">
        <v>95</v>
      </c>
      <c r="R1423" s="10" t="s">
        <v>221</v>
      </c>
      <c r="S1423" s="10" t="s">
        <v>193</v>
      </c>
      <c r="T1423" s="188">
        <v>1000</v>
      </c>
      <c r="U1423" s="8">
        <f t="shared" si="159"/>
        <v>180</v>
      </c>
      <c r="V1423" s="234">
        <f t="shared" si="160"/>
        <v>147044.15524616028</v>
      </c>
      <c r="W1423" s="15">
        <v>25</v>
      </c>
      <c r="X1423" s="8">
        <f t="shared" si="157"/>
        <v>4.5</v>
      </c>
      <c r="Y1423" s="233">
        <f t="shared" si="158"/>
        <v>5542</v>
      </c>
    </row>
    <row r="1424" spans="1:25">
      <c r="A1424" s="156" t="e" cm="1">
        <f t="array" aca="1" ref="A1424" ca="1">_xlfn.IFS(E1424=$AB$42,$AC$42,E1424=$AB$43,$AC$43,E1424=$AB$44,$AC$44,E1424=$AB$45,$AC$45,E1424=$AB$46,$AC$46,E1424=$AB$47,$AC$47,E1424=$AB$48,$AC$48,E1424=$AB$49,$AC$49,E1424=$AB$50,$AC$50,E1424=$AB$51,$AC$51,E1424=$AB$52,$AC$52,E1424=$AB$53,$AC$53,E1424=$AB$54,$AC$54,E1424=$AB$55,$AC$55,E1424=$AB$56,$AC$56,E1424=$AB$57,$AC$57,E1424=$AB$58,$AC$58,E1424=$AB$59,$AC$59,E1424=$AB$60,$AC$60,E1424=$AB$61,$AC$61,E1424=$AB$62,$AC$62,E1424=$AB$63,$AC$63,E1424=$AB$64,$AC$64,E1424=$AB$65,$AC$65,E1424=$AB$66,$AC$66,TRUE,"0")</f>
        <v>#NAME?</v>
      </c>
      <c r="C1424" s="161" t="str" cm="1">
        <f t="array" ref="C1424">_xlfn.IFS(E1424=$AB$42,$AF$42,E1424=$AB$43,$AF$43,E1424=$AB$44,$AF$44,E1424=$AB$45,$AF$45,E1424=$AB$46,$AF$46,E1424=$AB$47,$AF$47,E1424=$AB$48,$AF$48,E1424=$AB$49,$AF$49,E1424=$AB$50,$AF$50,E1424=$AB$51,$AF$51,E1424=$AB$52,$AF$52,E1424=$AB$53,$AF$53,E1424=$AB$54,$AF$54,E1424=$AB$55,$AF$55,E1424=$AB$56,$AF$56,E1424=$AB$57,$AF$57,E1424=$AB$58,$AF$58,E1424=$AB$59,$AF$59,E1424=$AB$60,$AF$60,E1424=$AB$61,$AF$61,E1424=$AB$62,$AF$62,E1424=$AB$63,$AF$63,E1424=$AB$64,$AF$64,E1424=$AB$65,$AF$65,E1424=$AB$66,$AF$66,TRUE,"0")</f>
        <v>40 mins Back ANother Goal</v>
      </c>
      <c r="D1424" s="270" t="str" cm="1">
        <f t="array" ref="D1424">_xlfn.IFS(E1424=$AB$42,$AD$42,E1424=$AB$43,$AD$43,E1424=$AB$44,$AD$44,E1424=$AB$45,$AD$45,E1424=$AB$46,$AD$46,E1424=$AB$47,$AD$47,E1424=$AB$48,$AD$48,E1424=$AB$49,$AD$49,E1424=$AB$50,$AD$50,E1424=$AB$51,$AD$51,E1424=$AB$52,$AD$52,E1424=$AB$53,$AD$53,E1424=$AB$54,$AD$54,E1424=$AB$55,$AD$55,E1424=$AB$56,$AD$56,E1424=$AB$57,$AD$57,E1424=$AB$58,$AD$58,E1424=$AB$59,$AD$59,E1424=$AB$60,$AD$60,E1424=$AB$61,$AD$61,E1424=$AB$62,$AD$62,E1424=$AB$63,$AD$63,E1424=$AB$64,$AD$64,E1424=$AB$65,$AD$65,E1424=$AB$66,$AD$66,TRUE,"0")</f>
        <v xml:space="preserve">  BANG</v>
      </c>
      <c r="E1424" s="2" t="s">
        <v>515</v>
      </c>
      <c r="F1424" s="2" t="s">
        <v>564</v>
      </c>
      <c r="G1424" s="2" t="s">
        <v>565</v>
      </c>
      <c r="H1424" s="3">
        <v>45422.822916666664</v>
      </c>
      <c r="I1424" s="2" t="s">
        <v>743</v>
      </c>
      <c r="J1424" s="2" t="s">
        <v>708</v>
      </c>
      <c r="K1424" s="2">
        <v>20</v>
      </c>
      <c r="L1424" s="2">
        <v>75</v>
      </c>
      <c r="M1424" s="2">
        <v>1.9</v>
      </c>
      <c r="N1424" s="2"/>
      <c r="O1424" s="2"/>
      <c r="P1424" s="2"/>
      <c r="Q1424" s="2" t="s">
        <v>95</v>
      </c>
      <c r="R1424" s="10" t="s">
        <v>221</v>
      </c>
      <c r="S1424" s="10" t="s">
        <v>214</v>
      </c>
      <c r="T1424" s="188">
        <v>1000</v>
      </c>
      <c r="U1424" s="8">
        <f t="shared" si="159"/>
        <v>180</v>
      </c>
      <c r="V1424" s="234">
        <f t="shared" si="160"/>
        <v>147224.15524616028</v>
      </c>
      <c r="W1424" s="15">
        <v>25</v>
      </c>
      <c r="X1424" s="8">
        <f t="shared" si="157"/>
        <v>4.5</v>
      </c>
      <c r="Y1424" s="233">
        <f t="shared" si="158"/>
        <v>5546.5</v>
      </c>
    </row>
    <row r="1425" spans="1:25">
      <c r="A1425" s="156" t="e" cm="1">
        <f t="array" aca="1" ref="A1425" ca="1">_xlfn.IFS(E1425=$AB$42,$AC$42,E1425=$AB$43,$AC$43,E1425=$AB$44,$AC$44,E1425=$AB$45,$AC$45,E1425=$AB$46,$AC$46,E1425=$AB$47,$AC$47,E1425=$AB$48,$AC$48,E1425=$AB$49,$AC$49,E1425=$AB$50,$AC$50,E1425=$AB$51,$AC$51,E1425=$AB$52,$AC$52,E1425=$AB$53,$AC$53,E1425=$AB$54,$AC$54,E1425=$AB$55,$AC$55,E1425=$AB$56,$AC$56,E1425=$AB$57,$AC$57,E1425=$AB$58,$AC$58,E1425=$AB$59,$AC$59,E1425=$AB$60,$AC$60,E1425=$AB$61,$AC$61,E1425=$AB$62,$AC$62,E1425=$AB$63,$AC$63,E1425=$AB$64,$AC$64,E1425=$AB$65,$AC$65,E1425=$AB$66,$AC$66,TRUE,"0")</f>
        <v>#NAME?</v>
      </c>
      <c r="C1425" s="161" t="str" cm="1">
        <f t="array" ref="C1425">_xlfn.IFS(E1425=$AB$42,$AF$42,E1425=$AB$43,$AF$43,E1425=$AB$44,$AF$44,E1425=$AB$45,$AF$45,E1425=$AB$46,$AF$46,E1425=$AB$47,$AF$47,E1425=$AB$48,$AF$48,E1425=$AB$49,$AF$49,E1425=$AB$50,$AF$50,E1425=$AB$51,$AF$51,E1425=$AB$52,$AF$52,E1425=$AB$53,$AF$53,E1425=$AB$54,$AF$54,E1425=$AB$55,$AF$55,E1425=$AB$56,$AF$56,E1425=$AB$57,$AF$57,E1425=$AB$58,$AF$58,E1425=$AB$59,$AF$59,E1425=$AB$60,$AF$60,E1425=$AB$61,$AF$61,E1425=$AB$62,$AF$62,E1425=$AB$63,$AF$63,E1425=$AB$64,$AF$64,E1425=$AB$65,$AF$65,E1425=$AB$66,$AF$66,TRUE,"0")</f>
        <v>40 mins Back ANother Goal</v>
      </c>
      <c r="D1425" s="270" t="str" cm="1">
        <f t="array" ref="D1425">_xlfn.IFS(E1425=$AB$42,$AD$42,E1425=$AB$43,$AD$43,E1425=$AB$44,$AD$44,E1425=$AB$45,$AD$45,E1425=$AB$46,$AD$46,E1425=$AB$47,$AD$47,E1425=$AB$48,$AD$48,E1425=$AB$49,$AD$49,E1425=$AB$50,$AD$50,E1425=$AB$51,$AD$51,E1425=$AB$52,$AD$52,E1425=$AB$53,$AD$53,E1425=$AB$54,$AD$54,E1425=$AB$55,$AD$55,E1425=$AB$56,$AD$56,E1425=$AB$57,$AD$57,E1425=$AB$58,$AD$58,E1425=$AB$59,$AD$59,E1425=$AB$60,$AD$60,E1425=$AB$61,$AD$61,E1425=$AB$62,$AD$62,E1425=$AB$63,$AD$63,E1425=$AB$64,$AD$64,E1425=$AB$65,$AD$65,E1425=$AB$66,$AD$66,TRUE,"0")</f>
        <v xml:space="preserve">  BANG</v>
      </c>
      <c r="E1425" s="2" t="s">
        <v>515</v>
      </c>
      <c r="F1425" s="2" t="s">
        <v>564</v>
      </c>
      <c r="G1425" s="2" t="s">
        <v>565</v>
      </c>
      <c r="H1425" s="3">
        <v>45422.822916666664</v>
      </c>
      <c r="I1425" s="2" t="s">
        <v>811</v>
      </c>
      <c r="J1425" s="2" t="s">
        <v>812</v>
      </c>
      <c r="K1425" s="2">
        <v>20</v>
      </c>
      <c r="L1425" s="2">
        <v>72</v>
      </c>
      <c r="M1425" s="2">
        <v>1.65</v>
      </c>
      <c r="N1425" s="2"/>
      <c r="O1425" s="2"/>
      <c r="P1425" s="2"/>
      <c r="Q1425" s="2" t="s">
        <v>95</v>
      </c>
      <c r="R1425" s="10" t="s">
        <v>222</v>
      </c>
      <c r="S1425" s="10" t="s">
        <v>196</v>
      </c>
      <c r="T1425" s="188">
        <v>1000</v>
      </c>
      <c r="U1425" s="8">
        <f t="shared" si="159"/>
        <v>180</v>
      </c>
      <c r="V1425" s="234">
        <f t="shared" si="160"/>
        <v>147404.15524616028</v>
      </c>
      <c r="W1425" s="15">
        <v>25</v>
      </c>
      <c r="X1425" s="8">
        <f t="shared" si="157"/>
        <v>4.5</v>
      </c>
      <c r="Y1425" s="233">
        <f t="shared" si="158"/>
        <v>5551</v>
      </c>
    </row>
    <row r="1426" spans="1:25">
      <c r="A1426" s="156" t="e" cm="1">
        <f t="array" aca="1" ref="A1426" ca="1">_xlfn.IFS(E1426=$AB$42,$AC$42,E1426=$AB$43,$AC$43,E1426=$AB$44,$AC$44,E1426=$AB$45,$AC$45,E1426=$AB$46,$AC$46,E1426=$AB$47,$AC$47,E1426=$AB$48,$AC$48,E1426=$AB$49,$AC$49,E1426=$AB$50,$AC$50,E1426=$AB$51,$AC$51,E1426=$AB$52,$AC$52,E1426=$AB$53,$AC$53,E1426=$AB$54,$AC$54,E1426=$AB$55,$AC$55,E1426=$AB$56,$AC$56,E1426=$AB$57,$AC$57,E1426=$AB$58,$AC$58,E1426=$AB$59,$AC$59,E1426=$AB$60,$AC$60,E1426=$AB$61,$AC$61,E1426=$AB$62,$AC$62,E1426=$AB$63,$AC$63,E1426=$AB$64,$AC$64,E1426=$AB$65,$AC$65,E1426=$AB$66,$AC$66,TRUE,"0")</f>
        <v>#NAME?</v>
      </c>
      <c r="C1426" s="161" t="str" cm="1">
        <f t="array" ref="C1426">_xlfn.IFS(E1426=$AB$42,$AF$42,E1426=$AB$43,$AF$43,E1426=$AB$44,$AF$44,E1426=$AB$45,$AF$45,E1426=$AB$46,$AF$46,E1426=$AB$47,$AF$47,E1426=$AB$48,$AF$48,E1426=$AB$49,$AF$49,E1426=$AB$50,$AF$50,E1426=$AB$51,$AF$51,E1426=$AB$52,$AF$52,E1426=$AB$53,$AF$53,E1426=$AB$54,$AF$54,E1426=$AB$55,$AF$55,E1426=$AB$56,$AF$56,E1426=$AB$57,$AF$57,E1426=$AB$58,$AF$58,E1426=$AB$59,$AF$59,E1426=$AB$60,$AF$60,E1426=$AB$61,$AF$61,E1426=$AB$62,$AF$62,E1426=$AB$63,$AF$63,E1426=$AB$64,$AF$64,E1426=$AB$65,$AF$65,E1426=$AB$66,$AF$66,TRUE,"0")</f>
        <v>10mins if  0-0, BACK over 1.5 goals X after goal OR LET RUN</v>
      </c>
      <c r="D1426" s="270" t="str" cm="1">
        <f t="array" ref="D1426">_xlfn.IFS(E1426=$AB$42,$AD$42,E1426=$AB$43,$AD$43,E1426=$AB$44,$AD$44,E1426=$AB$45,$AD$45,E1426=$AB$46,$AD$46,E1426=$AB$47,$AD$47,E1426=$AB$48,$AD$48,E1426=$AB$49,$AD$49,E1426=$AB$50,$AD$50,E1426=$AB$51,$AD$51,E1426=$AB$52,$AD$52,E1426=$AB$53,$AD$53,E1426=$AB$54,$AD$54,E1426=$AB$55,$AD$55,E1426=$AB$56,$AD$56,E1426=$AB$57,$AD$57,E1426=$AB$58,$AD$58,E1426=$AB$59,$AD$59,E1426=$AB$60,$AD$60,E1426=$AB$61,$AD$61,E1426=$AB$62,$AD$62,E1426=$AB$63,$AD$63,E1426=$AB$64,$AD$64,E1426=$AB$65,$AD$65,E1426=$AB$66,$AD$66,TRUE,"0")</f>
        <v>IP</v>
      </c>
      <c r="E1426" s="2" t="s">
        <v>498</v>
      </c>
      <c r="F1426" s="2" t="s">
        <v>58</v>
      </c>
      <c r="G1426" s="2" t="s">
        <v>59</v>
      </c>
      <c r="H1426" s="3">
        <v>45422.84375</v>
      </c>
      <c r="I1426" s="2" t="s">
        <v>165</v>
      </c>
      <c r="J1426" s="2" t="s">
        <v>61</v>
      </c>
      <c r="K1426" s="2">
        <v>63</v>
      </c>
      <c r="L1426" s="2">
        <v>80</v>
      </c>
      <c r="M1426" s="2">
        <v>1.45</v>
      </c>
      <c r="N1426" s="2">
        <v>20</v>
      </c>
      <c r="O1426" s="2"/>
      <c r="P1426" s="2"/>
      <c r="Q1426" s="2" t="s">
        <v>95</v>
      </c>
      <c r="R1426" s="10" t="s">
        <v>193</v>
      </c>
      <c r="S1426" s="10" t="s">
        <v>193</v>
      </c>
      <c r="T1426" s="188">
        <v>1000</v>
      </c>
      <c r="U1426" s="8">
        <f t="shared" si="159"/>
        <v>180</v>
      </c>
      <c r="V1426" s="234">
        <f t="shared" si="160"/>
        <v>147584.15524616028</v>
      </c>
      <c r="W1426" s="15">
        <v>25</v>
      </c>
      <c r="X1426" s="8">
        <f t="shared" si="157"/>
        <v>4.5</v>
      </c>
      <c r="Y1426" s="233">
        <f t="shared" si="158"/>
        <v>5555.5</v>
      </c>
    </row>
    <row r="1427" spans="1:25">
      <c r="A1427" s="156" t="e" cm="1">
        <f t="array" aca="1" ref="A1427" ca="1">_xlfn.IFS(E1427=$AB$42,$AC$42,E1427=$AB$43,$AC$43,E1427=$AB$44,$AC$44,E1427=$AB$45,$AC$45,E1427=$AB$46,$AC$46,E1427=$AB$47,$AC$47,E1427=$AB$48,$AC$48,E1427=$AB$49,$AC$49,E1427=$AB$50,$AC$50,E1427=$AB$51,$AC$51,E1427=$AB$52,$AC$52,E1427=$AB$53,$AC$53,E1427=$AB$54,$AC$54,E1427=$AB$55,$AC$55,E1427=$AB$56,$AC$56,E1427=$AB$57,$AC$57,E1427=$AB$58,$AC$58,E1427=$AB$59,$AC$59,E1427=$AB$60,$AC$60,E1427=$AB$61,$AC$61,E1427=$AB$62,$AC$62,E1427=$AB$63,$AC$63,E1427=$AB$64,$AC$64,E1427=$AB$65,$AC$65,E1427=$AB$66,$AC$66,TRUE,"0")</f>
        <v>#NAME?</v>
      </c>
      <c r="C1427" s="161" t="str" cm="1">
        <f t="array" ref="C1427">_xlfn.IFS(E1427=$AB$42,$AF$42,E1427=$AB$43,$AF$43,E1427=$AB$44,$AF$44,E1427=$AB$45,$AF$45,E1427=$AB$46,$AF$46,E1427=$AB$47,$AF$47,E1427=$AB$48,$AF$48,E1427=$AB$49,$AF$49,E1427=$AB$50,$AF$50,E1427=$AB$51,$AF$51,E1427=$AB$52,$AF$52,E1427=$AB$53,$AF$53,E1427=$AB$54,$AF$54,E1427=$AB$55,$AF$55,E1427=$AB$56,$AF$56,E1427=$AB$57,$AF$57,E1427=$AB$58,$AF$58,E1427=$AB$59,$AF$59,E1427=$AB$60,$AF$60,E1427=$AB$61,$AF$61,E1427=$AB$62,$AF$62,E1427=$AB$63,$AF$63,E1427=$AB$64,$AF$64,E1427=$AB$65,$AF$65,E1427=$AB$66,$AF$66,TRUE,"0")</f>
        <v>40 mins Back ANother Goal</v>
      </c>
      <c r="D1427" s="270" t="str" cm="1">
        <f t="array" ref="D1427">_xlfn.IFS(E1427=$AB$42,$AD$42,E1427=$AB$43,$AD$43,E1427=$AB$44,$AD$44,E1427=$AB$45,$AD$45,E1427=$AB$46,$AD$46,E1427=$AB$47,$AD$47,E1427=$AB$48,$AD$48,E1427=$AB$49,$AD$49,E1427=$AB$50,$AD$50,E1427=$AB$51,$AD$51,E1427=$AB$52,$AD$52,E1427=$AB$53,$AD$53,E1427=$AB$54,$AD$54,E1427=$AB$55,$AD$55,E1427=$AB$56,$AD$56,E1427=$AB$57,$AD$57,E1427=$AB$58,$AD$58,E1427=$AB$59,$AD$59,E1427=$AB$60,$AD$60,E1427=$AB$61,$AD$61,E1427=$AB$62,$AD$62,E1427=$AB$63,$AD$63,E1427=$AB$64,$AD$64,E1427=$AB$65,$AD$65,E1427=$AB$66,$AD$66,TRUE,"0")</f>
        <v xml:space="preserve">  BANG</v>
      </c>
      <c r="E1427" s="2" t="s">
        <v>519</v>
      </c>
      <c r="F1427" s="2" t="s">
        <v>534</v>
      </c>
      <c r="G1427" s="2" t="s">
        <v>535</v>
      </c>
      <c r="H1427" s="3">
        <v>45423.354166666664</v>
      </c>
      <c r="I1427" s="2" t="s">
        <v>813</v>
      </c>
      <c r="J1427" s="2" t="s">
        <v>795</v>
      </c>
      <c r="K1427" s="2">
        <v>20</v>
      </c>
      <c r="L1427" s="2">
        <v>90</v>
      </c>
      <c r="M1427" s="2">
        <v>90</v>
      </c>
      <c r="N1427" s="2"/>
      <c r="O1427" s="2"/>
      <c r="P1427" s="2"/>
      <c r="Q1427" s="2" t="s">
        <v>95</v>
      </c>
      <c r="R1427" s="10" t="s">
        <v>214</v>
      </c>
      <c r="S1427" s="10" t="s">
        <v>223</v>
      </c>
      <c r="T1427" s="188">
        <v>1000</v>
      </c>
      <c r="U1427" s="8">
        <f t="shared" si="159"/>
        <v>180</v>
      </c>
      <c r="V1427" s="234">
        <f t="shared" si="160"/>
        <v>147764.15524616028</v>
      </c>
      <c r="W1427" s="15">
        <v>25</v>
      </c>
      <c r="X1427" s="8">
        <f t="shared" si="157"/>
        <v>4.5</v>
      </c>
      <c r="Y1427" s="233">
        <f t="shared" si="158"/>
        <v>5560</v>
      </c>
    </row>
    <row r="1428" spans="1:25">
      <c r="A1428" s="156" t="e" cm="1">
        <f t="array" aca="1" ref="A1428" ca="1">_xlfn.IFS(E1428=$AB$42,$AC$42,E1428=$AB$43,$AC$43,E1428=$AB$44,$AC$44,E1428=$AB$45,$AC$45,E1428=$AB$46,$AC$46,E1428=$AB$47,$AC$47,E1428=$AB$48,$AC$48,E1428=$AB$49,$AC$49,E1428=$AB$50,$AC$50,E1428=$AB$51,$AC$51,E1428=$AB$52,$AC$52,E1428=$AB$53,$AC$53,E1428=$AB$54,$AC$54,E1428=$AB$55,$AC$55,E1428=$AB$56,$AC$56,E1428=$AB$57,$AC$57,E1428=$AB$58,$AC$58,E1428=$AB$59,$AC$59,E1428=$AB$60,$AC$60,E1428=$AB$61,$AC$61,E1428=$AB$62,$AC$62,E1428=$AB$63,$AC$63,E1428=$AB$64,$AC$64,E1428=$AB$65,$AC$65,E1428=$AB$66,$AC$66,TRUE,"0")</f>
        <v>#NAME?</v>
      </c>
      <c r="C1428" s="161" t="str" cm="1">
        <f t="array" ref="C1428">_xlfn.IFS(E1428=$AB$42,$AF$42,E1428=$AB$43,$AF$43,E1428=$AB$44,$AF$44,E1428=$AB$45,$AF$45,E1428=$AB$46,$AF$46,E1428=$AB$47,$AF$47,E1428=$AB$48,$AF$48,E1428=$AB$49,$AF$49,E1428=$AB$50,$AF$50,E1428=$AB$51,$AF$51,E1428=$AB$52,$AF$52,E1428=$AB$53,$AF$53,E1428=$AB$54,$AF$54,E1428=$AB$55,$AF$55,E1428=$AB$56,$AF$56,E1428=$AB$57,$AF$57,E1428=$AB$58,$AF$58,E1428=$AB$59,$AF$59,E1428=$AB$60,$AF$60,E1428=$AB$61,$AF$61,E1428=$AB$62,$AF$62,E1428=$AB$63,$AF$63,E1428=$AB$64,$AF$64,E1428=$AB$65,$AF$65,E1428=$AB$66,$AF$66,TRUE,"0")</f>
        <v>40 mins Back ANother Goal</v>
      </c>
      <c r="D1428" s="270" t="str" cm="1">
        <f t="array" ref="D1428">_xlfn.IFS(E1428=$AB$42,$AD$42,E1428=$AB$43,$AD$43,E1428=$AB$44,$AD$44,E1428=$AB$45,$AD$45,E1428=$AB$46,$AD$46,E1428=$AB$47,$AD$47,E1428=$AB$48,$AD$48,E1428=$AB$49,$AD$49,E1428=$AB$50,$AD$50,E1428=$AB$51,$AD$51,E1428=$AB$52,$AD$52,E1428=$AB$53,$AD$53,E1428=$AB$54,$AD$54,E1428=$AB$55,$AD$55,E1428=$AB$56,$AD$56,E1428=$AB$57,$AD$57,E1428=$AB$58,$AD$58,E1428=$AB$59,$AD$59,E1428=$AB$60,$AD$60,E1428=$AB$61,$AD$61,E1428=$AB$62,$AD$62,E1428=$AB$63,$AD$63,E1428=$AB$64,$AD$64,E1428=$AB$65,$AD$65,E1428=$AB$66,$AD$66,TRUE,"0")</f>
        <v xml:space="preserve">  BANG</v>
      </c>
      <c r="E1428" s="2" t="s">
        <v>515</v>
      </c>
      <c r="F1428" s="2" t="s">
        <v>534</v>
      </c>
      <c r="G1428" s="2" t="s">
        <v>535</v>
      </c>
      <c r="H1428" s="3">
        <v>45423.354166666664</v>
      </c>
      <c r="I1428" s="2" t="s">
        <v>813</v>
      </c>
      <c r="J1428" s="2" t="s">
        <v>795</v>
      </c>
      <c r="K1428" s="2">
        <v>20</v>
      </c>
      <c r="L1428" s="2">
        <v>76</v>
      </c>
      <c r="M1428" s="2">
        <v>1.85</v>
      </c>
      <c r="N1428" s="2"/>
      <c r="O1428" s="2"/>
      <c r="P1428" s="2"/>
      <c r="Q1428" s="2" t="s">
        <v>95</v>
      </c>
      <c r="R1428" s="10" t="s">
        <v>214</v>
      </c>
      <c r="S1428" s="10" t="s">
        <v>223</v>
      </c>
      <c r="T1428" s="188">
        <v>1000</v>
      </c>
      <c r="U1428" s="8">
        <f t="shared" si="159"/>
        <v>180</v>
      </c>
      <c r="V1428" s="234">
        <f t="shared" si="160"/>
        <v>147944.15524616028</v>
      </c>
      <c r="W1428" s="15">
        <v>25</v>
      </c>
      <c r="X1428" s="8">
        <f t="shared" si="157"/>
        <v>4.5</v>
      </c>
      <c r="Y1428" s="233">
        <f t="shared" si="158"/>
        <v>5564.5</v>
      </c>
    </row>
    <row r="1429" spans="1:25">
      <c r="A1429" s="156" t="e" cm="1">
        <f t="array" aca="1" ref="A1429" ca="1">_xlfn.IFS(E1429=$AB$42,$AC$42,E1429=$AB$43,$AC$43,E1429=$AB$44,$AC$44,E1429=$AB$45,$AC$45,E1429=$AB$46,$AC$46,E1429=$AB$47,$AC$47,E1429=$AB$48,$AC$48,E1429=$AB$49,$AC$49,E1429=$AB$50,$AC$50,E1429=$AB$51,$AC$51,E1429=$AB$52,$AC$52,E1429=$AB$53,$AC$53,E1429=$AB$54,$AC$54,E1429=$AB$55,$AC$55,E1429=$AB$56,$AC$56,E1429=$AB$57,$AC$57,E1429=$AB$58,$AC$58,E1429=$AB$59,$AC$59,E1429=$AB$60,$AC$60,E1429=$AB$61,$AC$61,E1429=$AB$62,$AC$62,E1429=$AB$63,$AC$63,E1429=$AB$64,$AC$64,E1429=$AB$65,$AC$65,E1429=$AB$66,$AC$66,TRUE,"0")</f>
        <v>#NAME?</v>
      </c>
      <c r="C1429" s="161" t="str" cm="1">
        <f t="array" ref="C1429">_xlfn.IFS(E1429=$AB$42,$AF$42,E1429=$AB$43,$AF$43,E1429=$AB$44,$AF$44,E1429=$AB$45,$AF$45,E1429=$AB$46,$AF$46,E1429=$AB$47,$AF$47,E1429=$AB$48,$AF$48,E1429=$AB$49,$AF$49,E1429=$AB$50,$AF$50,E1429=$AB$51,$AF$51,E1429=$AB$52,$AF$52,E1429=$AB$53,$AF$53,E1429=$AB$54,$AF$54,E1429=$AB$55,$AF$55,E1429=$AB$56,$AF$56,E1429=$AB$57,$AF$57,E1429=$AB$58,$AF$58,E1429=$AB$59,$AF$59,E1429=$AB$60,$AF$60,E1429=$AB$61,$AF$61,E1429=$AB$62,$AF$62,E1429=$AB$63,$AF$63,E1429=$AB$64,$AF$64,E1429=$AB$65,$AF$65,E1429=$AB$66,$AF$66,TRUE,"0")</f>
        <v>10mins if  0-0, BACK over 1.5 goals X after goal OR LET RUN</v>
      </c>
      <c r="D1429" s="270" t="str" cm="1">
        <f t="array" ref="D1429">_xlfn.IFS(E1429=$AB$42,$AD$42,E1429=$AB$43,$AD$43,E1429=$AB$44,$AD$44,E1429=$AB$45,$AD$45,E1429=$AB$46,$AD$46,E1429=$AB$47,$AD$47,E1429=$AB$48,$AD$48,E1429=$AB$49,$AD$49,E1429=$AB$50,$AD$50,E1429=$AB$51,$AD$51,E1429=$AB$52,$AD$52,E1429=$AB$53,$AD$53,E1429=$AB$54,$AD$54,E1429=$AB$55,$AD$55,E1429=$AB$56,$AD$56,E1429=$AB$57,$AD$57,E1429=$AB$58,$AD$58,E1429=$AB$59,$AD$59,E1429=$AB$60,$AD$60,E1429=$AB$61,$AD$61,E1429=$AB$62,$AD$62,E1429=$AB$63,$AD$63,E1429=$AB$64,$AD$64,E1429=$AB$65,$AD$65,E1429=$AB$66,$AD$66,TRUE,"0")</f>
        <v>IP</v>
      </c>
      <c r="E1429" s="2" t="s">
        <v>498</v>
      </c>
      <c r="F1429" s="2" t="s">
        <v>77</v>
      </c>
      <c r="G1429" s="2" t="s">
        <v>234</v>
      </c>
      <c r="H1429" s="3">
        <v>45423.5</v>
      </c>
      <c r="I1429" s="2" t="s">
        <v>475</v>
      </c>
      <c r="J1429" s="2" t="s">
        <v>631</v>
      </c>
      <c r="K1429" s="2">
        <v>68</v>
      </c>
      <c r="L1429" s="2">
        <v>95</v>
      </c>
      <c r="M1429" s="2">
        <v>1.85</v>
      </c>
      <c r="N1429" s="2">
        <v>20</v>
      </c>
      <c r="O1429" s="2"/>
      <c r="P1429" s="2"/>
      <c r="Q1429" s="2" t="s">
        <v>95</v>
      </c>
      <c r="R1429" s="10" t="s">
        <v>222</v>
      </c>
      <c r="S1429" s="10" t="s">
        <v>215</v>
      </c>
      <c r="T1429" s="188">
        <v>1000</v>
      </c>
      <c r="U1429" s="8">
        <f t="shared" si="159"/>
        <v>180</v>
      </c>
      <c r="V1429" s="234">
        <f t="shared" si="160"/>
        <v>148124.15524616028</v>
      </c>
      <c r="W1429" s="15">
        <v>25</v>
      </c>
      <c r="X1429" s="8">
        <f t="shared" si="157"/>
        <v>4.5</v>
      </c>
      <c r="Y1429" s="233">
        <f t="shared" si="158"/>
        <v>5569</v>
      </c>
    </row>
    <row r="1430" spans="1:25">
      <c r="A1430" s="156" t="e" cm="1">
        <f t="array" aca="1" ref="A1430" ca="1">_xlfn.IFS(E1430=$AB$42,$AC$42,E1430=$AB$43,$AC$43,E1430=$AB$44,$AC$44,E1430=$AB$45,$AC$45,E1430=$AB$46,$AC$46,E1430=$AB$47,$AC$47,E1430=$AB$48,$AC$48,E1430=$AB$49,$AC$49,E1430=$AB$50,$AC$50,E1430=$AB$51,$AC$51,E1430=$AB$52,$AC$52,E1430=$AB$53,$AC$53,E1430=$AB$54,$AC$54,E1430=$AB$55,$AC$55,E1430=$AB$56,$AC$56,E1430=$AB$57,$AC$57,E1430=$AB$58,$AC$58,E1430=$AB$59,$AC$59,E1430=$AB$60,$AC$60,E1430=$AB$61,$AC$61,E1430=$AB$62,$AC$62,E1430=$AB$63,$AC$63,E1430=$AB$64,$AC$64,E1430=$AB$65,$AC$65,E1430=$AB$66,$AC$66,TRUE,"0")</f>
        <v>#NAME?</v>
      </c>
      <c r="C1430" s="161" t="str" cm="1">
        <f t="array" ref="C1430">_xlfn.IFS(E1430=$AB$42,$AF$42,E1430=$AB$43,$AF$43,E1430=$AB$44,$AF$44,E1430=$AB$45,$AF$45,E1430=$AB$46,$AF$46,E1430=$AB$47,$AF$47,E1430=$AB$48,$AF$48,E1430=$AB$49,$AF$49,E1430=$AB$50,$AF$50,E1430=$AB$51,$AF$51,E1430=$AB$52,$AF$52,E1430=$AB$53,$AF$53,E1430=$AB$54,$AF$54,E1430=$AB$55,$AF$55,E1430=$AB$56,$AF$56,E1430=$AB$57,$AF$57,E1430=$AB$58,$AF$58,E1430=$AB$59,$AF$59,E1430=$AB$60,$AF$60,E1430=$AB$61,$AF$61,E1430=$AB$62,$AF$62,E1430=$AB$63,$AF$63,E1430=$AB$64,$AF$64,E1430=$AB$65,$AF$65,E1430=$AB$66,$AF$66,TRUE,"0")</f>
        <v>40 mins Back ANother Goal</v>
      </c>
      <c r="D1430" s="270" t="str" cm="1">
        <f t="array" ref="D1430">_xlfn.IFS(E1430=$AB$42,$AD$42,E1430=$AB$43,$AD$43,E1430=$AB$44,$AD$44,E1430=$AB$45,$AD$45,E1430=$AB$46,$AD$46,E1430=$AB$47,$AD$47,E1430=$AB$48,$AD$48,E1430=$AB$49,$AD$49,E1430=$AB$50,$AD$50,E1430=$AB$51,$AD$51,E1430=$AB$52,$AD$52,E1430=$AB$53,$AD$53,E1430=$AB$54,$AD$54,E1430=$AB$55,$AD$55,E1430=$AB$56,$AD$56,E1430=$AB$57,$AD$57,E1430=$AB$58,$AD$58,E1430=$AB$59,$AD$59,E1430=$AB$60,$AD$60,E1430=$AB$61,$AD$61,E1430=$AB$62,$AD$62,E1430=$AB$63,$AD$63,E1430=$AB$64,$AD$64,E1430=$AB$65,$AD$65,E1430=$AB$66,$AD$66,TRUE,"0")</f>
        <v xml:space="preserve">  BANG</v>
      </c>
      <c r="E1430" s="2" t="s">
        <v>726</v>
      </c>
      <c r="F1430" s="2" t="s">
        <v>77</v>
      </c>
      <c r="G1430" s="2" t="s">
        <v>234</v>
      </c>
      <c r="H1430" s="3">
        <v>45423.5</v>
      </c>
      <c r="I1430" s="2" t="s">
        <v>328</v>
      </c>
      <c r="J1430" s="2" t="s">
        <v>499</v>
      </c>
      <c r="K1430" s="2">
        <v>90</v>
      </c>
      <c r="L1430" s="2">
        <v>20</v>
      </c>
      <c r="M1430" s="2">
        <v>1.9</v>
      </c>
      <c r="N1430" s="2">
        <v>61</v>
      </c>
      <c r="O1430" s="2"/>
      <c r="P1430" s="2"/>
      <c r="Q1430" s="2" t="s">
        <v>95</v>
      </c>
      <c r="R1430" s="10" t="s">
        <v>214</v>
      </c>
      <c r="S1430" s="10" t="s">
        <v>207</v>
      </c>
      <c r="T1430" s="188">
        <v>1000</v>
      </c>
      <c r="U1430" s="8">
        <f t="shared" si="159"/>
        <v>180</v>
      </c>
      <c r="V1430" s="234">
        <f t="shared" si="160"/>
        <v>148304.15524616028</v>
      </c>
      <c r="W1430" s="15">
        <v>25</v>
      </c>
      <c r="X1430" s="8">
        <f t="shared" si="157"/>
        <v>4.5</v>
      </c>
      <c r="Y1430" s="233">
        <f t="shared" si="158"/>
        <v>5573.5</v>
      </c>
    </row>
    <row r="1431" spans="1:25">
      <c r="A1431" s="156" t="e" cm="1">
        <f t="array" aca="1" ref="A1431" ca="1">_xlfn.IFS(E1431=$AB$42,$AC$42,E1431=$AB$43,$AC$43,E1431=$AB$44,$AC$44,E1431=$AB$45,$AC$45,E1431=$AB$46,$AC$46,E1431=$AB$47,$AC$47,E1431=$AB$48,$AC$48,E1431=$AB$49,$AC$49,E1431=$AB$50,$AC$50,E1431=$AB$51,$AC$51,E1431=$AB$52,$AC$52,E1431=$AB$53,$AC$53,E1431=$AB$54,$AC$54,E1431=$AB$55,$AC$55,E1431=$AB$56,$AC$56,E1431=$AB$57,$AC$57,E1431=$AB$58,$AC$58,E1431=$AB$59,$AC$59,E1431=$AB$60,$AC$60,E1431=$AB$61,$AC$61,E1431=$AB$62,$AC$62,E1431=$AB$63,$AC$63,E1431=$AB$64,$AC$64,E1431=$AB$65,$AC$65,E1431=$AB$66,$AC$66,TRUE,"0")</f>
        <v>#NAME?</v>
      </c>
      <c r="C1431" s="161" t="str" cm="1">
        <f t="array" ref="C1431">_xlfn.IFS(E1431=$AB$42,$AF$42,E1431=$AB$43,$AF$43,E1431=$AB$44,$AF$44,E1431=$AB$45,$AF$45,E1431=$AB$46,$AF$46,E1431=$AB$47,$AF$47,E1431=$AB$48,$AF$48,E1431=$AB$49,$AF$49,E1431=$AB$50,$AF$50,E1431=$AB$51,$AF$51,E1431=$AB$52,$AF$52,E1431=$AB$53,$AF$53,E1431=$AB$54,$AF$54,E1431=$AB$55,$AF$55,E1431=$AB$56,$AF$56,E1431=$AB$57,$AF$57,E1431=$AB$58,$AF$58,E1431=$AB$59,$AF$59,E1431=$AB$60,$AF$60,E1431=$AB$61,$AF$61,E1431=$AB$62,$AF$62,E1431=$AB$63,$AF$63,E1431=$AB$64,$AF$64,E1431=$AB$65,$AF$65,E1431=$AB$66,$AF$66,TRUE,"0")</f>
        <v>20mins if  0-0, BACK over 1.5 goals X after goal OR LET RUN</v>
      </c>
      <c r="D1431" s="270" t="str" cm="1">
        <f t="array" ref="D1431">_xlfn.IFS(E1431=$AB$42,$AD$42,E1431=$AB$43,$AD$43,E1431=$AB$44,$AD$44,E1431=$AB$45,$AD$45,E1431=$AB$46,$AD$46,E1431=$AB$47,$AD$47,E1431=$AB$48,$AD$48,E1431=$AB$49,$AD$49,E1431=$AB$50,$AD$50,E1431=$AB$51,$AD$51,E1431=$AB$52,$AD$52,E1431=$AB$53,$AD$53,E1431=$AB$54,$AD$54,E1431=$AB$55,$AD$55,E1431=$AB$56,$AD$56,E1431=$AB$57,$AD$57,E1431=$AB$58,$AD$58,E1431=$AB$59,$AD$59,E1431=$AB$60,$AD$60,E1431=$AB$61,$AD$61,E1431=$AB$62,$AD$62,E1431=$AB$63,$AD$63,E1431=$AB$64,$AD$64,E1431=$AB$65,$AD$65,E1431=$AB$66,$AD$66,TRUE,"0")</f>
        <v>IP</v>
      </c>
      <c r="E1431" s="2" t="s">
        <v>474</v>
      </c>
      <c r="F1431" s="2" t="s">
        <v>77</v>
      </c>
      <c r="G1431" s="2" t="s">
        <v>234</v>
      </c>
      <c r="H1431" s="3">
        <v>45423.5</v>
      </c>
      <c r="I1431" s="2" t="s">
        <v>328</v>
      </c>
      <c r="J1431" s="2" t="s">
        <v>499</v>
      </c>
      <c r="K1431" s="2">
        <v>52</v>
      </c>
      <c r="L1431" s="2">
        <v>3.45</v>
      </c>
      <c r="M1431" s="2">
        <v>20</v>
      </c>
      <c r="N1431" s="2">
        <v>65</v>
      </c>
      <c r="O1431" s="2">
        <v>90</v>
      </c>
      <c r="P1431" s="2"/>
      <c r="Q1431" s="2" t="s">
        <v>95</v>
      </c>
      <c r="R1431" s="10" t="s">
        <v>214</v>
      </c>
      <c r="S1431" s="10" t="s">
        <v>207</v>
      </c>
      <c r="T1431" s="188">
        <v>1000</v>
      </c>
      <c r="U1431" s="8">
        <f t="shared" si="159"/>
        <v>180</v>
      </c>
      <c r="V1431" s="234">
        <f t="shared" si="160"/>
        <v>148484.15524616028</v>
      </c>
      <c r="W1431" s="15">
        <v>25</v>
      </c>
      <c r="X1431" s="8">
        <f t="shared" si="157"/>
        <v>4.5</v>
      </c>
      <c r="Y1431" s="233">
        <f t="shared" si="158"/>
        <v>5578</v>
      </c>
    </row>
    <row r="1432" spans="1:25">
      <c r="A1432" s="156" t="e" cm="1">
        <f t="array" aca="1" ref="A1432" ca="1">_xlfn.IFS(E1432=$AB$42,$AC$42,E1432=$AB$43,$AC$43,E1432=$AB$44,$AC$44,E1432=$AB$45,$AC$45,E1432=$AB$46,$AC$46,E1432=$AB$47,$AC$47,E1432=$AB$48,$AC$48,E1432=$AB$49,$AC$49,E1432=$AB$50,$AC$50,E1432=$AB$51,$AC$51,E1432=$AB$52,$AC$52,E1432=$AB$53,$AC$53,E1432=$AB$54,$AC$54,E1432=$AB$55,$AC$55,E1432=$AB$56,$AC$56,E1432=$AB$57,$AC$57,E1432=$AB$58,$AC$58,E1432=$AB$59,$AC$59,E1432=$AB$60,$AC$60,E1432=$AB$61,$AC$61,E1432=$AB$62,$AC$62,E1432=$AB$63,$AC$63,E1432=$AB$64,$AC$64,E1432=$AB$65,$AC$65,E1432=$AB$66,$AC$66,TRUE,"0")</f>
        <v>#NAME?</v>
      </c>
      <c r="C1432" s="161" t="str" cm="1">
        <f t="array" ref="C1432">_xlfn.IFS(E1432=$AB$42,$AF$42,E1432=$AB$43,$AF$43,E1432=$AB$44,$AF$44,E1432=$AB$45,$AF$45,E1432=$AB$46,$AF$46,E1432=$AB$47,$AF$47,E1432=$AB$48,$AF$48,E1432=$AB$49,$AF$49,E1432=$AB$50,$AF$50,E1432=$AB$51,$AF$51,E1432=$AB$52,$AF$52,E1432=$AB$53,$AF$53,E1432=$AB$54,$AF$54,E1432=$AB$55,$AF$55,E1432=$AB$56,$AF$56,E1432=$AB$57,$AF$57,E1432=$AB$58,$AF$58,E1432=$AB$59,$AF$59,E1432=$AB$60,$AF$60,E1432=$AB$61,$AF$61,E1432=$AB$62,$AF$62,E1432=$AB$63,$AF$63,E1432=$AB$64,$AF$64,E1432=$AB$65,$AF$65,E1432=$AB$66,$AF$66,TRUE,"0")</f>
        <v>10mins if  0-0, BACK over 1.5 goals X after goal OR LET RUN</v>
      </c>
      <c r="D1432" s="270" t="str" cm="1">
        <f t="array" ref="D1432">_xlfn.IFS(E1432=$AB$42,$AD$42,E1432=$AB$43,$AD$43,E1432=$AB$44,$AD$44,E1432=$AB$45,$AD$45,E1432=$AB$46,$AD$46,E1432=$AB$47,$AD$47,E1432=$AB$48,$AD$48,E1432=$AB$49,$AD$49,E1432=$AB$50,$AD$50,E1432=$AB$51,$AD$51,E1432=$AB$52,$AD$52,E1432=$AB$53,$AD$53,E1432=$AB$54,$AD$54,E1432=$AB$55,$AD$55,E1432=$AB$56,$AD$56,E1432=$AB$57,$AD$57,E1432=$AB$58,$AD$58,E1432=$AB$59,$AD$59,E1432=$AB$60,$AD$60,E1432=$AB$61,$AD$61,E1432=$AB$62,$AD$62,E1432=$AB$63,$AD$63,E1432=$AB$64,$AD$64,E1432=$AB$65,$AD$65,E1432=$AB$66,$AD$66,TRUE,"0")</f>
        <v>IP</v>
      </c>
      <c r="E1432" s="2" t="s">
        <v>498</v>
      </c>
      <c r="F1432" s="2" t="s">
        <v>13</v>
      </c>
      <c r="G1432" s="2" t="s">
        <v>37</v>
      </c>
      <c r="H1432" s="3">
        <v>45423.520833333336</v>
      </c>
      <c r="I1432" s="2" t="s">
        <v>99</v>
      </c>
      <c r="J1432" s="2" t="s">
        <v>79</v>
      </c>
      <c r="K1432" s="2">
        <v>64</v>
      </c>
      <c r="L1432" s="2">
        <v>80</v>
      </c>
      <c r="M1432" s="2">
        <v>1.4</v>
      </c>
      <c r="N1432" s="2">
        <v>20</v>
      </c>
      <c r="O1432" s="2"/>
      <c r="P1432" s="2"/>
      <c r="Q1432" s="2" t="s">
        <v>95</v>
      </c>
      <c r="R1432" s="10" t="s">
        <v>222</v>
      </c>
      <c r="S1432" s="10" t="s">
        <v>222</v>
      </c>
      <c r="T1432" s="188">
        <v>1000</v>
      </c>
      <c r="U1432" s="8">
        <f t="shared" si="159"/>
        <v>180</v>
      </c>
      <c r="V1432" s="234">
        <f t="shared" si="160"/>
        <v>148664.15524616028</v>
      </c>
      <c r="W1432" s="15">
        <v>25</v>
      </c>
      <c r="X1432" s="8">
        <f t="shared" si="157"/>
        <v>4.5</v>
      </c>
      <c r="Y1432" s="233">
        <f t="shared" si="158"/>
        <v>5582.5</v>
      </c>
    </row>
    <row r="1433" spans="1:25">
      <c r="A1433" s="156" t="e" cm="1">
        <f t="array" aca="1" ref="A1433" ca="1">_xlfn.IFS(E1433=$AB$42,$AC$42,E1433=$AB$43,$AC$43,E1433=$AB$44,$AC$44,E1433=$AB$45,$AC$45,E1433=$AB$46,$AC$46,E1433=$AB$47,$AC$47,E1433=$AB$48,$AC$48,E1433=$AB$49,$AC$49,E1433=$AB$50,$AC$50,E1433=$AB$51,$AC$51,E1433=$AB$52,$AC$52,E1433=$AB$53,$AC$53,E1433=$AB$54,$AC$54,E1433=$AB$55,$AC$55,E1433=$AB$56,$AC$56,E1433=$AB$57,$AC$57,E1433=$AB$58,$AC$58,E1433=$AB$59,$AC$59,E1433=$AB$60,$AC$60,E1433=$AB$61,$AC$61,E1433=$AB$62,$AC$62,E1433=$AB$63,$AC$63,E1433=$AB$64,$AC$64,E1433=$AB$65,$AC$65,E1433=$AB$66,$AC$66,TRUE,"0")</f>
        <v>#NAME?</v>
      </c>
      <c r="C1433" s="161" t="str" cm="1">
        <f t="array" ref="C1433">_xlfn.IFS(E1433=$AB$42,$AF$42,E1433=$AB$43,$AF$43,E1433=$AB$44,$AF$44,E1433=$AB$45,$AF$45,E1433=$AB$46,$AF$46,E1433=$AB$47,$AF$47,E1433=$AB$48,$AF$48,E1433=$AB$49,$AF$49,E1433=$AB$50,$AF$50,E1433=$AB$51,$AF$51,E1433=$AB$52,$AF$52,E1433=$AB$53,$AF$53,E1433=$AB$54,$AF$54,E1433=$AB$55,$AF$55,E1433=$AB$56,$AF$56,E1433=$AB$57,$AF$57,E1433=$AB$58,$AF$58,E1433=$AB$59,$AF$59,E1433=$AB$60,$AF$60,E1433=$AB$61,$AF$61,E1433=$AB$62,$AF$62,E1433=$AB$63,$AF$63,E1433=$AB$64,$AF$64,E1433=$AB$65,$AF$65,E1433=$AB$66,$AF$66,TRUE,"0")</f>
        <v>B4 match BACK FT +1.5 goals. X AFTER  GOAL</v>
      </c>
      <c r="D1433" s="270" t="str" cm="1">
        <f t="array" ref="D1433">_xlfn.IFS(E1433=$AB$42,$AD$42,E1433=$AB$43,$AD$43,E1433=$AB$44,$AD$44,E1433=$AB$45,$AD$45,E1433=$AB$46,$AD$46,E1433=$AB$47,$AD$47,E1433=$AB$48,$AD$48,E1433=$AB$49,$AD$49,E1433=$AB$50,$AD$50,E1433=$AB$51,$AD$51,E1433=$AB$52,$AD$52,E1433=$AB$53,$AD$53,E1433=$AB$54,$AD$54,E1433=$AB$55,$AD$55,E1433=$AB$56,$AD$56,E1433=$AB$57,$AD$57,E1433=$AB$58,$AD$58,E1433=$AB$59,$AD$59,E1433=$AB$60,$AD$60,E1433=$AB$61,$AD$61,E1433=$AB$62,$AD$62,E1433=$AB$63,$AD$63,E1433=$AB$64,$AD$64,E1433=$AB$65,$AD$65,E1433=$AB$66,$AD$66,TRUE,"0")</f>
        <v xml:space="preserve">BFM </v>
      </c>
      <c r="E1433" s="2" t="s">
        <v>531</v>
      </c>
      <c r="F1433" s="2" t="s">
        <v>6</v>
      </c>
      <c r="G1433" s="2" t="s">
        <v>62</v>
      </c>
      <c r="H1433" s="3">
        <v>45423.520833333336</v>
      </c>
      <c r="I1433" s="2" t="s">
        <v>115</v>
      </c>
      <c r="J1433" s="2" t="s">
        <v>72</v>
      </c>
      <c r="K1433" s="2">
        <v>3.2</v>
      </c>
      <c r="L1433" s="2">
        <v>35</v>
      </c>
      <c r="M1433" s="2">
        <v>3.09</v>
      </c>
      <c r="N1433" s="2">
        <v>35</v>
      </c>
      <c r="O1433" s="2">
        <v>3</v>
      </c>
      <c r="P1433" s="2">
        <v>17</v>
      </c>
      <c r="Q1433" s="2" t="s">
        <v>95</v>
      </c>
      <c r="R1433" s="10" t="s">
        <v>193</v>
      </c>
      <c r="S1433" s="10" t="s">
        <v>288</v>
      </c>
      <c r="T1433" s="188">
        <v>1000</v>
      </c>
      <c r="U1433" s="8">
        <f t="shared" si="159"/>
        <v>180</v>
      </c>
      <c r="V1433" s="234">
        <f t="shared" si="160"/>
        <v>148844.15524616028</v>
      </c>
      <c r="W1433" s="15">
        <v>25</v>
      </c>
      <c r="X1433" s="8">
        <f t="shared" si="157"/>
        <v>4.5</v>
      </c>
      <c r="Y1433" s="233">
        <f t="shared" si="158"/>
        <v>5587</v>
      </c>
    </row>
    <row r="1434" spans="1:25">
      <c r="A1434" s="156" t="e" cm="1">
        <f t="array" aca="1" ref="A1434" ca="1">_xlfn.IFS(E1434=$AB$42,$AC$42,E1434=$AB$43,$AC$43,E1434=$AB$44,$AC$44,E1434=$AB$45,$AC$45,E1434=$AB$46,$AC$46,E1434=$AB$47,$AC$47,E1434=$AB$48,$AC$48,E1434=$AB$49,$AC$49,E1434=$AB$50,$AC$50,E1434=$AB$51,$AC$51,E1434=$AB$52,$AC$52,E1434=$AB$53,$AC$53,E1434=$AB$54,$AC$54,E1434=$AB$55,$AC$55,E1434=$AB$56,$AC$56,E1434=$AB$57,$AC$57,E1434=$AB$58,$AC$58,E1434=$AB$59,$AC$59,E1434=$AB$60,$AC$60,E1434=$AB$61,$AC$61,E1434=$AB$62,$AC$62,E1434=$AB$63,$AC$63,E1434=$AB$64,$AC$64,E1434=$AB$65,$AC$65,E1434=$AB$66,$AC$66,TRUE,"0")</f>
        <v>#NAME?</v>
      </c>
      <c r="C1434" s="161" t="str" cm="1">
        <f t="array" ref="C1434">_xlfn.IFS(E1434=$AB$42,$AF$42,E1434=$AB$43,$AF$43,E1434=$AB$44,$AF$44,E1434=$AB$45,$AF$45,E1434=$AB$46,$AF$46,E1434=$AB$47,$AF$47,E1434=$AB$48,$AF$48,E1434=$AB$49,$AF$49,E1434=$AB$50,$AF$50,E1434=$AB$51,$AF$51,E1434=$AB$52,$AF$52,E1434=$AB$53,$AF$53,E1434=$AB$54,$AF$54,E1434=$AB$55,$AF$55,E1434=$AB$56,$AF$56,E1434=$AB$57,$AF$57,E1434=$AB$58,$AF$58,E1434=$AB$59,$AF$59,E1434=$AB$60,$AF$60,E1434=$AB$61,$AF$61,E1434=$AB$62,$AF$62,E1434=$AB$63,$AF$63,E1434=$AB$64,$AF$64,E1434=$AB$65,$AF$65,E1434=$AB$66,$AF$66,TRUE,"0")</f>
        <v>B4 match BACK FT +1.5 goals. X AFTER  GOAL</v>
      </c>
      <c r="D1434" s="270" t="str" cm="1">
        <f t="array" ref="D1434">_xlfn.IFS(E1434=$AB$42,$AD$42,E1434=$AB$43,$AD$43,E1434=$AB$44,$AD$44,E1434=$AB$45,$AD$45,E1434=$AB$46,$AD$46,E1434=$AB$47,$AD$47,E1434=$AB$48,$AD$48,E1434=$AB$49,$AD$49,E1434=$AB$50,$AD$50,E1434=$AB$51,$AD$51,E1434=$AB$52,$AD$52,E1434=$AB$53,$AD$53,E1434=$AB$54,$AD$54,E1434=$AB$55,$AD$55,E1434=$AB$56,$AD$56,E1434=$AB$57,$AD$57,E1434=$AB$58,$AD$58,E1434=$AB$59,$AD$59,E1434=$AB$60,$AD$60,E1434=$AB$61,$AD$61,E1434=$AB$62,$AD$62,E1434=$AB$63,$AD$63,E1434=$AB$64,$AD$64,E1434=$AB$65,$AD$65,E1434=$AB$66,$AD$66,TRUE,"0")</f>
        <v xml:space="preserve">BFM </v>
      </c>
      <c r="E1434" s="2" t="s">
        <v>406</v>
      </c>
      <c r="F1434" s="2" t="s">
        <v>516</v>
      </c>
      <c r="G1434" s="2" t="s">
        <v>78</v>
      </c>
      <c r="H1434" s="3">
        <v>45423.541666666664</v>
      </c>
      <c r="I1434" s="2" t="s">
        <v>827</v>
      </c>
      <c r="J1434" s="2" t="s">
        <v>537</v>
      </c>
      <c r="K1434" s="2">
        <v>1.33</v>
      </c>
      <c r="L1434" s="2">
        <v>11</v>
      </c>
      <c r="M1434" s="2">
        <v>2.63</v>
      </c>
      <c r="N1434" s="2">
        <v>5.4</v>
      </c>
      <c r="O1434" s="2">
        <v>2.46</v>
      </c>
      <c r="P1434" s="2"/>
      <c r="Q1434" s="2" t="s">
        <v>95</v>
      </c>
      <c r="R1434" s="10" t="s">
        <v>217</v>
      </c>
      <c r="S1434" s="10" t="s">
        <v>209</v>
      </c>
      <c r="T1434" s="188">
        <v>1000</v>
      </c>
      <c r="U1434" s="8">
        <f t="shared" si="159"/>
        <v>180</v>
      </c>
      <c r="V1434" s="234">
        <f t="shared" si="160"/>
        <v>149024.15524616028</v>
      </c>
      <c r="W1434" s="15">
        <v>25</v>
      </c>
      <c r="X1434" s="8">
        <f t="shared" si="157"/>
        <v>4.5</v>
      </c>
      <c r="Y1434" s="233">
        <f t="shared" si="158"/>
        <v>5591.5</v>
      </c>
    </row>
    <row r="1435" spans="1:25">
      <c r="A1435" s="156" t="e" cm="1">
        <f t="array" aca="1" ref="A1435" ca="1">_xlfn.IFS(E1435=$AB$42,$AC$42,E1435=$AB$43,$AC$43,E1435=$AB$44,$AC$44,E1435=$AB$45,$AC$45,E1435=$AB$46,$AC$46,E1435=$AB$47,$AC$47,E1435=$AB$48,$AC$48,E1435=$AB$49,$AC$49,E1435=$AB$50,$AC$50,E1435=$AB$51,$AC$51,E1435=$AB$52,$AC$52,E1435=$AB$53,$AC$53,E1435=$AB$54,$AC$54,E1435=$AB$55,$AC$55,E1435=$AB$56,$AC$56,E1435=$AB$57,$AC$57,E1435=$AB$58,$AC$58,E1435=$AB$59,$AC$59,E1435=$AB$60,$AC$60,E1435=$AB$61,$AC$61,E1435=$AB$62,$AC$62,E1435=$AB$63,$AC$63,E1435=$AB$64,$AC$64,E1435=$AB$65,$AC$65,E1435=$AB$66,$AC$66,TRUE,"0")</f>
        <v>#NAME?</v>
      </c>
      <c r="C1435" s="161" t="str" cm="1">
        <f t="array" ref="C1435">_xlfn.IFS(E1435=$AB$42,$AF$42,E1435=$AB$43,$AF$43,E1435=$AB$44,$AF$44,E1435=$AB$45,$AF$45,E1435=$AB$46,$AF$46,E1435=$AB$47,$AF$47,E1435=$AB$48,$AF$48,E1435=$AB$49,$AF$49,E1435=$AB$50,$AF$50,E1435=$AB$51,$AF$51,E1435=$AB$52,$AF$52,E1435=$AB$53,$AF$53,E1435=$AB$54,$AF$54,E1435=$AB$55,$AF$55,E1435=$AB$56,$AF$56,E1435=$AB$57,$AF$57,E1435=$AB$58,$AF$58,E1435=$AB$59,$AF$59,E1435=$AB$60,$AF$60,E1435=$AB$61,$AF$61,E1435=$AB$62,$AF$62,E1435=$AB$63,$AF$63,E1435=$AB$64,$AF$64,E1435=$AB$65,$AF$65,E1435=$AB$66,$AF$66,TRUE,"0")</f>
        <v>if 0-0, BACK+ 0.5 GOALS  @ 1.15+odds.  or @ 40 mins</v>
      </c>
      <c r="D1435" s="270" t="str" cm="1">
        <f t="array" ref="D1435">_xlfn.IFS(E1435=$AB$42,$AD$42,E1435=$AB$43,$AD$43,E1435=$AB$44,$AD$44,E1435=$AB$45,$AD$45,E1435=$AB$46,$AD$46,E1435=$AB$47,$AD$47,E1435=$AB$48,$AD$48,E1435=$AB$49,$AD$49,E1435=$AB$50,$AD$50,E1435=$AB$51,$AD$51,E1435=$AB$52,$AD$52,E1435=$AB$53,$AD$53,E1435=$AB$54,$AD$54,E1435=$AB$55,$AD$55,E1435=$AB$56,$AD$56,E1435=$AB$57,$AD$57,E1435=$AB$58,$AD$58,E1435=$AB$59,$AD$59,E1435=$AB$60,$AD$60,E1435=$AB$61,$AD$61,E1435=$AB$62,$AD$62,E1435=$AB$63,$AD$63,E1435=$AB$64,$AD$64,E1435=$AB$65,$AD$65,E1435=$AB$66,$AD$66,TRUE,"0")</f>
        <v>IP</v>
      </c>
      <c r="E1435" s="2" t="s">
        <v>270</v>
      </c>
      <c r="F1435" s="2" t="s">
        <v>77</v>
      </c>
      <c r="G1435" s="2" t="s">
        <v>251</v>
      </c>
      <c r="H1435" s="3">
        <v>45423.541666666664</v>
      </c>
      <c r="I1435" s="2" t="s">
        <v>814</v>
      </c>
      <c r="J1435" s="2" t="s">
        <v>815</v>
      </c>
      <c r="K1435" s="2">
        <v>67</v>
      </c>
      <c r="L1435" s="2">
        <v>0</v>
      </c>
      <c r="M1435" s="2">
        <v>20</v>
      </c>
      <c r="N1435" s="2">
        <v>41</v>
      </c>
      <c r="O1435" s="2">
        <v>0</v>
      </c>
      <c r="P1435" s="2"/>
      <c r="Q1435" s="2" t="s">
        <v>95</v>
      </c>
      <c r="R1435" s="10" t="s">
        <v>217</v>
      </c>
      <c r="S1435" s="10" t="s">
        <v>223</v>
      </c>
      <c r="T1435" s="188">
        <v>1000</v>
      </c>
      <c r="U1435" s="8">
        <f t="shared" si="159"/>
        <v>180</v>
      </c>
      <c r="V1435" s="234">
        <f t="shared" si="160"/>
        <v>149204.15524616028</v>
      </c>
      <c r="W1435" s="15">
        <v>25</v>
      </c>
      <c r="X1435" s="8">
        <f t="shared" si="157"/>
        <v>4.5</v>
      </c>
      <c r="Y1435" s="233">
        <f t="shared" si="158"/>
        <v>5596</v>
      </c>
    </row>
    <row r="1436" spans="1:25">
      <c r="A1436" s="156" t="e" cm="1">
        <f t="array" aca="1" ref="A1436" ca="1">_xlfn.IFS(E1436=$AB$42,$AC$42,E1436=$AB$43,$AC$43,E1436=$AB$44,$AC$44,E1436=$AB$45,$AC$45,E1436=$AB$46,$AC$46,E1436=$AB$47,$AC$47,E1436=$AB$48,$AC$48,E1436=$AB$49,$AC$49,E1436=$AB$50,$AC$50,E1436=$AB$51,$AC$51,E1436=$AB$52,$AC$52,E1436=$AB$53,$AC$53,E1436=$AB$54,$AC$54,E1436=$AB$55,$AC$55,E1436=$AB$56,$AC$56,E1436=$AB$57,$AC$57,E1436=$AB$58,$AC$58,E1436=$AB$59,$AC$59,E1436=$AB$60,$AC$60,E1436=$AB$61,$AC$61,E1436=$AB$62,$AC$62,E1436=$AB$63,$AC$63,E1436=$AB$64,$AC$64,E1436=$AB$65,$AC$65,E1436=$AB$66,$AC$66,TRUE,"0")</f>
        <v>#NAME?</v>
      </c>
      <c r="C1436" s="161" t="str" cm="1">
        <f t="array" ref="C1436">_xlfn.IFS(E1436=$AB$42,$AF$42,E1436=$AB$43,$AF$43,E1436=$AB$44,$AF$44,E1436=$AB$45,$AF$45,E1436=$AB$46,$AF$46,E1436=$AB$47,$AF$47,E1436=$AB$48,$AF$48,E1436=$AB$49,$AF$49,E1436=$AB$50,$AF$50,E1436=$AB$51,$AF$51,E1436=$AB$52,$AF$52,E1436=$AB$53,$AF$53,E1436=$AB$54,$AF$54,E1436=$AB$55,$AF$55,E1436=$AB$56,$AF$56,E1436=$AB$57,$AF$57,E1436=$AB$58,$AF$58,E1436=$AB$59,$AF$59,E1436=$AB$60,$AF$60,E1436=$AB$61,$AF$61,E1436=$AB$62,$AF$62,E1436=$AB$63,$AF$63,E1436=$AB$64,$AF$64,E1436=$AB$65,$AF$65,E1436=$AB$66,$AF$66,TRUE,"0")</f>
        <v>40 mins Back ANother Goal</v>
      </c>
      <c r="D1436" s="270" t="str" cm="1">
        <f t="array" ref="D1436">_xlfn.IFS(E1436=$AB$42,$AD$42,E1436=$AB$43,$AD$43,E1436=$AB$44,$AD$44,E1436=$AB$45,$AD$45,E1436=$AB$46,$AD$46,E1436=$AB$47,$AD$47,E1436=$AB$48,$AD$48,E1436=$AB$49,$AD$49,E1436=$AB$50,$AD$50,E1436=$AB$51,$AD$51,E1436=$AB$52,$AD$52,E1436=$AB$53,$AD$53,E1436=$AB$54,$AD$54,E1436=$AB$55,$AD$55,E1436=$AB$56,$AD$56,E1436=$AB$57,$AD$57,E1436=$AB$58,$AD$58,E1436=$AB$59,$AD$59,E1436=$AB$60,$AD$60,E1436=$AB$61,$AD$61,E1436=$AB$62,$AD$62,E1436=$AB$63,$AD$63,E1436=$AB$64,$AD$64,E1436=$AB$65,$AD$65,E1436=$AB$66,$AD$66,TRUE,"0")</f>
        <v xml:space="preserve">  BANG</v>
      </c>
      <c r="E1436" s="2" t="s">
        <v>726</v>
      </c>
      <c r="F1436" s="2" t="s">
        <v>77</v>
      </c>
      <c r="G1436" s="2" t="s">
        <v>251</v>
      </c>
      <c r="H1436" s="3">
        <v>45423.541666666664</v>
      </c>
      <c r="I1436" s="2" t="s">
        <v>295</v>
      </c>
      <c r="J1436" s="2" t="s">
        <v>816</v>
      </c>
      <c r="K1436" s="2">
        <v>90</v>
      </c>
      <c r="L1436" s="2">
        <v>20</v>
      </c>
      <c r="M1436" s="2">
        <v>2.35</v>
      </c>
      <c r="N1436" s="2">
        <v>60</v>
      </c>
      <c r="O1436" s="2"/>
      <c r="P1436" s="2"/>
      <c r="Q1436" s="2" t="s">
        <v>96</v>
      </c>
      <c r="R1436" s="10" t="s">
        <v>216</v>
      </c>
      <c r="S1436" s="10" t="s">
        <v>216</v>
      </c>
      <c r="T1436" s="188">
        <v>1000</v>
      </c>
      <c r="U1436" s="8">
        <f t="shared" si="159"/>
        <v>-1000</v>
      </c>
      <c r="V1436" s="234">
        <f t="shared" ref="V1436:V1453" si="161">SUM(V1435,U1436)</f>
        <v>148204.15524616028</v>
      </c>
      <c r="W1436" s="15">
        <v>25</v>
      </c>
      <c r="X1436" s="8">
        <f t="shared" si="157"/>
        <v>-25</v>
      </c>
      <c r="Y1436" s="233">
        <f t="shared" si="158"/>
        <v>5571</v>
      </c>
    </row>
    <row r="1437" spans="1:25">
      <c r="A1437" s="156" t="e" cm="1">
        <f t="array" aca="1" ref="A1437" ca="1">_xlfn.IFS(E1437=$AB$42,$AC$42,E1437=$AB$43,$AC$43,E1437=$AB$44,$AC$44,E1437=$AB$45,$AC$45,E1437=$AB$46,$AC$46,E1437=$AB$47,$AC$47,E1437=$AB$48,$AC$48,E1437=$AB$49,$AC$49,E1437=$AB$50,$AC$50,E1437=$AB$51,$AC$51,E1437=$AB$52,$AC$52,E1437=$AB$53,$AC$53,E1437=$AB$54,$AC$54,E1437=$AB$55,$AC$55,E1437=$AB$56,$AC$56,E1437=$AB$57,$AC$57,E1437=$AB$58,$AC$58,E1437=$AB$59,$AC$59,E1437=$AB$60,$AC$60,E1437=$AB$61,$AC$61,E1437=$AB$62,$AC$62,E1437=$AB$63,$AC$63,E1437=$AB$64,$AC$64,E1437=$AB$65,$AC$65,E1437=$AB$66,$AC$66,TRUE,"0")</f>
        <v>#NAME?</v>
      </c>
      <c r="C1437" s="161" t="str" cm="1">
        <f t="array" ref="C1437">_xlfn.IFS(E1437=$AB$42,$AF$42,E1437=$AB$43,$AF$43,E1437=$AB$44,$AF$44,E1437=$AB$45,$AF$45,E1437=$AB$46,$AF$46,E1437=$AB$47,$AF$47,E1437=$AB$48,$AF$48,E1437=$AB$49,$AF$49,E1437=$AB$50,$AF$50,E1437=$AB$51,$AF$51,E1437=$AB$52,$AF$52,E1437=$AB$53,$AF$53,E1437=$AB$54,$AF$54,E1437=$AB$55,$AF$55,E1437=$AB$56,$AF$56,E1437=$AB$57,$AF$57,E1437=$AB$58,$AF$58,E1437=$AB$59,$AF$59,E1437=$AB$60,$AF$60,E1437=$AB$61,$AF$61,E1437=$AB$62,$AF$62,E1437=$AB$63,$AF$63,E1437=$AB$64,$AF$64,E1437=$AB$65,$AF$65,E1437=$AB$66,$AF$66,TRUE,"0")</f>
        <v>if 0-0, BACK+ 0.5 GOALS  @ 1.15+odds.  or @ 40 mins</v>
      </c>
      <c r="D1437" s="270" t="str" cm="1">
        <f t="array" ref="D1437">_xlfn.IFS(E1437=$AB$42,$AD$42,E1437=$AB$43,$AD$43,E1437=$AB$44,$AD$44,E1437=$AB$45,$AD$45,E1437=$AB$46,$AD$46,E1437=$AB$47,$AD$47,E1437=$AB$48,$AD$48,E1437=$AB$49,$AD$49,E1437=$AB$50,$AD$50,E1437=$AB$51,$AD$51,E1437=$AB$52,$AD$52,E1437=$AB$53,$AD$53,E1437=$AB$54,$AD$54,E1437=$AB$55,$AD$55,E1437=$AB$56,$AD$56,E1437=$AB$57,$AD$57,E1437=$AB$58,$AD$58,E1437=$AB$59,$AD$59,E1437=$AB$60,$AD$60,E1437=$AB$61,$AD$61,E1437=$AB$62,$AD$62,E1437=$AB$63,$AD$63,E1437=$AB$64,$AD$64,E1437=$AB$65,$AD$65,E1437=$AB$66,$AD$66,TRUE,"0")</f>
        <v>IP</v>
      </c>
      <c r="E1437" s="2" t="s">
        <v>270</v>
      </c>
      <c r="F1437" s="2" t="s">
        <v>77</v>
      </c>
      <c r="G1437" s="2" t="s">
        <v>251</v>
      </c>
      <c r="H1437" s="3">
        <v>45423.541666666664</v>
      </c>
      <c r="I1437" s="2" t="s">
        <v>295</v>
      </c>
      <c r="J1437" s="2" t="s">
        <v>816</v>
      </c>
      <c r="K1437" s="2">
        <v>64</v>
      </c>
      <c r="L1437" s="2">
        <v>0</v>
      </c>
      <c r="M1437" s="2">
        <v>20</v>
      </c>
      <c r="N1437" s="2">
        <v>31</v>
      </c>
      <c r="O1437" s="2">
        <v>0</v>
      </c>
      <c r="P1437" s="2"/>
      <c r="Q1437" s="2" t="s">
        <v>95</v>
      </c>
      <c r="R1437" s="10" t="s">
        <v>216</v>
      </c>
      <c r="S1437" s="10" t="s">
        <v>216</v>
      </c>
      <c r="T1437" s="188">
        <v>1000</v>
      </c>
      <c r="U1437" s="8">
        <f t="shared" si="159"/>
        <v>180</v>
      </c>
      <c r="V1437" s="234">
        <f t="shared" si="161"/>
        <v>148384.15524616028</v>
      </c>
      <c r="W1437" s="15">
        <v>25</v>
      </c>
      <c r="X1437" s="8">
        <f t="shared" si="157"/>
        <v>4.5</v>
      </c>
      <c r="Y1437" s="233">
        <f t="shared" si="158"/>
        <v>5575.5</v>
      </c>
    </row>
    <row r="1438" spans="1:25">
      <c r="A1438" s="156" t="e" cm="1">
        <f t="array" aca="1" ref="A1438" ca="1">_xlfn.IFS(E1438=$AB$42,$AC$42,E1438=$AB$43,$AC$43,E1438=$AB$44,$AC$44,E1438=$AB$45,$AC$45,E1438=$AB$46,$AC$46,E1438=$AB$47,$AC$47,E1438=$AB$48,$AC$48,E1438=$AB$49,$AC$49,E1438=$AB$50,$AC$50,E1438=$AB$51,$AC$51,E1438=$AB$52,$AC$52,E1438=$AB$53,$AC$53,E1438=$AB$54,$AC$54,E1438=$AB$55,$AC$55,E1438=$AB$56,$AC$56,E1438=$AB$57,$AC$57,E1438=$AB$58,$AC$58,E1438=$AB$59,$AC$59,E1438=$AB$60,$AC$60,E1438=$AB$61,$AC$61,E1438=$AB$62,$AC$62,E1438=$AB$63,$AC$63,E1438=$AB$64,$AC$64,E1438=$AB$65,$AC$65,E1438=$AB$66,$AC$66,TRUE,"0")</f>
        <v>#NAME?</v>
      </c>
      <c r="C1438" s="161" t="str" cm="1">
        <f t="array" ref="C1438">_xlfn.IFS(E1438=$AB$42,$AF$42,E1438=$AB$43,$AF$43,E1438=$AB$44,$AF$44,E1438=$AB$45,$AF$45,E1438=$AB$46,$AF$46,E1438=$AB$47,$AF$47,E1438=$AB$48,$AF$48,E1438=$AB$49,$AF$49,E1438=$AB$50,$AF$50,E1438=$AB$51,$AF$51,E1438=$AB$52,$AF$52,E1438=$AB$53,$AF$53,E1438=$AB$54,$AF$54,E1438=$AB$55,$AF$55,E1438=$AB$56,$AF$56,E1438=$AB$57,$AF$57,E1438=$AB$58,$AF$58,E1438=$AB$59,$AF$59,E1438=$AB$60,$AF$60,E1438=$AB$61,$AF$61,E1438=$AB$62,$AF$62,E1438=$AB$63,$AF$63,E1438=$AB$64,$AF$64,E1438=$AB$65,$AF$65,E1438=$AB$66,$AF$66,TRUE,"0")</f>
        <v>B4 MATCH bet H1 'under 2.5goals'- X at 40 minutes</v>
      </c>
      <c r="D1438" s="270" t="str" cm="1">
        <f t="array" ref="D1438">_xlfn.IFS(E1438=$AB$42,$AD$42,E1438=$AB$43,$AD$43,E1438=$AB$44,$AD$44,E1438=$AB$45,$AD$45,E1438=$AB$46,$AD$46,E1438=$AB$47,$AD$47,E1438=$AB$48,$AD$48,E1438=$AB$49,$AD$49,E1438=$AB$50,$AD$50,E1438=$AB$51,$AD$51,E1438=$AB$52,$AD$52,E1438=$AB$53,$AD$53,E1438=$AB$54,$AD$54,E1438=$AB$55,$AD$55,E1438=$AB$56,$AD$56,E1438=$AB$57,$AD$57,E1438=$AB$58,$AD$58,E1438=$AB$59,$AD$59,E1438=$AB$60,$AD$60,E1438=$AB$61,$AD$61,E1438=$AB$62,$AD$62,E1438=$AB$63,$AD$63,E1438=$AB$64,$AD$64,E1438=$AB$65,$AD$65,E1438=$AB$66,$AD$66,TRUE,"0")</f>
        <v xml:space="preserve">BFM </v>
      </c>
      <c r="E1438" s="160" t="s">
        <v>458</v>
      </c>
      <c r="F1438" s="2" t="s">
        <v>541</v>
      </c>
      <c r="G1438" s="2" t="s">
        <v>62</v>
      </c>
      <c r="H1438" s="3">
        <v>45423.583333333336</v>
      </c>
      <c r="I1438" s="2" t="s">
        <v>644</v>
      </c>
      <c r="J1438" s="2" t="s">
        <v>548</v>
      </c>
      <c r="K1438" s="2">
        <v>20</v>
      </c>
      <c r="L1438" s="2">
        <v>80</v>
      </c>
      <c r="M1438" s="2">
        <v>95</v>
      </c>
      <c r="N1438" s="2">
        <v>44</v>
      </c>
      <c r="O1438" s="2">
        <v>1.5</v>
      </c>
      <c r="P1438" s="2"/>
      <c r="Q1438" s="2" t="s">
        <v>95</v>
      </c>
      <c r="R1438" s="10" t="s">
        <v>221</v>
      </c>
      <c r="S1438" s="10" t="s">
        <v>221</v>
      </c>
      <c r="T1438" s="188">
        <v>1000</v>
      </c>
      <c r="U1438" s="8">
        <f t="shared" si="159"/>
        <v>180</v>
      </c>
      <c r="V1438" s="234">
        <f t="shared" si="161"/>
        <v>148564.15524616028</v>
      </c>
      <c r="W1438" s="15">
        <v>25</v>
      </c>
      <c r="X1438" s="8">
        <f t="shared" si="157"/>
        <v>4.5</v>
      </c>
      <c r="Y1438" s="233">
        <f t="shared" si="158"/>
        <v>5580</v>
      </c>
    </row>
    <row r="1439" spans="1:25">
      <c r="A1439" s="156" t="e" cm="1">
        <f t="array" aca="1" ref="A1439" ca="1">_xlfn.IFS(E1439=$AB$42,$AC$42,E1439=$AB$43,$AC$43,E1439=$AB$44,$AC$44,E1439=$AB$45,$AC$45,E1439=$AB$46,$AC$46,E1439=$AB$47,$AC$47,E1439=$AB$48,$AC$48,E1439=$AB$49,$AC$49,E1439=$AB$50,$AC$50,E1439=$AB$51,$AC$51,E1439=$AB$52,$AC$52,E1439=$AB$53,$AC$53,E1439=$AB$54,$AC$54,E1439=$AB$55,$AC$55,E1439=$AB$56,$AC$56,E1439=$AB$57,$AC$57,E1439=$AB$58,$AC$58,E1439=$AB$59,$AC$59,E1439=$AB$60,$AC$60,E1439=$AB$61,$AC$61,E1439=$AB$62,$AC$62,E1439=$AB$63,$AC$63,E1439=$AB$64,$AC$64,E1439=$AB$65,$AC$65,E1439=$AB$66,$AC$66,TRUE,"0")</f>
        <v>#NAME?</v>
      </c>
      <c r="C1439" s="161" t="str" cm="1">
        <f t="array" ref="C1439">_xlfn.IFS(E1439=$AB$42,$AF$42,E1439=$AB$43,$AF$43,E1439=$AB$44,$AF$44,E1439=$AB$45,$AF$45,E1439=$AB$46,$AF$46,E1439=$AB$47,$AF$47,E1439=$AB$48,$AF$48,E1439=$AB$49,$AF$49,E1439=$AB$50,$AF$50,E1439=$AB$51,$AF$51,E1439=$AB$52,$AF$52,E1439=$AB$53,$AF$53,E1439=$AB$54,$AF$54,E1439=$AB$55,$AF$55,E1439=$AB$56,$AF$56,E1439=$AB$57,$AF$57,E1439=$AB$58,$AF$58,E1439=$AB$59,$AF$59,E1439=$AB$60,$AF$60,E1439=$AB$61,$AF$61,E1439=$AB$62,$AF$62,E1439=$AB$63,$AF$63,E1439=$AB$64,$AF$64,E1439=$AB$65,$AF$65,E1439=$AB$66,$AF$66,TRUE,"0")</f>
        <v>40 mins Back ANother Goal</v>
      </c>
      <c r="D1439" s="270" t="str" cm="1">
        <f t="array" ref="D1439">_xlfn.IFS(E1439=$AB$42,$AD$42,E1439=$AB$43,$AD$43,E1439=$AB$44,$AD$44,E1439=$AB$45,$AD$45,E1439=$AB$46,$AD$46,E1439=$AB$47,$AD$47,E1439=$AB$48,$AD$48,E1439=$AB$49,$AD$49,E1439=$AB$50,$AD$50,E1439=$AB$51,$AD$51,E1439=$AB$52,$AD$52,E1439=$AB$53,$AD$53,E1439=$AB$54,$AD$54,E1439=$AB$55,$AD$55,E1439=$AB$56,$AD$56,E1439=$AB$57,$AD$57,E1439=$AB$58,$AD$58,E1439=$AB$59,$AD$59,E1439=$AB$60,$AD$60,E1439=$AB$61,$AD$61,E1439=$AB$62,$AD$62,E1439=$AB$63,$AD$63,E1439=$AB$64,$AD$64,E1439=$AB$65,$AD$65,E1439=$AB$66,$AD$66,TRUE,"0")</f>
        <v xml:space="preserve">  BANG</v>
      </c>
      <c r="E1439" s="2" t="s">
        <v>792</v>
      </c>
      <c r="F1439" s="2" t="s">
        <v>802</v>
      </c>
      <c r="G1439" s="2" t="s">
        <v>803</v>
      </c>
      <c r="H1439" s="3">
        <v>45423.583333333336</v>
      </c>
      <c r="I1439" s="2" t="s">
        <v>817</v>
      </c>
      <c r="J1439" s="2" t="s">
        <v>818</v>
      </c>
      <c r="K1439" s="2">
        <v>2</v>
      </c>
      <c r="L1439" s="2">
        <v>90</v>
      </c>
      <c r="M1439" s="2">
        <v>65</v>
      </c>
      <c r="N1439" s="2">
        <v>60</v>
      </c>
      <c r="O1439" s="2">
        <v>20</v>
      </c>
      <c r="P1439" s="2"/>
      <c r="Q1439" s="2" t="s">
        <v>95</v>
      </c>
      <c r="R1439" s="10" t="s">
        <v>223</v>
      </c>
      <c r="S1439" s="10" t="s">
        <v>211</v>
      </c>
      <c r="T1439" s="188">
        <v>1000</v>
      </c>
      <c r="U1439" s="8">
        <f t="shared" si="159"/>
        <v>180</v>
      </c>
      <c r="V1439" s="234">
        <f t="shared" si="161"/>
        <v>148744.15524616028</v>
      </c>
      <c r="W1439" s="15">
        <v>25</v>
      </c>
      <c r="X1439" s="8">
        <f t="shared" si="157"/>
        <v>4.5</v>
      </c>
      <c r="Y1439" s="233">
        <f t="shared" si="158"/>
        <v>5584.5</v>
      </c>
    </row>
    <row r="1440" spans="1:25">
      <c r="A1440" s="156" t="e" cm="1">
        <f t="array" aca="1" ref="A1440" ca="1">_xlfn.IFS(E1440=$AB$42,$AC$42,E1440=$AB$43,$AC$43,E1440=$AB$44,$AC$44,E1440=$AB$45,$AC$45,E1440=$AB$46,$AC$46,E1440=$AB$47,$AC$47,E1440=$AB$48,$AC$48,E1440=$AB$49,$AC$49,E1440=$AB$50,$AC$50,E1440=$AB$51,$AC$51,E1440=$AB$52,$AC$52,E1440=$AB$53,$AC$53,E1440=$AB$54,$AC$54,E1440=$AB$55,$AC$55,E1440=$AB$56,$AC$56,E1440=$AB$57,$AC$57,E1440=$AB$58,$AC$58,E1440=$AB$59,$AC$59,E1440=$AB$60,$AC$60,E1440=$AB$61,$AC$61,E1440=$AB$62,$AC$62,E1440=$AB$63,$AC$63,E1440=$AB$64,$AC$64,E1440=$AB$65,$AC$65,E1440=$AB$66,$AC$66,TRUE,"0")</f>
        <v>#NAME?</v>
      </c>
      <c r="C1440" s="161" t="str" cm="1">
        <f t="array" ref="C1440">_xlfn.IFS(E1440=$AB$42,$AF$42,E1440=$AB$43,$AF$43,E1440=$AB$44,$AF$44,E1440=$AB$45,$AF$45,E1440=$AB$46,$AF$46,E1440=$AB$47,$AF$47,E1440=$AB$48,$AF$48,E1440=$AB$49,$AF$49,E1440=$AB$50,$AF$50,E1440=$AB$51,$AF$51,E1440=$AB$52,$AF$52,E1440=$AB$53,$AF$53,E1440=$AB$54,$AF$54,E1440=$AB$55,$AF$55,E1440=$AB$56,$AF$56,E1440=$AB$57,$AF$57,E1440=$AB$58,$AF$58,E1440=$AB$59,$AF$59,E1440=$AB$60,$AF$60,E1440=$AB$61,$AF$61,E1440=$AB$62,$AF$62,E1440=$AB$63,$AF$63,E1440=$AB$64,$AF$64,E1440=$AB$65,$AF$65,E1440=$AB$66,$AF$66,TRUE,"0")</f>
        <v>B4 MATCH bet H1 'under 2.5goals'- X at 40 minutes</v>
      </c>
      <c r="D1440" s="270" t="str" cm="1">
        <f t="array" ref="D1440">_xlfn.IFS(E1440=$AB$42,$AD$42,E1440=$AB$43,$AD$43,E1440=$AB$44,$AD$44,E1440=$AB$45,$AD$45,E1440=$AB$46,$AD$46,E1440=$AB$47,$AD$47,E1440=$AB$48,$AD$48,E1440=$AB$49,$AD$49,E1440=$AB$50,$AD$50,E1440=$AB$51,$AD$51,E1440=$AB$52,$AD$52,E1440=$AB$53,$AD$53,E1440=$AB$54,$AD$54,E1440=$AB$55,$AD$55,E1440=$AB$56,$AD$56,E1440=$AB$57,$AD$57,E1440=$AB$58,$AD$58,E1440=$AB$59,$AD$59,E1440=$AB$60,$AD$60,E1440=$AB$61,$AD$61,E1440=$AB$62,$AD$62,E1440=$AB$63,$AD$63,E1440=$AB$64,$AD$64,E1440=$AB$65,$AD$65,E1440=$AB$66,$AD$66,TRUE,"0")</f>
        <v xml:space="preserve">BFM </v>
      </c>
      <c r="E1440" s="160" t="s">
        <v>458</v>
      </c>
      <c r="F1440" s="2" t="s">
        <v>77</v>
      </c>
      <c r="G1440" s="2" t="s">
        <v>156</v>
      </c>
      <c r="H1440" s="3">
        <v>45423.604166666664</v>
      </c>
      <c r="I1440" s="2" t="s">
        <v>438</v>
      </c>
      <c r="J1440" s="2" t="s">
        <v>315</v>
      </c>
      <c r="K1440" s="2">
        <v>20</v>
      </c>
      <c r="L1440" s="2">
        <v>80</v>
      </c>
      <c r="M1440" s="2">
        <v>100</v>
      </c>
      <c r="N1440" s="2">
        <v>40</v>
      </c>
      <c r="O1440" s="2">
        <v>1.75</v>
      </c>
      <c r="P1440" s="2"/>
      <c r="Q1440" s="2" t="s">
        <v>95</v>
      </c>
      <c r="R1440" s="10" t="s">
        <v>223</v>
      </c>
      <c r="S1440" s="10" t="s">
        <v>209</v>
      </c>
      <c r="T1440" s="188">
        <v>1000</v>
      </c>
      <c r="U1440" s="8">
        <f t="shared" si="159"/>
        <v>180</v>
      </c>
      <c r="V1440" s="234">
        <f t="shared" si="161"/>
        <v>148924.15524616028</v>
      </c>
      <c r="W1440" s="15">
        <v>25</v>
      </c>
      <c r="X1440" s="8">
        <f t="shared" si="157"/>
        <v>4.5</v>
      </c>
      <c r="Y1440" s="233">
        <f t="shared" si="158"/>
        <v>5589</v>
      </c>
    </row>
    <row r="1441" spans="1:25">
      <c r="A1441" s="156" t="e" cm="1">
        <f t="array" aca="1" ref="A1441" ca="1">_xlfn.IFS(E1441=$AB$42,$AC$42,E1441=$AB$43,$AC$43,E1441=$AB$44,$AC$44,E1441=$AB$45,$AC$45,E1441=$AB$46,$AC$46,E1441=$AB$47,$AC$47,E1441=$AB$48,$AC$48,E1441=$AB$49,$AC$49,E1441=$AB$50,$AC$50,E1441=$AB$51,$AC$51,E1441=$AB$52,$AC$52,E1441=$AB$53,$AC$53,E1441=$AB$54,$AC$54,E1441=$AB$55,$AC$55,E1441=$AB$56,$AC$56,E1441=$AB$57,$AC$57,E1441=$AB$58,$AC$58,E1441=$AB$59,$AC$59,E1441=$AB$60,$AC$60,E1441=$AB$61,$AC$61,E1441=$AB$62,$AC$62,E1441=$AB$63,$AC$63,E1441=$AB$64,$AC$64,E1441=$AB$65,$AC$65,E1441=$AB$66,$AC$66,TRUE,"0")</f>
        <v>#NAME?</v>
      </c>
      <c r="C1441" s="161" t="str" cm="1">
        <f t="array" ref="C1441">_xlfn.IFS(E1441=$AB$42,$AF$42,E1441=$AB$43,$AF$43,E1441=$AB$44,$AF$44,E1441=$AB$45,$AF$45,E1441=$AB$46,$AF$46,E1441=$AB$47,$AF$47,E1441=$AB$48,$AF$48,E1441=$AB$49,$AF$49,E1441=$AB$50,$AF$50,E1441=$AB$51,$AF$51,E1441=$AB$52,$AF$52,E1441=$AB$53,$AF$53,E1441=$AB$54,$AF$54,E1441=$AB$55,$AF$55,E1441=$AB$56,$AF$56,E1441=$AB$57,$AF$57,E1441=$AB$58,$AF$58,E1441=$AB$59,$AF$59,E1441=$AB$60,$AF$60,E1441=$AB$61,$AF$61,E1441=$AB$62,$AF$62,E1441=$AB$63,$AF$63,E1441=$AB$64,$AF$64,E1441=$AB$65,$AF$65,E1441=$AB$66,$AF$66,TRUE,"0")</f>
        <v>B4 match BACK FT +1.5 goals. X AFTER  GOAL</v>
      </c>
      <c r="D1441" s="270" t="str" cm="1">
        <f t="array" ref="D1441">_xlfn.IFS(E1441=$AB$42,$AD$42,E1441=$AB$43,$AD$43,E1441=$AB$44,$AD$44,E1441=$AB$45,$AD$45,E1441=$AB$46,$AD$46,E1441=$AB$47,$AD$47,E1441=$AB$48,$AD$48,E1441=$AB$49,$AD$49,E1441=$AB$50,$AD$50,E1441=$AB$51,$AD$51,E1441=$AB$52,$AD$52,E1441=$AB$53,$AD$53,E1441=$AB$54,$AD$54,E1441=$AB$55,$AD$55,E1441=$AB$56,$AD$56,E1441=$AB$57,$AD$57,E1441=$AB$58,$AD$58,E1441=$AB$59,$AD$59,E1441=$AB$60,$AD$60,E1441=$AB$61,$AD$61,E1441=$AB$62,$AD$62,E1441=$AB$63,$AD$63,E1441=$AB$64,$AD$64,E1441=$AB$65,$AD$65,E1441=$AB$66,$AD$66,TRUE,"0")</f>
        <v xml:space="preserve">BFM </v>
      </c>
      <c r="E1441" s="2" t="s">
        <v>623</v>
      </c>
      <c r="F1441" s="2" t="s">
        <v>77</v>
      </c>
      <c r="G1441" s="2" t="s">
        <v>156</v>
      </c>
      <c r="H1441" s="3">
        <v>45423.604166666664</v>
      </c>
      <c r="I1441" s="2" t="s">
        <v>181</v>
      </c>
      <c r="J1441" s="2" t="s">
        <v>254</v>
      </c>
      <c r="K1441" s="2">
        <v>3.3</v>
      </c>
      <c r="L1441" s="2">
        <v>20</v>
      </c>
      <c r="M1441" s="2">
        <v>2.6</v>
      </c>
      <c r="N1441" s="2">
        <v>28</v>
      </c>
      <c r="O1441" s="2">
        <v>1</v>
      </c>
      <c r="P1441" s="2">
        <v>10</v>
      </c>
      <c r="Q1441" s="2" t="s">
        <v>95</v>
      </c>
      <c r="R1441" s="10" t="s">
        <v>193</v>
      </c>
      <c r="S1441" s="10" t="s">
        <v>216</v>
      </c>
      <c r="T1441" s="188">
        <v>1000</v>
      </c>
      <c r="U1441" s="8">
        <f t="shared" si="159"/>
        <v>180</v>
      </c>
      <c r="V1441" s="234">
        <f t="shared" si="161"/>
        <v>149104.15524616028</v>
      </c>
      <c r="W1441" s="15">
        <v>25</v>
      </c>
      <c r="X1441" s="8">
        <f t="shared" ref="X1441:X1504" si="162">IF(Q1441="won",W1441*0.18,-W1441)</f>
        <v>4.5</v>
      </c>
      <c r="Y1441" s="233">
        <f t="shared" si="158"/>
        <v>5593.5</v>
      </c>
    </row>
    <row r="1442" spans="1:25">
      <c r="A1442" s="156" t="e" cm="1">
        <f t="array" aca="1" ref="A1442" ca="1">_xlfn.IFS(E1442=$AB$42,$AC$42,E1442=$AB$43,$AC$43,E1442=$AB$44,$AC$44,E1442=$AB$45,$AC$45,E1442=$AB$46,$AC$46,E1442=$AB$47,$AC$47,E1442=$AB$48,$AC$48,E1442=$AB$49,$AC$49,E1442=$AB$50,$AC$50,E1442=$AB$51,$AC$51,E1442=$AB$52,$AC$52,E1442=$AB$53,$AC$53,E1442=$AB$54,$AC$54,E1442=$AB$55,$AC$55,E1442=$AB$56,$AC$56,E1442=$AB$57,$AC$57,E1442=$AB$58,$AC$58,E1442=$AB$59,$AC$59,E1442=$AB$60,$AC$60,E1442=$AB$61,$AC$61,E1442=$AB$62,$AC$62,E1442=$AB$63,$AC$63,E1442=$AB$64,$AC$64,E1442=$AB$65,$AC$65,E1442=$AB$66,$AC$66,TRUE,"0")</f>
        <v>#NAME?</v>
      </c>
      <c r="C1442" s="161" t="str" cm="1">
        <f t="array" ref="C1442">_xlfn.IFS(E1442=$AB$42,$AF$42,E1442=$AB$43,$AF$43,E1442=$AB$44,$AF$44,E1442=$AB$45,$AF$45,E1442=$AB$46,$AF$46,E1442=$AB$47,$AF$47,E1442=$AB$48,$AF$48,E1442=$AB$49,$AF$49,E1442=$AB$50,$AF$50,E1442=$AB$51,$AF$51,E1442=$AB$52,$AF$52,E1442=$AB$53,$AF$53,E1442=$AB$54,$AF$54,E1442=$AB$55,$AF$55,E1442=$AB$56,$AF$56,E1442=$AB$57,$AF$57,E1442=$AB$58,$AF$58,E1442=$AB$59,$AF$59,E1442=$AB$60,$AF$60,E1442=$AB$61,$AF$61,E1442=$AB$62,$AF$62,E1442=$AB$63,$AF$63,E1442=$AB$64,$AF$64,E1442=$AB$65,$AF$65,E1442=$AB$66,$AF$66,TRUE,"0")</f>
        <v>40 mins Back ANother Goal</v>
      </c>
      <c r="D1442" s="270" t="str" cm="1">
        <f t="array" ref="D1442">_xlfn.IFS(E1442=$AB$42,$AD$42,E1442=$AB$43,$AD$43,E1442=$AB$44,$AD$44,E1442=$AB$45,$AD$45,E1442=$AB$46,$AD$46,E1442=$AB$47,$AD$47,E1442=$AB$48,$AD$48,E1442=$AB$49,$AD$49,E1442=$AB$50,$AD$50,E1442=$AB$51,$AD$51,E1442=$AB$52,$AD$52,E1442=$AB$53,$AD$53,E1442=$AB$54,$AD$54,E1442=$AB$55,$AD$55,E1442=$AB$56,$AD$56,E1442=$AB$57,$AD$57,E1442=$AB$58,$AD$58,E1442=$AB$59,$AD$59,E1442=$AB$60,$AD$60,E1442=$AB$61,$AD$61,E1442=$AB$62,$AD$62,E1442=$AB$63,$AD$63,E1442=$AB$64,$AD$64,E1442=$AB$65,$AD$65,E1442=$AB$66,$AD$66,TRUE,"0")</f>
        <v xml:space="preserve">  BANG</v>
      </c>
      <c r="E1442" s="2" t="s">
        <v>726</v>
      </c>
      <c r="F1442" s="2" t="s">
        <v>6</v>
      </c>
      <c r="G1442" s="2" t="s">
        <v>62</v>
      </c>
      <c r="H1442" s="3">
        <v>45423.625</v>
      </c>
      <c r="I1442" s="2" t="s">
        <v>117</v>
      </c>
      <c r="J1442" s="2" t="s">
        <v>63</v>
      </c>
      <c r="K1442" s="2">
        <v>90</v>
      </c>
      <c r="L1442" s="2">
        <v>20</v>
      </c>
      <c r="M1442" s="2">
        <v>2.15</v>
      </c>
      <c r="N1442" s="2">
        <v>62</v>
      </c>
      <c r="O1442" s="2"/>
      <c r="P1442" s="2"/>
      <c r="Q1442" s="2" t="s">
        <v>95</v>
      </c>
      <c r="R1442" s="10" t="s">
        <v>221</v>
      </c>
      <c r="S1442" s="10" t="s">
        <v>223</v>
      </c>
      <c r="T1442" s="188">
        <v>1000</v>
      </c>
      <c r="U1442" s="8">
        <f t="shared" si="159"/>
        <v>180</v>
      </c>
      <c r="V1442" s="234">
        <f t="shared" si="161"/>
        <v>149284.15524616028</v>
      </c>
      <c r="W1442" s="15">
        <v>25</v>
      </c>
      <c r="X1442" s="8">
        <f t="shared" si="162"/>
        <v>4.5</v>
      </c>
      <c r="Y1442" s="233">
        <f t="shared" si="158"/>
        <v>5598</v>
      </c>
    </row>
    <row r="1443" spans="1:25">
      <c r="A1443" s="156" t="e" cm="1">
        <f t="array" aca="1" ref="A1443" ca="1">_xlfn.IFS(E1443=$AB$42,$AC$42,E1443=$AB$43,$AC$43,E1443=$AB$44,$AC$44,E1443=$AB$45,$AC$45,E1443=$AB$46,$AC$46,E1443=$AB$47,$AC$47,E1443=$AB$48,$AC$48,E1443=$AB$49,$AC$49,E1443=$AB$50,$AC$50,E1443=$AB$51,$AC$51,E1443=$AB$52,$AC$52,E1443=$AB$53,$AC$53,E1443=$AB$54,$AC$54,E1443=$AB$55,$AC$55,E1443=$AB$56,$AC$56,E1443=$AB$57,$AC$57,E1443=$AB$58,$AC$58,E1443=$AB$59,$AC$59,E1443=$AB$60,$AC$60,E1443=$AB$61,$AC$61,E1443=$AB$62,$AC$62,E1443=$AB$63,$AC$63,E1443=$AB$64,$AC$64,E1443=$AB$65,$AC$65,E1443=$AB$66,$AC$66,TRUE,"0")</f>
        <v>#NAME?</v>
      </c>
      <c r="C1443" s="161" t="str" cm="1">
        <f t="array" ref="C1443">_xlfn.IFS(E1443=$AB$42,$AF$42,E1443=$AB$43,$AF$43,E1443=$AB$44,$AF$44,E1443=$AB$45,$AF$45,E1443=$AB$46,$AF$46,E1443=$AB$47,$AF$47,E1443=$AB$48,$AF$48,E1443=$AB$49,$AF$49,E1443=$AB$50,$AF$50,E1443=$AB$51,$AF$51,E1443=$AB$52,$AF$52,E1443=$AB$53,$AF$53,E1443=$AB$54,$AF$54,E1443=$AB$55,$AF$55,E1443=$AB$56,$AF$56,E1443=$AB$57,$AF$57,E1443=$AB$58,$AF$58,E1443=$AB$59,$AF$59,E1443=$AB$60,$AF$60,E1443=$AB$61,$AF$61,E1443=$AB$62,$AF$62,E1443=$AB$63,$AF$63,E1443=$AB$64,$AF$64,E1443=$AB$65,$AF$65,E1443=$AB$66,$AF$66,TRUE,"0")</f>
        <v>if 0-0, BACK+ 0.5 GOALS  @ 1.15+odds.  or @ 40 mins</v>
      </c>
      <c r="D1443" s="270" t="str" cm="1">
        <f t="array" ref="D1443">_xlfn.IFS(E1443=$AB$42,$AD$42,E1443=$AB$43,$AD$43,E1443=$AB$44,$AD$44,E1443=$AB$45,$AD$45,E1443=$AB$46,$AD$46,E1443=$AB$47,$AD$47,E1443=$AB$48,$AD$48,E1443=$AB$49,$AD$49,E1443=$AB$50,$AD$50,E1443=$AB$51,$AD$51,E1443=$AB$52,$AD$52,E1443=$AB$53,$AD$53,E1443=$AB$54,$AD$54,E1443=$AB$55,$AD$55,E1443=$AB$56,$AD$56,E1443=$AB$57,$AD$57,E1443=$AB$58,$AD$58,E1443=$AB$59,$AD$59,E1443=$AB$60,$AD$60,E1443=$AB$61,$AD$61,E1443=$AB$62,$AD$62,E1443=$AB$63,$AD$63,E1443=$AB$64,$AD$64,E1443=$AB$65,$AD$65,E1443=$AB$66,$AD$66,TRUE,"0")</f>
        <v>IP</v>
      </c>
      <c r="E1443" s="2" t="s">
        <v>270</v>
      </c>
      <c r="F1443" s="2" t="s">
        <v>6</v>
      </c>
      <c r="G1443" s="2" t="s">
        <v>62</v>
      </c>
      <c r="H1443" s="3">
        <v>45423.625</v>
      </c>
      <c r="I1443" s="2" t="s">
        <v>117</v>
      </c>
      <c r="J1443" s="2" t="s">
        <v>63</v>
      </c>
      <c r="K1443" s="2">
        <v>62</v>
      </c>
      <c r="L1443" s="2">
        <v>0</v>
      </c>
      <c r="M1443" s="2">
        <v>20</v>
      </c>
      <c r="N1443" s="2">
        <v>31</v>
      </c>
      <c r="O1443" s="2">
        <v>2.91</v>
      </c>
      <c r="P1443" s="2"/>
      <c r="Q1443" s="2" t="s">
        <v>95</v>
      </c>
      <c r="R1443" s="10" t="s">
        <v>221</v>
      </c>
      <c r="S1443" s="10" t="s">
        <v>223</v>
      </c>
      <c r="T1443" s="188">
        <v>1000</v>
      </c>
      <c r="U1443" s="8">
        <f t="shared" si="159"/>
        <v>180</v>
      </c>
      <c r="V1443" s="234">
        <f t="shared" si="161"/>
        <v>149464.15524616028</v>
      </c>
      <c r="W1443" s="15">
        <v>25</v>
      </c>
      <c r="X1443" s="8">
        <f t="shared" si="162"/>
        <v>4.5</v>
      </c>
      <c r="Y1443" s="233">
        <f t="shared" si="158"/>
        <v>5602.5</v>
      </c>
    </row>
    <row r="1444" spans="1:25">
      <c r="A1444" s="156" t="e" cm="1">
        <f t="array" aca="1" ref="A1444" ca="1">_xlfn.IFS(E1444=$AB$42,$AC$42,E1444=$AB$43,$AC$43,E1444=$AB$44,$AC$44,E1444=$AB$45,$AC$45,E1444=$AB$46,$AC$46,E1444=$AB$47,$AC$47,E1444=$AB$48,$AC$48,E1444=$AB$49,$AC$49,E1444=$AB$50,$AC$50,E1444=$AB$51,$AC$51,E1444=$AB$52,$AC$52,E1444=$AB$53,$AC$53,E1444=$AB$54,$AC$54,E1444=$AB$55,$AC$55,E1444=$AB$56,$AC$56,E1444=$AB$57,$AC$57,E1444=$AB$58,$AC$58,E1444=$AB$59,$AC$59,E1444=$AB$60,$AC$60,E1444=$AB$61,$AC$61,E1444=$AB$62,$AC$62,E1444=$AB$63,$AC$63,E1444=$AB$64,$AC$64,E1444=$AB$65,$AC$65,E1444=$AB$66,$AC$66,TRUE,"0")</f>
        <v>#NAME?</v>
      </c>
      <c r="C1444" s="161" t="str" cm="1">
        <f t="array" ref="C1444">_xlfn.IFS(E1444=$AB$42,$AF$42,E1444=$AB$43,$AF$43,E1444=$AB$44,$AF$44,E1444=$AB$45,$AF$45,E1444=$AB$46,$AF$46,E1444=$AB$47,$AF$47,E1444=$AB$48,$AF$48,E1444=$AB$49,$AF$49,E1444=$AB$50,$AF$50,E1444=$AB$51,$AF$51,E1444=$AB$52,$AF$52,E1444=$AB$53,$AF$53,E1444=$AB$54,$AF$54,E1444=$AB$55,$AF$55,E1444=$AB$56,$AF$56,E1444=$AB$57,$AF$57,E1444=$AB$58,$AF$58,E1444=$AB$59,$AF$59,E1444=$AB$60,$AF$60,E1444=$AB$61,$AF$61,E1444=$AB$62,$AF$62,E1444=$AB$63,$AF$63,E1444=$AB$64,$AF$64,E1444=$AB$65,$AF$65,E1444=$AB$66,$AF$66,TRUE,"0")</f>
        <v>40 mins Back ANother Goal</v>
      </c>
      <c r="D1444" s="270" t="str" cm="1">
        <f t="array" ref="D1444">_xlfn.IFS(E1444=$AB$42,$AD$42,E1444=$AB$43,$AD$43,E1444=$AB$44,$AD$44,E1444=$AB$45,$AD$45,E1444=$AB$46,$AD$46,E1444=$AB$47,$AD$47,E1444=$AB$48,$AD$48,E1444=$AB$49,$AD$49,E1444=$AB$50,$AD$50,E1444=$AB$51,$AD$51,E1444=$AB$52,$AD$52,E1444=$AB$53,$AD$53,E1444=$AB$54,$AD$54,E1444=$AB$55,$AD$55,E1444=$AB$56,$AD$56,E1444=$AB$57,$AD$57,E1444=$AB$58,$AD$58,E1444=$AB$59,$AD$59,E1444=$AB$60,$AD$60,E1444=$AB$61,$AD$61,E1444=$AB$62,$AD$62,E1444=$AB$63,$AD$63,E1444=$AB$64,$AD$64,E1444=$AB$65,$AD$65,E1444=$AB$66,$AD$66,TRUE,"0")</f>
        <v xml:space="preserve">  BANG</v>
      </c>
      <c r="E1444" s="2" t="s">
        <v>726</v>
      </c>
      <c r="F1444" s="2" t="s">
        <v>6</v>
      </c>
      <c r="G1444" s="2" t="s">
        <v>62</v>
      </c>
      <c r="H1444" s="3">
        <v>45423.625</v>
      </c>
      <c r="I1444" s="2" t="s">
        <v>71</v>
      </c>
      <c r="J1444" s="2" t="s">
        <v>85</v>
      </c>
      <c r="K1444" s="2">
        <v>85</v>
      </c>
      <c r="L1444" s="2">
        <v>20</v>
      </c>
      <c r="M1444" s="2">
        <v>1.85</v>
      </c>
      <c r="N1444" s="2">
        <v>63</v>
      </c>
      <c r="O1444" s="2"/>
      <c r="P1444" s="2"/>
      <c r="Q1444" s="2" t="s">
        <v>96</v>
      </c>
      <c r="R1444" s="10" t="s">
        <v>214</v>
      </c>
      <c r="S1444" s="10" t="s">
        <v>214</v>
      </c>
      <c r="T1444" s="188">
        <v>1000</v>
      </c>
      <c r="U1444" s="8">
        <f t="shared" si="159"/>
        <v>-1000</v>
      </c>
      <c r="V1444" s="234">
        <f t="shared" si="161"/>
        <v>148464.15524616028</v>
      </c>
      <c r="W1444" s="15">
        <v>25</v>
      </c>
      <c r="X1444" s="8">
        <f t="shared" si="162"/>
        <v>-25</v>
      </c>
      <c r="Y1444" s="233">
        <f t="shared" si="158"/>
        <v>5577.5</v>
      </c>
    </row>
    <row r="1445" spans="1:25">
      <c r="A1445" s="156" t="e" cm="1">
        <f t="array" aca="1" ref="A1445" ca="1">_xlfn.IFS(E1445=$AB$42,$AC$42,E1445=$AB$43,$AC$43,E1445=$AB$44,$AC$44,E1445=$AB$45,$AC$45,E1445=$AB$46,$AC$46,E1445=$AB$47,$AC$47,E1445=$AB$48,$AC$48,E1445=$AB$49,$AC$49,E1445=$AB$50,$AC$50,E1445=$AB$51,$AC$51,E1445=$AB$52,$AC$52,E1445=$AB$53,$AC$53,E1445=$AB$54,$AC$54,E1445=$AB$55,$AC$55,E1445=$AB$56,$AC$56,E1445=$AB$57,$AC$57,E1445=$AB$58,$AC$58,E1445=$AB$59,$AC$59,E1445=$AB$60,$AC$60,E1445=$AB$61,$AC$61,E1445=$AB$62,$AC$62,E1445=$AB$63,$AC$63,E1445=$AB$64,$AC$64,E1445=$AB$65,$AC$65,E1445=$AB$66,$AC$66,TRUE,"0")</f>
        <v>#NAME?</v>
      </c>
      <c r="C1445" s="161" t="str" cm="1">
        <f t="array" ref="C1445">_xlfn.IFS(E1445=$AB$42,$AF$42,E1445=$AB$43,$AF$43,E1445=$AB$44,$AF$44,E1445=$AB$45,$AF$45,E1445=$AB$46,$AF$46,E1445=$AB$47,$AF$47,E1445=$AB$48,$AF$48,E1445=$AB$49,$AF$49,E1445=$AB$50,$AF$50,E1445=$AB$51,$AF$51,E1445=$AB$52,$AF$52,E1445=$AB$53,$AF$53,E1445=$AB$54,$AF$54,E1445=$AB$55,$AF$55,E1445=$AB$56,$AF$56,E1445=$AB$57,$AF$57,E1445=$AB$58,$AF$58,E1445=$AB$59,$AF$59,E1445=$AB$60,$AF$60,E1445=$AB$61,$AF$61,E1445=$AB$62,$AF$62,E1445=$AB$63,$AF$63,E1445=$AB$64,$AF$64,E1445=$AB$65,$AF$65,E1445=$AB$66,$AF$66,TRUE,"0")</f>
        <v>B4 match BACK FT +1.5 goals. X AFTER  GOAL</v>
      </c>
      <c r="D1445" s="270" t="str" cm="1">
        <f t="array" ref="D1445">_xlfn.IFS(E1445=$AB$42,$AD$42,E1445=$AB$43,$AD$43,E1445=$AB$44,$AD$44,E1445=$AB$45,$AD$45,E1445=$AB$46,$AD$46,E1445=$AB$47,$AD$47,E1445=$AB$48,$AD$48,E1445=$AB$49,$AD$49,E1445=$AB$50,$AD$50,E1445=$AB$51,$AD$51,E1445=$AB$52,$AD$52,E1445=$AB$53,$AD$53,E1445=$AB$54,$AD$54,E1445=$AB$55,$AD$55,E1445=$AB$56,$AD$56,E1445=$AB$57,$AD$57,E1445=$AB$58,$AD$58,E1445=$AB$59,$AD$59,E1445=$AB$60,$AD$60,E1445=$AB$61,$AD$61,E1445=$AB$62,$AD$62,E1445=$AB$63,$AD$63,E1445=$AB$64,$AD$64,E1445=$AB$65,$AD$65,E1445=$AB$66,$AD$66,TRUE,"0")</f>
        <v xml:space="preserve">BFM </v>
      </c>
      <c r="E1445" s="2" t="s">
        <v>623</v>
      </c>
      <c r="F1445" s="2" t="s">
        <v>6</v>
      </c>
      <c r="G1445" s="2" t="s">
        <v>62</v>
      </c>
      <c r="H1445" s="3">
        <v>45423.625</v>
      </c>
      <c r="I1445" s="2" t="s">
        <v>71</v>
      </c>
      <c r="J1445" s="2" t="s">
        <v>85</v>
      </c>
      <c r="K1445" s="2">
        <v>4.7</v>
      </c>
      <c r="L1445" s="2">
        <v>20</v>
      </c>
      <c r="M1445" s="2">
        <v>2.9</v>
      </c>
      <c r="N1445" s="2">
        <v>36</v>
      </c>
      <c r="O1445" s="2">
        <v>0</v>
      </c>
      <c r="P1445" s="2">
        <v>10</v>
      </c>
      <c r="Q1445" s="2" t="s">
        <v>95</v>
      </c>
      <c r="R1445" s="10" t="s">
        <v>214</v>
      </c>
      <c r="S1445" s="10" t="s">
        <v>214</v>
      </c>
      <c r="T1445" s="188">
        <v>1000</v>
      </c>
      <c r="U1445" s="8">
        <f t="shared" si="159"/>
        <v>180</v>
      </c>
      <c r="V1445" s="234">
        <f t="shared" si="161"/>
        <v>148644.15524616028</v>
      </c>
      <c r="W1445" s="15">
        <v>25</v>
      </c>
      <c r="X1445" s="8">
        <f t="shared" si="162"/>
        <v>4.5</v>
      </c>
      <c r="Y1445" s="233">
        <f t="shared" ref="Y1445:Y1508" si="163">SUM(Y1444,X1445)</f>
        <v>5582</v>
      </c>
    </row>
    <row r="1446" spans="1:25">
      <c r="A1446" s="156" t="e" cm="1">
        <f t="array" aca="1" ref="A1446" ca="1">_xlfn.IFS(E1446=$AB$42,$AC$42,E1446=$AB$43,$AC$43,E1446=$AB$44,$AC$44,E1446=$AB$45,$AC$45,E1446=$AB$46,$AC$46,E1446=$AB$47,$AC$47,E1446=$AB$48,$AC$48,E1446=$AB$49,$AC$49,E1446=$AB$50,$AC$50,E1446=$AB$51,$AC$51,E1446=$AB$52,$AC$52,E1446=$AB$53,$AC$53,E1446=$AB$54,$AC$54,E1446=$AB$55,$AC$55,E1446=$AB$56,$AC$56,E1446=$AB$57,$AC$57,E1446=$AB$58,$AC$58,E1446=$AB$59,$AC$59,E1446=$AB$60,$AC$60,E1446=$AB$61,$AC$61,E1446=$AB$62,$AC$62,E1446=$AB$63,$AC$63,E1446=$AB$64,$AC$64,E1446=$AB$65,$AC$65,E1446=$AB$66,$AC$66,TRUE,"0")</f>
        <v>#NAME?</v>
      </c>
      <c r="C1446" s="161" t="str" cm="1">
        <f t="array" ref="C1446">_xlfn.IFS(E1446=$AB$42,$AF$42,E1446=$AB$43,$AF$43,E1446=$AB$44,$AF$44,E1446=$AB$45,$AF$45,E1446=$AB$46,$AF$46,E1446=$AB$47,$AF$47,E1446=$AB$48,$AF$48,E1446=$AB$49,$AF$49,E1446=$AB$50,$AF$50,E1446=$AB$51,$AF$51,E1446=$AB$52,$AF$52,E1446=$AB$53,$AF$53,E1446=$AB$54,$AF$54,E1446=$AB$55,$AF$55,E1446=$AB$56,$AF$56,E1446=$AB$57,$AF$57,E1446=$AB$58,$AF$58,E1446=$AB$59,$AF$59,E1446=$AB$60,$AF$60,E1446=$AB$61,$AF$61,E1446=$AB$62,$AF$62,E1446=$AB$63,$AF$63,E1446=$AB$64,$AF$64,E1446=$AB$65,$AF$65,E1446=$AB$66,$AF$66,TRUE,"0")</f>
        <v>B4 match BACK FT +1.5 goals. X AFTER  GOAL</v>
      </c>
      <c r="D1446" s="270" t="str" cm="1">
        <f t="array" ref="D1446">_xlfn.IFS(E1446=$AB$42,$AD$42,E1446=$AB$43,$AD$43,E1446=$AB$44,$AD$44,E1446=$AB$45,$AD$45,E1446=$AB$46,$AD$46,E1446=$AB$47,$AD$47,E1446=$AB$48,$AD$48,E1446=$AB$49,$AD$49,E1446=$AB$50,$AD$50,E1446=$AB$51,$AD$51,E1446=$AB$52,$AD$52,E1446=$AB$53,$AD$53,E1446=$AB$54,$AD$54,E1446=$AB$55,$AD$55,E1446=$AB$56,$AD$56,E1446=$AB$57,$AD$57,E1446=$AB$58,$AD$58,E1446=$AB$59,$AD$59,E1446=$AB$60,$AD$60,E1446=$AB$61,$AD$61,E1446=$AB$62,$AD$62,E1446=$AB$63,$AD$63,E1446=$AB$64,$AD$64,E1446=$AB$65,$AD$65,E1446=$AB$66,$AD$66,TRUE,"0")</f>
        <v xml:space="preserve">BFM </v>
      </c>
      <c r="E1446" s="2" t="s">
        <v>623</v>
      </c>
      <c r="F1446" s="2" t="s">
        <v>6</v>
      </c>
      <c r="G1446" s="2" t="s">
        <v>62</v>
      </c>
      <c r="H1446" s="3">
        <v>45423.625</v>
      </c>
      <c r="I1446" s="2" t="s">
        <v>164</v>
      </c>
      <c r="J1446" s="2" t="s">
        <v>267</v>
      </c>
      <c r="K1446" s="2">
        <v>4.4000000000000004</v>
      </c>
      <c r="L1446" s="2">
        <v>20</v>
      </c>
      <c r="M1446" s="2">
        <v>3.55</v>
      </c>
      <c r="N1446" s="2">
        <v>24</v>
      </c>
      <c r="O1446" s="2">
        <v>4</v>
      </c>
      <c r="P1446" s="2">
        <v>10</v>
      </c>
      <c r="Q1446" s="2" t="s">
        <v>95</v>
      </c>
      <c r="R1446" s="10" t="s">
        <v>216</v>
      </c>
      <c r="S1446" s="10" t="s">
        <v>216</v>
      </c>
      <c r="T1446" s="188">
        <v>1000</v>
      </c>
      <c r="U1446" s="8">
        <f t="shared" si="159"/>
        <v>180</v>
      </c>
      <c r="V1446" s="234">
        <f t="shared" si="161"/>
        <v>148824.15524616028</v>
      </c>
      <c r="W1446" s="15">
        <v>25</v>
      </c>
      <c r="X1446" s="8">
        <f t="shared" si="162"/>
        <v>4.5</v>
      </c>
      <c r="Y1446" s="233">
        <f t="shared" si="163"/>
        <v>5586.5</v>
      </c>
    </row>
    <row r="1447" spans="1:25">
      <c r="A1447" s="156" t="e" cm="1">
        <f t="array" aca="1" ref="A1447" ca="1">_xlfn.IFS(E1447=$AB$42,$AC$42,E1447=$AB$43,$AC$43,E1447=$AB$44,$AC$44,E1447=$AB$45,$AC$45,E1447=$AB$46,$AC$46,E1447=$AB$47,$AC$47,E1447=$AB$48,$AC$48,E1447=$AB$49,$AC$49,E1447=$AB$50,$AC$50,E1447=$AB$51,$AC$51,E1447=$AB$52,$AC$52,E1447=$AB$53,$AC$53,E1447=$AB$54,$AC$54,E1447=$AB$55,$AC$55,E1447=$AB$56,$AC$56,E1447=$AB$57,$AC$57,E1447=$AB$58,$AC$58,E1447=$AB$59,$AC$59,E1447=$AB$60,$AC$60,E1447=$AB$61,$AC$61,E1447=$AB$62,$AC$62,E1447=$AB$63,$AC$63,E1447=$AB$64,$AC$64,E1447=$AB$65,$AC$65,E1447=$AB$66,$AC$66,TRUE,"0")</f>
        <v>#NAME?</v>
      </c>
      <c r="C1447" s="161" t="str" cm="1">
        <f t="array" ref="C1447">_xlfn.IFS(E1447=$AB$42,$AF$42,E1447=$AB$43,$AF$43,E1447=$AB$44,$AF$44,E1447=$AB$45,$AF$45,E1447=$AB$46,$AF$46,E1447=$AB$47,$AF$47,E1447=$AB$48,$AF$48,E1447=$AB$49,$AF$49,E1447=$AB$50,$AF$50,E1447=$AB$51,$AF$51,E1447=$AB$52,$AF$52,E1447=$AB$53,$AF$53,E1447=$AB$54,$AF$54,E1447=$AB$55,$AF$55,E1447=$AB$56,$AF$56,E1447=$AB$57,$AF$57,E1447=$AB$58,$AF$58,E1447=$AB$59,$AF$59,E1447=$AB$60,$AF$60,E1447=$AB$61,$AF$61,E1447=$AB$62,$AF$62,E1447=$AB$63,$AF$63,E1447=$AB$64,$AF$64,E1447=$AB$65,$AF$65,E1447=$AB$66,$AF$66,TRUE,"0")</f>
        <v>40 mins Back ANother Goal</v>
      </c>
      <c r="D1447" s="270" t="str" cm="1">
        <f t="array" ref="D1447">_xlfn.IFS(E1447=$AB$42,$AD$42,E1447=$AB$43,$AD$43,E1447=$AB$44,$AD$44,E1447=$AB$45,$AD$45,E1447=$AB$46,$AD$46,E1447=$AB$47,$AD$47,E1447=$AB$48,$AD$48,E1447=$AB$49,$AD$49,E1447=$AB$50,$AD$50,E1447=$AB$51,$AD$51,E1447=$AB$52,$AD$52,E1447=$AB$53,$AD$53,E1447=$AB$54,$AD$54,E1447=$AB$55,$AD$55,E1447=$AB$56,$AD$56,E1447=$AB$57,$AD$57,E1447=$AB$58,$AD$58,E1447=$AB$59,$AD$59,E1447=$AB$60,$AD$60,E1447=$AB$61,$AD$61,E1447=$AB$62,$AD$62,E1447=$AB$63,$AD$63,E1447=$AB$64,$AD$64,E1447=$AB$65,$AD$65,E1447=$AB$66,$AD$66,TRUE,"0")</f>
        <v xml:space="preserve">  BANG</v>
      </c>
      <c r="E1447" s="2" t="s">
        <v>792</v>
      </c>
      <c r="F1447" s="2" t="s">
        <v>6</v>
      </c>
      <c r="G1447" s="2" t="s">
        <v>62</v>
      </c>
      <c r="H1447" s="3">
        <v>45423.625</v>
      </c>
      <c r="I1447" s="2" t="s">
        <v>116</v>
      </c>
      <c r="J1447" s="2" t="s">
        <v>103</v>
      </c>
      <c r="K1447" s="2">
        <v>2.2999999999999998</v>
      </c>
      <c r="L1447" s="2">
        <v>95</v>
      </c>
      <c r="M1447" s="2">
        <v>90</v>
      </c>
      <c r="N1447" s="2">
        <v>58</v>
      </c>
      <c r="O1447" s="2">
        <v>20</v>
      </c>
      <c r="P1447" s="2"/>
      <c r="Q1447" s="2" t="s">
        <v>95</v>
      </c>
      <c r="R1447" s="10" t="s">
        <v>216</v>
      </c>
      <c r="S1447" s="10" t="s">
        <v>222</v>
      </c>
      <c r="T1447" s="188">
        <v>1000</v>
      </c>
      <c r="U1447" s="8">
        <f t="shared" si="159"/>
        <v>180</v>
      </c>
      <c r="V1447" s="234">
        <f t="shared" si="161"/>
        <v>149004.15524616028</v>
      </c>
      <c r="W1447" s="15">
        <v>25</v>
      </c>
      <c r="X1447" s="8">
        <f t="shared" si="162"/>
        <v>4.5</v>
      </c>
      <c r="Y1447" s="233">
        <f t="shared" si="163"/>
        <v>5591</v>
      </c>
    </row>
    <row r="1448" spans="1:25">
      <c r="A1448" s="156" t="e" cm="1">
        <f t="array" aca="1" ref="A1448" ca="1">_xlfn.IFS(E1448=$AB$42,$AC$42,E1448=$AB$43,$AC$43,E1448=$AB$44,$AC$44,E1448=$AB$45,$AC$45,E1448=$AB$46,$AC$46,E1448=$AB$47,$AC$47,E1448=$AB$48,$AC$48,E1448=$AB$49,$AC$49,E1448=$AB$50,$AC$50,E1448=$AB$51,$AC$51,E1448=$AB$52,$AC$52,E1448=$AB$53,$AC$53,E1448=$AB$54,$AC$54,E1448=$AB$55,$AC$55,E1448=$AB$56,$AC$56,E1448=$AB$57,$AC$57,E1448=$AB$58,$AC$58,E1448=$AB$59,$AC$59,E1448=$AB$60,$AC$60,E1448=$AB$61,$AC$61,E1448=$AB$62,$AC$62,E1448=$AB$63,$AC$63,E1448=$AB$64,$AC$64,E1448=$AB$65,$AC$65,E1448=$AB$66,$AC$66,TRUE,"0")</f>
        <v>#NAME?</v>
      </c>
      <c r="C1448" s="161" t="str" cm="1">
        <f t="array" ref="C1448">_xlfn.IFS(E1448=$AB$42,$AF$42,E1448=$AB$43,$AF$43,E1448=$AB$44,$AF$44,E1448=$AB$45,$AF$45,E1448=$AB$46,$AF$46,E1448=$AB$47,$AF$47,E1448=$AB$48,$AF$48,E1448=$AB$49,$AF$49,E1448=$AB$50,$AF$50,E1448=$AB$51,$AF$51,E1448=$AB$52,$AF$52,E1448=$AB$53,$AF$53,E1448=$AB$54,$AF$54,E1448=$AB$55,$AF$55,E1448=$AB$56,$AF$56,E1448=$AB$57,$AF$57,E1448=$AB$58,$AF$58,E1448=$AB$59,$AF$59,E1448=$AB$60,$AF$60,E1448=$AB$61,$AF$61,E1448=$AB$62,$AF$62,E1448=$AB$63,$AF$63,E1448=$AB$64,$AF$64,E1448=$AB$65,$AF$65,E1448=$AB$66,$AF$66,TRUE,"0")</f>
        <v>40 mins Back ANother Goal</v>
      </c>
      <c r="D1448" s="270" t="str" cm="1">
        <f t="array" ref="D1448">_xlfn.IFS(E1448=$AB$42,$AD$42,E1448=$AB$43,$AD$43,E1448=$AB$44,$AD$44,E1448=$AB$45,$AD$45,E1448=$AB$46,$AD$46,E1448=$AB$47,$AD$47,E1448=$AB$48,$AD$48,E1448=$AB$49,$AD$49,E1448=$AB$50,$AD$50,E1448=$AB$51,$AD$51,E1448=$AB$52,$AD$52,E1448=$AB$53,$AD$53,E1448=$AB$54,$AD$54,E1448=$AB$55,$AD$55,E1448=$AB$56,$AD$56,E1448=$AB$57,$AD$57,E1448=$AB$58,$AD$58,E1448=$AB$59,$AD$59,E1448=$AB$60,$AD$60,E1448=$AB$61,$AD$61,E1448=$AB$62,$AD$62,E1448=$AB$63,$AD$63,E1448=$AB$64,$AD$64,E1448=$AB$65,$AD$65,E1448=$AB$66,$AD$66,TRUE,"0")</f>
        <v xml:space="preserve">  BANG</v>
      </c>
      <c r="E1448" s="2" t="s">
        <v>726</v>
      </c>
      <c r="F1448" s="2" t="s">
        <v>6</v>
      </c>
      <c r="G1448" s="2" t="s">
        <v>62</v>
      </c>
      <c r="H1448" s="3">
        <v>45423.625</v>
      </c>
      <c r="I1448" s="2" t="s">
        <v>116</v>
      </c>
      <c r="J1448" s="2" t="s">
        <v>103</v>
      </c>
      <c r="K1448" s="2">
        <v>95</v>
      </c>
      <c r="L1448" s="2">
        <v>20</v>
      </c>
      <c r="M1448" s="2">
        <v>2.2999999999999998</v>
      </c>
      <c r="N1448" s="2">
        <v>58</v>
      </c>
      <c r="O1448" s="2"/>
      <c r="P1448" s="2"/>
      <c r="Q1448" s="2" t="s">
        <v>95</v>
      </c>
      <c r="R1448" s="10" t="s">
        <v>216</v>
      </c>
      <c r="S1448" s="10" t="s">
        <v>222</v>
      </c>
      <c r="T1448" s="188">
        <v>1000</v>
      </c>
      <c r="U1448" s="8">
        <f t="shared" si="159"/>
        <v>180</v>
      </c>
      <c r="V1448" s="234">
        <f t="shared" si="161"/>
        <v>149184.15524616028</v>
      </c>
      <c r="W1448" s="15">
        <v>25</v>
      </c>
      <c r="X1448" s="8">
        <f t="shared" si="162"/>
        <v>4.5</v>
      </c>
      <c r="Y1448" s="233">
        <f t="shared" si="163"/>
        <v>5595.5</v>
      </c>
    </row>
    <row r="1449" spans="1:25">
      <c r="A1449" s="156" t="e" cm="1">
        <f t="array" aca="1" ref="A1449" ca="1">_xlfn.IFS(E1449=$AB$42,$AC$42,E1449=$AB$43,$AC$43,E1449=$AB$44,$AC$44,E1449=$AB$45,$AC$45,E1449=$AB$46,$AC$46,E1449=$AB$47,$AC$47,E1449=$AB$48,$AC$48,E1449=$AB$49,$AC$49,E1449=$AB$50,$AC$50,E1449=$AB$51,$AC$51,E1449=$AB$52,$AC$52,E1449=$AB$53,$AC$53,E1449=$AB$54,$AC$54,E1449=$AB$55,$AC$55,E1449=$AB$56,$AC$56,E1449=$AB$57,$AC$57,E1449=$AB$58,$AC$58,E1449=$AB$59,$AC$59,E1449=$AB$60,$AC$60,E1449=$AB$61,$AC$61,E1449=$AB$62,$AC$62,E1449=$AB$63,$AC$63,E1449=$AB$64,$AC$64,E1449=$AB$65,$AC$65,E1449=$AB$66,$AC$66,TRUE,"0")</f>
        <v>#NAME?</v>
      </c>
      <c r="C1449" s="161" t="str" cm="1">
        <f t="array" ref="C1449">_xlfn.IFS(E1449=$AB$42,$AF$42,E1449=$AB$43,$AF$43,E1449=$AB$44,$AF$44,E1449=$AB$45,$AF$45,E1449=$AB$46,$AF$46,E1449=$AB$47,$AF$47,E1449=$AB$48,$AF$48,E1449=$AB$49,$AF$49,E1449=$AB$50,$AF$50,E1449=$AB$51,$AF$51,E1449=$AB$52,$AF$52,E1449=$AB$53,$AF$53,E1449=$AB$54,$AF$54,E1449=$AB$55,$AF$55,E1449=$AB$56,$AF$56,E1449=$AB$57,$AF$57,E1449=$AB$58,$AF$58,E1449=$AB$59,$AF$59,E1449=$AB$60,$AF$60,E1449=$AB$61,$AF$61,E1449=$AB$62,$AF$62,E1449=$AB$63,$AF$63,E1449=$AB$64,$AF$64,E1449=$AB$65,$AF$65,E1449=$AB$66,$AF$66,TRUE,"0")</f>
        <v>if 0-0, BACK+ 0.5 GOALS  @ 1.15+odds.  or @ 40 mins</v>
      </c>
      <c r="D1449" s="270" t="str" cm="1">
        <f t="array" ref="D1449">_xlfn.IFS(E1449=$AB$42,$AD$42,E1449=$AB$43,$AD$43,E1449=$AB$44,$AD$44,E1449=$AB$45,$AD$45,E1449=$AB$46,$AD$46,E1449=$AB$47,$AD$47,E1449=$AB$48,$AD$48,E1449=$AB$49,$AD$49,E1449=$AB$50,$AD$50,E1449=$AB$51,$AD$51,E1449=$AB$52,$AD$52,E1449=$AB$53,$AD$53,E1449=$AB$54,$AD$54,E1449=$AB$55,$AD$55,E1449=$AB$56,$AD$56,E1449=$AB$57,$AD$57,E1449=$AB$58,$AD$58,E1449=$AB$59,$AD$59,E1449=$AB$60,$AD$60,E1449=$AB$61,$AD$61,E1449=$AB$62,$AD$62,E1449=$AB$63,$AD$63,E1449=$AB$64,$AD$64,E1449=$AB$65,$AD$65,E1449=$AB$66,$AD$66,TRUE,"0")</f>
        <v>IP</v>
      </c>
      <c r="E1449" s="2" t="s">
        <v>270</v>
      </c>
      <c r="F1449" s="2" t="s">
        <v>6</v>
      </c>
      <c r="G1449" s="2" t="s">
        <v>62</v>
      </c>
      <c r="H1449" s="3">
        <v>45423.625</v>
      </c>
      <c r="I1449" s="2" t="s">
        <v>116</v>
      </c>
      <c r="J1449" s="2" t="s">
        <v>103</v>
      </c>
      <c r="K1449" s="2">
        <v>63</v>
      </c>
      <c r="L1449" s="2">
        <v>0</v>
      </c>
      <c r="M1449" s="2">
        <v>20</v>
      </c>
      <c r="N1449" s="2">
        <v>31</v>
      </c>
      <c r="O1449" s="2">
        <v>3.24</v>
      </c>
      <c r="P1449" s="2"/>
      <c r="Q1449" s="2" t="s">
        <v>95</v>
      </c>
      <c r="R1449" s="10" t="s">
        <v>216</v>
      </c>
      <c r="S1449" s="10" t="s">
        <v>222</v>
      </c>
      <c r="T1449" s="188">
        <v>1000</v>
      </c>
      <c r="U1449" s="8">
        <f t="shared" si="159"/>
        <v>180</v>
      </c>
      <c r="V1449" s="234">
        <f t="shared" si="161"/>
        <v>149364.15524616028</v>
      </c>
      <c r="W1449" s="15">
        <v>25</v>
      </c>
      <c r="X1449" s="8">
        <f t="shared" si="162"/>
        <v>4.5</v>
      </c>
      <c r="Y1449" s="233">
        <f t="shared" si="163"/>
        <v>5600</v>
      </c>
    </row>
    <row r="1450" spans="1:25">
      <c r="A1450" s="156" t="e" cm="1">
        <f t="array" aca="1" ref="A1450" ca="1">_xlfn.IFS(E1450=$AB$42,$AC$42,E1450=$AB$43,$AC$43,E1450=$AB$44,$AC$44,E1450=$AB$45,$AC$45,E1450=$AB$46,$AC$46,E1450=$AB$47,$AC$47,E1450=$AB$48,$AC$48,E1450=$AB$49,$AC$49,E1450=$AB$50,$AC$50,E1450=$AB$51,$AC$51,E1450=$AB$52,$AC$52,E1450=$AB$53,$AC$53,E1450=$AB$54,$AC$54,E1450=$AB$55,$AC$55,E1450=$AB$56,$AC$56,E1450=$AB$57,$AC$57,E1450=$AB$58,$AC$58,E1450=$AB$59,$AC$59,E1450=$AB$60,$AC$60,E1450=$AB$61,$AC$61,E1450=$AB$62,$AC$62,E1450=$AB$63,$AC$63,E1450=$AB$64,$AC$64,E1450=$AB$65,$AC$65,E1450=$AB$66,$AC$66,TRUE,"0")</f>
        <v>#NAME?</v>
      </c>
      <c r="C1450" s="161" t="str" cm="1">
        <f t="array" ref="C1450">_xlfn.IFS(E1450=$AB$42,$AF$42,E1450=$AB$43,$AF$43,E1450=$AB$44,$AF$44,E1450=$AB$45,$AF$45,E1450=$AB$46,$AF$46,E1450=$AB$47,$AF$47,E1450=$AB$48,$AF$48,E1450=$AB$49,$AF$49,E1450=$AB$50,$AF$50,E1450=$AB$51,$AF$51,E1450=$AB$52,$AF$52,E1450=$AB$53,$AF$53,E1450=$AB$54,$AF$54,E1450=$AB$55,$AF$55,E1450=$AB$56,$AF$56,E1450=$AB$57,$AF$57,E1450=$AB$58,$AF$58,E1450=$AB$59,$AF$59,E1450=$AB$60,$AF$60,E1450=$AB$61,$AF$61,E1450=$AB$62,$AF$62,E1450=$AB$63,$AF$63,E1450=$AB$64,$AF$64,E1450=$AB$65,$AF$65,E1450=$AB$66,$AF$66,TRUE,"0")</f>
        <v>40 mins Back ANother Goal</v>
      </c>
      <c r="D1450" s="270" t="str" cm="1">
        <f t="array" ref="D1450">_xlfn.IFS(E1450=$AB$42,$AD$42,E1450=$AB$43,$AD$43,E1450=$AB$44,$AD$44,E1450=$AB$45,$AD$45,E1450=$AB$46,$AD$46,E1450=$AB$47,$AD$47,E1450=$AB$48,$AD$48,E1450=$AB$49,$AD$49,E1450=$AB$50,$AD$50,E1450=$AB$51,$AD$51,E1450=$AB$52,$AD$52,E1450=$AB$53,$AD$53,E1450=$AB$54,$AD$54,E1450=$AB$55,$AD$55,E1450=$AB$56,$AD$56,E1450=$AB$57,$AD$57,E1450=$AB$58,$AD$58,E1450=$AB$59,$AD$59,E1450=$AB$60,$AD$60,E1450=$AB$61,$AD$61,E1450=$AB$62,$AD$62,E1450=$AB$63,$AD$63,E1450=$AB$64,$AD$64,E1450=$AB$65,$AD$65,E1450=$AB$66,$AD$66,TRUE,"0")</f>
        <v xml:space="preserve">  BANG</v>
      </c>
      <c r="E1450" s="2" t="s">
        <v>726</v>
      </c>
      <c r="F1450" s="2" t="s">
        <v>6</v>
      </c>
      <c r="G1450" s="2" t="s">
        <v>62</v>
      </c>
      <c r="H1450" s="3">
        <v>45423.625</v>
      </c>
      <c r="I1450" s="2" t="s">
        <v>74</v>
      </c>
      <c r="J1450" s="2" t="s">
        <v>86</v>
      </c>
      <c r="K1450" s="2">
        <v>85</v>
      </c>
      <c r="L1450" s="2">
        <v>20</v>
      </c>
      <c r="M1450" s="2">
        <v>2.1</v>
      </c>
      <c r="N1450" s="2">
        <v>63</v>
      </c>
      <c r="O1450" s="2"/>
      <c r="P1450" s="2"/>
      <c r="Q1450" s="2" t="s">
        <v>95</v>
      </c>
      <c r="R1450" s="10" t="s">
        <v>193</v>
      </c>
      <c r="S1450" s="10" t="s">
        <v>215</v>
      </c>
      <c r="T1450" s="188">
        <v>1000</v>
      </c>
      <c r="U1450" s="8">
        <f t="shared" si="159"/>
        <v>180</v>
      </c>
      <c r="V1450" s="234">
        <f t="shared" si="161"/>
        <v>149544.15524616028</v>
      </c>
      <c r="W1450" s="15">
        <v>25</v>
      </c>
      <c r="X1450" s="8">
        <f t="shared" si="162"/>
        <v>4.5</v>
      </c>
      <c r="Y1450" s="233">
        <f t="shared" si="163"/>
        <v>5604.5</v>
      </c>
    </row>
    <row r="1451" spans="1:25">
      <c r="A1451" s="156" t="e" cm="1">
        <f t="array" aca="1" ref="A1451" ca="1">_xlfn.IFS(E1451=$AB$42,$AC$42,E1451=$AB$43,$AC$43,E1451=$AB$44,$AC$44,E1451=$AB$45,$AC$45,E1451=$AB$46,$AC$46,E1451=$AB$47,$AC$47,E1451=$AB$48,$AC$48,E1451=$AB$49,$AC$49,E1451=$AB$50,$AC$50,E1451=$AB$51,$AC$51,E1451=$AB$52,$AC$52,E1451=$AB$53,$AC$53,E1451=$AB$54,$AC$54,E1451=$AB$55,$AC$55,E1451=$AB$56,$AC$56,E1451=$AB$57,$AC$57,E1451=$AB$58,$AC$58,E1451=$AB$59,$AC$59,E1451=$AB$60,$AC$60,E1451=$AB$61,$AC$61,E1451=$AB$62,$AC$62,E1451=$AB$63,$AC$63,E1451=$AB$64,$AC$64,E1451=$AB$65,$AC$65,E1451=$AB$66,$AC$66,TRUE,"0")</f>
        <v>#NAME?</v>
      </c>
      <c r="C1451" s="161" t="str" cm="1">
        <f t="array" ref="C1451">_xlfn.IFS(E1451=$AB$42,$AF$42,E1451=$AB$43,$AF$43,E1451=$AB$44,$AF$44,E1451=$AB$45,$AF$45,E1451=$AB$46,$AF$46,E1451=$AB$47,$AF$47,E1451=$AB$48,$AF$48,E1451=$AB$49,$AF$49,E1451=$AB$50,$AF$50,E1451=$AB$51,$AF$51,E1451=$AB$52,$AF$52,E1451=$AB$53,$AF$53,E1451=$AB$54,$AF$54,E1451=$AB$55,$AF$55,E1451=$AB$56,$AF$56,E1451=$AB$57,$AF$57,E1451=$AB$58,$AF$58,E1451=$AB$59,$AF$59,E1451=$AB$60,$AF$60,E1451=$AB$61,$AF$61,E1451=$AB$62,$AF$62,E1451=$AB$63,$AF$63,E1451=$AB$64,$AF$64,E1451=$AB$65,$AF$65,E1451=$AB$66,$AF$66,TRUE,"0")</f>
        <v>B4 Match, lay HT 0-0 or BACK H1 +0.5 GOALS</v>
      </c>
      <c r="D1451" s="270" t="str" cm="1">
        <f t="array" ref="D1451">_xlfn.IFS(E1451=$AB$42,$AD$42,E1451=$AB$43,$AD$43,E1451=$AB$44,$AD$44,E1451=$AB$45,$AD$45,E1451=$AB$46,$AD$46,E1451=$AB$47,$AD$47,E1451=$AB$48,$AD$48,E1451=$AB$49,$AD$49,E1451=$AB$50,$AD$50,E1451=$AB$51,$AD$51,E1451=$AB$52,$AD$52,E1451=$AB$53,$AD$53,E1451=$AB$54,$AD$54,E1451=$AB$55,$AD$55,E1451=$AB$56,$AD$56,E1451=$AB$57,$AD$57,E1451=$AB$58,$AD$58,E1451=$AB$59,$AD$59,E1451=$AB$60,$AD$60,E1451=$AB$61,$AD$61,E1451=$AB$62,$AD$62,E1451=$AB$63,$AD$63,E1451=$AB$64,$AD$64,E1451=$AB$65,$AD$65,E1451=$AB$66,$AD$66,TRUE,"0")</f>
        <v xml:space="preserve">BFM </v>
      </c>
      <c r="E1451" s="2" t="s">
        <v>448</v>
      </c>
      <c r="F1451" s="2" t="s">
        <v>6</v>
      </c>
      <c r="G1451" s="2" t="s">
        <v>62</v>
      </c>
      <c r="H1451" s="3">
        <v>45423.625</v>
      </c>
      <c r="I1451" s="2" t="s">
        <v>74</v>
      </c>
      <c r="J1451" s="2" t="s">
        <v>86</v>
      </c>
      <c r="K1451" s="2">
        <v>20</v>
      </c>
      <c r="L1451" s="2">
        <v>10</v>
      </c>
      <c r="M1451" s="2">
        <v>31</v>
      </c>
      <c r="N1451" s="2">
        <v>9</v>
      </c>
      <c r="O1451" s="2">
        <v>6</v>
      </c>
      <c r="P1451" s="2">
        <v>4</v>
      </c>
      <c r="Q1451" s="2" t="s">
        <v>95</v>
      </c>
      <c r="R1451" s="10" t="s">
        <v>193</v>
      </c>
      <c r="S1451" s="10" t="s">
        <v>215</v>
      </c>
      <c r="T1451" s="188">
        <v>1000</v>
      </c>
      <c r="U1451" s="8">
        <f t="shared" si="159"/>
        <v>180</v>
      </c>
      <c r="V1451" s="234">
        <f t="shared" si="161"/>
        <v>149724.15524616028</v>
      </c>
      <c r="W1451" s="15">
        <v>25</v>
      </c>
      <c r="X1451" s="8">
        <f t="shared" si="162"/>
        <v>4.5</v>
      </c>
      <c r="Y1451" s="233">
        <f t="shared" si="163"/>
        <v>5609</v>
      </c>
    </row>
    <row r="1452" spans="1:25">
      <c r="A1452" s="156" t="e" cm="1">
        <f t="array" aca="1" ref="A1452" ca="1">_xlfn.IFS(E1452=$AB$42,$AC$42,E1452=$AB$43,$AC$43,E1452=$AB$44,$AC$44,E1452=$AB$45,$AC$45,E1452=$AB$46,$AC$46,E1452=$AB$47,$AC$47,E1452=$AB$48,$AC$48,E1452=$AB$49,$AC$49,E1452=$AB$50,$AC$50,E1452=$AB$51,$AC$51,E1452=$AB$52,$AC$52,E1452=$AB$53,$AC$53,E1452=$AB$54,$AC$54,E1452=$AB$55,$AC$55,E1452=$AB$56,$AC$56,E1452=$AB$57,$AC$57,E1452=$AB$58,$AC$58,E1452=$AB$59,$AC$59,E1452=$AB$60,$AC$60,E1452=$AB$61,$AC$61,E1452=$AB$62,$AC$62,E1452=$AB$63,$AC$63,E1452=$AB$64,$AC$64,E1452=$AB$65,$AC$65,E1452=$AB$66,$AC$66,TRUE,"0")</f>
        <v>#NAME?</v>
      </c>
      <c r="C1452" s="161" t="str" cm="1">
        <f t="array" ref="C1452">_xlfn.IFS(E1452=$AB$42,$AF$42,E1452=$AB$43,$AF$43,E1452=$AB$44,$AF$44,E1452=$AB$45,$AF$45,E1452=$AB$46,$AF$46,E1452=$AB$47,$AF$47,E1452=$AB$48,$AF$48,E1452=$AB$49,$AF$49,E1452=$AB$50,$AF$50,E1452=$AB$51,$AF$51,E1452=$AB$52,$AF$52,E1452=$AB$53,$AF$53,E1452=$AB$54,$AF$54,E1452=$AB$55,$AF$55,E1452=$AB$56,$AF$56,E1452=$AB$57,$AF$57,E1452=$AB$58,$AF$58,E1452=$AB$59,$AF$59,E1452=$AB$60,$AF$60,E1452=$AB$61,$AF$61,E1452=$AB$62,$AF$62,E1452=$AB$63,$AF$63,E1452=$AB$64,$AF$64,E1452=$AB$65,$AF$65,E1452=$AB$66,$AF$66,TRUE,"0")</f>
        <v>if 0-0, BACK+ 0.5 GOALS  @ 1.15+odds.  or @ 40 mins</v>
      </c>
      <c r="D1452" s="270" t="str" cm="1">
        <f t="array" ref="D1452">_xlfn.IFS(E1452=$AB$42,$AD$42,E1452=$AB$43,$AD$43,E1452=$AB$44,$AD$44,E1452=$AB$45,$AD$45,E1452=$AB$46,$AD$46,E1452=$AB$47,$AD$47,E1452=$AB$48,$AD$48,E1452=$AB$49,$AD$49,E1452=$AB$50,$AD$50,E1452=$AB$51,$AD$51,E1452=$AB$52,$AD$52,E1452=$AB$53,$AD$53,E1452=$AB$54,$AD$54,E1452=$AB$55,$AD$55,E1452=$AB$56,$AD$56,E1452=$AB$57,$AD$57,E1452=$AB$58,$AD$58,E1452=$AB$59,$AD$59,E1452=$AB$60,$AD$60,E1452=$AB$61,$AD$61,E1452=$AB$62,$AD$62,E1452=$AB$63,$AD$63,E1452=$AB$64,$AD$64,E1452=$AB$65,$AD$65,E1452=$AB$66,$AD$66,TRUE,"0")</f>
        <v>IP</v>
      </c>
      <c r="E1452" s="2" t="s">
        <v>270</v>
      </c>
      <c r="F1452" s="2" t="s">
        <v>6</v>
      </c>
      <c r="G1452" s="2" t="s">
        <v>62</v>
      </c>
      <c r="H1452" s="3">
        <v>45423.625</v>
      </c>
      <c r="I1452" s="2" t="s">
        <v>64</v>
      </c>
      <c r="J1452" s="2" t="s">
        <v>66</v>
      </c>
      <c r="K1452" s="2">
        <v>67</v>
      </c>
      <c r="L1452" s="2">
        <v>0</v>
      </c>
      <c r="M1452" s="2">
        <v>20</v>
      </c>
      <c r="N1452" s="2">
        <v>34</v>
      </c>
      <c r="O1452" s="2">
        <v>2.67</v>
      </c>
      <c r="P1452" s="2"/>
      <c r="Q1452" s="2" t="s">
        <v>95</v>
      </c>
      <c r="R1452" s="10" t="s">
        <v>217</v>
      </c>
      <c r="S1452" s="10" t="s">
        <v>211</v>
      </c>
      <c r="T1452" s="188">
        <v>1000</v>
      </c>
      <c r="U1452" s="8">
        <f t="shared" si="159"/>
        <v>180</v>
      </c>
      <c r="V1452" s="234">
        <f t="shared" si="161"/>
        <v>149904.15524616028</v>
      </c>
      <c r="W1452" s="15">
        <v>25</v>
      </c>
      <c r="X1452" s="8">
        <f t="shared" si="162"/>
        <v>4.5</v>
      </c>
      <c r="Y1452" s="233">
        <f t="shared" si="163"/>
        <v>5613.5</v>
      </c>
    </row>
    <row r="1453" spans="1:25">
      <c r="A1453" s="156" t="e" cm="1">
        <f t="array" aca="1" ref="A1453" ca="1">_xlfn.IFS(E1453=$AB$42,$AC$42,E1453=$AB$43,$AC$43,E1453=$AB$44,$AC$44,E1453=$AB$45,$AC$45,E1453=$AB$46,$AC$46,E1453=$AB$47,$AC$47,E1453=$AB$48,$AC$48,E1453=$AB$49,$AC$49,E1453=$AB$50,$AC$50,E1453=$AB$51,$AC$51,E1453=$AB$52,$AC$52,E1453=$AB$53,$AC$53,E1453=$AB$54,$AC$54,E1453=$AB$55,$AC$55,E1453=$AB$56,$AC$56,E1453=$AB$57,$AC$57,E1453=$AB$58,$AC$58,E1453=$AB$59,$AC$59,E1453=$AB$60,$AC$60,E1453=$AB$61,$AC$61,E1453=$AB$62,$AC$62,E1453=$AB$63,$AC$63,E1453=$AB$64,$AC$64,E1453=$AB$65,$AC$65,E1453=$AB$66,$AC$66,TRUE,"0")</f>
        <v>#NAME?</v>
      </c>
      <c r="C1453" s="161" t="str" cm="1">
        <f t="array" ref="C1453">_xlfn.IFS(E1453=$AB$42,$AF$42,E1453=$AB$43,$AF$43,E1453=$AB$44,$AF$44,E1453=$AB$45,$AF$45,E1453=$AB$46,$AF$46,E1453=$AB$47,$AF$47,E1453=$AB$48,$AF$48,E1453=$AB$49,$AF$49,E1453=$AB$50,$AF$50,E1453=$AB$51,$AF$51,E1453=$AB$52,$AF$52,E1453=$AB$53,$AF$53,E1453=$AB$54,$AF$54,E1453=$AB$55,$AF$55,E1453=$AB$56,$AF$56,E1453=$AB$57,$AF$57,E1453=$AB$58,$AF$58,E1453=$AB$59,$AF$59,E1453=$AB$60,$AF$60,E1453=$AB$61,$AF$61,E1453=$AB$62,$AF$62,E1453=$AB$63,$AF$63,E1453=$AB$64,$AF$64,E1453=$AB$65,$AF$65,E1453=$AB$66,$AF$66,TRUE,"0")</f>
        <v>if 0-0, BACK+ 0.5 GOALS  @ 1.15+odds.  or @ 40 mins</v>
      </c>
      <c r="D1453" s="270" t="str" cm="1">
        <f t="array" ref="D1453">_xlfn.IFS(E1453=$AB$42,$AD$42,E1453=$AB$43,$AD$43,E1453=$AB$44,$AD$44,E1453=$AB$45,$AD$45,E1453=$AB$46,$AD$46,E1453=$AB$47,$AD$47,E1453=$AB$48,$AD$48,E1453=$AB$49,$AD$49,E1453=$AB$50,$AD$50,E1453=$AB$51,$AD$51,E1453=$AB$52,$AD$52,E1453=$AB$53,$AD$53,E1453=$AB$54,$AD$54,E1453=$AB$55,$AD$55,E1453=$AB$56,$AD$56,E1453=$AB$57,$AD$57,E1453=$AB$58,$AD$58,E1453=$AB$59,$AD$59,E1453=$AB$60,$AD$60,E1453=$AB$61,$AD$61,E1453=$AB$62,$AD$62,E1453=$AB$63,$AD$63,E1453=$AB$64,$AD$64,E1453=$AB$65,$AD$65,E1453=$AB$66,$AD$66,TRUE,"0")</f>
        <v>IP</v>
      </c>
      <c r="E1453" s="2" t="s">
        <v>270</v>
      </c>
      <c r="F1453" s="2" t="s">
        <v>77</v>
      </c>
      <c r="G1453" s="2" t="s">
        <v>251</v>
      </c>
      <c r="H1453" s="3">
        <v>45423.645833333336</v>
      </c>
      <c r="I1453" s="2" t="s">
        <v>259</v>
      </c>
      <c r="J1453" s="2" t="s">
        <v>819</v>
      </c>
      <c r="K1453" s="2">
        <v>61</v>
      </c>
      <c r="L1453" s="2">
        <v>0</v>
      </c>
      <c r="M1453" s="2">
        <v>20</v>
      </c>
      <c r="N1453" s="2">
        <v>36</v>
      </c>
      <c r="O1453" s="2">
        <v>0</v>
      </c>
      <c r="P1453" s="2"/>
      <c r="Q1453" s="2" t="s">
        <v>95</v>
      </c>
      <c r="R1453" s="10" t="s">
        <v>194</v>
      </c>
      <c r="S1453" s="10" t="s">
        <v>277</v>
      </c>
      <c r="T1453" s="188">
        <v>1000</v>
      </c>
      <c r="U1453" s="8">
        <f t="shared" si="159"/>
        <v>180</v>
      </c>
      <c r="V1453" s="234">
        <f t="shared" si="161"/>
        <v>150084.15524616028</v>
      </c>
      <c r="W1453" s="15">
        <v>25</v>
      </c>
      <c r="X1453" s="8">
        <f t="shared" si="162"/>
        <v>4.5</v>
      </c>
      <c r="Y1453" s="233">
        <f t="shared" si="163"/>
        <v>5618</v>
      </c>
    </row>
    <row r="1454" spans="1:25">
      <c r="A1454" s="156" t="e" cm="1">
        <f t="array" aca="1" ref="A1454" ca="1">_xlfn.IFS(E1454=$AB$42,$AC$42,E1454=$AB$43,$AC$43,E1454=$AB$44,$AC$44,E1454=$AB$45,$AC$45,E1454=$AB$46,$AC$46,E1454=$AB$47,$AC$47,E1454=$AB$48,$AC$48,E1454=$AB$49,$AC$49,E1454=$AB$50,$AC$50,E1454=$AB$51,$AC$51,E1454=$AB$52,$AC$52,E1454=$AB$53,$AC$53,E1454=$AB$54,$AC$54,E1454=$AB$55,$AC$55,E1454=$AB$56,$AC$56,E1454=$AB$57,$AC$57,E1454=$AB$58,$AC$58,E1454=$AB$59,$AC$59,E1454=$AB$60,$AC$60,E1454=$AB$61,$AC$61,E1454=$AB$62,$AC$62,E1454=$AB$63,$AC$63,E1454=$AB$64,$AC$64,E1454=$AB$65,$AC$65,E1454=$AB$66,$AC$66,TRUE,"0")</f>
        <v>#NAME?</v>
      </c>
      <c r="C1454" s="161" t="str" cm="1">
        <f t="array" ref="C1454">_xlfn.IFS(E1454=$AB$42,$AF$42,E1454=$AB$43,$AF$43,E1454=$AB$44,$AF$44,E1454=$AB$45,$AF$45,E1454=$AB$46,$AF$46,E1454=$AB$47,$AF$47,E1454=$AB$48,$AF$48,E1454=$AB$49,$AF$49,E1454=$AB$50,$AF$50,E1454=$AB$51,$AF$51,E1454=$AB$52,$AF$52,E1454=$AB$53,$AF$53,E1454=$AB$54,$AF$54,E1454=$AB$55,$AF$55,E1454=$AB$56,$AF$56,E1454=$AB$57,$AF$57,E1454=$AB$58,$AF$58,E1454=$AB$59,$AF$59,E1454=$AB$60,$AF$60,E1454=$AB$61,$AF$61,E1454=$AB$62,$AF$62,E1454=$AB$63,$AF$63,E1454=$AB$64,$AF$64,E1454=$AB$65,$AF$65,E1454=$AB$66,$AF$66,TRUE,"0")</f>
        <v>B4 Match, lay HT 0-0 or BACK H1 +0.5 GOALS</v>
      </c>
      <c r="D1454" s="270" t="str" cm="1">
        <f t="array" ref="D1454">_xlfn.IFS(E1454=$AB$42,$AD$42,E1454=$AB$43,$AD$43,E1454=$AB$44,$AD$44,E1454=$AB$45,$AD$45,E1454=$AB$46,$AD$46,E1454=$AB$47,$AD$47,E1454=$AB$48,$AD$48,E1454=$AB$49,$AD$49,E1454=$AB$50,$AD$50,E1454=$AB$51,$AD$51,E1454=$AB$52,$AD$52,E1454=$AB$53,$AD$53,E1454=$AB$54,$AD$54,E1454=$AB$55,$AD$55,E1454=$AB$56,$AD$56,E1454=$AB$57,$AD$57,E1454=$AB$58,$AD$58,E1454=$AB$59,$AD$59,E1454=$AB$60,$AD$60,E1454=$AB$61,$AD$61,E1454=$AB$62,$AD$62,E1454=$AB$63,$AD$63,E1454=$AB$64,$AD$64,E1454=$AB$65,$AD$65,E1454=$AB$66,$AD$66,TRUE,"0")</f>
        <v xml:space="preserve">BFM </v>
      </c>
      <c r="E1454" s="2" t="s">
        <v>432</v>
      </c>
      <c r="F1454" s="2" t="s">
        <v>640</v>
      </c>
      <c r="G1454" s="2" t="s">
        <v>641</v>
      </c>
      <c r="H1454" s="3">
        <v>45423.708333333336</v>
      </c>
      <c r="I1454" s="2" t="s">
        <v>745</v>
      </c>
      <c r="J1454" s="2" t="s">
        <v>761</v>
      </c>
      <c r="K1454" s="2">
        <v>5</v>
      </c>
      <c r="L1454" s="2">
        <v>20</v>
      </c>
      <c r="M1454" s="2">
        <v>18</v>
      </c>
      <c r="N1454" s="2">
        <v>15</v>
      </c>
      <c r="O1454" s="2">
        <v>23</v>
      </c>
      <c r="P1454" s="2">
        <v>1.7</v>
      </c>
      <c r="Q1454" s="2" t="s">
        <v>95</v>
      </c>
      <c r="R1454" s="10" t="s">
        <v>214</v>
      </c>
      <c r="S1454" s="10" t="s">
        <v>210</v>
      </c>
      <c r="T1454" s="188">
        <v>1000</v>
      </c>
      <c r="U1454" s="8">
        <f t="shared" si="159"/>
        <v>180</v>
      </c>
      <c r="V1454" s="234">
        <f t="shared" ref="V1454:V1494" si="164">SUM(V1453,U1454)</f>
        <v>150264.15524616028</v>
      </c>
      <c r="W1454" s="15">
        <v>25</v>
      </c>
      <c r="X1454" s="8">
        <f t="shared" si="162"/>
        <v>4.5</v>
      </c>
      <c r="Y1454" s="233">
        <f t="shared" si="163"/>
        <v>5622.5</v>
      </c>
    </row>
    <row r="1455" spans="1:25">
      <c r="A1455" s="156" t="e" cm="1">
        <f t="array" aca="1" ref="A1455" ca="1">_xlfn.IFS(E1455=$AB$42,$AC$42,E1455=$AB$43,$AC$43,E1455=$AB$44,$AC$44,E1455=$AB$45,$AC$45,E1455=$AB$46,$AC$46,E1455=$AB$47,$AC$47,E1455=$AB$48,$AC$48,E1455=$AB$49,$AC$49,E1455=$AB$50,$AC$50,E1455=$AB$51,$AC$51,E1455=$AB$52,$AC$52,E1455=$AB$53,$AC$53,E1455=$AB$54,$AC$54,E1455=$AB$55,$AC$55,E1455=$AB$56,$AC$56,E1455=$AB$57,$AC$57,E1455=$AB$58,$AC$58,E1455=$AB$59,$AC$59,E1455=$AB$60,$AC$60,E1455=$AB$61,$AC$61,E1455=$AB$62,$AC$62,E1455=$AB$63,$AC$63,E1455=$AB$64,$AC$64,E1455=$AB$65,$AC$65,E1455=$AB$66,$AC$66,TRUE,"0")</f>
        <v>#NAME?</v>
      </c>
      <c r="C1455" s="161" t="str" cm="1">
        <f t="array" ref="C1455">_xlfn.IFS(E1455=$AB$42,$AF$42,E1455=$AB$43,$AF$43,E1455=$AB$44,$AF$44,E1455=$AB$45,$AF$45,E1455=$AB$46,$AF$46,E1455=$AB$47,$AF$47,E1455=$AB$48,$AF$48,E1455=$AB$49,$AF$49,E1455=$AB$50,$AF$50,E1455=$AB$51,$AF$51,E1455=$AB$52,$AF$52,E1455=$AB$53,$AF$53,E1455=$AB$54,$AF$54,E1455=$AB$55,$AF$55,E1455=$AB$56,$AF$56,E1455=$AB$57,$AF$57,E1455=$AB$58,$AF$58,E1455=$AB$59,$AF$59,E1455=$AB$60,$AF$60,E1455=$AB$61,$AF$61,E1455=$AB$62,$AF$62,E1455=$AB$63,$AF$63,E1455=$AB$64,$AF$64,E1455=$AB$65,$AF$65,E1455=$AB$66,$AF$66,TRUE,"0")</f>
        <v>if 0-0, BACK+ 0.5 GOALS  @ 1.15+odds.  or @ 40 mins</v>
      </c>
      <c r="D1455" s="270" t="str" cm="1">
        <f t="array" ref="D1455">_xlfn.IFS(E1455=$AB$42,$AD$42,E1455=$AB$43,$AD$43,E1455=$AB$44,$AD$44,E1455=$AB$45,$AD$45,E1455=$AB$46,$AD$46,E1455=$AB$47,$AD$47,E1455=$AB$48,$AD$48,E1455=$AB$49,$AD$49,E1455=$AB$50,$AD$50,E1455=$AB$51,$AD$51,E1455=$AB$52,$AD$52,E1455=$AB$53,$AD$53,E1455=$AB$54,$AD$54,E1455=$AB$55,$AD$55,E1455=$AB$56,$AD$56,E1455=$AB$57,$AD$57,E1455=$AB$58,$AD$58,E1455=$AB$59,$AD$59,E1455=$AB$60,$AD$60,E1455=$AB$61,$AD$61,E1455=$AB$62,$AD$62,E1455=$AB$63,$AD$63,E1455=$AB$64,$AD$64,E1455=$AB$65,$AD$65,E1455=$AB$66,$AD$66,TRUE,"0")</f>
        <v>IP</v>
      </c>
      <c r="E1455" s="2" t="s">
        <v>270</v>
      </c>
      <c r="F1455" s="2" t="s">
        <v>296</v>
      </c>
      <c r="G1455" s="2" t="s">
        <v>525</v>
      </c>
      <c r="H1455" s="3">
        <v>45423.708333333336</v>
      </c>
      <c r="I1455" s="2" t="s">
        <v>731</v>
      </c>
      <c r="J1455" s="2" t="s">
        <v>526</v>
      </c>
      <c r="K1455" s="2">
        <v>72</v>
      </c>
      <c r="L1455" s="2">
        <v>0</v>
      </c>
      <c r="M1455" s="2">
        <v>20</v>
      </c>
      <c r="N1455" s="2">
        <v>45</v>
      </c>
      <c r="O1455" s="2">
        <v>0</v>
      </c>
      <c r="P1455" s="2"/>
      <c r="Q1455" s="2" t="s">
        <v>95</v>
      </c>
      <c r="R1455" s="10" t="s">
        <v>214</v>
      </c>
      <c r="S1455" s="10" t="s">
        <v>207</v>
      </c>
      <c r="T1455" s="188">
        <v>1000</v>
      </c>
      <c r="U1455" s="8">
        <f t="shared" si="159"/>
        <v>180</v>
      </c>
      <c r="V1455" s="234">
        <f t="shared" si="164"/>
        <v>150444.15524616028</v>
      </c>
      <c r="W1455" s="15">
        <v>25</v>
      </c>
      <c r="X1455" s="8">
        <f t="shared" si="162"/>
        <v>4.5</v>
      </c>
      <c r="Y1455" s="233">
        <f t="shared" si="163"/>
        <v>5627</v>
      </c>
    </row>
    <row r="1456" spans="1:25">
      <c r="A1456" s="156" t="e" cm="1">
        <f t="array" aca="1" ref="A1456" ca="1">_xlfn.IFS(E1456=$AB$42,$AC$42,E1456=$AB$43,$AC$43,E1456=$AB$44,$AC$44,E1456=$AB$45,$AC$45,E1456=$AB$46,$AC$46,E1456=$AB$47,$AC$47,E1456=$AB$48,$AC$48,E1456=$AB$49,$AC$49,E1456=$AB$50,$AC$50,E1456=$AB$51,$AC$51,E1456=$AB$52,$AC$52,E1456=$AB$53,$AC$53,E1456=$AB$54,$AC$54,E1456=$AB$55,$AC$55,E1456=$AB$56,$AC$56,E1456=$AB$57,$AC$57,E1456=$AB$58,$AC$58,E1456=$AB$59,$AC$59,E1456=$AB$60,$AC$60,E1456=$AB$61,$AC$61,E1456=$AB$62,$AC$62,E1456=$AB$63,$AC$63,E1456=$AB$64,$AC$64,E1456=$AB$65,$AC$65,E1456=$AB$66,$AC$66,TRUE,"0")</f>
        <v>#NAME?</v>
      </c>
      <c r="C1456" s="161" t="str" cm="1">
        <f t="array" ref="C1456">_xlfn.IFS(E1456=$AB$42,$AF$42,E1456=$AB$43,$AF$43,E1456=$AB$44,$AF$44,E1456=$AB$45,$AF$45,E1456=$AB$46,$AF$46,E1456=$AB$47,$AF$47,E1456=$AB$48,$AF$48,E1456=$AB$49,$AF$49,E1456=$AB$50,$AF$50,E1456=$AB$51,$AF$51,E1456=$AB$52,$AF$52,E1456=$AB$53,$AF$53,E1456=$AB$54,$AF$54,E1456=$AB$55,$AF$55,E1456=$AB$56,$AF$56,E1456=$AB$57,$AF$57,E1456=$AB$58,$AF$58,E1456=$AB$59,$AF$59,E1456=$AB$60,$AF$60,E1456=$AB$61,$AF$61,E1456=$AB$62,$AF$62,E1456=$AB$63,$AF$63,E1456=$AB$64,$AF$64,E1456=$AB$65,$AF$65,E1456=$AB$66,$AF$66,TRUE,"0")</f>
        <v>40 mins Back ANother Goal</v>
      </c>
      <c r="D1456" s="270" t="str" cm="1">
        <f t="array" ref="D1456">_xlfn.IFS(E1456=$AB$42,$AD$42,E1456=$AB$43,$AD$43,E1456=$AB$44,$AD$44,E1456=$AB$45,$AD$45,E1456=$AB$46,$AD$46,E1456=$AB$47,$AD$47,E1456=$AB$48,$AD$48,E1456=$AB$49,$AD$49,E1456=$AB$50,$AD$50,E1456=$AB$51,$AD$51,E1456=$AB$52,$AD$52,E1456=$AB$53,$AD$53,E1456=$AB$54,$AD$54,E1456=$AB$55,$AD$55,E1456=$AB$56,$AD$56,E1456=$AB$57,$AD$57,E1456=$AB$58,$AD$58,E1456=$AB$59,$AD$59,E1456=$AB$60,$AD$60,E1456=$AB$61,$AD$61,E1456=$AB$62,$AD$62,E1456=$AB$63,$AD$63,E1456=$AB$64,$AD$64,E1456=$AB$65,$AD$65,E1456=$AB$66,$AD$66,TRUE,"0")</f>
        <v xml:space="preserve">  BANG</v>
      </c>
      <c r="E1456" s="2" t="s">
        <v>792</v>
      </c>
      <c r="F1456" s="2" t="s">
        <v>6</v>
      </c>
      <c r="G1456" s="2" t="s">
        <v>62</v>
      </c>
      <c r="H1456" s="3">
        <v>45423.729166666664</v>
      </c>
      <c r="I1456" s="2" t="s">
        <v>264</v>
      </c>
      <c r="J1456" s="2" t="s">
        <v>65</v>
      </c>
      <c r="K1456" s="2">
        <v>2.25</v>
      </c>
      <c r="L1456" s="2">
        <v>100</v>
      </c>
      <c r="M1456" s="2">
        <v>65</v>
      </c>
      <c r="N1456" s="2">
        <v>63</v>
      </c>
      <c r="O1456" s="2">
        <v>20</v>
      </c>
      <c r="P1456" s="2"/>
      <c r="Q1456" s="2" t="s">
        <v>95</v>
      </c>
      <c r="R1456" s="10" t="s">
        <v>216</v>
      </c>
      <c r="S1456" s="10" t="s">
        <v>213</v>
      </c>
      <c r="T1456" s="188">
        <v>1000</v>
      </c>
      <c r="U1456" s="8">
        <f t="shared" si="159"/>
        <v>180</v>
      </c>
      <c r="V1456" s="234">
        <f t="shared" si="164"/>
        <v>150624.15524616028</v>
      </c>
      <c r="W1456" s="15">
        <v>25</v>
      </c>
      <c r="X1456" s="8">
        <f t="shared" si="162"/>
        <v>4.5</v>
      </c>
      <c r="Y1456" s="233">
        <f t="shared" si="163"/>
        <v>5631.5</v>
      </c>
    </row>
    <row r="1457" spans="1:25">
      <c r="A1457" s="156" t="e" cm="1">
        <f t="array" aca="1" ref="A1457" ca="1">_xlfn.IFS(E1457=$AB$42,$AC$42,E1457=$AB$43,$AC$43,E1457=$AB$44,$AC$44,E1457=$AB$45,$AC$45,E1457=$AB$46,$AC$46,E1457=$AB$47,$AC$47,E1457=$AB$48,$AC$48,E1457=$AB$49,$AC$49,E1457=$AB$50,$AC$50,E1457=$AB$51,$AC$51,E1457=$AB$52,$AC$52,E1457=$AB$53,$AC$53,E1457=$AB$54,$AC$54,E1457=$AB$55,$AC$55,E1457=$AB$56,$AC$56,E1457=$AB$57,$AC$57,E1457=$AB$58,$AC$58,E1457=$AB$59,$AC$59,E1457=$AB$60,$AC$60,E1457=$AB$61,$AC$61,E1457=$AB$62,$AC$62,E1457=$AB$63,$AC$63,E1457=$AB$64,$AC$64,E1457=$AB$65,$AC$65,E1457=$AB$66,$AC$66,TRUE,"0")</f>
        <v>#NAME?</v>
      </c>
      <c r="C1457" s="161" t="str" cm="1">
        <f t="array" ref="C1457">_xlfn.IFS(E1457=$AB$42,$AF$42,E1457=$AB$43,$AF$43,E1457=$AB$44,$AF$44,E1457=$AB$45,$AF$45,E1457=$AB$46,$AF$46,E1457=$AB$47,$AF$47,E1457=$AB$48,$AF$48,E1457=$AB$49,$AF$49,E1457=$AB$50,$AF$50,E1457=$AB$51,$AF$51,E1457=$AB$52,$AF$52,E1457=$AB$53,$AF$53,E1457=$AB$54,$AF$54,E1457=$AB$55,$AF$55,E1457=$AB$56,$AF$56,E1457=$AB$57,$AF$57,E1457=$AB$58,$AF$58,E1457=$AB$59,$AF$59,E1457=$AB$60,$AF$60,E1457=$AB$61,$AF$61,E1457=$AB$62,$AF$62,E1457=$AB$63,$AF$63,E1457=$AB$64,$AF$64,E1457=$AB$65,$AF$65,E1457=$AB$66,$AF$66,TRUE,"0")</f>
        <v>40 mins Back ANother Goal</v>
      </c>
      <c r="D1457" s="270" t="str" cm="1">
        <f t="array" ref="D1457">_xlfn.IFS(E1457=$AB$42,$AD$42,E1457=$AB$43,$AD$43,E1457=$AB$44,$AD$44,E1457=$AB$45,$AD$45,E1457=$AB$46,$AD$46,E1457=$AB$47,$AD$47,E1457=$AB$48,$AD$48,E1457=$AB$49,$AD$49,E1457=$AB$50,$AD$50,E1457=$AB$51,$AD$51,E1457=$AB$52,$AD$52,E1457=$AB$53,$AD$53,E1457=$AB$54,$AD$54,E1457=$AB$55,$AD$55,E1457=$AB$56,$AD$56,E1457=$AB$57,$AD$57,E1457=$AB$58,$AD$58,E1457=$AB$59,$AD$59,E1457=$AB$60,$AD$60,E1457=$AB$61,$AD$61,E1457=$AB$62,$AD$62,E1457=$AB$63,$AD$63,E1457=$AB$64,$AD$64,E1457=$AB$65,$AD$65,E1457=$AB$66,$AD$66,TRUE,"0")</f>
        <v xml:space="preserve">  BANG</v>
      </c>
      <c r="E1457" s="2" t="s">
        <v>726</v>
      </c>
      <c r="F1457" s="2" t="s">
        <v>6</v>
      </c>
      <c r="G1457" s="2" t="s">
        <v>62</v>
      </c>
      <c r="H1457" s="3">
        <v>45423.729166666664</v>
      </c>
      <c r="I1457" s="2" t="s">
        <v>264</v>
      </c>
      <c r="J1457" s="2" t="s">
        <v>65</v>
      </c>
      <c r="K1457" s="2">
        <v>100</v>
      </c>
      <c r="L1457" s="2">
        <v>20</v>
      </c>
      <c r="M1457" s="2">
        <v>2.25</v>
      </c>
      <c r="N1457" s="2">
        <v>63</v>
      </c>
      <c r="O1457" s="2"/>
      <c r="P1457" s="2"/>
      <c r="Q1457" s="2" t="s">
        <v>95</v>
      </c>
      <c r="R1457" s="10" t="s">
        <v>216</v>
      </c>
      <c r="S1457" s="10" t="s">
        <v>213</v>
      </c>
      <c r="T1457" s="188">
        <v>1000</v>
      </c>
      <c r="U1457" s="8">
        <f t="shared" si="159"/>
        <v>180</v>
      </c>
      <c r="V1457" s="234">
        <f t="shared" si="164"/>
        <v>150804.15524616028</v>
      </c>
      <c r="W1457" s="15">
        <v>25</v>
      </c>
      <c r="X1457" s="8">
        <f t="shared" si="162"/>
        <v>4.5</v>
      </c>
      <c r="Y1457" s="233">
        <f t="shared" si="163"/>
        <v>5636</v>
      </c>
    </row>
    <row r="1458" spans="1:25">
      <c r="A1458" s="156" t="e" cm="1">
        <f t="array" aca="1" ref="A1458" ca="1">_xlfn.IFS(E1458=$AB$42,$AC$42,E1458=$AB$43,$AC$43,E1458=$AB$44,$AC$44,E1458=$AB$45,$AC$45,E1458=$AB$46,$AC$46,E1458=$AB$47,$AC$47,E1458=$AB$48,$AC$48,E1458=$AB$49,$AC$49,E1458=$AB$50,$AC$50,E1458=$AB$51,$AC$51,E1458=$AB$52,$AC$52,E1458=$AB$53,$AC$53,E1458=$AB$54,$AC$54,E1458=$AB$55,$AC$55,E1458=$AB$56,$AC$56,E1458=$AB$57,$AC$57,E1458=$AB$58,$AC$58,E1458=$AB$59,$AC$59,E1458=$AB$60,$AC$60,E1458=$AB$61,$AC$61,E1458=$AB$62,$AC$62,E1458=$AB$63,$AC$63,E1458=$AB$64,$AC$64,E1458=$AB$65,$AC$65,E1458=$AB$66,$AC$66,TRUE,"0")</f>
        <v>#NAME?</v>
      </c>
      <c r="C1458" s="161" t="str" cm="1">
        <f t="array" ref="C1458">_xlfn.IFS(E1458=$AB$42,$AF$42,E1458=$AB$43,$AF$43,E1458=$AB$44,$AF$44,E1458=$AB$45,$AF$45,E1458=$AB$46,$AF$46,E1458=$AB$47,$AF$47,E1458=$AB$48,$AF$48,E1458=$AB$49,$AF$49,E1458=$AB$50,$AF$50,E1458=$AB$51,$AF$51,E1458=$AB$52,$AF$52,E1458=$AB$53,$AF$53,E1458=$AB$54,$AF$54,E1458=$AB$55,$AF$55,E1458=$AB$56,$AF$56,E1458=$AB$57,$AF$57,E1458=$AB$58,$AF$58,E1458=$AB$59,$AF$59,E1458=$AB$60,$AF$60,E1458=$AB$61,$AF$61,E1458=$AB$62,$AF$62,E1458=$AB$63,$AF$63,E1458=$AB$64,$AF$64,E1458=$AB$65,$AF$65,E1458=$AB$66,$AF$66,TRUE,"0")</f>
        <v>if 0-0, BACK+ 0.5 GOALS  @ 1.15+odds.  or @ 40 mins</v>
      </c>
      <c r="D1458" s="270" t="str" cm="1">
        <f t="array" ref="D1458">_xlfn.IFS(E1458=$AB$42,$AD$42,E1458=$AB$43,$AD$43,E1458=$AB$44,$AD$44,E1458=$AB$45,$AD$45,E1458=$AB$46,$AD$46,E1458=$AB$47,$AD$47,E1458=$AB$48,$AD$48,E1458=$AB$49,$AD$49,E1458=$AB$50,$AD$50,E1458=$AB$51,$AD$51,E1458=$AB$52,$AD$52,E1458=$AB$53,$AD$53,E1458=$AB$54,$AD$54,E1458=$AB$55,$AD$55,E1458=$AB$56,$AD$56,E1458=$AB$57,$AD$57,E1458=$AB$58,$AD$58,E1458=$AB$59,$AD$59,E1458=$AB$60,$AD$60,E1458=$AB$61,$AD$61,E1458=$AB$62,$AD$62,E1458=$AB$63,$AD$63,E1458=$AB$64,$AD$64,E1458=$AB$65,$AD$65,E1458=$AB$66,$AD$66,TRUE,"0")</f>
        <v>IP</v>
      </c>
      <c r="E1458" s="2" t="s">
        <v>270</v>
      </c>
      <c r="F1458" s="2" t="s">
        <v>6</v>
      </c>
      <c r="G1458" s="2" t="s">
        <v>62</v>
      </c>
      <c r="H1458" s="3">
        <v>45423.729166666664</v>
      </c>
      <c r="I1458" s="2" t="s">
        <v>264</v>
      </c>
      <c r="J1458" s="2" t="s">
        <v>65</v>
      </c>
      <c r="K1458" s="2">
        <v>65</v>
      </c>
      <c r="L1458" s="2">
        <v>0</v>
      </c>
      <c r="M1458" s="2">
        <v>20</v>
      </c>
      <c r="N1458" s="2">
        <v>34</v>
      </c>
      <c r="O1458" s="2">
        <v>2.78</v>
      </c>
      <c r="P1458" s="2"/>
      <c r="Q1458" s="2" t="s">
        <v>95</v>
      </c>
      <c r="R1458" s="10" t="s">
        <v>216</v>
      </c>
      <c r="S1458" s="10" t="s">
        <v>213</v>
      </c>
      <c r="T1458" s="188">
        <v>1000</v>
      </c>
      <c r="U1458" s="8">
        <f t="shared" si="159"/>
        <v>180</v>
      </c>
      <c r="V1458" s="234">
        <f t="shared" si="164"/>
        <v>150984.15524616028</v>
      </c>
      <c r="W1458" s="15">
        <v>25</v>
      </c>
      <c r="X1458" s="8">
        <f t="shared" si="162"/>
        <v>4.5</v>
      </c>
      <c r="Y1458" s="233">
        <f t="shared" si="163"/>
        <v>5640.5</v>
      </c>
    </row>
    <row r="1459" spans="1:25">
      <c r="A1459" s="156" t="e" cm="1">
        <f t="array" aca="1" ref="A1459" ca="1">_xlfn.IFS(E1459=$AB$42,$AC$42,E1459=$AB$43,$AC$43,E1459=$AB$44,$AC$44,E1459=$AB$45,$AC$45,E1459=$AB$46,$AC$46,E1459=$AB$47,$AC$47,E1459=$AB$48,$AC$48,E1459=$AB$49,$AC$49,E1459=$AB$50,$AC$50,E1459=$AB$51,$AC$51,E1459=$AB$52,$AC$52,E1459=$AB$53,$AC$53,E1459=$AB$54,$AC$54,E1459=$AB$55,$AC$55,E1459=$AB$56,$AC$56,E1459=$AB$57,$AC$57,E1459=$AB$58,$AC$58,E1459=$AB$59,$AC$59,E1459=$AB$60,$AC$60,E1459=$AB$61,$AC$61,E1459=$AB$62,$AC$62,E1459=$AB$63,$AC$63,E1459=$AB$64,$AC$64,E1459=$AB$65,$AC$65,E1459=$AB$66,$AC$66,TRUE,"0")</f>
        <v>#NAME?</v>
      </c>
      <c r="C1459" s="161" t="str" cm="1">
        <f t="array" ref="C1459">_xlfn.IFS(E1459=$AB$42,$AF$42,E1459=$AB$43,$AF$43,E1459=$AB$44,$AF$44,E1459=$AB$45,$AF$45,E1459=$AB$46,$AF$46,E1459=$AB$47,$AF$47,E1459=$AB$48,$AF$48,E1459=$AB$49,$AF$49,E1459=$AB$50,$AF$50,E1459=$AB$51,$AF$51,E1459=$AB$52,$AF$52,E1459=$AB$53,$AF$53,E1459=$AB$54,$AF$54,E1459=$AB$55,$AF$55,E1459=$AB$56,$AF$56,E1459=$AB$57,$AF$57,E1459=$AB$58,$AF$58,E1459=$AB$59,$AF$59,E1459=$AB$60,$AF$60,E1459=$AB$61,$AF$61,E1459=$AB$62,$AF$62,E1459=$AB$63,$AF$63,E1459=$AB$64,$AF$64,E1459=$AB$65,$AF$65,E1459=$AB$66,$AF$66,TRUE,"0")</f>
        <v>B4 match BACK FT +1.5 goals. X AFTER  GOAL</v>
      </c>
      <c r="D1459" s="270" t="str" cm="1">
        <f t="array" ref="D1459">_xlfn.IFS(E1459=$AB$42,$AD$42,E1459=$AB$43,$AD$43,E1459=$AB$44,$AD$44,E1459=$AB$45,$AD$45,E1459=$AB$46,$AD$46,E1459=$AB$47,$AD$47,E1459=$AB$48,$AD$48,E1459=$AB$49,$AD$49,E1459=$AB$50,$AD$50,E1459=$AB$51,$AD$51,E1459=$AB$52,$AD$52,E1459=$AB$53,$AD$53,E1459=$AB$54,$AD$54,E1459=$AB$55,$AD$55,E1459=$AB$56,$AD$56,E1459=$AB$57,$AD$57,E1459=$AB$58,$AD$58,E1459=$AB$59,$AD$59,E1459=$AB$60,$AD$60,E1459=$AB$61,$AD$61,E1459=$AB$62,$AD$62,E1459=$AB$63,$AD$63,E1459=$AB$64,$AD$64,E1459=$AB$65,$AD$65,E1459=$AB$66,$AD$66,TRUE,"0")</f>
        <v xml:space="preserve">BFM </v>
      </c>
      <c r="E1459" s="2" t="s">
        <v>531</v>
      </c>
      <c r="F1459" s="2" t="s">
        <v>58</v>
      </c>
      <c r="G1459" s="2" t="s">
        <v>59</v>
      </c>
      <c r="H1459" s="3">
        <v>45423.75</v>
      </c>
      <c r="I1459" s="2" t="s">
        <v>105</v>
      </c>
      <c r="J1459" s="2" t="s">
        <v>125</v>
      </c>
      <c r="K1459" s="2">
        <v>5.2</v>
      </c>
      <c r="L1459" s="2">
        <v>32</v>
      </c>
      <c r="M1459" s="2">
        <v>3.06</v>
      </c>
      <c r="N1459" s="2">
        <v>29</v>
      </c>
      <c r="O1459" s="2">
        <v>2</v>
      </c>
      <c r="P1459" s="2">
        <v>16</v>
      </c>
      <c r="Q1459" s="2" t="s">
        <v>95</v>
      </c>
      <c r="R1459" s="10" t="s">
        <v>221</v>
      </c>
      <c r="S1459" s="10" t="s">
        <v>193</v>
      </c>
      <c r="T1459" s="188">
        <v>1000</v>
      </c>
      <c r="U1459" s="8">
        <f t="shared" si="159"/>
        <v>180</v>
      </c>
      <c r="V1459" s="234">
        <f t="shared" si="164"/>
        <v>151164.15524616028</v>
      </c>
      <c r="W1459" s="15">
        <v>25</v>
      </c>
      <c r="X1459" s="8">
        <f t="shared" si="162"/>
        <v>4.5</v>
      </c>
      <c r="Y1459" s="233">
        <f t="shared" si="163"/>
        <v>5645</v>
      </c>
    </row>
    <row r="1460" spans="1:25">
      <c r="A1460" s="156" t="e" cm="1">
        <f t="array" aca="1" ref="A1460" ca="1">_xlfn.IFS(E1460=$AB$42,$AC$42,E1460=$AB$43,$AC$43,E1460=$AB$44,$AC$44,E1460=$AB$45,$AC$45,E1460=$AB$46,$AC$46,E1460=$AB$47,$AC$47,E1460=$AB$48,$AC$48,E1460=$AB$49,$AC$49,E1460=$AB$50,$AC$50,E1460=$AB$51,$AC$51,E1460=$AB$52,$AC$52,E1460=$AB$53,$AC$53,E1460=$AB$54,$AC$54,E1460=$AB$55,$AC$55,E1460=$AB$56,$AC$56,E1460=$AB$57,$AC$57,E1460=$AB$58,$AC$58,E1460=$AB$59,$AC$59,E1460=$AB$60,$AC$60,E1460=$AB$61,$AC$61,E1460=$AB$62,$AC$62,E1460=$AB$63,$AC$63,E1460=$AB$64,$AC$64,E1460=$AB$65,$AC$65,E1460=$AB$66,$AC$66,TRUE,"0")</f>
        <v>#NAME?</v>
      </c>
      <c r="C1460" s="161" t="str" cm="1">
        <f t="array" ref="C1460">_xlfn.IFS(E1460=$AB$42,$AF$42,E1460=$AB$43,$AF$43,E1460=$AB$44,$AF$44,E1460=$AB$45,$AF$45,E1460=$AB$46,$AF$46,E1460=$AB$47,$AF$47,E1460=$AB$48,$AF$48,E1460=$AB$49,$AF$49,E1460=$AB$50,$AF$50,E1460=$AB$51,$AF$51,E1460=$AB$52,$AF$52,E1460=$AB$53,$AF$53,E1460=$AB$54,$AF$54,E1460=$AB$55,$AF$55,E1460=$AB$56,$AF$56,E1460=$AB$57,$AF$57,E1460=$AB$58,$AF$58,E1460=$AB$59,$AF$59,E1460=$AB$60,$AF$60,E1460=$AB$61,$AF$61,E1460=$AB$62,$AF$62,E1460=$AB$63,$AF$63,E1460=$AB$64,$AF$64,E1460=$AB$65,$AF$65,E1460=$AB$66,$AF$66,TRUE,"0")</f>
        <v>AT HT IF 0-0 BACK +0.5 GOALS</v>
      </c>
      <c r="D1460" s="270" t="str" cm="1">
        <f t="array" ref="D1460">_xlfn.IFS(E1460=$AB$42,$AD$42,E1460=$AB$43,$AD$43,E1460=$AB$44,$AD$44,E1460=$AB$45,$AD$45,E1460=$AB$46,$AD$46,E1460=$AB$47,$AD$47,E1460=$AB$48,$AD$48,E1460=$AB$49,$AD$49,E1460=$AB$50,$AD$50,E1460=$AB$51,$AD$51,E1460=$AB$52,$AD$52,E1460=$AB$53,$AD$53,E1460=$AB$54,$AD$54,E1460=$AB$55,$AD$55,E1460=$AB$56,$AD$56,E1460=$AB$57,$AD$57,E1460=$AB$58,$AD$58,E1460=$AB$59,$AD$59,E1460=$AB$60,$AD$60,E1460=$AB$61,$AD$61,E1460=$AB$62,$AD$62,E1460=$AB$63,$AD$63,E1460=$AB$64,$AD$64,E1460=$AB$65,$AD$65,E1460=$AB$66,$AD$66,TRUE,"0")</f>
        <v>IP</v>
      </c>
      <c r="E1460" s="2" t="s">
        <v>514</v>
      </c>
      <c r="F1460" s="2" t="s">
        <v>58</v>
      </c>
      <c r="G1460" s="2" t="s">
        <v>59</v>
      </c>
      <c r="H1460" s="3">
        <v>45423.75</v>
      </c>
      <c r="I1460" s="2" t="s">
        <v>105</v>
      </c>
      <c r="J1460" s="2" t="s">
        <v>125</v>
      </c>
      <c r="K1460" s="2">
        <v>0</v>
      </c>
      <c r="L1460" s="2">
        <v>5.2</v>
      </c>
      <c r="M1460" s="2">
        <v>0</v>
      </c>
      <c r="N1460" s="2">
        <v>20</v>
      </c>
      <c r="O1460" s="2">
        <v>15</v>
      </c>
      <c r="P1460" s="2">
        <v>28</v>
      </c>
      <c r="Q1460" s="2" t="s">
        <v>95</v>
      </c>
      <c r="R1460" s="10" t="s">
        <v>221</v>
      </c>
      <c r="S1460" s="10" t="s">
        <v>193</v>
      </c>
      <c r="T1460" s="188">
        <v>1000</v>
      </c>
      <c r="U1460" s="8">
        <f t="shared" si="159"/>
        <v>180</v>
      </c>
      <c r="V1460" s="234">
        <f t="shared" si="164"/>
        <v>151344.15524616028</v>
      </c>
      <c r="W1460" s="15">
        <v>25</v>
      </c>
      <c r="X1460" s="8">
        <f t="shared" si="162"/>
        <v>4.5</v>
      </c>
      <c r="Y1460" s="233">
        <f t="shared" si="163"/>
        <v>5649.5</v>
      </c>
    </row>
    <row r="1461" spans="1:25">
      <c r="A1461" s="156" t="e" cm="1">
        <f t="array" aca="1" ref="A1461" ca="1">_xlfn.IFS(E1461=$AB$42,$AC$42,E1461=$AB$43,$AC$43,E1461=$AB$44,$AC$44,E1461=$AB$45,$AC$45,E1461=$AB$46,$AC$46,E1461=$AB$47,$AC$47,E1461=$AB$48,$AC$48,E1461=$AB$49,$AC$49,E1461=$AB$50,$AC$50,E1461=$AB$51,$AC$51,E1461=$AB$52,$AC$52,E1461=$AB$53,$AC$53,E1461=$AB$54,$AC$54,E1461=$AB$55,$AC$55,E1461=$AB$56,$AC$56,E1461=$AB$57,$AC$57,E1461=$AB$58,$AC$58,E1461=$AB$59,$AC$59,E1461=$AB$60,$AC$60,E1461=$AB$61,$AC$61,E1461=$AB$62,$AC$62,E1461=$AB$63,$AC$63,E1461=$AB$64,$AC$64,E1461=$AB$65,$AC$65,E1461=$AB$66,$AC$66,TRUE,"0")</f>
        <v>#NAME?</v>
      </c>
      <c r="C1461" s="161" t="str" cm="1">
        <f t="array" ref="C1461">_xlfn.IFS(E1461=$AB$42,$AF$42,E1461=$AB$43,$AF$43,E1461=$AB$44,$AF$44,E1461=$AB$45,$AF$45,E1461=$AB$46,$AF$46,E1461=$AB$47,$AF$47,E1461=$AB$48,$AF$48,E1461=$AB$49,$AF$49,E1461=$AB$50,$AF$50,E1461=$AB$51,$AF$51,E1461=$AB$52,$AF$52,E1461=$AB$53,$AF$53,E1461=$AB$54,$AF$54,E1461=$AB$55,$AF$55,E1461=$AB$56,$AF$56,E1461=$AB$57,$AF$57,E1461=$AB$58,$AF$58,E1461=$AB$59,$AF$59,E1461=$AB$60,$AF$60,E1461=$AB$61,$AF$61,E1461=$AB$62,$AF$62,E1461=$AB$63,$AF$63,E1461=$AB$64,$AF$64,E1461=$AB$65,$AF$65,E1461=$AB$66,$AF$66,TRUE,"0")</f>
        <v>20mins if  0-0, BACK over 1.5 goals X after goal OR LET RUN</v>
      </c>
      <c r="D1461" s="270" t="str" cm="1">
        <f t="array" ref="D1461">_xlfn.IFS(E1461=$AB$42,$AD$42,E1461=$AB$43,$AD$43,E1461=$AB$44,$AD$44,E1461=$AB$45,$AD$45,E1461=$AB$46,$AD$46,E1461=$AB$47,$AD$47,E1461=$AB$48,$AD$48,E1461=$AB$49,$AD$49,E1461=$AB$50,$AD$50,E1461=$AB$51,$AD$51,E1461=$AB$52,$AD$52,E1461=$AB$53,$AD$53,E1461=$AB$54,$AD$54,E1461=$AB$55,$AD$55,E1461=$AB$56,$AD$56,E1461=$AB$57,$AD$57,E1461=$AB$58,$AD$58,E1461=$AB$59,$AD$59,E1461=$AB$60,$AD$60,E1461=$AB$61,$AD$61,E1461=$AB$62,$AD$62,E1461=$AB$63,$AD$63,E1461=$AB$64,$AD$64,E1461=$AB$65,$AD$65,E1461=$AB$66,$AD$66,TRUE,"0")</f>
        <v>IP</v>
      </c>
      <c r="E1461" s="2" t="s">
        <v>474</v>
      </c>
      <c r="F1461" s="2" t="s">
        <v>133</v>
      </c>
      <c r="G1461" s="2" t="s">
        <v>78</v>
      </c>
      <c r="H1461" s="3">
        <v>45423.75</v>
      </c>
      <c r="I1461" s="2" t="s">
        <v>789</v>
      </c>
      <c r="J1461" s="2" t="s">
        <v>427</v>
      </c>
      <c r="K1461" s="2">
        <v>50</v>
      </c>
      <c r="L1461" s="2">
        <v>3</v>
      </c>
      <c r="M1461" s="2">
        <v>20</v>
      </c>
      <c r="N1461" s="2">
        <v>65</v>
      </c>
      <c r="O1461" s="2">
        <v>95</v>
      </c>
      <c r="P1461" s="2"/>
      <c r="Q1461" s="2" t="s">
        <v>95</v>
      </c>
      <c r="R1461" s="10" t="s">
        <v>221</v>
      </c>
      <c r="S1461" s="10" t="s">
        <v>220</v>
      </c>
      <c r="T1461" s="188">
        <v>1000</v>
      </c>
      <c r="U1461" s="8">
        <f t="shared" si="159"/>
        <v>180</v>
      </c>
      <c r="V1461" s="234">
        <f t="shared" si="164"/>
        <v>151524.15524616028</v>
      </c>
      <c r="W1461" s="15">
        <v>25</v>
      </c>
      <c r="X1461" s="8">
        <f t="shared" si="162"/>
        <v>4.5</v>
      </c>
      <c r="Y1461" s="233">
        <f t="shared" si="163"/>
        <v>5654</v>
      </c>
    </row>
    <row r="1462" spans="1:25">
      <c r="A1462" s="156" t="e" cm="1">
        <f t="array" aca="1" ref="A1462" ca="1">_xlfn.IFS(E1462=$AB$42,$AC$42,E1462=$AB$43,$AC$43,E1462=$AB$44,$AC$44,E1462=$AB$45,$AC$45,E1462=$AB$46,$AC$46,E1462=$AB$47,$AC$47,E1462=$AB$48,$AC$48,E1462=$AB$49,$AC$49,E1462=$AB$50,$AC$50,E1462=$AB$51,$AC$51,E1462=$AB$52,$AC$52,E1462=$AB$53,$AC$53,E1462=$AB$54,$AC$54,E1462=$AB$55,$AC$55,E1462=$AB$56,$AC$56,E1462=$AB$57,$AC$57,E1462=$AB$58,$AC$58,E1462=$AB$59,$AC$59,E1462=$AB$60,$AC$60,E1462=$AB$61,$AC$61,E1462=$AB$62,$AC$62,E1462=$AB$63,$AC$63,E1462=$AB$64,$AC$64,E1462=$AB$65,$AC$65,E1462=$AB$66,$AC$66,TRUE,"0")</f>
        <v>#NAME?</v>
      </c>
      <c r="C1462" s="161" t="str" cm="1">
        <f t="array" ref="C1462">_xlfn.IFS(E1462=$AB$42,$AF$42,E1462=$AB$43,$AF$43,E1462=$AB$44,$AF$44,E1462=$AB$45,$AF$45,E1462=$AB$46,$AF$46,E1462=$AB$47,$AF$47,E1462=$AB$48,$AF$48,E1462=$AB$49,$AF$49,E1462=$AB$50,$AF$50,E1462=$AB$51,$AF$51,E1462=$AB$52,$AF$52,E1462=$AB$53,$AF$53,E1462=$AB$54,$AF$54,E1462=$AB$55,$AF$55,E1462=$AB$56,$AF$56,E1462=$AB$57,$AF$57,E1462=$AB$58,$AF$58,E1462=$AB$59,$AF$59,E1462=$AB$60,$AF$60,E1462=$AB$61,$AF$61,E1462=$AB$62,$AF$62,E1462=$AB$63,$AF$63,E1462=$AB$64,$AF$64,E1462=$AB$65,$AF$65,E1462=$AB$66,$AF$66,TRUE,"0")</f>
        <v>40 mins Back ANother Goal</v>
      </c>
      <c r="D1462" s="270" t="str" cm="1">
        <f t="array" ref="D1462">_xlfn.IFS(E1462=$AB$42,$AD$42,E1462=$AB$43,$AD$43,E1462=$AB$44,$AD$44,E1462=$AB$45,$AD$45,E1462=$AB$46,$AD$46,E1462=$AB$47,$AD$47,E1462=$AB$48,$AD$48,E1462=$AB$49,$AD$49,E1462=$AB$50,$AD$50,E1462=$AB$51,$AD$51,E1462=$AB$52,$AD$52,E1462=$AB$53,$AD$53,E1462=$AB$54,$AD$54,E1462=$AB$55,$AD$55,E1462=$AB$56,$AD$56,E1462=$AB$57,$AD$57,E1462=$AB$58,$AD$58,E1462=$AB$59,$AD$59,E1462=$AB$60,$AD$60,E1462=$AB$61,$AD$61,E1462=$AB$62,$AD$62,E1462=$AB$63,$AD$63,E1462=$AB$64,$AD$64,E1462=$AB$65,$AD$65,E1462=$AB$66,$AD$66,TRUE,"0")</f>
        <v xml:space="preserve">  BANG</v>
      </c>
      <c r="E1462" s="2" t="s">
        <v>726</v>
      </c>
      <c r="F1462" s="2" t="s">
        <v>77</v>
      </c>
      <c r="G1462" s="2" t="s">
        <v>234</v>
      </c>
      <c r="H1462" s="3">
        <v>45423.8125</v>
      </c>
      <c r="I1462" s="2" t="s">
        <v>235</v>
      </c>
      <c r="J1462" s="2" t="s">
        <v>632</v>
      </c>
      <c r="K1462" s="2">
        <v>95</v>
      </c>
      <c r="L1462" s="2">
        <v>20</v>
      </c>
      <c r="M1462" s="2">
        <v>2.15</v>
      </c>
      <c r="N1462" s="2">
        <v>59</v>
      </c>
      <c r="O1462" s="2"/>
      <c r="P1462" s="2"/>
      <c r="Q1462" s="2" t="s">
        <v>95</v>
      </c>
      <c r="R1462" s="10" t="s">
        <v>214</v>
      </c>
      <c r="S1462" s="10" t="s">
        <v>216</v>
      </c>
      <c r="T1462" s="188">
        <v>1000</v>
      </c>
      <c r="U1462" s="8">
        <f t="shared" si="159"/>
        <v>180</v>
      </c>
      <c r="V1462" s="234">
        <f t="shared" si="164"/>
        <v>151704.15524616028</v>
      </c>
      <c r="W1462" s="15">
        <v>25</v>
      </c>
      <c r="X1462" s="8">
        <f t="shared" si="162"/>
        <v>4.5</v>
      </c>
      <c r="Y1462" s="233">
        <f t="shared" si="163"/>
        <v>5658.5</v>
      </c>
    </row>
    <row r="1463" spans="1:25">
      <c r="A1463" s="156" t="e" cm="1">
        <f t="array" aca="1" ref="A1463" ca="1">_xlfn.IFS(E1463=$AB$42,$AC$42,E1463=$AB$43,$AC$43,E1463=$AB$44,$AC$44,E1463=$AB$45,$AC$45,E1463=$AB$46,$AC$46,E1463=$AB$47,$AC$47,E1463=$AB$48,$AC$48,E1463=$AB$49,$AC$49,E1463=$AB$50,$AC$50,E1463=$AB$51,$AC$51,E1463=$AB$52,$AC$52,E1463=$AB$53,$AC$53,E1463=$AB$54,$AC$54,E1463=$AB$55,$AC$55,E1463=$AB$56,$AC$56,E1463=$AB$57,$AC$57,E1463=$AB$58,$AC$58,E1463=$AB$59,$AC$59,E1463=$AB$60,$AC$60,E1463=$AB$61,$AC$61,E1463=$AB$62,$AC$62,E1463=$AB$63,$AC$63,E1463=$AB$64,$AC$64,E1463=$AB$65,$AC$65,E1463=$AB$66,$AC$66,TRUE,"0")</f>
        <v>#NAME?</v>
      </c>
      <c r="C1463" s="161" t="str" cm="1">
        <f t="array" ref="C1463">_xlfn.IFS(E1463=$AB$42,$AF$42,E1463=$AB$43,$AF$43,E1463=$AB$44,$AF$44,E1463=$AB$45,$AF$45,E1463=$AB$46,$AF$46,E1463=$AB$47,$AF$47,E1463=$AB$48,$AF$48,E1463=$AB$49,$AF$49,E1463=$AB$50,$AF$50,E1463=$AB$51,$AF$51,E1463=$AB$52,$AF$52,E1463=$AB$53,$AF$53,E1463=$AB$54,$AF$54,E1463=$AB$55,$AF$55,E1463=$AB$56,$AF$56,E1463=$AB$57,$AF$57,E1463=$AB$58,$AF$58,E1463=$AB$59,$AF$59,E1463=$AB$60,$AF$60,E1463=$AB$61,$AF$61,E1463=$AB$62,$AF$62,E1463=$AB$63,$AF$63,E1463=$AB$64,$AF$64,E1463=$AB$65,$AF$65,E1463=$AB$66,$AF$66,TRUE,"0")</f>
        <v>if 0-0, BACK+ 0.5 GOALS  @ 1.15+odds.  or @ 40 mins</v>
      </c>
      <c r="D1463" s="270" t="str" cm="1">
        <f t="array" ref="D1463">_xlfn.IFS(E1463=$AB$42,$AD$42,E1463=$AB$43,$AD$43,E1463=$AB$44,$AD$44,E1463=$AB$45,$AD$45,E1463=$AB$46,$AD$46,E1463=$AB$47,$AD$47,E1463=$AB$48,$AD$48,E1463=$AB$49,$AD$49,E1463=$AB$50,$AD$50,E1463=$AB$51,$AD$51,E1463=$AB$52,$AD$52,E1463=$AB$53,$AD$53,E1463=$AB$54,$AD$54,E1463=$AB$55,$AD$55,E1463=$AB$56,$AD$56,E1463=$AB$57,$AD$57,E1463=$AB$58,$AD$58,E1463=$AB$59,$AD$59,E1463=$AB$60,$AD$60,E1463=$AB$61,$AD$61,E1463=$AB$62,$AD$62,E1463=$AB$63,$AD$63,E1463=$AB$64,$AD$64,E1463=$AB$65,$AD$65,E1463=$AB$66,$AD$66,TRUE,"0")</f>
        <v>IP</v>
      </c>
      <c r="E1463" s="2" t="s">
        <v>270</v>
      </c>
      <c r="F1463" s="2" t="s">
        <v>296</v>
      </c>
      <c r="G1463" s="2" t="s">
        <v>78</v>
      </c>
      <c r="H1463" s="3">
        <v>45423.8125</v>
      </c>
      <c r="I1463" s="2" t="s">
        <v>652</v>
      </c>
      <c r="J1463" s="2" t="s">
        <v>368</v>
      </c>
      <c r="K1463" s="2">
        <v>60</v>
      </c>
      <c r="L1463" s="2">
        <v>0</v>
      </c>
      <c r="M1463" s="2">
        <v>20</v>
      </c>
      <c r="N1463" s="2">
        <v>35</v>
      </c>
      <c r="O1463" s="2">
        <v>2.81</v>
      </c>
      <c r="P1463" s="2"/>
      <c r="Q1463" s="2" t="s">
        <v>95</v>
      </c>
      <c r="R1463" s="10" t="s">
        <v>193</v>
      </c>
      <c r="S1463" s="10" t="s">
        <v>193</v>
      </c>
      <c r="T1463" s="188">
        <v>1000</v>
      </c>
      <c r="U1463" s="8">
        <f t="shared" si="159"/>
        <v>180</v>
      </c>
      <c r="V1463" s="234">
        <f t="shared" si="164"/>
        <v>151884.15524616028</v>
      </c>
      <c r="W1463" s="15">
        <v>25</v>
      </c>
      <c r="X1463" s="8">
        <f t="shared" si="162"/>
        <v>4.5</v>
      </c>
      <c r="Y1463" s="233">
        <f t="shared" si="163"/>
        <v>5663</v>
      </c>
    </row>
    <row r="1464" spans="1:25">
      <c r="A1464" s="156" t="e" cm="1">
        <f t="array" aca="1" ref="A1464" ca="1">_xlfn.IFS(E1464=$AB$42,$AC$42,E1464=$AB$43,$AC$43,E1464=$AB$44,$AC$44,E1464=$AB$45,$AC$45,E1464=$AB$46,$AC$46,E1464=$AB$47,$AC$47,E1464=$AB$48,$AC$48,E1464=$AB$49,$AC$49,E1464=$AB$50,$AC$50,E1464=$AB$51,$AC$51,E1464=$AB$52,$AC$52,E1464=$AB$53,$AC$53,E1464=$AB$54,$AC$54,E1464=$AB$55,$AC$55,E1464=$AB$56,$AC$56,E1464=$AB$57,$AC$57,E1464=$AB$58,$AC$58,E1464=$AB$59,$AC$59,E1464=$AB$60,$AC$60,E1464=$AB$61,$AC$61,E1464=$AB$62,$AC$62,E1464=$AB$63,$AC$63,E1464=$AB$64,$AC$64,E1464=$AB$65,$AC$65,E1464=$AB$66,$AC$66,TRUE,"0")</f>
        <v>#NAME?</v>
      </c>
      <c r="C1464" s="161" t="str" cm="1">
        <f t="array" ref="C1464">_xlfn.IFS(E1464=$AB$42,$AF$42,E1464=$AB$43,$AF$43,E1464=$AB$44,$AF$44,E1464=$AB$45,$AF$45,E1464=$AB$46,$AF$46,E1464=$AB$47,$AF$47,E1464=$AB$48,$AF$48,E1464=$AB$49,$AF$49,E1464=$AB$50,$AF$50,E1464=$AB$51,$AF$51,E1464=$AB$52,$AF$52,E1464=$AB$53,$AF$53,E1464=$AB$54,$AF$54,E1464=$AB$55,$AF$55,E1464=$AB$56,$AF$56,E1464=$AB$57,$AF$57,E1464=$AB$58,$AF$58,E1464=$AB$59,$AF$59,E1464=$AB$60,$AF$60,E1464=$AB$61,$AF$61,E1464=$AB$62,$AF$62,E1464=$AB$63,$AF$63,E1464=$AB$64,$AF$64,E1464=$AB$65,$AF$65,E1464=$AB$66,$AF$66,TRUE,"0")</f>
        <v>B4 match BACK FT +1.5 goals. X AFTER  GOAL</v>
      </c>
      <c r="D1464" s="270" t="str" cm="1">
        <f t="array" ref="D1464">_xlfn.IFS(E1464=$AB$42,$AD$42,E1464=$AB$43,$AD$43,E1464=$AB$44,$AD$44,E1464=$AB$45,$AD$45,E1464=$AB$46,$AD$46,E1464=$AB$47,$AD$47,E1464=$AB$48,$AD$48,E1464=$AB$49,$AD$49,E1464=$AB$50,$AD$50,E1464=$AB$51,$AD$51,E1464=$AB$52,$AD$52,E1464=$AB$53,$AD$53,E1464=$AB$54,$AD$54,E1464=$AB$55,$AD$55,E1464=$AB$56,$AD$56,E1464=$AB$57,$AD$57,E1464=$AB$58,$AD$58,E1464=$AB$59,$AD$59,E1464=$AB$60,$AD$60,E1464=$AB$61,$AD$61,E1464=$AB$62,$AD$62,E1464=$AB$63,$AD$63,E1464=$AB$64,$AD$64,E1464=$AB$65,$AD$65,E1464=$AB$66,$AD$66,TRUE,"0")</f>
        <v xml:space="preserve">BFM </v>
      </c>
      <c r="E1464" s="2" t="s">
        <v>623</v>
      </c>
      <c r="F1464" s="2" t="s">
        <v>20</v>
      </c>
      <c r="G1464" s="2" t="s">
        <v>21</v>
      </c>
      <c r="H1464" s="3">
        <v>45423.822916666664</v>
      </c>
      <c r="I1464" s="2" t="s">
        <v>109</v>
      </c>
      <c r="J1464" s="2" t="s">
        <v>335</v>
      </c>
      <c r="K1464" s="2">
        <v>5.8</v>
      </c>
      <c r="L1464" s="2">
        <v>20</v>
      </c>
      <c r="M1464" s="2">
        <v>2.7</v>
      </c>
      <c r="N1464" s="2">
        <v>27</v>
      </c>
      <c r="O1464" s="2">
        <v>0</v>
      </c>
      <c r="P1464" s="2">
        <v>10</v>
      </c>
      <c r="Q1464" s="2" t="s">
        <v>95</v>
      </c>
      <c r="R1464" s="10" t="s">
        <v>214</v>
      </c>
      <c r="S1464" s="10" t="s">
        <v>197</v>
      </c>
      <c r="T1464" s="188">
        <v>1000</v>
      </c>
      <c r="U1464" s="8">
        <f t="shared" si="159"/>
        <v>180</v>
      </c>
      <c r="V1464" s="234">
        <f t="shared" si="164"/>
        <v>152064.15524616028</v>
      </c>
      <c r="W1464" s="15">
        <v>25</v>
      </c>
      <c r="X1464" s="8">
        <f t="shared" si="162"/>
        <v>4.5</v>
      </c>
      <c r="Y1464" s="233">
        <f t="shared" si="163"/>
        <v>5667.5</v>
      </c>
    </row>
    <row r="1465" spans="1:25">
      <c r="A1465" s="156" t="e" cm="1">
        <f t="array" aca="1" ref="A1465" ca="1">_xlfn.IFS(E1465=$AB$42,$AC$42,E1465=$AB$43,$AC$43,E1465=$AB$44,$AC$44,E1465=$AB$45,$AC$45,E1465=$AB$46,$AC$46,E1465=$AB$47,$AC$47,E1465=$AB$48,$AC$48,E1465=$AB$49,$AC$49,E1465=$AB$50,$AC$50,E1465=$AB$51,$AC$51,E1465=$AB$52,$AC$52,E1465=$AB$53,$AC$53,E1465=$AB$54,$AC$54,E1465=$AB$55,$AC$55,E1465=$AB$56,$AC$56,E1465=$AB$57,$AC$57,E1465=$AB$58,$AC$58,E1465=$AB$59,$AC$59,E1465=$AB$60,$AC$60,E1465=$AB$61,$AC$61,E1465=$AB$62,$AC$62,E1465=$AB$63,$AC$63,E1465=$AB$64,$AC$64,E1465=$AB$65,$AC$65,E1465=$AB$66,$AC$66,TRUE,"0")</f>
        <v>#NAME?</v>
      </c>
      <c r="C1465" s="161" t="str" cm="1">
        <f t="array" ref="C1465">_xlfn.IFS(E1465=$AB$42,$AF$42,E1465=$AB$43,$AF$43,E1465=$AB$44,$AF$44,E1465=$AB$45,$AF$45,E1465=$AB$46,$AF$46,E1465=$AB$47,$AF$47,E1465=$AB$48,$AF$48,E1465=$AB$49,$AF$49,E1465=$AB$50,$AF$50,E1465=$AB$51,$AF$51,E1465=$AB$52,$AF$52,E1465=$AB$53,$AF$53,E1465=$AB$54,$AF$54,E1465=$AB$55,$AF$55,E1465=$AB$56,$AF$56,E1465=$AB$57,$AF$57,E1465=$AB$58,$AF$58,E1465=$AB$59,$AF$59,E1465=$AB$60,$AF$60,E1465=$AB$61,$AF$61,E1465=$AB$62,$AF$62,E1465=$AB$63,$AF$63,E1465=$AB$64,$AF$64,E1465=$AB$65,$AF$65,E1465=$AB$66,$AF$66,TRUE,"0")</f>
        <v>if 0-0, BACK+ 0.5 GOALS  @ 1.15+odds.  or @ 40 mins</v>
      </c>
      <c r="D1465" s="270" t="str" cm="1">
        <f t="array" ref="D1465">_xlfn.IFS(E1465=$AB$42,$AD$42,E1465=$AB$43,$AD$43,E1465=$AB$44,$AD$44,E1465=$AB$45,$AD$45,E1465=$AB$46,$AD$46,E1465=$AB$47,$AD$47,E1465=$AB$48,$AD$48,E1465=$AB$49,$AD$49,E1465=$AB$50,$AD$50,E1465=$AB$51,$AD$51,E1465=$AB$52,$AD$52,E1465=$AB$53,$AD$53,E1465=$AB$54,$AD$54,E1465=$AB$55,$AD$55,E1465=$AB$56,$AD$56,E1465=$AB$57,$AD$57,E1465=$AB$58,$AD$58,E1465=$AB$59,$AD$59,E1465=$AB$60,$AD$60,E1465=$AB$61,$AD$61,E1465=$AB$62,$AD$62,E1465=$AB$63,$AD$63,E1465=$AB$64,$AD$64,E1465=$AB$65,$AD$65,E1465=$AB$66,$AD$66,TRUE,"0")</f>
        <v>IP</v>
      </c>
      <c r="E1465" s="2" t="s">
        <v>270</v>
      </c>
      <c r="F1465" s="2" t="s">
        <v>67</v>
      </c>
      <c r="G1465" s="2" t="s">
        <v>68</v>
      </c>
      <c r="H1465" s="3">
        <v>45423.822916666664</v>
      </c>
      <c r="I1465" s="2" t="s">
        <v>375</v>
      </c>
      <c r="J1465" s="2" t="s">
        <v>343</v>
      </c>
      <c r="K1465" s="2">
        <v>61</v>
      </c>
      <c r="L1465" s="2">
        <v>0</v>
      </c>
      <c r="M1465" s="2">
        <v>20</v>
      </c>
      <c r="N1465" s="2">
        <v>37</v>
      </c>
      <c r="O1465" s="2">
        <v>2.66</v>
      </c>
      <c r="P1465" s="2"/>
      <c r="Q1465" s="2" t="s">
        <v>95</v>
      </c>
      <c r="R1465" s="10" t="s">
        <v>214</v>
      </c>
      <c r="S1465" s="10" t="s">
        <v>222</v>
      </c>
      <c r="T1465" s="188">
        <v>1000</v>
      </c>
      <c r="U1465" s="8">
        <f t="shared" si="159"/>
        <v>180</v>
      </c>
      <c r="V1465" s="234">
        <f t="shared" si="164"/>
        <v>152244.15524616028</v>
      </c>
      <c r="W1465" s="15">
        <v>25</v>
      </c>
      <c r="X1465" s="8">
        <f t="shared" si="162"/>
        <v>4.5</v>
      </c>
      <c r="Y1465" s="233">
        <f t="shared" si="163"/>
        <v>5672</v>
      </c>
    </row>
    <row r="1466" spans="1:25">
      <c r="A1466" s="156" t="e" cm="1">
        <f t="array" aca="1" ref="A1466" ca="1">_xlfn.IFS(E1466=$AB$42,$AC$42,E1466=$AB$43,$AC$43,E1466=$AB$44,$AC$44,E1466=$AB$45,$AC$45,E1466=$AB$46,$AC$46,E1466=$AB$47,$AC$47,E1466=$AB$48,$AC$48,E1466=$AB$49,$AC$49,E1466=$AB$50,$AC$50,E1466=$AB$51,$AC$51,E1466=$AB$52,$AC$52,E1466=$AB$53,$AC$53,E1466=$AB$54,$AC$54,E1466=$AB$55,$AC$55,E1466=$AB$56,$AC$56,E1466=$AB$57,$AC$57,E1466=$AB$58,$AC$58,E1466=$AB$59,$AC$59,E1466=$AB$60,$AC$60,E1466=$AB$61,$AC$61,E1466=$AB$62,$AC$62,E1466=$AB$63,$AC$63,E1466=$AB$64,$AC$64,E1466=$AB$65,$AC$65,E1466=$AB$66,$AC$66,TRUE,"0")</f>
        <v>#NAME?</v>
      </c>
      <c r="C1466" s="161" t="str" cm="1">
        <f t="array" ref="C1466">_xlfn.IFS(E1466=$AB$42,$AF$42,E1466=$AB$43,$AF$43,E1466=$AB$44,$AF$44,E1466=$AB$45,$AF$45,E1466=$AB$46,$AF$46,E1466=$AB$47,$AF$47,E1466=$AB$48,$AF$48,E1466=$AB$49,$AF$49,E1466=$AB$50,$AF$50,E1466=$AB$51,$AF$51,E1466=$AB$52,$AF$52,E1466=$AB$53,$AF$53,E1466=$AB$54,$AF$54,E1466=$AB$55,$AF$55,E1466=$AB$56,$AF$56,E1466=$AB$57,$AF$57,E1466=$AB$58,$AF$58,E1466=$AB$59,$AF$59,E1466=$AB$60,$AF$60,E1466=$AB$61,$AF$61,E1466=$AB$62,$AF$62,E1466=$AB$63,$AF$63,E1466=$AB$64,$AF$64,E1466=$AB$65,$AF$65,E1466=$AB$66,$AF$66,TRUE,"0")</f>
        <v>B4 MATCH bet H1 'under 2.5goals'- X at 40 minutes</v>
      </c>
      <c r="D1466" s="270" t="str" cm="1">
        <f t="array" ref="D1466">_xlfn.IFS(E1466=$AB$42,$AD$42,E1466=$AB$43,$AD$43,E1466=$AB$44,$AD$44,E1466=$AB$45,$AD$45,E1466=$AB$46,$AD$46,E1466=$AB$47,$AD$47,E1466=$AB$48,$AD$48,E1466=$AB$49,$AD$49,E1466=$AB$50,$AD$50,E1466=$AB$51,$AD$51,E1466=$AB$52,$AD$52,E1466=$AB$53,$AD$53,E1466=$AB$54,$AD$54,E1466=$AB$55,$AD$55,E1466=$AB$56,$AD$56,E1466=$AB$57,$AD$57,E1466=$AB$58,$AD$58,E1466=$AB$59,$AD$59,E1466=$AB$60,$AD$60,E1466=$AB$61,$AD$61,E1466=$AB$62,$AD$62,E1466=$AB$63,$AD$63,E1466=$AB$64,$AD$64,E1466=$AB$65,$AD$65,E1466=$AB$66,$AD$66,TRUE,"0")</f>
        <v xml:space="preserve">BFM </v>
      </c>
      <c r="E1466" s="160" t="s">
        <v>458</v>
      </c>
      <c r="F1466" s="2" t="s">
        <v>534</v>
      </c>
      <c r="G1466" s="2" t="s">
        <v>535</v>
      </c>
      <c r="H1466" s="3">
        <v>45424.354166666664</v>
      </c>
      <c r="I1466" s="2" t="s">
        <v>828</v>
      </c>
      <c r="J1466" s="2" t="s">
        <v>829</v>
      </c>
      <c r="K1466" s="2">
        <v>20</v>
      </c>
      <c r="L1466" s="2">
        <v>80</v>
      </c>
      <c r="M1466" s="2">
        <v>100</v>
      </c>
      <c r="N1466" s="2">
        <v>45</v>
      </c>
      <c r="O1466" s="2">
        <v>1.7</v>
      </c>
      <c r="P1466" s="2"/>
      <c r="Q1466" s="2" t="s">
        <v>95</v>
      </c>
      <c r="R1466" s="10" t="s">
        <v>214</v>
      </c>
      <c r="S1466" s="10" t="s">
        <v>216</v>
      </c>
      <c r="T1466" s="188">
        <v>1000</v>
      </c>
      <c r="U1466" s="8">
        <f t="shared" si="159"/>
        <v>180</v>
      </c>
      <c r="V1466" s="234">
        <f t="shared" si="164"/>
        <v>152424.15524616028</v>
      </c>
      <c r="W1466" s="15">
        <v>25</v>
      </c>
      <c r="X1466" s="8">
        <f t="shared" si="162"/>
        <v>4.5</v>
      </c>
      <c r="Y1466" s="233">
        <f t="shared" si="163"/>
        <v>5676.5</v>
      </c>
    </row>
    <row r="1467" spans="1:25">
      <c r="A1467" s="156" t="e" cm="1">
        <f t="array" aca="1" ref="A1467" ca="1">_xlfn.IFS(E1467=$AB$42,$AC$42,E1467=$AB$43,$AC$43,E1467=$AB$44,$AC$44,E1467=$AB$45,$AC$45,E1467=$AB$46,$AC$46,E1467=$AB$47,$AC$47,E1467=$AB$48,$AC$48,E1467=$AB$49,$AC$49,E1467=$AB$50,$AC$50,E1467=$AB$51,$AC$51,E1467=$AB$52,$AC$52,E1467=$AB$53,$AC$53,E1467=$AB$54,$AC$54,E1467=$AB$55,$AC$55,E1467=$AB$56,$AC$56,E1467=$AB$57,$AC$57,E1467=$AB$58,$AC$58,E1467=$AB$59,$AC$59,E1467=$AB$60,$AC$60,E1467=$AB$61,$AC$61,E1467=$AB$62,$AC$62,E1467=$AB$63,$AC$63,E1467=$AB$64,$AC$64,E1467=$AB$65,$AC$65,E1467=$AB$66,$AC$66,TRUE,"0")</f>
        <v>#NAME?</v>
      </c>
      <c r="C1467" s="161" t="str" cm="1">
        <f t="array" ref="C1467">_xlfn.IFS(E1467=$AB$42,$AF$42,E1467=$AB$43,$AF$43,E1467=$AB$44,$AF$44,E1467=$AB$45,$AF$45,E1467=$AB$46,$AF$46,E1467=$AB$47,$AF$47,E1467=$AB$48,$AF$48,E1467=$AB$49,$AF$49,E1467=$AB$50,$AF$50,E1467=$AB$51,$AF$51,E1467=$AB$52,$AF$52,E1467=$AB$53,$AF$53,E1467=$AB$54,$AF$54,E1467=$AB$55,$AF$55,E1467=$AB$56,$AF$56,E1467=$AB$57,$AF$57,E1467=$AB$58,$AF$58,E1467=$AB$59,$AF$59,E1467=$AB$60,$AF$60,E1467=$AB$61,$AF$61,E1467=$AB$62,$AF$62,E1467=$AB$63,$AF$63,E1467=$AB$64,$AF$64,E1467=$AB$65,$AF$65,E1467=$AB$66,$AF$66,TRUE,"0")</f>
        <v>40 mins Back ANother Goal</v>
      </c>
      <c r="D1467" s="270" t="str" cm="1">
        <f t="array" ref="D1467">_xlfn.IFS(E1467=$AB$42,$AD$42,E1467=$AB$43,$AD$43,E1467=$AB$44,$AD$44,E1467=$AB$45,$AD$45,E1467=$AB$46,$AD$46,E1467=$AB$47,$AD$47,E1467=$AB$48,$AD$48,E1467=$AB$49,$AD$49,E1467=$AB$50,$AD$50,E1467=$AB$51,$AD$51,E1467=$AB$52,$AD$52,E1467=$AB$53,$AD$53,E1467=$AB$54,$AD$54,E1467=$AB$55,$AD$55,E1467=$AB$56,$AD$56,E1467=$AB$57,$AD$57,E1467=$AB$58,$AD$58,E1467=$AB$59,$AD$59,E1467=$AB$60,$AD$60,E1467=$AB$61,$AD$61,E1467=$AB$62,$AD$62,E1467=$AB$63,$AD$63,E1467=$AB$64,$AD$64,E1467=$AB$65,$AD$65,E1467=$AB$66,$AD$66,TRUE,"0")</f>
        <v xml:space="preserve">  BANG</v>
      </c>
      <c r="E1467" s="2" t="s">
        <v>792</v>
      </c>
      <c r="F1467" s="2" t="s">
        <v>802</v>
      </c>
      <c r="G1467" s="2" t="s">
        <v>803</v>
      </c>
      <c r="H1467" s="3">
        <v>45424.5</v>
      </c>
      <c r="I1467" s="2" t="s">
        <v>822</v>
      </c>
      <c r="J1467" s="2" t="s">
        <v>823</v>
      </c>
      <c r="K1467" s="2">
        <v>2.1</v>
      </c>
      <c r="L1467" s="2">
        <v>95</v>
      </c>
      <c r="M1467" s="2">
        <v>70</v>
      </c>
      <c r="N1467" s="2">
        <v>63</v>
      </c>
      <c r="O1467" s="2">
        <v>20</v>
      </c>
      <c r="P1467" s="2"/>
      <c r="Q1467" s="2" t="s">
        <v>95</v>
      </c>
      <c r="R1467" s="10" t="s">
        <v>221</v>
      </c>
      <c r="S1467" s="10" t="s">
        <v>220</v>
      </c>
      <c r="T1467" s="188">
        <v>1000</v>
      </c>
      <c r="U1467" s="8">
        <f t="shared" si="159"/>
        <v>180</v>
      </c>
      <c r="V1467" s="234">
        <f t="shared" si="164"/>
        <v>152604.15524616028</v>
      </c>
      <c r="W1467" s="15">
        <v>25</v>
      </c>
      <c r="X1467" s="8">
        <f t="shared" si="162"/>
        <v>4.5</v>
      </c>
      <c r="Y1467" s="233">
        <f t="shared" si="163"/>
        <v>5681</v>
      </c>
    </row>
    <row r="1468" spans="1:25">
      <c r="A1468" s="156" t="e" cm="1">
        <f t="array" aca="1" ref="A1468" ca="1">_xlfn.IFS(E1468=$AB$42,$AC$42,E1468=$AB$43,$AC$43,E1468=$AB$44,$AC$44,E1468=$AB$45,$AC$45,E1468=$AB$46,$AC$46,E1468=$AB$47,$AC$47,E1468=$AB$48,$AC$48,E1468=$AB$49,$AC$49,E1468=$AB$50,$AC$50,E1468=$AB$51,$AC$51,E1468=$AB$52,$AC$52,E1468=$AB$53,$AC$53,E1468=$AB$54,$AC$54,E1468=$AB$55,$AC$55,E1468=$AB$56,$AC$56,E1468=$AB$57,$AC$57,E1468=$AB$58,$AC$58,E1468=$AB$59,$AC$59,E1468=$AB$60,$AC$60,E1468=$AB$61,$AC$61,E1468=$AB$62,$AC$62,E1468=$AB$63,$AC$63,E1468=$AB$64,$AC$64,E1468=$AB$65,$AC$65,E1468=$AB$66,$AC$66,TRUE,"0")</f>
        <v>#NAME?</v>
      </c>
      <c r="C1468" s="161" t="str" cm="1">
        <f t="array" ref="C1468">_xlfn.IFS(E1468=$AB$42,$AF$42,E1468=$AB$43,$AF$43,E1468=$AB$44,$AF$44,E1468=$AB$45,$AF$45,E1468=$AB$46,$AF$46,E1468=$AB$47,$AF$47,E1468=$AB$48,$AF$48,E1468=$AB$49,$AF$49,E1468=$AB$50,$AF$50,E1468=$AB$51,$AF$51,E1468=$AB$52,$AF$52,E1468=$AB$53,$AF$53,E1468=$AB$54,$AF$54,E1468=$AB$55,$AF$55,E1468=$AB$56,$AF$56,E1468=$AB$57,$AF$57,E1468=$AB$58,$AF$58,E1468=$AB$59,$AF$59,E1468=$AB$60,$AF$60,E1468=$AB$61,$AF$61,E1468=$AB$62,$AF$62,E1468=$AB$63,$AF$63,E1468=$AB$64,$AF$64,E1468=$AB$65,$AF$65,E1468=$AB$66,$AF$66,TRUE,"0")</f>
        <v>if 0-0, BACK+ 0.5 GOALS  @ 1.15+odds.  or @ 40 mins</v>
      </c>
      <c r="D1468" s="270" t="str" cm="1">
        <f t="array" ref="D1468">_xlfn.IFS(E1468=$AB$42,$AD$42,E1468=$AB$43,$AD$43,E1468=$AB$44,$AD$44,E1468=$AB$45,$AD$45,E1468=$AB$46,$AD$46,E1468=$AB$47,$AD$47,E1468=$AB$48,$AD$48,E1468=$AB$49,$AD$49,E1468=$AB$50,$AD$50,E1468=$AB$51,$AD$51,E1468=$AB$52,$AD$52,E1468=$AB$53,$AD$53,E1468=$AB$54,$AD$54,E1468=$AB$55,$AD$55,E1468=$AB$56,$AD$56,E1468=$AB$57,$AD$57,E1468=$AB$58,$AD$58,E1468=$AB$59,$AD$59,E1468=$AB$60,$AD$60,E1468=$AB$61,$AD$61,E1468=$AB$62,$AD$62,E1468=$AB$63,$AD$63,E1468=$AB$64,$AD$64,E1468=$AB$65,$AD$65,E1468=$AB$66,$AD$66,TRUE,"0")</f>
        <v>IP</v>
      </c>
      <c r="E1468" s="2" t="s">
        <v>270</v>
      </c>
      <c r="F1468" s="2" t="s">
        <v>296</v>
      </c>
      <c r="G1468" s="2" t="s">
        <v>78</v>
      </c>
      <c r="H1468" s="3">
        <v>45424.552083333336</v>
      </c>
      <c r="I1468" s="2" t="s">
        <v>297</v>
      </c>
      <c r="J1468" s="2" t="s">
        <v>382</v>
      </c>
      <c r="K1468" s="2">
        <v>61</v>
      </c>
      <c r="L1468" s="2">
        <v>0</v>
      </c>
      <c r="M1468" s="2">
        <v>20</v>
      </c>
      <c r="N1468" s="2">
        <v>36</v>
      </c>
      <c r="O1468" s="2">
        <v>2.15</v>
      </c>
      <c r="P1468" s="2"/>
      <c r="Q1468" s="2" t="s">
        <v>95</v>
      </c>
      <c r="R1468" s="10" t="s">
        <v>223</v>
      </c>
      <c r="S1468" s="10" t="s">
        <v>211</v>
      </c>
      <c r="T1468" s="188">
        <v>1000</v>
      </c>
      <c r="U1468" s="8">
        <f t="shared" si="159"/>
        <v>180</v>
      </c>
      <c r="V1468" s="234">
        <f t="shared" si="164"/>
        <v>152784.15524616028</v>
      </c>
      <c r="W1468" s="15">
        <v>25</v>
      </c>
      <c r="X1468" s="8">
        <f t="shared" si="162"/>
        <v>4.5</v>
      </c>
      <c r="Y1468" s="233">
        <f t="shared" si="163"/>
        <v>5685.5</v>
      </c>
    </row>
    <row r="1469" spans="1:25">
      <c r="A1469" s="156" t="e" cm="1">
        <f t="array" aca="1" ref="A1469" ca="1">_xlfn.IFS(E1469=$AB$42,$AC$42,E1469=$AB$43,$AC$43,E1469=$AB$44,$AC$44,E1469=$AB$45,$AC$45,E1469=$AB$46,$AC$46,E1469=$AB$47,$AC$47,E1469=$AB$48,$AC$48,E1469=$AB$49,$AC$49,E1469=$AB$50,$AC$50,E1469=$AB$51,$AC$51,E1469=$AB$52,$AC$52,E1469=$AB$53,$AC$53,E1469=$AB$54,$AC$54,E1469=$AB$55,$AC$55,E1469=$AB$56,$AC$56,E1469=$AB$57,$AC$57,E1469=$AB$58,$AC$58,E1469=$AB$59,$AC$59,E1469=$AB$60,$AC$60,E1469=$AB$61,$AC$61,E1469=$AB$62,$AC$62,E1469=$AB$63,$AC$63,E1469=$AB$64,$AC$64,E1469=$AB$65,$AC$65,E1469=$AB$66,$AC$66,TRUE,"0")</f>
        <v>#NAME?</v>
      </c>
      <c r="C1469" s="161" t="str" cm="1">
        <f t="array" ref="C1469">_xlfn.IFS(E1469=$AB$42,$AF$42,E1469=$AB$43,$AF$43,E1469=$AB$44,$AF$44,E1469=$AB$45,$AF$45,E1469=$AB$46,$AF$46,E1469=$AB$47,$AF$47,E1469=$AB$48,$AF$48,E1469=$AB$49,$AF$49,E1469=$AB$50,$AF$50,E1469=$AB$51,$AF$51,E1469=$AB$52,$AF$52,E1469=$AB$53,$AF$53,E1469=$AB$54,$AF$54,E1469=$AB$55,$AF$55,E1469=$AB$56,$AF$56,E1469=$AB$57,$AF$57,E1469=$AB$58,$AF$58,E1469=$AB$59,$AF$59,E1469=$AB$60,$AF$60,E1469=$AB$61,$AF$61,E1469=$AB$62,$AF$62,E1469=$AB$63,$AF$63,E1469=$AB$64,$AF$64,E1469=$AB$65,$AF$65,E1469=$AB$66,$AF$66,TRUE,"0")</f>
        <v>B4 match BACK FT +1.5 goals. X AFTER  GOAL</v>
      </c>
      <c r="D1469" s="270" t="str" cm="1">
        <f t="array" ref="D1469">_xlfn.IFS(E1469=$AB$42,$AD$42,E1469=$AB$43,$AD$43,E1469=$AB$44,$AD$44,E1469=$AB$45,$AD$45,E1469=$AB$46,$AD$46,E1469=$AB$47,$AD$47,E1469=$AB$48,$AD$48,E1469=$AB$49,$AD$49,E1469=$AB$50,$AD$50,E1469=$AB$51,$AD$51,E1469=$AB$52,$AD$52,E1469=$AB$53,$AD$53,E1469=$AB$54,$AD$54,E1469=$AB$55,$AD$55,E1469=$AB$56,$AD$56,E1469=$AB$57,$AD$57,E1469=$AB$58,$AD$58,E1469=$AB$59,$AD$59,E1469=$AB$60,$AD$60,E1469=$AB$61,$AD$61,E1469=$AB$62,$AD$62,E1469=$AB$63,$AD$63,E1469=$AB$64,$AD$64,E1469=$AB$65,$AD$65,E1469=$AB$66,$AD$66,TRUE,"0")</f>
        <v xml:space="preserve">BFM </v>
      </c>
      <c r="E1469" s="2" t="s">
        <v>623</v>
      </c>
      <c r="F1469" s="2" t="s">
        <v>149</v>
      </c>
      <c r="G1469" s="2" t="s">
        <v>153</v>
      </c>
      <c r="H1469" s="3">
        <v>45424.5625</v>
      </c>
      <c r="I1469" s="2" t="s">
        <v>363</v>
      </c>
      <c r="J1469" s="2" t="s">
        <v>248</v>
      </c>
      <c r="K1469" s="2">
        <v>3.35</v>
      </c>
      <c r="L1469" s="2">
        <v>20</v>
      </c>
      <c r="M1469" s="2">
        <v>2.85</v>
      </c>
      <c r="N1469" s="2">
        <v>22</v>
      </c>
      <c r="O1469" s="2">
        <v>1</v>
      </c>
      <c r="P1469" s="2">
        <v>10</v>
      </c>
      <c r="Q1469" s="2" t="s">
        <v>95</v>
      </c>
      <c r="R1469" s="10" t="s">
        <v>207</v>
      </c>
      <c r="S1469" s="10" t="s">
        <v>207</v>
      </c>
      <c r="T1469" s="188">
        <v>1000</v>
      </c>
      <c r="U1469" s="8">
        <f t="shared" si="159"/>
        <v>180</v>
      </c>
      <c r="V1469" s="234">
        <f t="shared" si="164"/>
        <v>152964.15524616028</v>
      </c>
      <c r="W1469" s="15">
        <v>25</v>
      </c>
      <c r="X1469" s="8">
        <f t="shared" si="162"/>
        <v>4.5</v>
      </c>
      <c r="Y1469" s="233">
        <f t="shared" si="163"/>
        <v>5690</v>
      </c>
    </row>
    <row r="1470" spans="1:25">
      <c r="A1470" s="156" t="e" cm="1">
        <f t="array" aca="1" ref="A1470" ca="1">_xlfn.IFS(E1470=$AB$42,$AC$42,E1470=$AB$43,$AC$43,E1470=$AB$44,$AC$44,E1470=$AB$45,$AC$45,E1470=$AB$46,$AC$46,E1470=$AB$47,$AC$47,E1470=$AB$48,$AC$48,E1470=$AB$49,$AC$49,E1470=$AB$50,$AC$50,E1470=$AB$51,$AC$51,E1470=$AB$52,$AC$52,E1470=$AB$53,$AC$53,E1470=$AB$54,$AC$54,E1470=$AB$55,$AC$55,E1470=$AB$56,$AC$56,E1470=$AB$57,$AC$57,E1470=$AB$58,$AC$58,E1470=$AB$59,$AC$59,E1470=$AB$60,$AC$60,E1470=$AB$61,$AC$61,E1470=$AB$62,$AC$62,E1470=$AB$63,$AC$63,E1470=$AB$64,$AC$64,E1470=$AB$65,$AC$65,E1470=$AB$66,$AC$66,TRUE,"0")</f>
        <v>#NAME?</v>
      </c>
      <c r="C1470" s="161" t="str" cm="1">
        <f t="array" ref="C1470">_xlfn.IFS(E1470=$AB$42,$AF$42,E1470=$AB$43,$AF$43,E1470=$AB$44,$AF$44,E1470=$AB$45,$AF$45,E1470=$AB$46,$AF$46,E1470=$AB$47,$AF$47,E1470=$AB$48,$AF$48,E1470=$AB$49,$AF$49,E1470=$AB$50,$AF$50,E1470=$AB$51,$AF$51,E1470=$AB$52,$AF$52,E1470=$AB$53,$AF$53,E1470=$AB$54,$AF$54,E1470=$AB$55,$AF$55,E1470=$AB$56,$AF$56,E1470=$AB$57,$AF$57,E1470=$AB$58,$AF$58,E1470=$AB$59,$AF$59,E1470=$AB$60,$AF$60,E1470=$AB$61,$AF$61,E1470=$AB$62,$AF$62,E1470=$AB$63,$AF$63,E1470=$AB$64,$AF$64,E1470=$AB$65,$AF$65,E1470=$AB$66,$AF$66,TRUE,"0")</f>
        <v>40 mins Back ANother Goal</v>
      </c>
      <c r="D1470" s="270" t="str" cm="1">
        <f t="array" ref="D1470">_xlfn.IFS(E1470=$AB$42,$AD$42,E1470=$AB$43,$AD$43,E1470=$AB$44,$AD$44,E1470=$AB$45,$AD$45,E1470=$AB$46,$AD$46,E1470=$AB$47,$AD$47,E1470=$AB$48,$AD$48,E1470=$AB$49,$AD$49,E1470=$AB$50,$AD$50,E1470=$AB$51,$AD$51,E1470=$AB$52,$AD$52,E1470=$AB$53,$AD$53,E1470=$AB$54,$AD$54,E1470=$AB$55,$AD$55,E1470=$AB$56,$AD$56,E1470=$AB$57,$AD$57,E1470=$AB$58,$AD$58,E1470=$AB$59,$AD$59,E1470=$AB$60,$AD$60,E1470=$AB$61,$AD$61,E1470=$AB$62,$AD$62,E1470=$AB$63,$AD$63,E1470=$AB$64,$AD$64,E1470=$AB$65,$AD$65,E1470=$AB$66,$AD$66,TRUE,"0")</f>
        <v xml:space="preserve">  BANG</v>
      </c>
      <c r="E1470" s="2" t="s">
        <v>726</v>
      </c>
      <c r="F1470" s="2" t="s">
        <v>149</v>
      </c>
      <c r="G1470" s="2" t="s">
        <v>153</v>
      </c>
      <c r="H1470" s="3">
        <v>45424.5625</v>
      </c>
      <c r="I1470" s="2" t="s">
        <v>647</v>
      </c>
      <c r="J1470" s="2" t="s">
        <v>155</v>
      </c>
      <c r="K1470" s="2">
        <v>95</v>
      </c>
      <c r="L1470" s="2">
        <v>20</v>
      </c>
      <c r="M1470" s="2">
        <v>1.9</v>
      </c>
      <c r="N1470" s="2">
        <v>61</v>
      </c>
      <c r="O1470" s="2"/>
      <c r="P1470" s="2"/>
      <c r="Q1470" s="2" t="s">
        <v>95</v>
      </c>
      <c r="R1470" s="10" t="s">
        <v>214</v>
      </c>
      <c r="S1470" s="10" t="s">
        <v>194</v>
      </c>
      <c r="T1470" s="188">
        <v>1000</v>
      </c>
      <c r="U1470" s="8">
        <f t="shared" si="159"/>
        <v>180</v>
      </c>
      <c r="V1470" s="234">
        <f t="shared" si="164"/>
        <v>153144.15524616028</v>
      </c>
      <c r="W1470" s="15">
        <v>25</v>
      </c>
      <c r="X1470" s="8">
        <f t="shared" si="162"/>
        <v>4.5</v>
      </c>
      <c r="Y1470" s="233">
        <f t="shared" si="163"/>
        <v>5694.5</v>
      </c>
    </row>
    <row r="1471" spans="1:25">
      <c r="A1471" s="156" t="e" cm="1">
        <f t="array" aca="1" ref="A1471" ca="1">_xlfn.IFS(E1471=$AB$42,$AC$42,E1471=$AB$43,$AC$43,E1471=$AB$44,$AC$44,E1471=$AB$45,$AC$45,E1471=$AB$46,$AC$46,E1471=$AB$47,$AC$47,E1471=$AB$48,$AC$48,E1471=$AB$49,$AC$49,E1471=$AB$50,$AC$50,E1471=$AB$51,$AC$51,E1471=$AB$52,$AC$52,E1471=$AB$53,$AC$53,E1471=$AB$54,$AC$54,E1471=$AB$55,$AC$55,E1471=$AB$56,$AC$56,E1471=$AB$57,$AC$57,E1471=$AB$58,$AC$58,E1471=$AB$59,$AC$59,E1471=$AB$60,$AC$60,E1471=$AB$61,$AC$61,E1471=$AB$62,$AC$62,E1471=$AB$63,$AC$63,E1471=$AB$64,$AC$64,E1471=$AB$65,$AC$65,E1471=$AB$66,$AC$66,TRUE,"0")</f>
        <v>#NAME?</v>
      </c>
      <c r="C1471" s="161" t="str" cm="1">
        <f t="array" ref="C1471">_xlfn.IFS(E1471=$AB$42,$AF$42,E1471=$AB$43,$AF$43,E1471=$AB$44,$AF$44,E1471=$AB$45,$AF$45,E1471=$AB$46,$AF$46,E1471=$AB$47,$AF$47,E1471=$AB$48,$AF$48,E1471=$AB$49,$AF$49,E1471=$AB$50,$AF$50,E1471=$AB$51,$AF$51,E1471=$AB$52,$AF$52,E1471=$AB$53,$AF$53,E1471=$AB$54,$AF$54,E1471=$AB$55,$AF$55,E1471=$AB$56,$AF$56,E1471=$AB$57,$AF$57,E1471=$AB$58,$AF$58,E1471=$AB$59,$AF$59,E1471=$AB$60,$AF$60,E1471=$AB$61,$AF$61,E1471=$AB$62,$AF$62,E1471=$AB$63,$AF$63,E1471=$AB$64,$AF$64,E1471=$AB$65,$AF$65,E1471=$AB$66,$AF$66,TRUE,"0")</f>
        <v>20mins if  0-0, BACK over 1.5 goals X after goal OR LET RUN</v>
      </c>
      <c r="D1471" s="270" t="str" cm="1">
        <f t="array" ref="D1471">_xlfn.IFS(E1471=$AB$42,$AD$42,E1471=$AB$43,$AD$43,E1471=$AB$44,$AD$44,E1471=$AB$45,$AD$45,E1471=$AB$46,$AD$46,E1471=$AB$47,$AD$47,E1471=$AB$48,$AD$48,E1471=$AB$49,$AD$49,E1471=$AB$50,$AD$50,E1471=$AB$51,$AD$51,E1471=$AB$52,$AD$52,E1471=$AB$53,$AD$53,E1471=$AB$54,$AD$54,E1471=$AB$55,$AD$55,E1471=$AB$56,$AD$56,E1471=$AB$57,$AD$57,E1471=$AB$58,$AD$58,E1471=$AB$59,$AD$59,E1471=$AB$60,$AD$60,E1471=$AB$61,$AD$61,E1471=$AB$62,$AD$62,E1471=$AB$63,$AD$63,E1471=$AB$64,$AD$64,E1471=$AB$65,$AD$65,E1471=$AB$66,$AD$66,TRUE,"0")</f>
        <v>IP</v>
      </c>
      <c r="E1471" s="2" t="s">
        <v>474</v>
      </c>
      <c r="F1471" s="2" t="s">
        <v>149</v>
      </c>
      <c r="G1471" s="2" t="s">
        <v>153</v>
      </c>
      <c r="H1471" s="3">
        <v>45424.5625</v>
      </c>
      <c r="I1471" s="2" t="s">
        <v>647</v>
      </c>
      <c r="J1471" s="2" t="s">
        <v>155</v>
      </c>
      <c r="K1471" s="2">
        <v>51</v>
      </c>
      <c r="L1471" s="2">
        <v>2.9</v>
      </c>
      <c r="M1471" s="2">
        <v>20</v>
      </c>
      <c r="N1471" s="2">
        <v>60</v>
      </c>
      <c r="O1471" s="2">
        <v>90</v>
      </c>
      <c r="P1471" s="2"/>
      <c r="Q1471" s="2" t="s">
        <v>95</v>
      </c>
      <c r="R1471" s="10" t="s">
        <v>214</v>
      </c>
      <c r="S1471" s="10" t="s">
        <v>194</v>
      </c>
      <c r="T1471" s="188">
        <v>1000</v>
      </c>
      <c r="U1471" s="8">
        <f t="shared" si="159"/>
        <v>180</v>
      </c>
      <c r="V1471" s="234">
        <f t="shared" si="164"/>
        <v>153324.15524616028</v>
      </c>
      <c r="W1471" s="15">
        <v>25</v>
      </c>
      <c r="X1471" s="8">
        <f t="shared" si="162"/>
        <v>4.5</v>
      </c>
      <c r="Y1471" s="233">
        <f t="shared" si="163"/>
        <v>5699</v>
      </c>
    </row>
    <row r="1472" spans="1:25">
      <c r="A1472" s="156" t="e" cm="1">
        <f t="array" aca="1" ref="A1472" ca="1">_xlfn.IFS(E1472=$AB$42,$AC$42,E1472=$AB$43,$AC$43,E1472=$AB$44,$AC$44,E1472=$AB$45,$AC$45,E1472=$AB$46,$AC$46,E1472=$AB$47,$AC$47,E1472=$AB$48,$AC$48,E1472=$AB$49,$AC$49,E1472=$AB$50,$AC$50,E1472=$AB$51,$AC$51,E1472=$AB$52,$AC$52,E1472=$AB$53,$AC$53,E1472=$AB$54,$AC$54,E1472=$AB$55,$AC$55,E1472=$AB$56,$AC$56,E1472=$AB$57,$AC$57,E1472=$AB$58,$AC$58,E1472=$AB$59,$AC$59,E1472=$AB$60,$AC$60,E1472=$AB$61,$AC$61,E1472=$AB$62,$AC$62,E1472=$AB$63,$AC$63,E1472=$AB$64,$AC$64,E1472=$AB$65,$AC$65,E1472=$AB$66,$AC$66,TRUE,"0")</f>
        <v>#NAME?</v>
      </c>
      <c r="C1472" s="161" t="str" cm="1">
        <f t="array" ref="C1472">_xlfn.IFS(E1472=$AB$42,$AF$42,E1472=$AB$43,$AF$43,E1472=$AB$44,$AF$44,E1472=$AB$45,$AF$45,E1472=$AB$46,$AF$46,E1472=$AB$47,$AF$47,E1472=$AB$48,$AF$48,E1472=$AB$49,$AF$49,E1472=$AB$50,$AF$50,E1472=$AB$51,$AF$51,E1472=$AB$52,$AF$52,E1472=$AB$53,$AF$53,E1472=$AB$54,$AF$54,E1472=$AB$55,$AF$55,E1472=$AB$56,$AF$56,E1472=$AB$57,$AF$57,E1472=$AB$58,$AF$58,E1472=$AB$59,$AF$59,E1472=$AB$60,$AF$60,E1472=$AB$61,$AF$61,E1472=$AB$62,$AF$62,E1472=$AB$63,$AF$63,E1472=$AB$64,$AF$64,E1472=$AB$65,$AF$65,E1472=$AB$66,$AF$66,TRUE,"0")</f>
        <v>40 mins Back ANother Goal</v>
      </c>
      <c r="D1472" s="270" t="str" cm="1">
        <f t="array" ref="D1472">_xlfn.IFS(E1472=$AB$42,$AD$42,E1472=$AB$43,$AD$43,E1472=$AB$44,$AD$44,E1472=$AB$45,$AD$45,E1472=$AB$46,$AD$46,E1472=$AB$47,$AD$47,E1472=$AB$48,$AD$48,E1472=$AB$49,$AD$49,E1472=$AB$50,$AD$50,E1472=$AB$51,$AD$51,E1472=$AB$52,$AD$52,E1472=$AB$53,$AD$53,E1472=$AB$54,$AD$54,E1472=$AB$55,$AD$55,E1472=$AB$56,$AD$56,E1472=$AB$57,$AD$57,E1472=$AB$58,$AD$58,E1472=$AB$59,$AD$59,E1472=$AB$60,$AD$60,E1472=$AB$61,$AD$61,E1472=$AB$62,$AD$62,E1472=$AB$63,$AD$63,E1472=$AB$64,$AD$64,E1472=$AB$65,$AD$65,E1472=$AB$66,$AD$66,TRUE,"0")</f>
        <v xml:space="preserve">  BANG</v>
      </c>
      <c r="E1472" s="2" t="s">
        <v>792</v>
      </c>
      <c r="F1472" s="2" t="s">
        <v>149</v>
      </c>
      <c r="G1472" s="2" t="s">
        <v>153</v>
      </c>
      <c r="H1472" s="3">
        <v>45424.5625</v>
      </c>
      <c r="I1472" s="2" t="s">
        <v>206</v>
      </c>
      <c r="J1472" s="2" t="s">
        <v>281</v>
      </c>
      <c r="K1472" s="2">
        <v>2.2000000000000002</v>
      </c>
      <c r="L1472" s="2">
        <v>95</v>
      </c>
      <c r="M1472" s="2">
        <v>75</v>
      </c>
      <c r="N1472" s="2">
        <v>55</v>
      </c>
      <c r="O1472" s="2">
        <v>20</v>
      </c>
      <c r="P1472" s="2"/>
      <c r="Q1472" s="2" t="s">
        <v>95</v>
      </c>
      <c r="R1472" s="10" t="s">
        <v>216</v>
      </c>
      <c r="S1472" s="10" t="s">
        <v>211</v>
      </c>
      <c r="T1472" s="188">
        <v>1000</v>
      </c>
      <c r="U1472" s="8">
        <f t="shared" si="159"/>
        <v>180</v>
      </c>
      <c r="V1472" s="234">
        <f t="shared" si="164"/>
        <v>153504.15524616028</v>
      </c>
      <c r="W1472" s="15">
        <v>25</v>
      </c>
      <c r="X1472" s="8">
        <f t="shared" si="162"/>
        <v>4.5</v>
      </c>
      <c r="Y1472" s="233">
        <f t="shared" si="163"/>
        <v>5703.5</v>
      </c>
    </row>
    <row r="1473" spans="1:25">
      <c r="A1473" s="156" t="e" cm="1">
        <f t="array" aca="1" ref="A1473" ca="1">_xlfn.IFS(E1473=$AB$42,$AC$42,E1473=$AB$43,$AC$43,E1473=$AB$44,$AC$44,E1473=$AB$45,$AC$45,E1473=$AB$46,$AC$46,E1473=$AB$47,$AC$47,E1473=$AB$48,$AC$48,E1473=$AB$49,$AC$49,E1473=$AB$50,$AC$50,E1473=$AB$51,$AC$51,E1473=$AB$52,$AC$52,E1473=$AB$53,$AC$53,E1473=$AB$54,$AC$54,E1473=$AB$55,$AC$55,E1473=$AB$56,$AC$56,E1473=$AB$57,$AC$57,E1473=$AB$58,$AC$58,E1473=$AB$59,$AC$59,E1473=$AB$60,$AC$60,E1473=$AB$61,$AC$61,E1473=$AB$62,$AC$62,E1473=$AB$63,$AC$63,E1473=$AB$64,$AC$64,E1473=$AB$65,$AC$65,E1473=$AB$66,$AC$66,TRUE,"0")</f>
        <v>#NAME?</v>
      </c>
      <c r="C1473" s="161" t="str" cm="1">
        <f t="array" ref="C1473">_xlfn.IFS(E1473=$AB$42,$AF$42,E1473=$AB$43,$AF$43,E1473=$AB$44,$AF$44,E1473=$AB$45,$AF$45,E1473=$AB$46,$AF$46,E1473=$AB$47,$AF$47,E1473=$AB$48,$AF$48,E1473=$AB$49,$AF$49,E1473=$AB$50,$AF$50,E1473=$AB$51,$AF$51,E1473=$AB$52,$AF$52,E1473=$AB$53,$AF$53,E1473=$AB$54,$AF$54,E1473=$AB$55,$AF$55,E1473=$AB$56,$AF$56,E1473=$AB$57,$AF$57,E1473=$AB$58,$AF$58,E1473=$AB$59,$AF$59,E1473=$AB$60,$AF$60,E1473=$AB$61,$AF$61,E1473=$AB$62,$AF$62,E1473=$AB$63,$AF$63,E1473=$AB$64,$AF$64,E1473=$AB$65,$AF$65,E1473=$AB$66,$AF$66,TRUE,"0")</f>
        <v>40 mins Back ANother Goal</v>
      </c>
      <c r="D1473" s="270" t="str" cm="1">
        <f t="array" ref="D1473">_xlfn.IFS(E1473=$AB$42,$AD$42,E1473=$AB$43,$AD$43,E1473=$AB$44,$AD$44,E1473=$AB$45,$AD$45,E1473=$AB$46,$AD$46,E1473=$AB$47,$AD$47,E1473=$AB$48,$AD$48,E1473=$AB$49,$AD$49,E1473=$AB$50,$AD$50,E1473=$AB$51,$AD$51,E1473=$AB$52,$AD$52,E1473=$AB$53,$AD$53,E1473=$AB$54,$AD$54,E1473=$AB$55,$AD$55,E1473=$AB$56,$AD$56,E1473=$AB$57,$AD$57,E1473=$AB$58,$AD$58,E1473=$AB$59,$AD$59,E1473=$AB$60,$AD$60,E1473=$AB$61,$AD$61,E1473=$AB$62,$AD$62,E1473=$AB$63,$AD$63,E1473=$AB$64,$AD$64,E1473=$AB$65,$AD$65,E1473=$AB$66,$AD$66,TRUE,"0")</f>
        <v xml:space="preserve">  BANG</v>
      </c>
      <c r="E1473" s="2" t="s">
        <v>726</v>
      </c>
      <c r="F1473" s="2" t="s">
        <v>149</v>
      </c>
      <c r="G1473" s="2" t="s">
        <v>153</v>
      </c>
      <c r="H1473" s="3">
        <v>45424.5625</v>
      </c>
      <c r="I1473" s="2" t="s">
        <v>206</v>
      </c>
      <c r="J1473" s="2" t="s">
        <v>281</v>
      </c>
      <c r="K1473" s="2">
        <v>95</v>
      </c>
      <c r="L1473" s="2">
        <v>20</v>
      </c>
      <c r="M1473" s="2">
        <v>2.2000000000000002</v>
      </c>
      <c r="N1473" s="2">
        <v>55</v>
      </c>
      <c r="O1473" s="2"/>
      <c r="P1473" s="2"/>
      <c r="Q1473" s="2" t="s">
        <v>95</v>
      </c>
      <c r="R1473" s="10" t="s">
        <v>216</v>
      </c>
      <c r="S1473" s="10" t="s">
        <v>211</v>
      </c>
      <c r="T1473" s="188">
        <v>1000</v>
      </c>
      <c r="U1473" s="8">
        <f t="shared" si="159"/>
        <v>180</v>
      </c>
      <c r="V1473" s="234">
        <f t="shared" si="164"/>
        <v>153684.15524616028</v>
      </c>
      <c r="W1473" s="15">
        <v>25</v>
      </c>
      <c r="X1473" s="8">
        <f t="shared" si="162"/>
        <v>4.5</v>
      </c>
      <c r="Y1473" s="233">
        <f t="shared" si="163"/>
        <v>5708</v>
      </c>
    </row>
    <row r="1474" spans="1:25">
      <c r="A1474" s="156" t="e" cm="1">
        <f t="array" aca="1" ref="A1474" ca="1">_xlfn.IFS(E1474=$AB$42,$AC$42,E1474=$AB$43,$AC$43,E1474=$AB$44,$AC$44,E1474=$AB$45,$AC$45,E1474=$AB$46,$AC$46,E1474=$AB$47,$AC$47,E1474=$AB$48,$AC$48,E1474=$AB$49,$AC$49,E1474=$AB$50,$AC$50,E1474=$AB$51,$AC$51,E1474=$AB$52,$AC$52,E1474=$AB$53,$AC$53,E1474=$AB$54,$AC$54,E1474=$AB$55,$AC$55,E1474=$AB$56,$AC$56,E1474=$AB$57,$AC$57,E1474=$AB$58,$AC$58,E1474=$AB$59,$AC$59,E1474=$AB$60,$AC$60,E1474=$AB$61,$AC$61,E1474=$AB$62,$AC$62,E1474=$AB$63,$AC$63,E1474=$AB$64,$AC$64,E1474=$AB$65,$AC$65,E1474=$AB$66,$AC$66,TRUE,"0")</f>
        <v>#NAME?</v>
      </c>
      <c r="C1474" s="161" t="str" cm="1">
        <f t="array" ref="C1474">_xlfn.IFS(E1474=$AB$42,$AF$42,E1474=$AB$43,$AF$43,E1474=$AB$44,$AF$44,E1474=$AB$45,$AF$45,E1474=$AB$46,$AF$46,E1474=$AB$47,$AF$47,E1474=$AB$48,$AF$48,E1474=$AB$49,$AF$49,E1474=$AB$50,$AF$50,E1474=$AB$51,$AF$51,E1474=$AB$52,$AF$52,E1474=$AB$53,$AF$53,E1474=$AB$54,$AF$54,E1474=$AB$55,$AF$55,E1474=$AB$56,$AF$56,E1474=$AB$57,$AF$57,E1474=$AB$58,$AF$58,E1474=$AB$59,$AF$59,E1474=$AB$60,$AF$60,E1474=$AB$61,$AF$61,E1474=$AB$62,$AF$62,E1474=$AB$63,$AF$63,E1474=$AB$64,$AF$64,E1474=$AB$65,$AF$65,E1474=$AB$66,$AF$66,TRUE,"0")</f>
        <v>15mins if  0-0, BACK over 1.5 goals X after goal OR LET RUN</v>
      </c>
      <c r="D1474" s="270" t="str" cm="1">
        <f t="array" ref="D1474">_xlfn.IFS(E1474=$AB$42,$AD$42,E1474=$AB$43,$AD$43,E1474=$AB$44,$AD$44,E1474=$AB$45,$AD$45,E1474=$AB$46,$AD$46,E1474=$AB$47,$AD$47,E1474=$AB$48,$AD$48,E1474=$AB$49,$AD$49,E1474=$AB$50,$AD$50,E1474=$AB$51,$AD$51,E1474=$AB$52,$AD$52,E1474=$AB$53,$AD$53,E1474=$AB$54,$AD$54,E1474=$AB$55,$AD$55,E1474=$AB$56,$AD$56,E1474=$AB$57,$AD$57,E1474=$AB$58,$AD$58,E1474=$AB$59,$AD$59,E1474=$AB$60,$AD$60,E1474=$AB$61,$AD$61,E1474=$AB$62,$AD$62,E1474=$AB$63,$AD$63,E1474=$AB$64,$AD$64,E1474=$AB$65,$AD$65,E1474=$AB$66,$AD$66,TRUE,"0")</f>
        <v>IP</v>
      </c>
      <c r="E1474" s="2" t="s">
        <v>473</v>
      </c>
      <c r="F1474" s="2" t="s">
        <v>640</v>
      </c>
      <c r="G1474" s="2" t="s">
        <v>641</v>
      </c>
      <c r="H1474" s="3">
        <v>45424.5625</v>
      </c>
      <c r="I1474" s="2" t="s">
        <v>824</v>
      </c>
      <c r="J1474" s="2" t="s">
        <v>643</v>
      </c>
      <c r="K1474" s="2">
        <v>67</v>
      </c>
      <c r="L1474" s="2">
        <v>85</v>
      </c>
      <c r="M1474" s="2">
        <v>20</v>
      </c>
      <c r="N1474" s="2">
        <v>3.3</v>
      </c>
      <c r="O1474" s="2"/>
      <c r="P1474" s="2"/>
      <c r="Q1474" s="2" t="s">
        <v>95</v>
      </c>
      <c r="R1474" s="10" t="s">
        <v>216</v>
      </c>
      <c r="S1474" s="10" t="s">
        <v>365</v>
      </c>
      <c r="T1474" s="188">
        <v>1000</v>
      </c>
      <c r="U1474" s="8">
        <f t="shared" si="159"/>
        <v>180</v>
      </c>
      <c r="V1474" s="234">
        <f t="shared" si="164"/>
        <v>153864.15524616028</v>
      </c>
      <c r="W1474" s="15">
        <v>25</v>
      </c>
      <c r="X1474" s="8">
        <f t="shared" si="162"/>
        <v>4.5</v>
      </c>
      <c r="Y1474" s="233">
        <f t="shared" si="163"/>
        <v>5712.5</v>
      </c>
    </row>
    <row r="1475" spans="1:25">
      <c r="A1475" s="156" t="e" cm="1">
        <f t="array" aca="1" ref="A1475" ca="1">_xlfn.IFS(E1475=$AB$42,$AC$42,E1475=$AB$43,$AC$43,E1475=$AB$44,$AC$44,E1475=$AB$45,$AC$45,E1475=$AB$46,$AC$46,E1475=$AB$47,$AC$47,E1475=$AB$48,$AC$48,E1475=$AB$49,$AC$49,E1475=$AB$50,$AC$50,E1475=$AB$51,$AC$51,E1475=$AB$52,$AC$52,E1475=$AB$53,$AC$53,E1475=$AB$54,$AC$54,E1475=$AB$55,$AC$55,E1475=$AB$56,$AC$56,E1475=$AB$57,$AC$57,E1475=$AB$58,$AC$58,E1475=$AB$59,$AC$59,E1475=$AB$60,$AC$60,E1475=$AB$61,$AC$61,E1475=$AB$62,$AC$62,E1475=$AB$63,$AC$63,E1475=$AB$64,$AC$64,E1475=$AB$65,$AC$65,E1475=$AB$66,$AC$66,TRUE,"0")</f>
        <v>#NAME?</v>
      </c>
      <c r="C1475" s="161" t="str" cm="1">
        <f t="array" ref="C1475">_xlfn.IFS(E1475=$AB$42,$AF$42,E1475=$AB$43,$AF$43,E1475=$AB$44,$AF$44,E1475=$AB$45,$AF$45,E1475=$AB$46,$AF$46,E1475=$AB$47,$AF$47,E1475=$AB$48,$AF$48,E1475=$AB$49,$AF$49,E1475=$AB$50,$AF$50,E1475=$AB$51,$AF$51,E1475=$AB$52,$AF$52,E1475=$AB$53,$AF$53,E1475=$AB$54,$AF$54,E1475=$AB$55,$AF$55,E1475=$AB$56,$AF$56,E1475=$AB$57,$AF$57,E1475=$AB$58,$AF$58,E1475=$AB$59,$AF$59,E1475=$AB$60,$AF$60,E1475=$AB$61,$AF$61,E1475=$AB$62,$AF$62,E1475=$AB$63,$AF$63,E1475=$AB$64,$AF$64,E1475=$AB$65,$AF$65,E1475=$AB$66,$AF$66,TRUE,"0")</f>
        <v>40 mins Back ANother Goal</v>
      </c>
      <c r="D1475" s="270" t="str" cm="1">
        <f t="array" ref="D1475">_xlfn.IFS(E1475=$AB$42,$AD$42,E1475=$AB$43,$AD$43,E1475=$AB$44,$AD$44,E1475=$AB$45,$AD$45,E1475=$AB$46,$AD$46,E1475=$AB$47,$AD$47,E1475=$AB$48,$AD$48,E1475=$AB$49,$AD$49,E1475=$AB$50,$AD$50,E1475=$AB$51,$AD$51,E1475=$AB$52,$AD$52,E1475=$AB$53,$AD$53,E1475=$AB$54,$AD$54,E1475=$AB$55,$AD$55,E1475=$AB$56,$AD$56,E1475=$AB$57,$AD$57,E1475=$AB$58,$AD$58,E1475=$AB$59,$AD$59,E1475=$AB$60,$AD$60,E1475=$AB$61,$AD$61,E1475=$AB$62,$AD$62,E1475=$AB$63,$AD$63,E1475=$AB$64,$AD$64,E1475=$AB$65,$AD$65,E1475=$AB$66,$AD$66,TRUE,"0")</f>
        <v xml:space="preserve">  BANG</v>
      </c>
      <c r="E1475" s="2" t="s">
        <v>726</v>
      </c>
      <c r="F1475" s="2" t="s">
        <v>149</v>
      </c>
      <c r="G1475" s="2" t="s">
        <v>153</v>
      </c>
      <c r="H1475" s="3">
        <v>45424.5625</v>
      </c>
      <c r="I1475" s="2" t="s">
        <v>241</v>
      </c>
      <c r="J1475" s="2" t="s">
        <v>282</v>
      </c>
      <c r="K1475" s="2">
        <v>80</v>
      </c>
      <c r="L1475" s="2">
        <v>20</v>
      </c>
      <c r="M1475" s="2">
        <v>1.85</v>
      </c>
      <c r="N1475" s="2">
        <v>56</v>
      </c>
      <c r="O1475" s="2"/>
      <c r="P1475" s="2"/>
      <c r="Q1475" s="2" t="s">
        <v>95</v>
      </c>
      <c r="R1475" s="10" t="s">
        <v>193</v>
      </c>
      <c r="S1475" s="10" t="s">
        <v>213</v>
      </c>
      <c r="T1475" s="188">
        <v>1000</v>
      </c>
      <c r="U1475" s="8">
        <f t="shared" si="159"/>
        <v>180</v>
      </c>
      <c r="V1475" s="234">
        <f t="shared" si="164"/>
        <v>154044.15524616028</v>
      </c>
      <c r="W1475" s="15">
        <v>25</v>
      </c>
      <c r="X1475" s="8">
        <f t="shared" si="162"/>
        <v>4.5</v>
      </c>
      <c r="Y1475" s="233">
        <f t="shared" si="163"/>
        <v>5717</v>
      </c>
    </row>
    <row r="1476" spans="1:25">
      <c r="A1476" s="156" t="e" cm="1">
        <f t="array" aca="1" ref="A1476" ca="1">_xlfn.IFS(E1476=$AB$42,$AC$42,E1476=$AB$43,$AC$43,E1476=$AB$44,$AC$44,E1476=$AB$45,$AC$45,E1476=$AB$46,$AC$46,E1476=$AB$47,$AC$47,E1476=$AB$48,$AC$48,E1476=$AB$49,$AC$49,E1476=$AB$50,$AC$50,E1476=$AB$51,$AC$51,E1476=$AB$52,$AC$52,E1476=$AB$53,$AC$53,E1476=$AB$54,$AC$54,E1476=$AB$55,$AC$55,E1476=$AB$56,$AC$56,E1476=$AB$57,$AC$57,E1476=$AB$58,$AC$58,E1476=$AB$59,$AC$59,E1476=$AB$60,$AC$60,E1476=$AB$61,$AC$61,E1476=$AB$62,$AC$62,E1476=$AB$63,$AC$63,E1476=$AB$64,$AC$64,E1476=$AB$65,$AC$65,E1476=$AB$66,$AC$66,TRUE,"0")</f>
        <v>#NAME?</v>
      </c>
      <c r="C1476" s="161" t="str" cm="1">
        <f t="array" ref="C1476">_xlfn.IFS(E1476=$AB$42,$AF$42,E1476=$AB$43,$AF$43,E1476=$AB$44,$AF$44,E1476=$AB$45,$AF$45,E1476=$AB$46,$AF$46,E1476=$AB$47,$AF$47,E1476=$AB$48,$AF$48,E1476=$AB$49,$AF$49,E1476=$AB$50,$AF$50,E1476=$AB$51,$AF$51,E1476=$AB$52,$AF$52,E1476=$AB$53,$AF$53,E1476=$AB$54,$AF$54,E1476=$AB$55,$AF$55,E1476=$AB$56,$AF$56,E1476=$AB$57,$AF$57,E1476=$AB$58,$AF$58,E1476=$AB$59,$AF$59,E1476=$AB$60,$AF$60,E1476=$AB$61,$AF$61,E1476=$AB$62,$AF$62,E1476=$AB$63,$AF$63,E1476=$AB$64,$AF$64,E1476=$AB$65,$AF$65,E1476=$AB$66,$AF$66,TRUE,"0")</f>
        <v>B4 match BACK FT +1.5 goals. X AFTER  GOAL</v>
      </c>
      <c r="D1476" s="270" t="str" cm="1">
        <f t="array" ref="D1476">_xlfn.IFS(E1476=$AB$42,$AD$42,E1476=$AB$43,$AD$43,E1476=$AB$44,$AD$44,E1476=$AB$45,$AD$45,E1476=$AB$46,$AD$46,E1476=$AB$47,$AD$47,E1476=$AB$48,$AD$48,E1476=$AB$49,$AD$49,E1476=$AB$50,$AD$50,E1476=$AB$51,$AD$51,E1476=$AB$52,$AD$52,E1476=$AB$53,$AD$53,E1476=$AB$54,$AD$54,E1476=$AB$55,$AD$55,E1476=$AB$56,$AD$56,E1476=$AB$57,$AD$57,E1476=$AB$58,$AD$58,E1476=$AB$59,$AD$59,E1476=$AB$60,$AD$60,E1476=$AB$61,$AD$61,E1476=$AB$62,$AD$62,E1476=$AB$63,$AD$63,E1476=$AB$64,$AD$64,E1476=$AB$65,$AD$65,E1476=$AB$66,$AD$66,TRUE,"0")</f>
        <v xml:space="preserve">BFM </v>
      </c>
      <c r="E1476" s="2" t="s">
        <v>531</v>
      </c>
      <c r="F1476" s="2" t="s">
        <v>149</v>
      </c>
      <c r="G1476" s="2" t="s">
        <v>153</v>
      </c>
      <c r="H1476" s="3">
        <v>45424.5625</v>
      </c>
      <c r="I1476" s="2" t="s">
        <v>241</v>
      </c>
      <c r="J1476" s="2" t="s">
        <v>282</v>
      </c>
      <c r="K1476" s="2">
        <v>6</v>
      </c>
      <c r="L1476" s="2">
        <v>32</v>
      </c>
      <c r="M1476" s="2">
        <v>3.34</v>
      </c>
      <c r="N1476" s="2">
        <v>22</v>
      </c>
      <c r="O1476" s="2">
        <v>4</v>
      </c>
      <c r="P1476" s="2">
        <v>16</v>
      </c>
      <c r="Q1476" s="2" t="s">
        <v>95</v>
      </c>
      <c r="R1476" s="10" t="s">
        <v>193</v>
      </c>
      <c r="S1476" s="10" t="s">
        <v>213</v>
      </c>
      <c r="T1476" s="188">
        <v>1000</v>
      </c>
      <c r="U1476" s="8">
        <f t="shared" si="159"/>
        <v>180</v>
      </c>
      <c r="V1476" s="234">
        <f t="shared" si="164"/>
        <v>154224.15524616028</v>
      </c>
      <c r="W1476" s="15">
        <v>25</v>
      </c>
      <c r="X1476" s="8">
        <f t="shared" si="162"/>
        <v>4.5</v>
      </c>
      <c r="Y1476" s="233">
        <f t="shared" si="163"/>
        <v>5721.5</v>
      </c>
    </row>
    <row r="1477" spans="1:25">
      <c r="A1477" s="156" t="e" cm="1">
        <f t="array" aca="1" ref="A1477" ca="1">_xlfn.IFS(E1477=$AB$42,$AC$42,E1477=$AB$43,$AC$43,E1477=$AB$44,$AC$44,E1477=$AB$45,$AC$45,E1477=$AB$46,$AC$46,E1477=$AB$47,$AC$47,E1477=$AB$48,$AC$48,E1477=$AB$49,$AC$49,E1477=$AB$50,$AC$50,E1477=$AB$51,$AC$51,E1477=$AB$52,$AC$52,E1477=$AB$53,$AC$53,E1477=$AB$54,$AC$54,E1477=$AB$55,$AC$55,E1477=$AB$56,$AC$56,E1477=$AB$57,$AC$57,E1477=$AB$58,$AC$58,E1477=$AB$59,$AC$59,E1477=$AB$60,$AC$60,E1477=$AB$61,$AC$61,E1477=$AB$62,$AC$62,E1477=$AB$63,$AC$63,E1477=$AB$64,$AC$64,E1477=$AB$65,$AC$65,E1477=$AB$66,$AC$66,TRUE,"0")</f>
        <v>#NAME?</v>
      </c>
      <c r="C1477" s="161" t="str" cm="1">
        <f t="array" ref="C1477">_xlfn.IFS(E1477=$AB$42,$AF$42,E1477=$AB$43,$AF$43,E1477=$AB$44,$AF$44,E1477=$AB$45,$AF$45,E1477=$AB$46,$AF$46,E1477=$AB$47,$AF$47,E1477=$AB$48,$AF$48,E1477=$AB$49,$AF$49,E1477=$AB$50,$AF$50,E1477=$AB$51,$AF$51,E1477=$AB$52,$AF$52,E1477=$AB$53,$AF$53,E1477=$AB$54,$AF$54,E1477=$AB$55,$AF$55,E1477=$AB$56,$AF$56,E1477=$AB$57,$AF$57,E1477=$AB$58,$AF$58,E1477=$AB$59,$AF$59,E1477=$AB$60,$AF$60,E1477=$AB$61,$AF$61,E1477=$AB$62,$AF$62,E1477=$AB$63,$AF$63,E1477=$AB$64,$AF$64,E1477=$AB$65,$AF$65,E1477=$AB$66,$AF$66,TRUE,"0")</f>
        <v>40 mins Back ANother Goal</v>
      </c>
      <c r="D1477" s="270" t="str" cm="1">
        <f t="array" ref="D1477">_xlfn.IFS(E1477=$AB$42,$AD$42,E1477=$AB$43,$AD$43,E1477=$AB$44,$AD$44,E1477=$AB$45,$AD$45,E1477=$AB$46,$AD$46,E1477=$AB$47,$AD$47,E1477=$AB$48,$AD$48,E1477=$AB$49,$AD$49,E1477=$AB$50,$AD$50,E1477=$AB$51,$AD$51,E1477=$AB$52,$AD$52,E1477=$AB$53,$AD$53,E1477=$AB$54,$AD$54,E1477=$AB$55,$AD$55,E1477=$AB$56,$AD$56,E1477=$AB$57,$AD$57,E1477=$AB$58,$AD$58,E1477=$AB$59,$AD$59,E1477=$AB$60,$AD$60,E1477=$AB$61,$AD$61,E1477=$AB$62,$AD$62,E1477=$AB$63,$AD$63,E1477=$AB$64,$AD$64,E1477=$AB$65,$AD$65,E1477=$AB$66,$AD$66,TRUE,"0")</f>
        <v xml:space="preserve">  BANG</v>
      </c>
      <c r="E1477" s="2" t="s">
        <v>726</v>
      </c>
      <c r="F1477" s="2" t="s">
        <v>149</v>
      </c>
      <c r="G1477" s="2" t="s">
        <v>153</v>
      </c>
      <c r="H1477" s="3">
        <v>45424.5625</v>
      </c>
      <c r="I1477" s="2" t="s">
        <v>249</v>
      </c>
      <c r="J1477" s="2" t="s">
        <v>188</v>
      </c>
      <c r="K1477" s="2">
        <v>80</v>
      </c>
      <c r="L1477" s="2">
        <v>20</v>
      </c>
      <c r="M1477" s="2">
        <v>1.95</v>
      </c>
      <c r="N1477" s="2">
        <v>58</v>
      </c>
      <c r="O1477" s="2"/>
      <c r="P1477" s="2"/>
      <c r="Q1477" s="2" t="s">
        <v>95</v>
      </c>
      <c r="R1477" s="10" t="s">
        <v>214</v>
      </c>
      <c r="S1477" s="10" t="s">
        <v>216</v>
      </c>
      <c r="T1477" s="188">
        <v>1000</v>
      </c>
      <c r="U1477" s="8">
        <f t="shared" si="159"/>
        <v>180</v>
      </c>
      <c r="V1477" s="234">
        <f t="shared" si="164"/>
        <v>154404.15524616028</v>
      </c>
      <c r="W1477" s="15">
        <v>25</v>
      </c>
      <c r="X1477" s="8">
        <f t="shared" si="162"/>
        <v>4.5</v>
      </c>
      <c r="Y1477" s="233">
        <f t="shared" si="163"/>
        <v>5726</v>
      </c>
    </row>
    <row r="1478" spans="1:25">
      <c r="A1478" s="156" t="e" cm="1">
        <f t="array" aca="1" ref="A1478" ca="1">_xlfn.IFS(E1478=$AB$42,$AC$42,E1478=$AB$43,$AC$43,E1478=$AB$44,$AC$44,E1478=$AB$45,$AC$45,E1478=$AB$46,$AC$46,E1478=$AB$47,$AC$47,E1478=$AB$48,$AC$48,E1478=$AB$49,$AC$49,E1478=$AB$50,$AC$50,E1478=$AB$51,$AC$51,E1478=$AB$52,$AC$52,E1478=$AB$53,$AC$53,E1478=$AB$54,$AC$54,E1478=$AB$55,$AC$55,E1478=$AB$56,$AC$56,E1478=$AB$57,$AC$57,E1478=$AB$58,$AC$58,E1478=$AB$59,$AC$59,E1478=$AB$60,$AC$60,E1478=$AB$61,$AC$61,E1478=$AB$62,$AC$62,E1478=$AB$63,$AC$63,E1478=$AB$64,$AC$64,E1478=$AB$65,$AC$65,E1478=$AB$66,$AC$66,TRUE,"0")</f>
        <v>#NAME?</v>
      </c>
      <c r="C1478" s="161" t="str" cm="1">
        <f t="array" ref="C1478">_xlfn.IFS(E1478=$AB$42,$AF$42,E1478=$AB$43,$AF$43,E1478=$AB$44,$AF$44,E1478=$AB$45,$AF$45,E1478=$AB$46,$AF$46,E1478=$AB$47,$AF$47,E1478=$AB$48,$AF$48,E1478=$AB$49,$AF$49,E1478=$AB$50,$AF$50,E1478=$AB$51,$AF$51,E1478=$AB$52,$AF$52,E1478=$AB$53,$AF$53,E1478=$AB$54,$AF$54,E1478=$AB$55,$AF$55,E1478=$AB$56,$AF$56,E1478=$AB$57,$AF$57,E1478=$AB$58,$AF$58,E1478=$AB$59,$AF$59,E1478=$AB$60,$AF$60,E1478=$AB$61,$AF$61,E1478=$AB$62,$AF$62,E1478=$AB$63,$AF$63,E1478=$AB$64,$AF$64,E1478=$AB$65,$AF$65,E1478=$AB$66,$AF$66,TRUE,"0")</f>
        <v>B4 match BACK FT +1.5 goals. X AFTER  GOAL</v>
      </c>
      <c r="D1478" s="270" t="str" cm="1">
        <f t="array" ref="D1478">_xlfn.IFS(E1478=$AB$42,$AD$42,E1478=$AB$43,$AD$43,E1478=$AB$44,$AD$44,E1478=$AB$45,$AD$45,E1478=$AB$46,$AD$46,E1478=$AB$47,$AD$47,E1478=$AB$48,$AD$48,E1478=$AB$49,$AD$49,E1478=$AB$50,$AD$50,E1478=$AB$51,$AD$51,E1478=$AB$52,$AD$52,E1478=$AB$53,$AD$53,E1478=$AB$54,$AD$54,E1478=$AB$55,$AD$55,E1478=$AB$56,$AD$56,E1478=$AB$57,$AD$57,E1478=$AB$58,$AD$58,E1478=$AB$59,$AD$59,E1478=$AB$60,$AD$60,E1478=$AB$61,$AD$61,E1478=$AB$62,$AD$62,E1478=$AB$63,$AD$63,E1478=$AB$64,$AD$64,E1478=$AB$65,$AD$65,E1478=$AB$66,$AD$66,TRUE,"0")</f>
        <v xml:space="preserve">BFM </v>
      </c>
      <c r="E1478" s="2" t="s">
        <v>531</v>
      </c>
      <c r="F1478" s="2" t="s">
        <v>149</v>
      </c>
      <c r="G1478" s="2" t="s">
        <v>153</v>
      </c>
      <c r="H1478" s="3">
        <v>45424.5625</v>
      </c>
      <c r="I1478" s="2" t="s">
        <v>249</v>
      </c>
      <c r="J1478" s="2" t="s">
        <v>188</v>
      </c>
      <c r="K1478" s="2">
        <v>3.2</v>
      </c>
      <c r="L1478" s="2">
        <v>32</v>
      </c>
      <c r="M1478" s="2">
        <v>3.44</v>
      </c>
      <c r="N1478" s="2">
        <v>27</v>
      </c>
      <c r="O1478" s="2">
        <v>8</v>
      </c>
      <c r="P1478" s="2">
        <v>16</v>
      </c>
      <c r="Q1478" s="2" t="s">
        <v>95</v>
      </c>
      <c r="R1478" s="10" t="s">
        <v>214</v>
      </c>
      <c r="S1478" s="10" t="s">
        <v>216</v>
      </c>
      <c r="T1478" s="188">
        <v>1000</v>
      </c>
      <c r="U1478" s="8">
        <f t="shared" si="159"/>
        <v>180</v>
      </c>
      <c r="V1478" s="234">
        <f t="shared" si="164"/>
        <v>154584.15524616028</v>
      </c>
      <c r="W1478" s="15">
        <v>25</v>
      </c>
      <c r="X1478" s="8">
        <f t="shared" si="162"/>
        <v>4.5</v>
      </c>
      <c r="Y1478" s="233">
        <f t="shared" si="163"/>
        <v>5730.5</v>
      </c>
    </row>
    <row r="1479" spans="1:25">
      <c r="A1479" s="156" t="e" cm="1">
        <f t="array" aca="1" ref="A1479" ca="1">_xlfn.IFS(E1479=$AB$42,$AC$42,E1479=$AB$43,$AC$43,E1479=$AB$44,$AC$44,E1479=$AB$45,$AC$45,E1479=$AB$46,$AC$46,E1479=$AB$47,$AC$47,E1479=$AB$48,$AC$48,E1479=$AB$49,$AC$49,E1479=$AB$50,$AC$50,E1479=$AB$51,$AC$51,E1479=$AB$52,$AC$52,E1479=$AB$53,$AC$53,E1479=$AB$54,$AC$54,E1479=$AB$55,$AC$55,E1479=$AB$56,$AC$56,E1479=$AB$57,$AC$57,E1479=$AB$58,$AC$58,E1479=$AB$59,$AC$59,E1479=$AB$60,$AC$60,E1479=$AB$61,$AC$61,E1479=$AB$62,$AC$62,E1479=$AB$63,$AC$63,E1479=$AB$64,$AC$64,E1479=$AB$65,$AC$65,E1479=$AB$66,$AC$66,TRUE,"0")</f>
        <v>#NAME?</v>
      </c>
      <c r="C1479" s="161" t="str" cm="1">
        <f t="array" ref="C1479">_xlfn.IFS(E1479=$AB$42,$AF$42,E1479=$AB$43,$AF$43,E1479=$AB$44,$AF$44,E1479=$AB$45,$AF$45,E1479=$AB$46,$AF$46,E1479=$AB$47,$AF$47,E1479=$AB$48,$AF$48,E1479=$AB$49,$AF$49,E1479=$AB$50,$AF$50,E1479=$AB$51,$AF$51,E1479=$AB$52,$AF$52,E1479=$AB$53,$AF$53,E1479=$AB$54,$AF$54,E1479=$AB$55,$AF$55,E1479=$AB$56,$AF$56,E1479=$AB$57,$AF$57,E1479=$AB$58,$AF$58,E1479=$AB$59,$AF$59,E1479=$AB$60,$AF$60,E1479=$AB$61,$AF$61,E1479=$AB$62,$AF$62,E1479=$AB$63,$AF$63,E1479=$AB$64,$AF$64,E1479=$AB$65,$AF$65,E1479=$AB$66,$AF$66,TRUE,"0")</f>
        <v>40 mins Back ANother Goal</v>
      </c>
      <c r="D1479" s="270" t="str" cm="1">
        <f t="array" ref="D1479">_xlfn.IFS(E1479=$AB$42,$AD$42,E1479=$AB$43,$AD$43,E1479=$AB$44,$AD$44,E1479=$AB$45,$AD$45,E1479=$AB$46,$AD$46,E1479=$AB$47,$AD$47,E1479=$AB$48,$AD$48,E1479=$AB$49,$AD$49,E1479=$AB$50,$AD$50,E1479=$AB$51,$AD$51,E1479=$AB$52,$AD$52,E1479=$AB$53,$AD$53,E1479=$AB$54,$AD$54,E1479=$AB$55,$AD$55,E1479=$AB$56,$AD$56,E1479=$AB$57,$AD$57,E1479=$AB$58,$AD$58,E1479=$AB$59,$AD$59,E1479=$AB$60,$AD$60,E1479=$AB$61,$AD$61,E1479=$AB$62,$AD$62,E1479=$AB$63,$AD$63,E1479=$AB$64,$AD$64,E1479=$AB$65,$AD$65,E1479=$AB$66,$AD$66,TRUE,"0")</f>
        <v xml:space="preserve">  BANG</v>
      </c>
      <c r="E1479" s="2" t="s">
        <v>792</v>
      </c>
      <c r="F1479" s="2" t="s">
        <v>149</v>
      </c>
      <c r="G1479" s="2" t="s">
        <v>153</v>
      </c>
      <c r="H1479" s="3">
        <v>45424.5625</v>
      </c>
      <c r="I1479" s="2" t="s">
        <v>242</v>
      </c>
      <c r="J1479" s="2" t="s">
        <v>244</v>
      </c>
      <c r="K1479" s="2">
        <v>1.7</v>
      </c>
      <c r="L1479" s="2">
        <v>90</v>
      </c>
      <c r="M1479" s="2">
        <v>65</v>
      </c>
      <c r="N1479" s="2">
        <v>62</v>
      </c>
      <c r="O1479" s="2">
        <v>20</v>
      </c>
      <c r="P1479" s="2"/>
      <c r="Q1479" s="2" t="s">
        <v>95</v>
      </c>
      <c r="R1479" s="10" t="s">
        <v>208</v>
      </c>
      <c r="S1479" s="10" t="s">
        <v>739</v>
      </c>
      <c r="T1479" s="188">
        <v>1000</v>
      </c>
      <c r="U1479" s="8">
        <f t="shared" si="159"/>
        <v>180</v>
      </c>
      <c r="V1479" s="234">
        <f t="shared" si="164"/>
        <v>154764.15524616028</v>
      </c>
      <c r="W1479" s="15">
        <v>25</v>
      </c>
      <c r="X1479" s="8">
        <f t="shared" si="162"/>
        <v>4.5</v>
      </c>
      <c r="Y1479" s="233">
        <f t="shared" si="163"/>
        <v>5735</v>
      </c>
    </row>
    <row r="1480" spans="1:25">
      <c r="A1480" s="156" t="e" cm="1">
        <f t="array" aca="1" ref="A1480" ca="1">_xlfn.IFS(E1480=$AB$42,$AC$42,E1480=$AB$43,$AC$43,E1480=$AB$44,$AC$44,E1480=$AB$45,$AC$45,E1480=$AB$46,$AC$46,E1480=$AB$47,$AC$47,E1480=$AB$48,$AC$48,E1480=$AB$49,$AC$49,E1480=$AB$50,$AC$50,E1480=$AB$51,$AC$51,E1480=$AB$52,$AC$52,E1480=$AB$53,$AC$53,E1480=$AB$54,$AC$54,E1480=$AB$55,$AC$55,E1480=$AB$56,$AC$56,E1480=$AB$57,$AC$57,E1480=$AB$58,$AC$58,E1480=$AB$59,$AC$59,E1480=$AB$60,$AC$60,E1480=$AB$61,$AC$61,E1480=$AB$62,$AC$62,E1480=$AB$63,$AC$63,E1480=$AB$64,$AC$64,E1480=$AB$65,$AC$65,E1480=$AB$66,$AC$66,TRUE,"0")</f>
        <v>#NAME?</v>
      </c>
      <c r="C1480" s="161" t="str" cm="1">
        <f t="array" ref="C1480">_xlfn.IFS(E1480=$AB$42,$AF$42,E1480=$AB$43,$AF$43,E1480=$AB$44,$AF$44,E1480=$AB$45,$AF$45,E1480=$AB$46,$AF$46,E1480=$AB$47,$AF$47,E1480=$AB$48,$AF$48,E1480=$AB$49,$AF$49,E1480=$AB$50,$AF$50,E1480=$AB$51,$AF$51,E1480=$AB$52,$AF$52,E1480=$AB$53,$AF$53,E1480=$AB$54,$AF$54,E1480=$AB$55,$AF$55,E1480=$AB$56,$AF$56,E1480=$AB$57,$AF$57,E1480=$AB$58,$AF$58,E1480=$AB$59,$AF$59,E1480=$AB$60,$AF$60,E1480=$AB$61,$AF$61,E1480=$AB$62,$AF$62,E1480=$AB$63,$AF$63,E1480=$AB$64,$AF$64,E1480=$AB$65,$AF$65,E1480=$AB$66,$AF$66,TRUE,"0")</f>
        <v>40 mins Back ANother Goal</v>
      </c>
      <c r="D1480" s="270" t="str" cm="1">
        <f t="array" ref="D1480">_xlfn.IFS(E1480=$AB$42,$AD$42,E1480=$AB$43,$AD$43,E1480=$AB$44,$AD$44,E1480=$AB$45,$AD$45,E1480=$AB$46,$AD$46,E1480=$AB$47,$AD$47,E1480=$AB$48,$AD$48,E1480=$AB$49,$AD$49,E1480=$AB$50,$AD$50,E1480=$AB$51,$AD$51,E1480=$AB$52,$AD$52,E1480=$AB$53,$AD$53,E1480=$AB$54,$AD$54,E1480=$AB$55,$AD$55,E1480=$AB$56,$AD$56,E1480=$AB$57,$AD$57,E1480=$AB$58,$AD$58,E1480=$AB$59,$AD$59,E1480=$AB$60,$AD$60,E1480=$AB$61,$AD$61,E1480=$AB$62,$AD$62,E1480=$AB$63,$AD$63,E1480=$AB$64,$AD$64,E1480=$AB$65,$AD$65,E1480=$AB$66,$AD$66,TRUE,"0")</f>
        <v xml:space="preserve">  BANG</v>
      </c>
      <c r="E1480" s="2" t="s">
        <v>792</v>
      </c>
      <c r="F1480" s="2" t="s">
        <v>149</v>
      </c>
      <c r="G1480" s="2" t="s">
        <v>153</v>
      </c>
      <c r="H1480" s="3">
        <v>45424.5625</v>
      </c>
      <c r="I1480" s="2" t="s">
        <v>154</v>
      </c>
      <c r="J1480" s="2" t="s">
        <v>205</v>
      </c>
      <c r="K1480" s="2">
        <v>2.4500000000000002</v>
      </c>
      <c r="L1480" s="2">
        <v>90</v>
      </c>
      <c r="M1480" s="2">
        <v>75</v>
      </c>
      <c r="N1480" s="2">
        <v>60</v>
      </c>
      <c r="O1480" s="2">
        <v>20</v>
      </c>
      <c r="P1480" s="2"/>
      <c r="Q1480" s="2" t="s">
        <v>95</v>
      </c>
      <c r="R1480" s="10" t="s">
        <v>221</v>
      </c>
      <c r="S1480" s="10" t="s">
        <v>216</v>
      </c>
      <c r="T1480" s="188">
        <v>1000</v>
      </c>
      <c r="U1480" s="8">
        <f t="shared" si="159"/>
        <v>180</v>
      </c>
      <c r="V1480" s="234">
        <f t="shared" si="164"/>
        <v>154944.15524616028</v>
      </c>
      <c r="W1480" s="15">
        <v>25</v>
      </c>
      <c r="X1480" s="8">
        <f t="shared" si="162"/>
        <v>4.5</v>
      </c>
      <c r="Y1480" s="233">
        <f t="shared" si="163"/>
        <v>5739.5</v>
      </c>
    </row>
    <row r="1481" spans="1:25">
      <c r="A1481" s="156" t="e" cm="1">
        <f t="array" aca="1" ref="A1481" ca="1">_xlfn.IFS(E1481=$AB$42,$AC$42,E1481=$AB$43,$AC$43,E1481=$AB$44,$AC$44,E1481=$AB$45,$AC$45,E1481=$AB$46,$AC$46,E1481=$AB$47,$AC$47,E1481=$AB$48,$AC$48,E1481=$AB$49,$AC$49,E1481=$AB$50,$AC$50,E1481=$AB$51,$AC$51,E1481=$AB$52,$AC$52,E1481=$AB$53,$AC$53,E1481=$AB$54,$AC$54,E1481=$AB$55,$AC$55,E1481=$AB$56,$AC$56,E1481=$AB$57,$AC$57,E1481=$AB$58,$AC$58,E1481=$AB$59,$AC$59,E1481=$AB$60,$AC$60,E1481=$AB$61,$AC$61,E1481=$AB$62,$AC$62,E1481=$AB$63,$AC$63,E1481=$AB$64,$AC$64,E1481=$AB$65,$AC$65,E1481=$AB$66,$AC$66,TRUE,"0")</f>
        <v>#NAME?</v>
      </c>
      <c r="C1481" s="161" t="str" cm="1">
        <f t="array" ref="C1481">_xlfn.IFS(E1481=$AB$42,$AF$42,E1481=$AB$43,$AF$43,E1481=$AB$44,$AF$44,E1481=$AB$45,$AF$45,E1481=$AB$46,$AF$46,E1481=$AB$47,$AF$47,E1481=$AB$48,$AF$48,E1481=$AB$49,$AF$49,E1481=$AB$50,$AF$50,E1481=$AB$51,$AF$51,E1481=$AB$52,$AF$52,E1481=$AB$53,$AF$53,E1481=$AB$54,$AF$54,E1481=$AB$55,$AF$55,E1481=$AB$56,$AF$56,E1481=$AB$57,$AF$57,E1481=$AB$58,$AF$58,E1481=$AB$59,$AF$59,E1481=$AB$60,$AF$60,E1481=$AB$61,$AF$61,E1481=$AB$62,$AF$62,E1481=$AB$63,$AF$63,E1481=$AB$64,$AF$64,E1481=$AB$65,$AF$65,E1481=$AB$66,$AF$66,TRUE,"0")</f>
        <v>40 mins Back ANother Goal</v>
      </c>
      <c r="D1481" s="270" t="str" cm="1">
        <f t="array" ref="D1481">_xlfn.IFS(E1481=$AB$42,$AD$42,E1481=$AB$43,$AD$43,E1481=$AB$44,$AD$44,E1481=$AB$45,$AD$45,E1481=$AB$46,$AD$46,E1481=$AB$47,$AD$47,E1481=$AB$48,$AD$48,E1481=$AB$49,$AD$49,E1481=$AB$50,$AD$50,E1481=$AB$51,$AD$51,E1481=$AB$52,$AD$52,E1481=$AB$53,$AD$53,E1481=$AB$54,$AD$54,E1481=$AB$55,$AD$55,E1481=$AB$56,$AD$56,E1481=$AB$57,$AD$57,E1481=$AB$58,$AD$58,E1481=$AB$59,$AD$59,E1481=$AB$60,$AD$60,E1481=$AB$61,$AD$61,E1481=$AB$62,$AD$62,E1481=$AB$63,$AD$63,E1481=$AB$64,$AD$64,E1481=$AB$65,$AD$65,E1481=$AB$66,$AD$66,TRUE,"0")</f>
        <v xml:space="preserve">  BANG</v>
      </c>
      <c r="E1481" s="2" t="s">
        <v>35</v>
      </c>
      <c r="F1481" s="2" t="s">
        <v>149</v>
      </c>
      <c r="G1481" s="2" t="s">
        <v>153</v>
      </c>
      <c r="H1481" s="3">
        <v>45424.5625</v>
      </c>
      <c r="I1481" s="2" t="s">
        <v>154</v>
      </c>
      <c r="J1481" s="2" t="s">
        <v>205</v>
      </c>
      <c r="K1481" s="2">
        <v>75</v>
      </c>
      <c r="L1481" s="2">
        <v>90</v>
      </c>
      <c r="M1481" s="2">
        <v>75</v>
      </c>
      <c r="N1481" s="2">
        <v>50</v>
      </c>
      <c r="O1481" s="2">
        <v>20</v>
      </c>
      <c r="P1481" s="2">
        <v>1.5</v>
      </c>
      <c r="Q1481" s="2" t="s">
        <v>95</v>
      </c>
      <c r="R1481" s="10" t="s">
        <v>221</v>
      </c>
      <c r="S1481" s="10" t="s">
        <v>216</v>
      </c>
      <c r="T1481" s="188">
        <v>1000</v>
      </c>
      <c r="U1481" s="8">
        <f t="shared" si="159"/>
        <v>180</v>
      </c>
      <c r="V1481" s="234">
        <f t="shared" si="164"/>
        <v>155124.15524616028</v>
      </c>
      <c r="W1481" s="15">
        <v>25</v>
      </c>
      <c r="X1481" s="8">
        <f t="shared" si="162"/>
        <v>4.5</v>
      </c>
      <c r="Y1481" s="233">
        <f t="shared" si="163"/>
        <v>5744</v>
      </c>
    </row>
    <row r="1482" spans="1:25">
      <c r="A1482" s="156" t="e" cm="1">
        <f t="array" aca="1" ref="A1482" ca="1">_xlfn.IFS(E1482=$AB$42,$AC$42,E1482=$AB$43,$AC$43,E1482=$AB$44,$AC$44,E1482=$AB$45,$AC$45,E1482=$AB$46,$AC$46,E1482=$AB$47,$AC$47,E1482=$AB$48,$AC$48,E1482=$AB$49,$AC$49,E1482=$AB$50,$AC$50,E1482=$AB$51,$AC$51,E1482=$AB$52,$AC$52,E1482=$AB$53,$AC$53,E1482=$AB$54,$AC$54,E1482=$AB$55,$AC$55,E1482=$AB$56,$AC$56,E1482=$AB$57,$AC$57,E1482=$AB$58,$AC$58,E1482=$AB$59,$AC$59,E1482=$AB$60,$AC$60,E1482=$AB$61,$AC$61,E1482=$AB$62,$AC$62,E1482=$AB$63,$AC$63,E1482=$AB$64,$AC$64,E1482=$AB$65,$AC$65,E1482=$AB$66,$AC$66,TRUE,"0")</f>
        <v>#NAME?</v>
      </c>
      <c r="C1482" s="161" t="str" cm="1">
        <f t="array" ref="C1482">_xlfn.IFS(E1482=$AB$42,$AF$42,E1482=$AB$43,$AF$43,E1482=$AB$44,$AF$44,E1482=$AB$45,$AF$45,E1482=$AB$46,$AF$46,E1482=$AB$47,$AF$47,E1482=$AB$48,$AF$48,E1482=$AB$49,$AF$49,E1482=$AB$50,$AF$50,E1482=$AB$51,$AF$51,E1482=$AB$52,$AF$52,E1482=$AB$53,$AF$53,E1482=$AB$54,$AF$54,E1482=$AB$55,$AF$55,E1482=$AB$56,$AF$56,E1482=$AB$57,$AF$57,E1482=$AB$58,$AF$58,E1482=$AB$59,$AF$59,E1482=$AB$60,$AF$60,E1482=$AB$61,$AF$61,E1482=$AB$62,$AF$62,E1482=$AB$63,$AF$63,E1482=$AB$64,$AF$64,E1482=$AB$65,$AF$65,E1482=$AB$66,$AF$66,TRUE,"0")</f>
        <v>40 mins Back ANother Goal</v>
      </c>
      <c r="D1482" s="270" t="str" cm="1">
        <f t="array" ref="D1482">_xlfn.IFS(E1482=$AB$42,$AD$42,E1482=$AB$43,$AD$43,E1482=$AB$44,$AD$44,E1482=$AB$45,$AD$45,E1482=$AB$46,$AD$46,E1482=$AB$47,$AD$47,E1482=$AB$48,$AD$48,E1482=$AB$49,$AD$49,E1482=$AB$50,$AD$50,E1482=$AB$51,$AD$51,E1482=$AB$52,$AD$52,E1482=$AB$53,$AD$53,E1482=$AB$54,$AD$54,E1482=$AB$55,$AD$55,E1482=$AB$56,$AD$56,E1482=$AB$57,$AD$57,E1482=$AB$58,$AD$58,E1482=$AB$59,$AD$59,E1482=$AB$60,$AD$60,E1482=$AB$61,$AD$61,E1482=$AB$62,$AD$62,E1482=$AB$63,$AD$63,E1482=$AB$64,$AD$64,E1482=$AB$65,$AD$65,E1482=$AB$66,$AD$66,TRUE,"0")</f>
        <v xml:space="preserve">  BANG</v>
      </c>
      <c r="E1482" s="2" t="s">
        <v>726</v>
      </c>
      <c r="F1482" s="2" t="s">
        <v>149</v>
      </c>
      <c r="G1482" s="2" t="s">
        <v>153</v>
      </c>
      <c r="H1482" s="3">
        <v>45424.5625</v>
      </c>
      <c r="I1482" s="2" t="s">
        <v>154</v>
      </c>
      <c r="J1482" s="2" t="s">
        <v>205</v>
      </c>
      <c r="K1482" s="2">
        <v>90</v>
      </c>
      <c r="L1482" s="2">
        <v>20</v>
      </c>
      <c r="M1482" s="2">
        <v>2.4500000000000002</v>
      </c>
      <c r="N1482" s="2">
        <v>60</v>
      </c>
      <c r="O1482" s="2"/>
      <c r="P1482" s="2"/>
      <c r="Q1482" s="2" t="s">
        <v>95</v>
      </c>
      <c r="R1482" s="10" t="s">
        <v>221</v>
      </c>
      <c r="S1482" s="10" t="s">
        <v>216</v>
      </c>
      <c r="T1482" s="188">
        <v>1000</v>
      </c>
      <c r="U1482" s="8">
        <f t="shared" si="159"/>
        <v>180</v>
      </c>
      <c r="V1482" s="234">
        <f t="shared" si="164"/>
        <v>155304.15524616028</v>
      </c>
      <c r="W1482" s="15">
        <v>25</v>
      </c>
      <c r="X1482" s="8">
        <f t="shared" si="162"/>
        <v>4.5</v>
      </c>
      <c r="Y1482" s="233">
        <f t="shared" si="163"/>
        <v>5748.5</v>
      </c>
    </row>
    <row r="1483" spans="1:25">
      <c r="A1483" s="156" t="e" cm="1">
        <f t="array" aca="1" ref="A1483" ca="1">_xlfn.IFS(E1483=$AB$42,$AC$42,E1483=$AB$43,$AC$43,E1483=$AB$44,$AC$44,E1483=$AB$45,$AC$45,E1483=$AB$46,$AC$46,E1483=$AB$47,$AC$47,E1483=$AB$48,$AC$48,E1483=$AB$49,$AC$49,E1483=$AB$50,$AC$50,E1483=$AB$51,$AC$51,E1483=$AB$52,$AC$52,E1483=$AB$53,$AC$53,E1483=$AB$54,$AC$54,E1483=$AB$55,$AC$55,E1483=$AB$56,$AC$56,E1483=$AB$57,$AC$57,E1483=$AB$58,$AC$58,E1483=$AB$59,$AC$59,E1483=$AB$60,$AC$60,E1483=$AB$61,$AC$61,E1483=$AB$62,$AC$62,E1483=$AB$63,$AC$63,E1483=$AB$64,$AC$64,E1483=$AB$65,$AC$65,E1483=$AB$66,$AC$66,TRUE,"0")</f>
        <v>#NAME?</v>
      </c>
      <c r="C1483" s="161" t="str" cm="1">
        <f t="array" ref="C1483">_xlfn.IFS(E1483=$AB$42,$AF$42,E1483=$AB$43,$AF$43,E1483=$AB$44,$AF$44,E1483=$AB$45,$AF$45,E1483=$AB$46,$AF$46,E1483=$AB$47,$AF$47,E1483=$AB$48,$AF$48,E1483=$AB$49,$AF$49,E1483=$AB$50,$AF$50,E1483=$AB$51,$AF$51,E1483=$AB$52,$AF$52,E1483=$AB$53,$AF$53,E1483=$AB$54,$AF$54,E1483=$AB$55,$AF$55,E1483=$AB$56,$AF$56,E1483=$AB$57,$AF$57,E1483=$AB$58,$AF$58,E1483=$AB$59,$AF$59,E1483=$AB$60,$AF$60,E1483=$AB$61,$AF$61,E1483=$AB$62,$AF$62,E1483=$AB$63,$AF$63,E1483=$AB$64,$AF$64,E1483=$AB$65,$AF$65,E1483=$AB$66,$AF$66,TRUE,"0")</f>
        <v>40 mins Back ANother Goal</v>
      </c>
      <c r="D1483" s="270" t="str" cm="1">
        <f t="array" ref="D1483">_xlfn.IFS(E1483=$AB$42,$AD$42,E1483=$AB$43,$AD$43,E1483=$AB$44,$AD$44,E1483=$AB$45,$AD$45,E1483=$AB$46,$AD$46,E1483=$AB$47,$AD$47,E1483=$AB$48,$AD$48,E1483=$AB$49,$AD$49,E1483=$AB$50,$AD$50,E1483=$AB$51,$AD$51,E1483=$AB$52,$AD$52,E1483=$AB$53,$AD$53,E1483=$AB$54,$AD$54,E1483=$AB$55,$AD$55,E1483=$AB$56,$AD$56,E1483=$AB$57,$AD$57,E1483=$AB$58,$AD$58,E1483=$AB$59,$AD$59,E1483=$AB$60,$AD$60,E1483=$AB$61,$AD$61,E1483=$AB$62,$AD$62,E1483=$AB$63,$AD$63,E1483=$AB$64,$AD$64,E1483=$AB$65,$AD$65,E1483=$AB$66,$AD$66,TRUE,"0")</f>
        <v xml:space="preserve">  BANG</v>
      </c>
      <c r="E1483" s="2" t="s">
        <v>522</v>
      </c>
      <c r="F1483" s="2" t="s">
        <v>149</v>
      </c>
      <c r="G1483" s="2" t="s">
        <v>153</v>
      </c>
      <c r="H1483" s="3">
        <v>45424.5625</v>
      </c>
      <c r="I1483" s="2" t="s">
        <v>154</v>
      </c>
      <c r="J1483" s="2" t="s">
        <v>205</v>
      </c>
      <c r="K1483" s="2">
        <v>75</v>
      </c>
      <c r="L1483" s="2">
        <v>20</v>
      </c>
      <c r="M1483" s="2">
        <v>90</v>
      </c>
      <c r="N1483" s="2">
        <v>75</v>
      </c>
      <c r="O1483" s="2">
        <v>2.4500000000000002</v>
      </c>
      <c r="P1483" s="2"/>
      <c r="Q1483" s="2" t="s">
        <v>95</v>
      </c>
      <c r="R1483" s="10" t="s">
        <v>221</v>
      </c>
      <c r="S1483" s="10" t="s">
        <v>216</v>
      </c>
      <c r="T1483" s="188">
        <v>1000</v>
      </c>
      <c r="U1483" s="8">
        <f t="shared" si="159"/>
        <v>180</v>
      </c>
      <c r="V1483" s="234">
        <f t="shared" si="164"/>
        <v>155484.15524616028</v>
      </c>
      <c r="W1483" s="15">
        <v>25</v>
      </c>
      <c r="X1483" s="8">
        <f t="shared" si="162"/>
        <v>4.5</v>
      </c>
      <c r="Y1483" s="233">
        <f t="shared" si="163"/>
        <v>5753</v>
      </c>
    </row>
    <row r="1484" spans="1:25">
      <c r="A1484" s="156" t="e" cm="1">
        <f t="array" aca="1" ref="A1484" ca="1">_xlfn.IFS(E1484=$AB$42,$AC$42,E1484=$AB$43,$AC$43,E1484=$AB$44,$AC$44,E1484=$AB$45,$AC$45,E1484=$AB$46,$AC$46,E1484=$AB$47,$AC$47,E1484=$AB$48,$AC$48,E1484=$AB$49,$AC$49,E1484=$AB$50,$AC$50,E1484=$AB$51,$AC$51,E1484=$AB$52,$AC$52,E1484=$AB$53,$AC$53,E1484=$AB$54,$AC$54,E1484=$AB$55,$AC$55,E1484=$AB$56,$AC$56,E1484=$AB$57,$AC$57,E1484=$AB$58,$AC$58,E1484=$AB$59,$AC$59,E1484=$AB$60,$AC$60,E1484=$AB$61,$AC$61,E1484=$AB$62,$AC$62,E1484=$AB$63,$AC$63,E1484=$AB$64,$AC$64,E1484=$AB$65,$AC$65,E1484=$AB$66,$AC$66,TRUE,"0")</f>
        <v>#NAME?</v>
      </c>
      <c r="C1484" s="161" t="str" cm="1">
        <f t="array" ref="C1484">_xlfn.IFS(E1484=$AB$42,$AF$42,E1484=$AB$43,$AF$43,E1484=$AB$44,$AF$44,E1484=$AB$45,$AF$45,E1484=$AB$46,$AF$46,E1484=$AB$47,$AF$47,E1484=$AB$48,$AF$48,E1484=$AB$49,$AF$49,E1484=$AB$50,$AF$50,E1484=$AB$51,$AF$51,E1484=$AB$52,$AF$52,E1484=$AB$53,$AF$53,E1484=$AB$54,$AF$54,E1484=$AB$55,$AF$55,E1484=$AB$56,$AF$56,E1484=$AB$57,$AF$57,E1484=$AB$58,$AF$58,E1484=$AB$59,$AF$59,E1484=$AB$60,$AF$60,E1484=$AB$61,$AF$61,E1484=$AB$62,$AF$62,E1484=$AB$63,$AF$63,E1484=$AB$64,$AF$64,E1484=$AB$65,$AF$65,E1484=$AB$66,$AF$66,TRUE,"0")</f>
        <v>40 mins Back ANother Goal</v>
      </c>
      <c r="D1484" s="270" t="str" cm="1">
        <f t="array" ref="D1484">_xlfn.IFS(E1484=$AB$42,$AD$42,E1484=$AB$43,$AD$43,E1484=$AB$44,$AD$44,E1484=$AB$45,$AD$45,E1484=$AB$46,$AD$46,E1484=$AB$47,$AD$47,E1484=$AB$48,$AD$48,E1484=$AB$49,$AD$49,E1484=$AB$50,$AD$50,E1484=$AB$51,$AD$51,E1484=$AB$52,$AD$52,E1484=$AB$53,$AD$53,E1484=$AB$54,$AD$54,E1484=$AB$55,$AD$55,E1484=$AB$56,$AD$56,E1484=$AB$57,$AD$57,E1484=$AB$58,$AD$58,E1484=$AB$59,$AD$59,E1484=$AB$60,$AD$60,E1484=$AB$61,$AD$61,E1484=$AB$62,$AD$62,E1484=$AB$63,$AD$63,E1484=$AB$64,$AD$64,E1484=$AB$65,$AD$65,E1484=$AB$66,$AD$66,TRUE,"0")</f>
        <v xml:space="preserve">  BANG</v>
      </c>
      <c r="E1484" s="2" t="s">
        <v>515</v>
      </c>
      <c r="F1484" s="2" t="s">
        <v>149</v>
      </c>
      <c r="G1484" s="2" t="s">
        <v>153</v>
      </c>
      <c r="H1484" s="3">
        <v>45424.5625</v>
      </c>
      <c r="I1484" s="2" t="s">
        <v>154</v>
      </c>
      <c r="J1484" s="2" t="s">
        <v>205</v>
      </c>
      <c r="K1484" s="2">
        <v>20</v>
      </c>
      <c r="L1484" s="2">
        <v>75</v>
      </c>
      <c r="M1484" s="2">
        <v>2.4500000000000002</v>
      </c>
      <c r="N1484" s="2"/>
      <c r="O1484" s="2"/>
      <c r="P1484" s="2"/>
      <c r="Q1484" s="2" t="s">
        <v>95</v>
      </c>
      <c r="R1484" s="10" t="s">
        <v>221</v>
      </c>
      <c r="S1484" s="10" t="s">
        <v>216</v>
      </c>
      <c r="T1484" s="188">
        <v>1000</v>
      </c>
      <c r="U1484" s="8">
        <f t="shared" ref="U1484:U1547" si="165">IF(Q1484="won",T1484*0.18,-T1484)</f>
        <v>180</v>
      </c>
      <c r="V1484" s="234">
        <f t="shared" si="164"/>
        <v>155664.15524616028</v>
      </c>
      <c r="W1484" s="15">
        <v>25</v>
      </c>
      <c r="X1484" s="8">
        <f t="shared" si="162"/>
        <v>4.5</v>
      </c>
      <c r="Y1484" s="233">
        <f t="shared" si="163"/>
        <v>5757.5</v>
      </c>
    </row>
    <row r="1485" spans="1:25">
      <c r="A1485" s="156" t="e" cm="1">
        <f t="array" aca="1" ref="A1485" ca="1">_xlfn.IFS(E1485=$AB$42,$AC$42,E1485=$AB$43,$AC$43,E1485=$AB$44,$AC$44,E1485=$AB$45,$AC$45,E1485=$AB$46,$AC$46,E1485=$AB$47,$AC$47,E1485=$AB$48,$AC$48,E1485=$AB$49,$AC$49,E1485=$AB$50,$AC$50,E1485=$AB$51,$AC$51,E1485=$AB$52,$AC$52,E1485=$AB$53,$AC$53,E1485=$AB$54,$AC$54,E1485=$AB$55,$AC$55,E1485=$AB$56,$AC$56,E1485=$AB$57,$AC$57,E1485=$AB$58,$AC$58,E1485=$AB$59,$AC$59,E1485=$AB$60,$AC$60,E1485=$AB$61,$AC$61,E1485=$AB$62,$AC$62,E1485=$AB$63,$AC$63,E1485=$AB$64,$AC$64,E1485=$AB$65,$AC$65,E1485=$AB$66,$AC$66,TRUE,"0")</f>
        <v>#NAME?</v>
      </c>
      <c r="C1485" s="161" t="str" cm="1">
        <f t="array" ref="C1485">_xlfn.IFS(E1485=$AB$42,$AF$42,E1485=$AB$43,$AF$43,E1485=$AB$44,$AF$44,E1485=$AB$45,$AF$45,E1485=$AB$46,$AF$46,E1485=$AB$47,$AF$47,E1485=$AB$48,$AF$48,E1485=$AB$49,$AF$49,E1485=$AB$50,$AF$50,E1485=$AB$51,$AF$51,E1485=$AB$52,$AF$52,E1485=$AB$53,$AF$53,E1485=$AB$54,$AF$54,E1485=$AB$55,$AF$55,E1485=$AB$56,$AF$56,E1485=$AB$57,$AF$57,E1485=$AB$58,$AF$58,E1485=$AB$59,$AF$59,E1485=$AB$60,$AF$60,E1485=$AB$61,$AF$61,E1485=$AB$62,$AF$62,E1485=$AB$63,$AF$63,E1485=$AB$64,$AF$64,E1485=$AB$65,$AF$65,E1485=$AB$66,$AF$66,TRUE,"0")</f>
        <v>20mins if  0-0, BACK over 1.5 goals X after goal OR LET RUN</v>
      </c>
      <c r="D1485" s="270" t="str" cm="1">
        <f t="array" ref="D1485">_xlfn.IFS(E1485=$AB$42,$AD$42,E1485=$AB$43,$AD$43,E1485=$AB$44,$AD$44,E1485=$AB$45,$AD$45,E1485=$AB$46,$AD$46,E1485=$AB$47,$AD$47,E1485=$AB$48,$AD$48,E1485=$AB$49,$AD$49,E1485=$AB$50,$AD$50,E1485=$AB$51,$AD$51,E1485=$AB$52,$AD$52,E1485=$AB$53,$AD$53,E1485=$AB$54,$AD$54,E1485=$AB$55,$AD$55,E1485=$AB$56,$AD$56,E1485=$AB$57,$AD$57,E1485=$AB$58,$AD$58,E1485=$AB$59,$AD$59,E1485=$AB$60,$AD$60,E1485=$AB$61,$AD$61,E1485=$AB$62,$AD$62,E1485=$AB$63,$AD$63,E1485=$AB$64,$AD$64,E1485=$AB$65,$AD$65,E1485=$AB$66,$AD$66,TRUE,"0")</f>
        <v>IP</v>
      </c>
      <c r="E1485" s="2" t="s">
        <v>474</v>
      </c>
      <c r="F1485" s="2" t="s">
        <v>149</v>
      </c>
      <c r="G1485" s="2" t="s">
        <v>153</v>
      </c>
      <c r="H1485" s="3">
        <v>45424.5625</v>
      </c>
      <c r="I1485" s="2" t="s">
        <v>154</v>
      </c>
      <c r="J1485" s="2" t="s">
        <v>205</v>
      </c>
      <c r="K1485" s="2">
        <v>54</v>
      </c>
      <c r="L1485" s="2">
        <v>3.25</v>
      </c>
      <c r="M1485" s="2">
        <v>20</v>
      </c>
      <c r="N1485" s="2">
        <v>60</v>
      </c>
      <c r="O1485" s="2">
        <v>90</v>
      </c>
      <c r="P1485" s="2"/>
      <c r="Q1485" s="2" t="s">
        <v>95</v>
      </c>
      <c r="R1485" s="10" t="s">
        <v>221</v>
      </c>
      <c r="S1485" s="10" t="s">
        <v>216</v>
      </c>
      <c r="T1485" s="188">
        <v>1000</v>
      </c>
      <c r="U1485" s="8">
        <f t="shared" si="165"/>
        <v>180</v>
      </c>
      <c r="V1485" s="234">
        <f t="shared" si="164"/>
        <v>155844.15524616028</v>
      </c>
      <c r="W1485" s="15">
        <v>25</v>
      </c>
      <c r="X1485" s="8">
        <f t="shared" si="162"/>
        <v>4.5</v>
      </c>
      <c r="Y1485" s="233">
        <f t="shared" si="163"/>
        <v>5762</v>
      </c>
    </row>
    <row r="1486" spans="1:25">
      <c r="A1486" s="156" t="e" cm="1">
        <f t="array" aca="1" ref="A1486" ca="1">_xlfn.IFS(E1486=$AB$42,$AC$42,E1486=$AB$43,$AC$43,E1486=$AB$44,$AC$44,E1486=$AB$45,$AC$45,E1486=$AB$46,$AC$46,E1486=$AB$47,$AC$47,E1486=$AB$48,$AC$48,E1486=$AB$49,$AC$49,E1486=$AB$50,$AC$50,E1486=$AB$51,$AC$51,E1486=$AB$52,$AC$52,E1486=$AB$53,$AC$53,E1486=$AB$54,$AC$54,E1486=$AB$55,$AC$55,E1486=$AB$56,$AC$56,E1486=$AB$57,$AC$57,E1486=$AB$58,$AC$58,E1486=$AB$59,$AC$59,E1486=$AB$60,$AC$60,E1486=$AB$61,$AC$61,E1486=$AB$62,$AC$62,E1486=$AB$63,$AC$63,E1486=$AB$64,$AC$64,E1486=$AB$65,$AC$65,E1486=$AB$66,$AC$66,TRUE,"0")</f>
        <v>#NAME?</v>
      </c>
      <c r="C1486" s="161" t="str" cm="1">
        <f t="array" ref="C1486">_xlfn.IFS(E1486=$AB$42,$AF$42,E1486=$AB$43,$AF$43,E1486=$AB$44,$AF$44,E1486=$AB$45,$AF$45,E1486=$AB$46,$AF$46,E1486=$AB$47,$AF$47,E1486=$AB$48,$AF$48,E1486=$AB$49,$AF$49,E1486=$AB$50,$AF$50,E1486=$AB$51,$AF$51,E1486=$AB$52,$AF$52,E1486=$AB$53,$AF$53,E1486=$AB$54,$AF$54,E1486=$AB$55,$AF$55,E1486=$AB$56,$AF$56,E1486=$AB$57,$AF$57,E1486=$AB$58,$AF$58,E1486=$AB$59,$AF$59,E1486=$AB$60,$AF$60,E1486=$AB$61,$AF$61,E1486=$AB$62,$AF$62,E1486=$AB$63,$AF$63,E1486=$AB$64,$AF$64,E1486=$AB$65,$AF$65,E1486=$AB$66,$AF$66,TRUE,"0")</f>
        <v>B4 MATCH bet H1 'under 2.5goals'- X at 40 minutes</v>
      </c>
      <c r="D1486" s="270" t="str" cm="1">
        <f t="array" ref="D1486">_xlfn.IFS(E1486=$AB$42,$AD$42,E1486=$AB$43,$AD$43,E1486=$AB$44,$AD$44,E1486=$AB$45,$AD$45,E1486=$AB$46,$AD$46,E1486=$AB$47,$AD$47,E1486=$AB$48,$AD$48,E1486=$AB$49,$AD$49,E1486=$AB$50,$AD$50,E1486=$AB$51,$AD$51,E1486=$AB$52,$AD$52,E1486=$AB$53,$AD$53,E1486=$AB$54,$AD$54,E1486=$AB$55,$AD$55,E1486=$AB$56,$AD$56,E1486=$AB$57,$AD$57,E1486=$AB$58,$AD$58,E1486=$AB$59,$AD$59,E1486=$AB$60,$AD$60,E1486=$AB$61,$AD$61,E1486=$AB$62,$AD$62,E1486=$AB$63,$AD$63,E1486=$AB$64,$AD$64,E1486=$AB$65,$AD$65,E1486=$AB$66,$AD$66,TRUE,"0")</f>
        <v xml:space="preserve">BFM </v>
      </c>
      <c r="E1486" s="160" t="s">
        <v>458</v>
      </c>
      <c r="F1486" s="2" t="s">
        <v>541</v>
      </c>
      <c r="G1486" s="2" t="s">
        <v>62</v>
      </c>
      <c r="H1486" s="3">
        <v>45424.583333333336</v>
      </c>
      <c r="I1486" s="2" t="s">
        <v>830</v>
      </c>
      <c r="J1486" s="2" t="s">
        <v>831</v>
      </c>
      <c r="K1486" s="2">
        <v>20</v>
      </c>
      <c r="L1486" s="2">
        <v>80</v>
      </c>
      <c r="M1486" s="2">
        <v>100</v>
      </c>
      <c r="N1486" s="2">
        <v>41</v>
      </c>
      <c r="O1486" s="2">
        <v>1.6</v>
      </c>
      <c r="P1486" s="2"/>
      <c r="Q1486" s="2" t="s">
        <v>95</v>
      </c>
      <c r="R1486" s="10" t="s">
        <v>214</v>
      </c>
      <c r="S1486" s="10" t="s">
        <v>216</v>
      </c>
      <c r="T1486" s="188">
        <v>1000</v>
      </c>
      <c r="U1486" s="8">
        <f t="shared" si="165"/>
        <v>180</v>
      </c>
      <c r="V1486" s="234">
        <f t="shared" si="164"/>
        <v>156024.15524616028</v>
      </c>
      <c r="W1486" s="15">
        <v>25</v>
      </c>
      <c r="X1486" s="8">
        <f t="shared" si="162"/>
        <v>4.5</v>
      </c>
      <c r="Y1486" s="233">
        <f t="shared" si="163"/>
        <v>5766.5</v>
      </c>
    </row>
    <row r="1487" spans="1:25">
      <c r="A1487" s="156" t="e" cm="1">
        <f t="array" aca="1" ref="A1487" ca="1">_xlfn.IFS(E1487=$AB$42,$AC$42,E1487=$AB$43,$AC$43,E1487=$AB$44,$AC$44,E1487=$AB$45,$AC$45,E1487=$AB$46,$AC$46,E1487=$AB$47,$AC$47,E1487=$AB$48,$AC$48,E1487=$AB$49,$AC$49,E1487=$AB$50,$AC$50,E1487=$AB$51,$AC$51,E1487=$AB$52,$AC$52,E1487=$AB$53,$AC$53,E1487=$AB$54,$AC$54,E1487=$AB$55,$AC$55,E1487=$AB$56,$AC$56,E1487=$AB$57,$AC$57,E1487=$AB$58,$AC$58,E1487=$AB$59,$AC$59,E1487=$AB$60,$AC$60,E1487=$AB$61,$AC$61,E1487=$AB$62,$AC$62,E1487=$AB$63,$AC$63,E1487=$AB$64,$AC$64,E1487=$AB$65,$AC$65,E1487=$AB$66,$AC$66,TRUE,"0")</f>
        <v>#NAME?</v>
      </c>
      <c r="C1487" s="161" t="str" cm="1">
        <f t="array" ref="C1487">_xlfn.IFS(E1487=$AB$42,$AF$42,E1487=$AB$43,$AF$43,E1487=$AB$44,$AF$44,E1487=$AB$45,$AF$45,E1487=$AB$46,$AF$46,E1487=$AB$47,$AF$47,E1487=$AB$48,$AF$48,E1487=$AB$49,$AF$49,E1487=$AB$50,$AF$50,E1487=$AB$51,$AF$51,E1487=$AB$52,$AF$52,E1487=$AB$53,$AF$53,E1487=$AB$54,$AF$54,E1487=$AB$55,$AF$55,E1487=$AB$56,$AF$56,E1487=$AB$57,$AF$57,E1487=$AB$58,$AF$58,E1487=$AB$59,$AF$59,E1487=$AB$60,$AF$60,E1487=$AB$61,$AF$61,E1487=$AB$62,$AF$62,E1487=$AB$63,$AF$63,E1487=$AB$64,$AF$64,E1487=$AB$65,$AF$65,E1487=$AB$66,$AF$66,TRUE,"0")</f>
        <v>40 mins Back ANother Goal</v>
      </c>
      <c r="D1487" s="270" t="str" cm="1">
        <f t="array" ref="D1487">_xlfn.IFS(E1487=$AB$42,$AD$42,E1487=$AB$43,$AD$43,E1487=$AB$44,$AD$44,E1487=$AB$45,$AD$45,E1487=$AB$46,$AD$46,E1487=$AB$47,$AD$47,E1487=$AB$48,$AD$48,E1487=$AB$49,$AD$49,E1487=$AB$50,$AD$50,E1487=$AB$51,$AD$51,E1487=$AB$52,$AD$52,E1487=$AB$53,$AD$53,E1487=$AB$54,$AD$54,E1487=$AB$55,$AD$55,E1487=$AB$56,$AD$56,E1487=$AB$57,$AD$57,E1487=$AB$58,$AD$58,E1487=$AB$59,$AD$59,E1487=$AB$60,$AD$60,E1487=$AB$61,$AD$61,E1487=$AB$62,$AD$62,E1487=$AB$63,$AD$63,E1487=$AB$64,$AD$64,E1487=$AB$65,$AD$65,E1487=$AB$66,$AD$66,TRUE,"0")</f>
        <v xml:space="preserve">  BANG</v>
      </c>
      <c r="E1487" s="2" t="s">
        <v>792</v>
      </c>
      <c r="F1487" s="2" t="s">
        <v>77</v>
      </c>
      <c r="G1487" s="2" t="s">
        <v>156</v>
      </c>
      <c r="H1487" s="3">
        <v>45424.604166666664</v>
      </c>
      <c r="I1487" s="2" t="s">
        <v>345</v>
      </c>
      <c r="J1487" s="2" t="s">
        <v>158</v>
      </c>
      <c r="K1487" s="2">
        <v>2.15</v>
      </c>
      <c r="L1487" s="2">
        <v>95</v>
      </c>
      <c r="M1487" s="2">
        <v>70</v>
      </c>
      <c r="N1487" s="2">
        <v>61</v>
      </c>
      <c r="O1487" s="2">
        <v>20</v>
      </c>
      <c r="P1487" s="2"/>
      <c r="Q1487" s="2" t="s">
        <v>95</v>
      </c>
      <c r="R1487" s="10" t="s">
        <v>734</v>
      </c>
      <c r="S1487" s="10" t="s">
        <v>740</v>
      </c>
      <c r="T1487" s="188">
        <v>1000</v>
      </c>
      <c r="U1487" s="8">
        <f t="shared" si="165"/>
        <v>180</v>
      </c>
      <c r="V1487" s="234">
        <f t="shared" si="164"/>
        <v>156204.15524616028</v>
      </c>
      <c r="W1487" s="15">
        <v>25</v>
      </c>
      <c r="X1487" s="8">
        <f t="shared" si="162"/>
        <v>4.5</v>
      </c>
      <c r="Y1487" s="233">
        <f t="shared" si="163"/>
        <v>5771</v>
      </c>
    </row>
    <row r="1488" spans="1:25">
      <c r="A1488" s="156" t="e" cm="1">
        <f t="array" aca="1" ref="A1488" ca="1">_xlfn.IFS(E1488=$AB$42,$AC$42,E1488=$AB$43,$AC$43,E1488=$AB$44,$AC$44,E1488=$AB$45,$AC$45,E1488=$AB$46,$AC$46,E1488=$AB$47,$AC$47,E1488=$AB$48,$AC$48,E1488=$AB$49,$AC$49,E1488=$AB$50,$AC$50,E1488=$AB$51,$AC$51,E1488=$AB$52,$AC$52,E1488=$AB$53,$AC$53,E1488=$AB$54,$AC$54,E1488=$AB$55,$AC$55,E1488=$AB$56,$AC$56,E1488=$AB$57,$AC$57,E1488=$AB$58,$AC$58,E1488=$AB$59,$AC$59,E1488=$AB$60,$AC$60,E1488=$AB$61,$AC$61,E1488=$AB$62,$AC$62,E1488=$AB$63,$AC$63,E1488=$AB$64,$AC$64,E1488=$AB$65,$AC$65,E1488=$AB$66,$AC$66,TRUE,"0")</f>
        <v>#NAME?</v>
      </c>
      <c r="C1488" s="161" t="str" cm="1">
        <f t="array" ref="C1488">_xlfn.IFS(E1488=$AB$42,$AF$42,E1488=$AB$43,$AF$43,E1488=$AB$44,$AF$44,E1488=$AB$45,$AF$45,E1488=$AB$46,$AF$46,E1488=$AB$47,$AF$47,E1488=$AB$48,$AF$48,E1488=$AB$49,$AF$49,E1488=$AB$50,$AF$50,E1488=$AB$51,$AF$51,E1488=$AB$52,$AF$52,E1488=$AB$53,$AF$53,E1488=$AB$54,$AF$54,E1488=$AB$55,$AF$55,E1488=$AB$56,$AF$56,E1488=$AB$57,$AF$57,E1488=$AB$58,$AF$58,E1488=$AB$59,$AF$59,E1488=$AB$60,$AF$60,E1488=$AB$61,$AF$61,E1488=$AB$62,$AF$62,E1488=$AB$63,$AF$63,E1488=$AB$64,$AF$64,E1488=$AB$65,$AF$65,E1488=$AB$66,$AF$66,TRUE,"0")</f>
        <v>B4 match BACK FT +1.5 goals. X AFTER  GOAL</v>
      </c>
      <c r="D1488" s="270" t="str" cm="1">
        <f t="array" ref="D1488">_xlfn.IFS(E1488=$AB$42,$AD$42,E1488=$AB$43,$AD$43,E1488=$AB$44,$AD$44,E1488=$AB$45,$AD$45,E1488=$AB$46,$AD$46,E1488=$AB$47,$AD$47,E1488=$AB$48,$AD$48,E1488=$AB$49,$AD$49,E1488=$AB$50,$AD$50,E1488=$AB$51,$AD$51,E1488=$AB$52,$AD$52,E1488=$AB$53,$AD$53,E1488=$AB$54,$AD$54,E1488=$AB$55,$AD$55,E1488=$AB$56,$AD$56,E1488=$AB$57,$AD$57,E1488=$AB$58,$AD$58,E1488=$AB$59,$AD$59,E1488=$AB$60,$AD$60,E1488=$AB$61,$AD$61,E1488=$AB$62,$AD$62,E1488=$AB$63,$AD$63,E1488=$AB$64,$AD$64,E1488=$AB$65,$AD$65,E1488=$AB$66,$AD$66,TRUE,"0")</f>
        <v xml:space="preserve">BFM </v>
      </c>
      <c r="E1488" s="2" t="s">
        <v>531</v>
      </c>
      <c r="F1488" s="2" t="s">
        <v>77</v>
      </c>
      <c r="G1488" s="2" t="s">
        <v>156</v>
      </c>
      <c r="H1488" s="3">
        <v>45424.604166666664</v>
      </c>
      <c r="I1488" s="2" t="s">
        <v>345</v>
      </c>
      <c r="J1488" s="2" t="s">
        <v>158</v>
      </c>
      <c r="K1488" s="2">
        <v>4.8</v>
      </c>
      <c r="L1488" s="2">
        <v>32</v>
      </c>
      <c r="M1488" s="2">
        <v>3.66</v>
      </c>
      <c r="N1488" s="2">
        <v>24</v>
      </c>
      <c r="O1488" s="2">
        <v>1</v>
      </c>
      <c r="P1488" s="2">
        <v>16</v>
      </c>
      <c r="Q1488" s="2" t="s">
        <v>95</v>
      </c>
      <c r="R1488" s="10" t="s">
        <v>734</v>
      </c>
      <c r="S1488" s="10" t="s">
        <v>740</v>
      </c>
      <c r="T1488" s="188">
        <v>1000</v>
      </c>
      <c r="U1488" s="8">
        <f t="shared" si="165"/>
        <v>180</v>
      </c>
      <c r="V1488" s="234">
        <f t="shared" si="164"/>
        <v>156384.15524616028</v>
      </c>
      <c r="W1488" s="15">
        <v>25</v>
      </c>
      <c r="X1488" s="8">
        <f t="shared" si="162"/>
        <v>4.5</v>
      </c>
      <c r="Y1488" s="233">
        <f t="shared" si="163"/>
        <v>5775.5</v>
      </c>
    </row>
    <row r="1489" spans="1:25">
      <c r="A1489" s="156" t="e" cm="1">
        <f t="array" aca="1" ref="A1489" ca="1">_xlfn.IFS(E1489=$AB$42,$AC$42,E1489=$AB$43,$AC$43,E1489=$AB$44,$AC$44,E1489=$AB$45,$AC$45,E1489=$AB$46,$AC$46,E1489=$AB$47,$AC$47,E1489=$AB$48,$AC$48,E1489=$AB$49,$AC$49,E1489=$AB$50,$AC$50,E1489=$AB$51,$AC$51,E1489=$AB$52,$AC$52,E1489=$AB$53,$AC$53,E1489=$AB$54,$AC$54,E1489=$AB$55,$AC$55,E1489=$AB$56,$AC$56,E1489=$AB$57,$AC$57,E1489=$AB$58,$AC$58,E1489=$AB$59,$AC$59,E1489=$AB$60,$AC$60,E1489=$AB$61,$AC$61,E1489=$AB$62,$AC$62,E1489=$AB$63,$AC$63,E1489=$AB$64,$AC$64,E1489=$AB$65,$AC$65,E1489=$AB$66,$AC$66,TRUE,"0")</f>
        <v>#NAME?</v>
      </c>
      <c r="C1489" s="161" t="str" cm="1">
        <f t="array" ref="C1489">_xlfn.IFS(E1489=$AB$42,$AF$42,E1489=$AB$43,$AF$43,E1489=$AB$44,$AF$44,E1489=$AB$45,$AF$45,E1489=$AB$46,$AF$46,E1489=$AB$47,$AF$47,E1489=$AB$48,$AF$48,E1489=$AB$49,$AF$49,E1489=$AB$50,$AF$50,E1489=$AB$51,$AF$51,E1489=$AB$52,$AF$52,E1489=$AB$53,$AF$53,E1489=$AB$54,$AF$54,E1489=$AB$55,$AF$55,E1489=$AB$56,$AF$56,E1489=$AB$57,$AF$57,E1489=$AB$58,$AF$58,E1489=$AB$59,$AF$59,E1489=$AB$60,$AF$60,E1489=$AB$61,$AF$61,E1489=$AB$62,$AF$62,E1489=$AB$63,$AF$63,E1489=$AB$64,$AF$64,E1489=$AB$65,$AF$65,E1489=$AB$66,$AF$66,TRUE,"0")</f>
        <v>if 0-0, BACK+ 0.5 GOALS  @ 1.15+odds.  or @ 40 mins</v>
      </c>
      <c r="D1489" s="270" t="str" cm="1">
        <f t="array" ref="D1489">_xlfn.IFS(E1489=$AB$42,$AD$42,E1489=$AB$43,$AD$43,E1489=$AB$44,$AD$44,E1489=$AB$45,$AD$45,E1489=$AB$46,$AD$46,E1489=$AB$47,$AD$47,E1489=$AB$48,$AD$48,E1489=$AB$49,$AD$49,E1489=$AB$50,$AD$50,E1489=$AB$51,$AD$51,E1489=$AB$52,$AD$52,E1489=$AB$53,$AD$53,E1489=$AB$54,$AD$54,E1489=$AB$55,$AD$55,E1489=$AB$56,$AD$56,E1489=$AB$57,$AD$57,E1489=$AB$58,$AD$58,E1489=$AB$59,$AD$59,E1489=$AB$60,$AD$60,E1489=$AB$61,$AD$61,E1489=$AB$62,$AD$62,E1489=$AB$63,$AD$63,E1489=$AB$64,$AD$64,E1489=$AB$65,$AD$65,E1489=$AB$66,$AD$66,TRUE,"0")</f>
        <v>IP</v>
      </c>
      <c r="E1489" s="2" t="s">
        <v>270</v>
      </c>
      <c r="F1489" s="2" t="s">
        <v>77</v>
      </c>
      <c r="G1489" s="2" t="s">
        <v>156</v>
      </c>
      <c r="H1489" s="3">
        <v>45424.604166666664</v>
      </c>
      <c r="I1489" s="2" t="s">
        <v>345</v>
      </c>
      <c r="J1489" s="2" t="s">
        <v>158</v>
      </c>
      <c r="K1489" s="2">
        <v>61</v>
      </c>
      <c r="L1489" s="2">
        <v>0</v>
      </c>
      <c r="M1489" s="2">
        <v>20</v>
      </c>
      <c r="N1489" s="2">
        <v>32</v>
      </c>
      <c r="O1489" s="2">
        <v>3.7</v>
      </c>
      <c r="P1489" s="2"/>
      <c r="Q1489" s="2" t="s">
        <v>95</v>
      </c>
      <c r="R1489" s="10" t="s">
        <v>734</v>
      </c>
      <c r="S1489" s="10" t="s">
        <v>740</v>
      </c>
      <c r="T1489" s="188">
        <v>1000</v>
      </c>
      <c r="U1489" s="8">
        <f t="shared" si="165"/>
        <v>180</v>
      </c>
      <c r="V1489" s="234">
        <f t="shared" si="164"/>
        <v>156564.15524616028</v>
      </c>
      <c r="W1489" s="15">
        <v>25</v>
      </c>
      <c r="X1489" s="8">
        <f t="shared" si="162"/>
        <v>4.5</v>
      </c>
      <c r="Y1489" s="233">
        <f t="shared" si="163"/>
        <v>5780</v>
      </c>
    </row>
    <row r="1490" spans="1:25">
      <c r="A1490" s="156" t="e" cm="1">
        <f t="array" aca="1" ref="A1490" ca="1">_xlfn.IFS(E1490=$AB$42,$AC$42,E1490=$AB$43,$AC$43,E1490=$AB$44,$AC$44,E1490=$AB$45,$AC$45,E1490=$AB$46,$AC$46,E1490=$AB$47,$AC$47,E1490=$AB$48,$AC$48,E1490=$AB$49,$AC$49,E1490=$AB$50,$AC$50,E1490=$AB$51,$AC$51,E1490=$AB$52,$AC$52,E1490=$AB$53,$AC$53,E1490=$AB$54,$AC$54,E1490=$AB$55,$AC$55,E1490=$AB$56,$AC$56,E1490=$AB$57,$AC$57,E1490=$AB$58,$AC$58,E1490=$AB$59,$AC$59,E1490=$AB$60,$AC$60,E1490=$AB$61,$AC$61,E1490=$AB$62,$AC$62,E1490=$AB$63,$AC$63,E1490=$AB$64,$AC$64,E1490=$AB$65,$AC$65,E1490=$AB$66,$AC$66,TRUE,"0")</f>
        <v>#NAME?</v>
      </c>
      <c r="C1490" s="161" t="str" cm="1">
        <f t="array" ref="C1490">_xlfn.IFS(E1490=$AB$42,$AF$42,E1490=$AB$43,$AF$43,E1490=$AB$44,$AF$44,E1490=$AB$45,$AF$45,E1490=$AB$46,$AF$46,E1490=$AB$47,$AF$47,E1490=$AB$48,$AF$48,E1490=$AB$49,$AF$49,E1490=$AB$50,$AF$50,E1490=$AB$51,$AF$51,E1490=$AB$52,$AF$52,E1490=$AB$53,$AF$53,E1490=$AB$54,$AF$54,E1490=$AB$55,$AF$55,E1490=$AB$56,$AF$56,E1490=$AB$57,$AF$57,E1490=$AB$58,$AF$58,E1490=$AB$59,$AF$59,E1490=$AB$60,$AF$60,E1490=$AB$61,$AF$61,E1490=$AB$62,$AF$62,E1490=$AB$63,$AF$63,E1490=$AB$64,$AF$64,E1490=$AB$65,$AF$65,E1490=$AB$66,$AF$66,TRUE,"0")</f>
        <v>if 0-0, BACK+ 0.5 GOALS  @ 1.15+odds.  or @ 40 mins</v>
      </c>
      <c r="D1490" s="270" t="str" cm="1">
        <f t="array" ref="D1490">_xlfn.IFS(E1490=$AB$42,$AD$42,E1490=$AB$43,$AD$43,E1490=$AB$44,$AD$44,E1490=$AB$45,$AD$45,E1490=$AB$46,$AD$46,E1490=$AB$47,$AD$47,E1490=$AB$48,$AD$48,E1490=$AB$49,$AD$49,E1490=$AB$50,$AD$50,E1490=$AB$51,$AD$51,E1490=$AB$52,$AD$52,E1490=$AB$53,$AD$53,E1490=$AB$54,$AD$54,E1490=$AB$55,$AD$55,E1490=$AB$56,$AD$56,E1490=$AB$57,$AD$57,E1490=$AB$58,$AD$58,E1490=$AB$59,$AD$59,E1490=$AB$60,$AD$60,E1490=$AB$61,$AD$61,E1490=$AB$62,$AD$62,E1490=$AB$63,$AD$63,E1490=$AB$64,$AD$64,E1490=$AB$65,$AD$65,E1490=$AB$66,$AD$66,TRUE,"0")</f>
        <v>IP</v>
      </c>
      <c r="E1490" s="2" t="s">
        <v>270</v>
      </c>
      <c r="F1490" s="2" t="s">
        <v>434</v>
      </c>
      <c r="G1490" s="2" t="s">
        <v>435</v>
      </c>
      <c r="H1490" s="3">
        <v>45424.625</v>
      </c>
      <c r="I1490" s="2" t="s">
        <v>436</v>
      </c>
      <c r="J1490" s="2" t="s">
        <v>476</v>
      </c>
      <c r="K1490" s="2">
        <v>59</v>
      </c>
      <c r="L1490" s="2">
        <v>0</v>
      </c>
      <c r="M1490" s="2">
        <v>20</v>
      </c>
      <c r="N1490" s="2">
        <v>32</v>
      </c>
      <c r="O1490" s="2">
        <v>2.62</v>
      </c>
      <c r="P1490" s="2"/>
      <c r="Q1490" s="2" t="s">
        <v>95</v>
      </c>
      <c r="R1490" s="10" t="s">
        <v>216</v>
      </c>
      <c r="S1490" s="10" t="s">
        <v>211</v>
      </c>
      <c r="T1490" s="188">
        <v>1000</v>
      </c>
      <c r="U1490" s="8">
        <f t="shared" si="165"/>
        <v>180</v>
      </c>
      <c r="V1490" s="234">
        <f t="shared" si="164"/>
        <v>156744.15524616028</v>
      </c>
      <c r="W1490" s="15">
        <v>25</v>
      </c>
      <c r="X1490" s="8">
        <f t="shared" si="162"/>
        <v>4.5</v>
      </c>
      <c r="Y1490" s="233">
        <f t="shared" si="163"/>
        <v>5784.5</v>
      </c>
    </row>
    <row r="1491" spans="1:25">
      <c r="A1491" s="156" t="e" cm="1">
        <f t="array" aca="1" ref="A1491" ca="1">_xlfn.IFS(E1491=$AB$42,$AC$42,E1491=$AB$43,$AC$43,E1491=$AB$44,$AC$44,E1491=$AB$45,$AC$45,E1491=$AB$46,$AC$46,E1491=$AB$47,$AC$47,E1491=$AB$48,$AC$48,E1491=$AB$49,$AC$49,E1491=$AB$50,$AC$50,E1491=$AB$51,$AC$51,E1491=$AB$52,$AC$52,E1491=$AB$53,$AC$53,E1491=$AB$54,$AC$54,E1491=$AB$55,$AC$55,E1491=$AB$56,$AC$56,E1491=$AB$57,$AC$57,E1491=$AB$58,$AC$58,E1491=$AB$59,$AC$59,E1491=$AB$60,$AC$60,E1491=$AB$61,$AC$61,E1491=$AB$62,$AC$62,E1491=$AB$63,$AC$63,E1491=$AB$64,$AC$64,E1491=$AB$65,$AC$65,E1491=$AB$66,$AC$66,TRUE,"0")</f>
        <v>#NAME?</v>
      </c>
      <c r="C1491" s="161" t="str" cm="1">
        <f t="array" ref="C1491">_xlfn.IFS(E1491=$AB$42,$AF$42,E1491=$AB$43,$AF$43,E1491=$AB$44,$AF$44,E1491=$AB$45,$AF$45,E1491=$AB$46,$AF$46,E1491=$AB$47,$AF$47,E1491=$AB$48,$AF$48,E1491=$AB$49,$AF$49,E1491=$AB$50,$AF$50,E1491=$AB$51,$AF$51,E1491=$AB$52,$AF$52,E1491=$AB$53,$AF$53,E1491=$AB$54,$AF$54,E1491=$AB$55,$AF$55,E1491=$AB$56,$AF$56,E1491=$AB$57,$AF$57,E1491=$AB$58,$AF$58,E1491=$AB$59,$AF$59,E1491=$AB$60,$AF$60,E1491=$AB$61,$AF$61,E1491=$AB$62,$AF$62,E1491=$AB$63,$AF$63,E1491=$AB$64,$AF$64,E1491=$AB$65,$AF$65,E1491=$AB$66,$AF$66,TRUE,"0")</f>
        <v>40 mins Back ANother Goal</v>
      </c>
      <c r="D1491" s="270" t="str" cm="1">
        <f t="array" ref="D1491">_xlfn.IFS(E1491=$AB$42,$AD$42,E1491=$AB$43,$AD$43,E1491=$AB$44,$AD$44,E1491=$AB$45,$AD$45,E1491=$AB$46,$AD$46,E1491=$AB$47,$AD$47,E1491=$AB$48,$AD$48,E1491=$AB$49,$AD$49,E1491=$AB$50,$AD$50,E1491=$AB$51,$AD$51,E1491=$AB$52,$AD$52,E1491=$AB$53,$AD$53,E1491=$AB$54,$AD$54,E1491=$AB$55,$AD$55,E1491=$AB$56,$AD$56,E1491=$AB$57,$AD$57,E1491=$AB$58,$AD$58,E1491=$AB$59,$AD$59,E1491=$AB$60,$AD$60,E1491=$AB$61,$AD$61,E1491=$AB$62,$AD$62,E1491=$AB$63,$AD$63,E1491=$AB$64,$AD$64,E1491=$AB$65,$AD$65,E1491=$AB$66,$AD$66,TRUE,"0")</f>
        <v xml:space="preserve">  BANG</v>
      </c>
      <c r="E1491" s="2" t="s">
        <v>726</v>
      </c>
      <c r="F1491" s="2" t="s">
        <v>119</v>
      </c>
      <c r="G1491" s="2" t="s">
        <v>120</v>
      </c>
      <c r="H1491" s="3">
        <v>45424.635416666664</v>
      </c>
      <c r="I1491" s="2" t="s">
        <v>349</v>
      </c>
      <c r="J1491" s="2" t="s">
        <v>479</v>
      </c>
      <c r="K1491" s="2">
        <v>90</v>
      </c>
      <c r="L1491" s="2">
        <v>20</v>
      </c>
      <c r="M1491" s="2">
        <v>1.95</v>
      </c>
      <c r="N1491" s="2">
        <v>60</v>
      </c>
      <c r="O1491" s="2"/>
      <c r="P1491" s="2"/>
      <c r="Q1491" s="2" t="s">
        <v>95</v>
      </c>
      <c r="R1491" s="10" t="s">
        <v>221</v>
      </c>
      <c r="S1491" s="10" t="s">
        <v>214</v>
      </c>
      <c r="T1491" s="188">
        <v>1000</v>
      </c>
      <c r="U1491" s="8">
        <f t="shared" si="165"/>
        <v>180</v>
      </c>
      <c r="V1491" s="234">
        <f t="shared" si="164"/>
        <v>156924.15524616028</v>
      </c>
      <c r="W1491" s="15">
        <v>25</v>
      </c>
      <c r="X1491" s="8">
        <f t="shared" si="162"/>
        <v>4.5</v>
      </c>
      <c r="Y1491" s="233">
        <f t="shared" si="163"/>
        <v>5789</v>
      </c>
    </row>
    <row r="1492" spans="1:25">
      <c r="A1492" s="156" t="e" cm="1">
        <f t="array" aca="1" ref="A1492" ca="1">_xlfn.IFS(E1492=$AB$42,$AC$42,E1492=$AB$43,$AC$43,E1492=$AB$44,$AC$44,E1492=$AB$45,$AC$45,E1492=$AB$46,$AC$46,E1492=$AB$47,$AC$47,E1492=$AB$48,$AC$48,E1492=$AB$49,$AC$49,E1492=$AB$50,$AC$50,E1492=$AB$51,$AC$51,E1492=$AB$52,$AC$52,E1492=$AB$53,$AC$53,E1492=$AB$54,$AC$54,E1492=$AB$55,$AC$55,E1492=$AB$56,$AC$56,E1492=$AB$57,$AC$57,E1492=$AB$58,$AC$58,E1492=$AB$59,$AC$59,E1492=$AB$60,$AC$60,E1492=$AB$61,$AC$61,E1492=$AB$62,$AC$62,E1492=$AB$63,$AC$63,E1492=$AB$64,$AC$64,E1492=$AB$65,$AC$65,E1492=$AB$66,$AC$66,TRUE,"0")</f>
        <v>#NAME?</v>
      </c>
      <c r="C1492" s="161" t="str" cm="1">
        <f t="array" ref="C1492">_xlfn.IFS(E1492=$AB$42,$AF$42,E1492=$AB$43,$AF$43,E1492=$AB$44,$AF$44,E1492=$AB$45,$AF$45,E1492=$AB$46,$AF$46,E1492=$AB$47,$AF$47,E1492=$AB$48,$AF$48,E1492=$AB$49,$AF$49,E1492=$AB$50,$AF$50,E1492=$AB$51,$AF$51,E1492=$AB$52,$AF$52,E1492=$AB$53,$AF$53,E1492=$AB$54,$AF$54,E1492=$AB$55,$AF$55,E1492=$AB$56,$AF$56,E1492=$AB$57,$AF$57,E1492=$AB$58,$AF$58,E1492=$AB$59,$AF$59,E1492=$AB$60,$AF$60,E1492=$AB$61,$AF$61,E1492=$AB$62,$AF$62,E1492=$AB$63,$AF$63,E1492=$AB$64,$AF$64,E1492=$AB$65,$AF$65,E1492=$AB$66,$AF$66,TRUE,"0")</f>
        <v>B4 match BACK FT +1.5 goals. X AFTER  GOAL</v>
      </c>
      <c r="D1492" s="270" t="str" cm="1">
        <f t="array" ref="D1492">_xlfn.IFS(E1492=$AB$42,$AD$42,E1492=$AB$43,$AD$43,E1492=$AB$44,$AD$44,E1492=$AB$45,$AD$45,E1492=$AB$46,$AD$46,E1492=$AB$47,$AD$47,E1492=$AB$48,$AD$48,E1492=$AB$49,$AD$49,E1492=$AB$50,$AD$50,E1492=$AB$51,$AD$51,E1492=$AB$52,$AD$52,E1492=$AB$53,$AD$53,E1492=$AB$54,$AD$54,E1492=$AB$55,$AD$55,E1492=$AB$56,$AD$56,E1492=$AB$57,$AD$57,E1492=$AB$58,$AD$58,E1492=$AB$59,$AD$59,E1492=$AB$60,$AD$60,E1492=$AB$61,$AD$61,E1492=$AB$62,$AD$62,E1492=$AB$63,$AD$63,E1492=$AB$64,$AD$64,E1492=$AB$65,$AD$65,E1492=$AB$66,$AD$66,TRUE,"0")</f>
        <v xml:space="preserve">BFM </v>
      </c>
      <c r="E1492" s="2" t="s">
        <v>623</v>
      </c>
      <c r="F1492" s="2" t="s">
        <v>119</v>
      </c>
      <c r="G1492" s="2" t="s">
        <v>120</v>
      </c>
      <c r="H1492" s="3">
        <v>45424.635416666664</v>
      </c>
      <c r="I1492" s="2" t="s">
        <v>349</v>
      </c>
      <c r="J1492" s="2" t="s">
        <v>479</v>
      </c>
      <c r="K1492" s="2">
        <v>5.0999999999999996</v>
      </c>
      <c r="L1492" s="2">
        <v>20</v>
      </c>
      <c r="M1492" s="2">
        <v>3.3</v>
      </c>
      <c r="N1492" s="2">
        <v>27</v>
      </c>
      <c r="O1492" s="2">
        <v>1</v>
      </c>
      <c r="P1492" s="2">
        <v>10</v>
      </c>
      <c r="Q1492" s="2" t="s">
        <v>95</v>
      </c>
      <c r="R1492" s="10" t="s">
        <v>221</v>
      </c>
      <c r="S1492" s="10" t="s">
        <v>214</v>
      </c>
      <c r="T1492" s="188">
        <v>1000</v>
      </c>
      <c r="U1492" s="8">
        <f t="shared" si="165"/>
        <v>180</v>
      </c>
      <c r="V1492" s="234">
        <f t="shared" si="164"/>
        <v>157104.15524616028</v>
      </c>
      <c r="W1492" s="15">
        <v>25</v>
      </c>
      <c r="X1492" s="8">
        <f t="shared" si="162"/>
        <v>4.5</v>
      </c>
      <c r="Y1492" s="233">
        <f t="shared" si="163"/>
        <v>5793.5</v>
      </c>
    </row>
    <row r="1493" spans="1:25">
      <c r="A1493" s="156" t="e" cm="1">
        <f t="array" aca="1" ref="A1493" ca="1">_xlfn.IFS(E1493=$AB$42,$AC$42,E1493=$AB$43,$AC$43,E1493=$AB$44,$AC$44,E1493=$AB$45,$AC$45,E1493=$AB$46,$AC$46,E1493=$AB$47,$AC$47,E1493=$AB$48,$AC$48,E1493=$AB$49,$AC$49,E1493=$AB$50,$AC$50,E1493=$AB$51,$AC$51,E1493=$AB$52,$AC$52,E1493=$AB$53,$AC$53,E1493=$AB$54,$AC$54,E1493=$AB$55,$AC$55,E1493=$AB$56,$AC$56,E1493=$AB$57,$AC$57,E1493=$AB$58,$AC$58,E1493=$AB$59,$AC$59,E1493=$AB$60,$AC$60,E1493=$AB$61,$AC$61,E1493=$AB$62,$AC$62,E1493=$AB$63,$AC$63,E1493=$AB$64,$AC$64,E1493=$AB$65,$AC$65,E1493=$AB$66,$AC$66,TRUE,"0")</f>
        <v>#NAME?</v>
      </c>
      <c r="C1493" s="161" t="str" cm="1">
        <f t="array" ref="C1493">_xlfn.IFS(E1493=$AB$42,$AF$42,E1493=$AB$43,$AF$43,E1493=$AB$44,$AF$44,E1493=$AB$45,$AF$45,E1493=$AB$46,$AF$46,E1493=$AB$47,$AF$47,E1493=$AB$48,$AF$48,E1493=$AB$49,$AF$49,E1493=$AB$50,$AF$50,E1493=$AB$51,$AF$51,E1493=$AB$52,$AF$52,E1493=$AB$53,$AF$53,E1493=$AB$54,$AF$54,E1493=$AB$55,$AF$55,E1493=$AB$56,$AF$56,E1493=$AB$57,$AF$57,E1493=$AB$58,$AF$58,E1493=$AB$59,$AF$59,E1493=$AB$60,$AF$60,E1493=$AB$61,$AF$61,E1493=$AB$62,$AF$62,E1493=$AB$63,$AF$63,E1493=$AB$64,$AF$64,E1493=$AB$65,$AF$65,E1493=$AB$66,$AF$66,TRUE,"0")</f>
        <v>AT HT IF 0-0 BACK +0.5 GOALS</v>
      </c>
      <c r="D1493" s="270" t="str" cm="1">
        <f t="array" ref="D1493">_xlfn.IFS(E1493=$AB$42,$AD$42,E1493=$AB$43,$AD$43,E1493=$AB$44,$AD$44,E1493=$AB$45,$AD$45,E1493=$AB$46,$AD$46,E1493=$AB$47,$AD$47,E1493=$AB$48,$AD$48,E1493=$AB$49,$AD$49,E1493=$AB$50,$AD$50,E1493=$AB$51,$AD$51,E1493=$AB$52,$AD$52,E1493=$AB$53,$AD$53,E1493=$AB$54,$AD$54,E1493=$AB$55,$AD$55,E1493=$AB$56,$AD$56,E1493=$AB$57,$AD$57,E1493=$AB$58,$AD$58,E1493=$AB$59,$AD$59,E1493=$AB$60,$AD$60,E1493=$AB$61,$AD$61,E1493=$AB$62,$AD$62,E1493=$AB$63,$AD$63,E1493=$AB$64,$AD$64,E1493=$AB$65,$AD$65,E1493=$AB$66,$AD$66,TRUE,"0")</f>
        <v>IP</v>
      </c>
      <c r="E1493" s="2" t="s">
        <v>514</v>
      </c>
      <c r="F1493" s="2" t="s">
        <v>119</v>
      </c>
      <c r="G1493" s="2" t="s">
        <v>120</v>
      </c>
      <c r="H1493" s="3">
        <v>45424.635416666664</v>
      </c>
      <c r="I1493" s="2" t="s">
        <v>349</v>
      </c>
      <c r="J1493" s="2" t="s">
        <v>479</v>
      </c>
      <c r="K1493" s="2">
        <v>5.0999999999999996</v>
      </c>
      <c r="L1493" s="2">
        <v>120</v>
      </c>
      <c r="M1493" s="2">
        <v>0</v>
      </c>
      <c r="N1493" s="2">
        <v>20</v>
      </c>
      <c r="O1493" s="2">
        <v>10</v>
      </c>
      <c r="P1493" s="2">
        <v>27</v>
      </c>
      <c r="Q1493" s="2" t="s">
        <v>95</v>
      </c>
      <c r="R1493" s="10" t="s">
        <v>221</v>
      </c>
      <c r="S1493" s="10" t="s">
        <v>214</v>
      </c>
      <c r="T1493" s="188">
        <v>1000</v>
      </c>
      <c r="U1493" s="8">
        <f t="shared" si="165"/>
        <v>180</v>
      </c>
      <c r="V1493" s="234">
        <f t="shared" si="164"/>
        <v>157284.15524616028</v>
      </c>
      <c r="W1493" s="15">
        <v>25</v>
      </c>
      <c r="X1493" s="8">
        <f t="shared" si="162"/>
        <v>4.5</v>
      </c>
      <c r="Y1493" s="233">
        <f t="shared" si="163"/>
        <v>5798</v>
      </c>
    </row>
    <row r="1494" spans="1:25">
      <c r="A1494" s="156" t="e" cm="1">
        <f t="array" aca="1" ref="A1494" ca="1">_xlfn.IFS(E1494=$AB$42,$AC$42,E1494=$AB$43,$AC$43,E1494=$AB$44,$AC$44,E1494=$AB$45,$AC$45,E1494=$AB$46,$AC$46,E1494=$AB$47,$AC$47,E1494=$AB$48,$AC$48,E1494=$AB$49,$AC$49,E1494=$AB$50,$AC$50,E1494=$AB$51,$AC$51,E1494=$AB$52,$AC$52,E1494=$AB$53,$AC$53,E1494=$AB$54,$AC$54,E1494=$AB$55,$AC$55,E1494=$AB$56,$AC$56,E1494=$AB$57,$AC$57,E1494=$AB$58,$AC$58,E1494=$AB$59,$AC$59,E1494=$AB$60,$AC$60,E1494=$AB$61,$AC$61,E1494=$AB$62,$AC$62,E1494=$AB$63,$AC$63,E1494=$AB$64,$AC$64,E1494=$AB$65,$AC$65,E1494=$AB$66,$AC$66,TRUE,"0")</f>
        <v>#NAME?</v>
      </c>
      <c r="C1494" s="161" t="str" cm="1">
        <f t="array" ref="C1494">_xlfn.IFS(E1494=$AB$42,$AF$42,E1494=$AB$43,$AF$43,E1494=$AB$44,$AF$44,E1494=$AB$45,$AF$45,E1494=$AB$46,$AF$46,E1494=$AB$47,$AF$47,E1494=$AB$48,$AF$48,E1494=$AB$49,$AF$49,E1494=$AB$50,$AF$50,E1494=$AB$51,$AF$51,E1494=$AB$52,$AF$52,E1494=$AB$53,$AF$53,E1494=$AB$54,$AF$54,E1494=$AB$55,$AF$55,E1494=$AB$56,$AF$56,E1494=$AB$57,$AF$57,E1494=$AB$58,$AF$58,E1494=$AB$59,$AF$59,E1494=$AB$60,$AF$60,E1494=$AB$61,$AF$61,E1494=$AB$62,$AF$62,E1494=$AB$63,$AF$63,E1494=$AB$64,$AF$64,E1494=$AB$65,$AF$65,E1494=$AB$66,$AF$66,TRUE,"0")</f>
        <v>if 0-0, BACK+ 0.5 GOALS  @ 1.15+odds.  or @ 40 mins</v>
      </c>
      <c r="D1494" s="270" t="str" cm="1">
        <f t="array" ref="D1494">_xlfn.IFS(E1494=$AB$42,$AD$42,E1494=$AB$43,$AD$43,E1494=$AB$44,$AD$44,E1494=$AB$45,$AD$45,E1494=$AB$46,$AD$46,E1494=$AB$47,$AD$47,E1494=$AB$48,$AD$48,E1494=$AB$49,$AD$49,E1494=$AB$50,$AD$50,E1494=$AB$51,$AD$51,E1494=$AB$52,$AD$52,E1494=$AB$53,$AD$53,E1494=$AB$54,$AD$54,E1494=$AB$55,$AD$55,E1494=$AB$56,$AD$56,E1494=$AB$57,$AD$57,E1494=$AB$58,$AD$58,E1494=$AB$59,$AD$59,E1494=$AB$60,$AD$60,E1494=$AB$61,$AD$61,E1494=$AB$62,$AD$62,E1494=$AB$63,$AD$63,E1494=$AB$64,$AD$64,E1494=$AB$65,$AD$65,E1494=$AB$66,$AD$66,TRUE,"0")</f>
        <v>IP</v>
      </c>
      <c r="E1494" s="2" t="s">
        <v>270</v>
      </c>
      <c r="F1494" s="2" t="s">
        <v>58</v>
      </c>
      <c r="G1494" s="2" t="s">
        <v>289</v>
      </c>
      <c r="H1494" s="3">
        <v>45424.645833333336</v>
      </c>
      <c r="I1494" s="2" t="s">
        <v>800</v>
      </c>
      <c r="J1494" s="2" t="s">
        <v>624</v>
      </c>
      <c r="K1494" s="2">
        <v>61</v>
      </c>
      <c r="L1494" s="2">
        <v>0</v>
      </c>
      <c r="M1494" s="2">
        <v>20</v>
      </c>
      <c r="N1494" s="2">
        <v>37</v>
      </c>
      <c r="O1494" s="2">
        <v>0</v>
      </c>
      <c r="P1494" s="2"/>
      <c r="Q1494" s="2" t="s">
        <v>95</v>
      </c>
      <c r="R1494" s="10" t="s">
        <v>193</v>
      </c>
      <c r="S1494" s="10" t="s">
        <v>211</v>
      </c>
      <c r="T1494" s="188">
        <v>1000</v>
      </c>
      <c r="U1494" s="8">
        <f t="shared" si="165"/>
        <v>180</v>
      </c>
      <c r="V1494" s="234">
        <f t="shared" si="164"/>
        <v>157464.15524616028</v>
      </c>
      <c r="W1494" s="15">
        <v>25</v>
      </c>
      <c r="X1494" s="8">
        <f t="shared" si="162"/>
        <v>4.5</v>
      </c>
      <c r="Y1494" s="233">
        <f t="shared" si="163"/>
        <v>5802.5</v>
      </c>
    </row>
    <row r="1495" spans="1:25">
      <c r="A1495" s="156" t="e" cm="1">
        <f t="array" aca="1" ref="A1495" ca="1">_xlfn.IFS(E1495=$AB$42,$AC$42,E1495=$AB$43,$AC$43,E1495=$AB$44,$AC$44,E1495=$AB$45,$AC$45,E1495=$AB$46,$AC$46,E1495=$AB$47,$AC$47,E1495=$AB$48,$AC$48,E1495=$AB$49,$AC$49,E1495=$AB$50,$AC$50,E1495=$AB$51,$AC$51,E1495=$AB$52,$AC$52,E1495=$AB$53,$AC$53,E1495=$AB$54,$AC$54,E1495=$AB$55,$AC$55,E1495=$AB$56,$AC$56,E1495=$AB$57,$AC$57,E1495=$AB$58,$AC$58,E1495=$AB$59,$AC$59,E1495=$AB$60,$AC$60,E1495=$AB$61,$AC$61,E1495=$AB$62,$AC$62,E1495=$AB$63,$AC$63,E1495=$AB$64,$AC$64,E1495=$AB$65,$AC$65,E1495=$AB$66,$AC$66,TRUE,"0")</f>
        <v>#NAME?</v>
      </c>
      <c r="C1495" s="161" t="str" cm="1">
        <f t="array" ref="C1495">_xlfn.IFS(E1495=$AB$42,$AF$42,E1495=$AB$43,$AF$43,E1495=$AB$44,$AF$44,E1495=$AB$45,$AF$45,E1495=$AB$46,$AF$46,E1495=$AB$47,$AF$47,E1495=$AB$48,$AF$48,E1495=$AB$49,$AF$49,E1495=$AB$50,$AF$50,E1495=$AB$51,$AF$51,E1495=$AB$52,$AF$52,E1495=$AB$53,$AF$53,E1495=$AB$54,$AF$54,E1495=$AB$55,$AF$55,E1495=$AB$56,$AF$56,E1495=$AB$57,$AF$57,E1495=$AB$58,$AF$58,E1495=$AB$59,$AF$59,E1495=$AB$60,$AF$60,E1495=$AB$61,$AF$61,E1495=$AB$62,$AF$62,E1495=$AB$63,$AF$63,E1495=$AB$64,$AF$64,E1495=$AB$65,$AF$65,E1495=$AB$66,$AF$66,TRUE,"0")</f>
        <v>B4 match BACK FT +1.5 goals. X AFTER  GOAL</v>
      </c>
      <c r="D1495" s="270" t="str" cm="1">
        <f t="array" ref="D1495">_xlfn.IFS(E1495=$AB$42,$AD$42,E1495=$AB$43,$AD$43,E1495=$AB$44,$AD$44,E1495=$AB$45,$AD$45,E1495=$AB$46,$AD$46,E1495=$AB$47,$AD$47,E1495=$AB$48,$AD$48,E1495=$AB$49,$AD$49,E1495=$AB$50,$AD$50,E1495=$AB$51,$AD$51,E1495=$AB$52,$AD$52,E1495=$AB$53,$AD$53,E1495=$AB$54,$AD$54,E1495=$AB$55,$AD$55,E1495=$AB$56,$AD$56,E1495=$AB$57,$AD$57,E1495=$AB$58,$AD$58,E1495=$AB$59,$AD$59,E1495=$AB$60,$AD$60,E1495=$AB$61,$AD$61,E1495=$AB$62,$AD$62,E1495=$AB$63,$AD$63,E1495=$AB$64,$AD$64,E1495=$AB$65,$AD$65,E1495=$AB$66,$AD$66,TRUE,"0")</f>
        <v xml:space="preserve">BFM </v>
      </c>
      <c r="E1495" s="2" t="s">
        <v>531</v>
      </c>
      <c r="F1495" s="2" t="s">
        <v>412</v>
      </c>
      <c r="G1495" s="2" t="s">
        <v>156</v>
      </c>
      <c r="H1495" s="3">
        <v>45424.666666666664</v>
      </c>
      <c r="I1495" s="2" t="s">
        <v>833</v>
      </c>
      <c r="J1495" s="2" t="s">
        <v>500</v>
      </c>
      <c r="K1495" s="2">
        <v>5.6</v>
      </c>
      <c r="L1495" s="2">
        <v>30</v>
      </c>
      <c r="M1495" s="2">
        <v>2.9</v>
      </c>
      <c r="N1495" s="2">
        <v>22</v>
      </c>
      <c r="O1495" s="2">
        <v>3</v>
      </c>
      <c r="P1495" s="2">
        <v>15</v>
      </c>
      <c r="Q1495" s="2" t="s">
        <v>95</v>
      </c>
      <c r="R1495" s="10" t="s">
        <v>211</v>
      </c>
      <c r="S1495" s="10" t="s">
        <v>287</v>
      </c>
      <c r="T1495" s="188">
        <v>1000</v>
      </c>
      <c r="U1495" s="8">
        <f t="shared" si="165"/>
        <v>180</v>
      </c>
      <c r="V1495" s="234">
        <f t="shared" ref="V1495:V1514" si="166">SUM(V1494,U1495)</f>
        <v>157644.15524616028</v>
      </c>
      <c r="W1495" s="15">
        <v>25</v>
      </c>
      <c r="X1495" s="8">
        <f t="shared" si="162"/>
        <v>4.5</v>
      </c>
      <c r="Y1495" s="233">
        <f t="shared" si="163"/>
        <v>5807</v>
      </c>
    </row>
    <row r="1496" spans="1:25">
      <c r="A1496" s="156" t="e" cm="1">
        <f t="array" aca="1" ref="A1496" ca="1">_xlfn.IFS(E1496=$AB$42,$AC$42,E1496=$AB$43,$AC$43,E1496=$AB$44,$AC$44,E1496=$AB$45,$AC$45,E1496=$AB$46,$AC$46,E1496=$AB$47,$AC$47,E1496=$AB$48,$AC$48,E1496=$AB$49,$AC$49,E1496=$AB$50,$AC$50,E1496=$AB$51,$AC$51,E1496=$AB$52,$AC$52,E1496=$AB$53,$AC$53,E1496=$AB$54,$AC$54,E1496=$AB$55,$AC$55,E1496=$AB$56,$AC$56,E1496=$AB$57,$AC$57,E1496=$AB$58,$AC$58,E1496=$AB$59,$AC$59,E1496=$AB$60,$AC$60,E1496=$AB$61,$AC$61,E1496=$AB$62,$AC$62,E1496=$AB$63,$AC$63,E1496=$AB$64,$AC$64,E1496=$AB$65,$AC$65,E1496=$AB$66,$AC$66,TRUE,"0")</f>
        <v>#NAME?</v>
      </c>
      <c r="C1496" s="161" t="str" cm="1">
        <f t="array" ref="C1496">_xlfn.IFS(E1496=$AB$42,$AF$42,E1496=$AB$43,$AF$43,E1496=$AB$44,$AF$44,E1496=$AB$45,$AF$45,E1496=$AB$46,$AF$46,E1496=$AB$47,$AF$47,E1496=$AB$48,$AF$48,E1496=$AB$49,$AF$49,E1496=$AB$50,$AF$50,E1496=$AB$51,$AF$51,E1496=$AB$52,$AF$52,E1496=$AB$53,$AF$53,E1496=$AB$54,$AF$54,E1496=$AB$55,$AF$55,E1496=$AB$56,$AF$56,E1496=$AB$57,$AF$57,E1496=$AB$58,$AF$58,E1496=$AB$59,$AF$59,E1496=$AB$60,$AF$60,E1496=$AB$61,$AF$61,E1496=$AB$62,$AF$62,E1496=$AB$63,$AF$63,E1496=$AB$64,$AF$64,E1496=$AB$65,$AF$65,E1496=$AB$66,$AF$66,TRUE,"0")</f>
        <v>B4 Match, lay HT 0-0 or BACK H1 +0.5 GOALS</v>
      </c>
      <c r="D1496" s="270" t="str" cm="1">
        <f t="array" ref="D1496">_xlfn.IFS(E1496=$AB$42,$AD$42,E1496=$AB$43,$AD$43,E1496=$AB$44,$AD$44,E1496=$AB$45,$AD$45,E1496=$AB$46,$AD$46,E1496=$AB$47,$AD$47,E1496=$AB$48,$AD$48,E1496=$AB$49,$AD$49,E1496=$AB$50,$AD$50,E1496=$AB$51,$AD$51,E1496=$AB$52,$AD$52,E1496=$AB$53,$AD$53,E1496=$AB$54,$AD$54,E1496=$AB$55,$AD$55,E1496=$AB$56,$AD$56,E1496=$AB$57,$AD$57,E1496=$AB$58,$AD$58,E1496=$AB$59,$AD$59,E1496=$AB$60,$AD$60,E1496=$AB$61,$AD$61,E1496=$AB$62,$AD$62,E1496=$AB$63,$AD$63,E1496=$AB$64,$AD$64,E1496=$AB$65,$AD$65,E1496=$AB$66,$AD$66,TRUE,"0")</f>
        <v xml:space="preserve">BFM </v>
      </c>
      <c r="E1496" s="2" t="s">
        <v>448</v>
      </c>
      <c r="F1496" s="2" t="s">
        <v>412</v>
      </c>
      <c r="G1496" s="2" t="s">
        <v>156</v>
      </c>
      <c r="H1496" s="3">
        <v>45424.666666666664</v>
      </c>
      <c r="I1496" s="2" t="s">
        <v>832</v>
      </c>
      <c r="J1496" s="2" t="s">
        <v>782</v>
      </c>
      <c r="K1496" s="2">
        <v>20</v>
      </c>
      <c r="L1496" s="2">
        <v>10</v>
      </c>
      <c r="M1496" s="2">
        <v>34</v>
      </c>
      <c r="N1496" s="2">
        <v>7</v>
      </c>
      <c r="O1496" s="2">
        <v>9</v>
      </c>
      <c r="P1496" s="2">
        <v>5</v>
      </c>
      <c r="Q1496" s="2" t="s">
        <v>95</v>
      </c>
      <c r="R1496" s="10" t="s">
        <v>216</v>
      </c>
      <c r="S1496" s="10" t="s">
        <v>210</v>
      </c>
      <c r="T1496" s="188">
        <v>1000</v>
      </c>
      <c r="U1496" s="8">
        <f t="shared" si="165"/>
        <v>180</v>
      </c>
      <c r="V1496" s="234">
        <f t="shared" si="166"/>
        <v>157824.15524616028</v>
      </c>
      <c r="W1496" s="15">
        <v>25</v>
      </c>
      <c r="X1496" s="8">
        <f t="shared" si="162"/>
        <v>4.5</v>
      </c>
      <c r="Y1496" s="233">
        <f t="shared" si="163"/>
        <v>5811.5</v>
      </c>
    </row>
    <row r="1497" spans="1:25">
      <c r="A1497" s="156" t="e" cm="1">
        <f t="array" aca="1" ref="A1497" ca="1">_xlfn.IFS(E1497=$AB$42,$AC$42,E1497=$AB$43,$AC$43,E1497=$AB$44,$AC$44,E1497=$AB$45,$AC$45,E1497=$AB$46,$AC$46,E1497=$AB$47,$AC$47,E1497=$AB$48,$AC$48,E1497=$AB$49,$AC$49,E1497=$AB$50,$AC$50,E1497=$AB$51,$AC$51,E1497=$AB$52,$AC$52,E1497=$AB$53,$AC$53,E1497=$AB$54,$AC$54,E1497=$AB$55,$AC$55,E1497=$AB$56,$AC$56,E1497=$AB$57,$AC$57,E1497=$AB$58,$AC$58,E1497=$AB$59,$AC$59,E1497=$AB$60,$AC$60,E1497=$AB$61,$AC$61,E1497=$AB$62,$AC$62,E1497=$AB$63,$AC$63,E1497=$AB$64,$AC$64,E1497=$AB$65,$AC$65,E1497=$AB$66,$AC$66,TRUE,"0")</f>
        <v>#NAME?</v>
      </c>
      <c r="C1497" s="161" t="str" cm="1">
        <f t="array" ref="C1497">_xlfn.IFS(E1497=$AB$42,$AF$42,E1497=$AB$43,$AF$43,E1497=$AB$44,$AF$44,E1497=$AB$45,$AF$45,E1497=$AB$46,$AF$46,E1497=$AB$47,$AF$47,E1497=$AB$48,$AF$48,E1497=$AB$49,$AF$49,E1497=$AB$50,$AF$50,E1497=$AB$51,$AF$51,E1497=$AB$52,$AF$52,E1497=$AB$53,$AF$53,E1497=$AB$54,$AF$54,E1497=$AB$55,$AF$55,E1497=$AB$56,$AF$56,E1497=$AB$57,$AF$57,E1497=$AB$58,$AF$58,E1497=$AB$59,$AF$59,E1497=$AB$60,$AF$60,E1497=$AB$61,$AF$61,E1497=$AB$62,$AF$62,E1497=$AB$63,$AF$63,E1497=$AB$64,$AF$64,E1497=$AB$65,$AF$65,E1497=$AB$66,$AF$66,TRUE,"0")</f>
        <v>B4 match BACK FT +1.5 goals. X AFTER  GOAL</v>
      </c>
      <c r="D1497" s="270" t="str" cm="1">
        <f t="array" ref="D1497">_xlfn.IFS(E1497=$AB$42,$AD$42,E1497=$AB$43,$AD$43,E1497=$AB$44,$AD$44,E1497=$AB$45,$AD$45,E1497=$AB$46,$AD$46,E1497=$AB$47,$AD$47,E1497=$AB$48,$AD$48,E1497=$AB$49,$AD$49,E1497=$AB$50,$AD$50,E1497=$AB$51,$AD$51,E1497=$AB$52,$AD$52,E1497=$AB$53,$AD$53,E1497=$AB$54,$AD$54,E1497=$AB$55,$AD$55,E1497=$AB$56,$AD$56,E1497=$AB$57,$AD$57,E1497=$AB$58,$AD$58,E1497=$AB$59,$AD$59,E1497=$AB$60,$AD$60,E1497=$AB$61,$AD$61,E1497=$AB$62,$AD$62,E1497=$AB$63,$AD$63,E1497=$AB$64,$AD$64,E1497=$AB$65,$AD$65,E1497=$AB$66,$AD$66,TRUE,"0")</f>
        <v xml:space="preserve">BFM </v>
      </c>
      <c r="E1497" s="2" t="s">
        <v>623</v>
      </c>
      <c r="F1497" s="2" t="s">
        <v>77</v>
      </c>
      <c r="G1497" s="2" t="s">
        <v>156</v>
      </c>
      <c r="H1497" s="3">
        <v>45424.6875</v>
      </c>
      <c r="I1497" s="2" t="s">
        <v>157</v>
      </c>
      <c r="J1497" s="2" t="s">
        <v>161</v>
      </c>
      <c r="K1497" s="2">
        <v>4.2</v>
      </c>
      <c r="L1497" s="2">
        <v>20</v>
      </c>
      <c r="M1497" s="2">
        <v>2.75</v>
      </c>
      <c r="N1497" s="2">
        <v>30</v>
      </c>
      <c r="O1497" s="2">
        <v>1</v>
      </c>
      <c r="P1497" s="2">
        <v>10</v>
      </c>
      <c r="Q1497" s="2" t="s">
        <v>95</v>
      </c>
      <c r="R1497" s="10" t="s">
        <v>220</v>
      </c>
      <c r="S1497" s="10" t="s">
        <v>220</v>
      </c>
      <c r="T1497" s="188">
        <v>1000</v>
      </c>
      <c r="U1497" s="8">
        <f t="shared" si="165"/>
        <v>180</v>
      </c>
      <c r="V1497" s="234">
        <f t="shared" si="166"/>
        <v>158004.15524616028</v>
      </c>
      <c r="W1497" s="15">
        <v>25</v>
      </c>
      <c r="X1497" s="8">
        <f t="shared" si="162"/>
        <v>4.5</v>
      </c>
      <c r="Y1497" s="233">
        <f t="shared" si="163"/>
        <v>5816</v>
      </c>
    </row>
    <row r="1498" spans="1:25">
      <c r="A1498" s="156" t="e" cm="1">
        <f t="array" aca="1" ref="A1498" ca="1">_xlfn.IFS(E1498=$AB$42,$AC$42,E1498=$AB$43,$AC$43,E1498=$AB$44,$AC$44,E1498=$AB$45,$AC$45,E1498=$AB$46,$AC$46,E1498=$AB$47,$AC$47,E1498=$AB$48,$AC$48,E1498=$AB$49,$AC$49,E1498=$AB$50,$AC$50,E1498=$AB$51,$AC$51,E1498=$AB$52,$AC$52,E1498=$AB$53,$AC$53,E1498=$AB$54,$AC$54,E1498=$AB$55,$AC$55,E1498=$AB$56,$AC$56,E1498=$AB$57,$AC$57,E1498=$AB$58,$AC$58,E1498=$AB$59,$AC$59,E1498=$AB$60,$AC$60,E1498=$AB$61,$AC$61,E1498=$AB$62,$AC$62,E1498=$AB$63,$AC$63,E1498=$AB$64,$AC$64,E1498=$AB$65,$AC$65,E1498=$AB$66,$AC$66,TRUE,"0")</f>
        <v>#NAME?</v>
      </c>
      <c r="C1498" s="161" t="str" cm="1">
        <f t="array" ref="C1498">_xlfn.IFS(E1498=$AB$42,$AF$42,E1498=$AB$43,$AF$43,E1498=$AB$44,$AF$44,E1498=$AB$45,$AF$45,E1498=$AB$46,$AF$46,E1498=$AB$47,$AF$47,E1498=$AB$48,$AF$48,E1498=$AB$49,$AF$49,E1498=$AB$50,$AF$50,E1498=$AB$51,$AF$51,E1498=$AB$52,$AF$52,E1498=$AB$53,$AF$53,E1498=$AB$54,$AF$54,E1498=$AB$55,$AF$55,E1498=$AB$56,$AF$56,E1498=$AB$57,$AF$57,E1498=$AB$58,$AF$58,E1498=$AB$59,$AF$59,E1498=$AB$60,$AF$60,E1498=$AB$61,$AF$61,E1498=$AB$62,$AF$62,E1498=$AB$63,$AF$63,E1498=$AB$64,$AF$64,E1498=$AB$65,$AF$65,E1498=$AB$66,$AF$66,TRUE,"0")</f>
        <v>B4 match BACK FT +1.5 goals. X AFTER  GOAL</v>
      </c>
      <c r="D1498" s="270" t="str" cm="1">
        <f t="array" ref="D1498">_xlfn.IFS(E1498=$AB$42,$AD$42,E1498=$AB$43,$AD$43,E1498=$AB$44,$AD$44,E1498=$AB$45,$AD$45,E1498=$AB$46,$AD$46,E1498=$AB$47,$AD$47,E1498=$AB$48,$AD$48,E1498=$AB$49,$AD$49,E1498=$AB$50,$AD$50,E1498=$AB$51,$AD$51,E1498=$AB$52,$AD$52,E1498=$AB$53,$AD$53,E1498=$AB$54,$AD$54,E1498=$AB$55,$AD$55,E1498=$AB$56,$AD$56,E1498=$AB$57,$AD$57,E1498=$AB$58,$AD$58,E1498=$AB$59,$AD$59,E1498=$AB$60,$AD$60,E1498=$AB$61,$AD$61,E1498=$AB$62,$AD$62,E1498=$AB$63,$AD$63,E1498=$AB$64,$AD$64,E1498=$AB$65,$AD$65,E1498=$AB$66,$AD$66,TRUE,"0")</f>
        <v xml:space="preserve">BFM </v>
      </c>
      <c r="E1498" s="2" t="s">
        <v>531</v>
      </c>
      <c r="F1498" s="2" t="s">
        <v>6</v>
      </c>
      <c r="G1498" s="2" t="s">
        <v>62</v>
      </c>
      <c r="H1498" s="3">
        <v>45424.6875</v>
      </c>
      <c r="I1498" s="2" t="s">
        <v>383</v>
      </c>
      <c r="J1498" s="2" t="s">
        <v>73</v>
      </c>
      <c r="K1498" s="2">
        <v>3.8</v>
      </c>
      <c r="L1498" s="2">
        <v>35</v>
      </c>
      <c r="M1498" s="2">
        <v>3.09</v>
      </c>
      <c r="N1498" s="2">
        <v>31</v>
      </c>
      <c r="O1498" s="2">
        <v>5</v>
      </c>
      <c r="P1498" s="2">
        <v>18</v>
      </c>
      <c r="Q1498" s="2" t="s">
        <v>95</v>
      </c>
      <c r="R1498" s="10" t="s">
        <v>193</v>
      </c>
      <c r="S1498" s="10" t="s">
        <v>193</v>
      </c>
      <c r="T1498" s="188">
        <v>1000</v>
      </c>
      <c r="U1498" s="8">
        <f t="shared" si="165"/>
        <v>180</v>
      </c>
      <c r="V1498" s="234">
        <f t="shared" si="166"/>
        <v>158184.15524616028</v>
      </c>
      <c r="W1498" s="15">
        <v>25</v>
      </c>
      <c r="X1498" s="8">
        <f t="shared" si="162"/>
        <v>4.5</v>
      </c>
      <c r="Y1498" s="233">
        <f t="shared" si="163"/>
        <v>5820.5</v>
      </c>
    </row>
    <row r="1499" spans="1:25">
      <c r="A1499" s="156" t="e" cm="1">
        <f t="array" aca="1" ref="A1499" ca="1">_xlfn.IFS(E1499=$AB$42,$AC$42,E1499=$AB$43,$AC$43,E1499=$AB$44,$AC$44,E1499=$AB$45,$AC$45,E1499=$AB$46,$AC$46,E1499=$AB$47,$AC$47,E1499=$AB$48,$AC$48,E1499=$AB$49,$AC$49,E1499=$AB$50,$AC$50,E1499=$AB$51,$AC$51,E1499=$AB$52,$AC$52,E1499=$AB$53,$AC$53,E1499=$AB$54,$AC$54,E1499=$AB$55,$AC$55,E1499=$AB$56,$AC$56,E1499=$AB$57,$AC$57,E1499=$AB$58,$AC$58,E1499=$AB$59,$AC$59,E1499=$AB$60,$AC$60,E1499=$AB$61,$AC$61,E1499=$AB$62,$AC$62,E1499=$AB$63,$AC$63,E1499=$AB$64,$AC$64,E1499=$AB$65,$AC$65,E1499=$AB$66,$AC$66,TRUE,"0")</f>
        <v>#NAME?</v>
      </c>
      <c r="C1499" s="161" t="str" cm="1">
        <f t="array" ref="C1499">_xlfn.IFS(E1499=$AB$42,$AF$42,E1499=$AB$43,$AF$43,E1499=$AB$44,$AF$44,E1499=$AB$45,$AF$45,E1499=$AB$46,$AF$46,E1499=$AB$47,$AF$47,E1499=$AB$48,$AF$48,E1499=$AB$49,$AF$49,E1499=$AB$50,$AF$50,E1499=$AB$51,$AF$51,E1499=$AB$52,$AF$52,E1499=$AB$53,$AF$53,E1499=$AB$54,$AF$54,E1499=$AB$55,$AF$55,E1499=$AB$56,$AF$56,E1499=$AB$57,$AF$57,E1499=$AB$58,$AF$58,E1499=$AB$59,$AF$59,E1499=$AB$60,$AF$60,E1499=$AB$61,$AF$61,E1499=$AB$62,$AF$62,E1499=$AB$63,$AF$63,E1499=$AB$64,$AF$64,E1499=$AB$65,$AF$65,E1499=$AB$66,$AF$66,TRUE,"0")</f>
        <v>B4 match BACK FT +1.5 goals. X AFTER  GOAL</v>
      </c>
      <c r="D1499" s="270" t="str" cm="1">
        <f t="array" ref="D1499">_xlfn.IFS(E1499=$AB$42,$AD$42,E1499=$AB$43,$AD$43,E1499=$AB$44,$AD$44,E1499=$AB$45,$AD$45,E1499=$AB$46,$AD$46,E1499=$AB$47,$AD$47,E1499=$AB$48,$AD$48,E1499=$AB$49,$AD$49,E1499=$AB$50,$AD$50,E1499=$AB$51,$AD$51,E1499=$AB$52,$AD$52,E1499=$AB$53,$AD$53,E1499=$AB$54,$AD$54,E1499=$AB$55,$AD$55,E1499=$AB$56,$AD$56,E1499=$AB$57,$AD$57,E1499=$AB$58,$AD$58,E1499=$AB$59,$AD$59,E1499=$AB$60,$AD$60,E1499=$AB$61,$AD$61,E1499=$AB$62,$AD$62,E1499=$AB$63,$AD$63,E1499=$AB$64,$AD$64,E1499=$AB$65,$AD$65,E1499=$AB$66,$AD$66,TRUE,"0")</f>
        <v xml:space="preserve">BFM </v>
      </c>
      <c r="E1499" s="2" t="s">
        <v>623</v>
      </c>
      <c r="F1499" s="2" t="s">
        <v>20</v>
      </c>
      <c r="G1499" s="2" t="s">
        <v>21</v>
      </c>
      <c r="H1499" s="3">
        <v>45424.708333333336</v>
      </c>
      <c r="I1499" s="2" t="s">
        <v>358</v>
      </c>
      <c r="J1499" s="2" t="s">
        <v>110</v>
      </c>
      <c r="K1499" s="2">
        <v>3.15</v>
      </c>
      <c r="L1499" s="2">
        <v>20</v>
      </c>
      <c r="M1499" s="2">
        <v>2.5</v>
      </c>
      <c r="N1499" s="2">
        <v>24</v>
      </c>
      <c r="O1499" s="2">
        <v>0</v>
      </c>
      <c r="P1499" s="2">
        <v>10</v>
      </c>
      <c r="Q1499" s="2" t="s">
        <v>95</v>
      </c>
      <c r="R1499" s="10" t="s">
        <v>193</v>
      </c>
      <c r="S1499" s="10" t="s">
        <v>216</v>
      </c>
      <c r="T1499" s="188">
        <v>1000</v>
      </c>
      <c r="U1499" s="8">
        <f t="shared" si="165"/>
        <v>180</v>
      </c>
      <c r="V1499" s="234">
        <f t="shared" si="166"/>
        <v>158364.15524616028</v>
      </c>
      <c r="W1499" s="15">
        <v>25</v>
      </c>
      <c r="X1499" s="8">
        <f t="shared" si="162"/>
        <v>4.5</v>
      </c>
      <c r="Y1499" s="233">
        <f t="shared" si="163"/>
        <v>5825</v>
      </c>
    </row>
    <row r="1500" spans="1:25">
      <c r="A1500" s="156" t="e" cm="1">
        <f t="array" aca="1" ref="A1500" ca="1">_xlfn.IFS(E1500=$AB$42,$AC$42,E1500=$AB$43,$AC$43,E1500=$AB$44,$AC$44,E1500=$AB$45,$AC$45,E1500=$AB$46,$AC$46,E1500=$AB$47,$AC$47,E1500=$AB$48,$AC$48,E1500=$AB$49,$AC$49,E1500=$AB$50,$AC$50,E1500=$AB$51,$AC$51,E1500=$AB$52,$AC$52,E1500=$AB$53,$AC$53,E1500=$AB$54,$AC$54,E1500=$AB$55,$AC$55,E1500=$AB$56,$AC$56,E1500=$AB$57,$AC$57,E1500=$AB$58,$AC$58,E1500=$AB$59,$AC$59,E1500=$AB$60,$AC$60,E1500=$AB$61,$AC$61,E1500=$AB$62,$AC$62,E1500=$AB$63,$AC$63,E1500=$AB$64,$AC$64,E1500=$AB$65,$AC$65,E1500=$AB$66,$AC$66,TRUE,"0")</f>
        <v>#NAME?</v>
      </c>
      <c r="C1500" s="161" t="str" cm="1">
        <f t="array" ref="C1500">_xlfn.IFS(E1500=$AB$42,$AF$42,E1500=$AB$43,$AF$43,E1500=$AB$44,$AF$44,E1500=$AB$45,$AF$45,E1500=$AB$46,$AF$46,E1500=$AB$47,$AF$47,E1500=$AB$48,$AF$48,E1500=$AB$49,$AF$49,E1500=$AB$50,$AF$50,E1500=$AB$51,$AF$51,E1500=$AB$52,$AF$52,E1500=$AB$53,$AF$53,E1500=$AB$54,$AF$54,E1500=$AB$55,$AF$55,E1500=$AB$56,$AF$56,E1500=$AB$57,$AF$57,E1500=$AB$58,$AF$58,E1500=$AB$59,$AF$59,E1500=$AB$60,$AF$60,E1500=$AB$61,$AF$61,E1500=$AB$62,$AF$62,E1500=$AB$63,$AF$63,E1500=$AB$64,$AF$64,E1500=$AB$65,$AF$65,E1500=$AB$66,$AF$66,TRUE,"0")</f>
        <v>B4 match BACK FT +1.5 goals. X AFTER  GOAL</v>
      </c>
      <c r="D1500" s="270" t="str" cm="1">
        <f t="array" ref="D1500">_xlfn.IFS(E1500=$AB$42,$AD$42,E1500=$AB$43,$AD$43,E1500=$AB$44,$AD$44,E1500=$AB$45,$AD$45,E1500=$AB$46,$AD$46,E1500=$AB$47,$AD$47,E1500=$AB$48,$AD$48,E1500=$AB$49,$AD$49,E1500=$AB$50,$AD$50,E1500=$AB$51,$AD$51,E1500=$AB$52,$AD$52,E1500=$AB$53,$AD$53,E1500=$AB$54,$AD$54,E1500=$AB$55,$AD$55,E1500=$AB$56,$AD$56,E1500=$AB$57,$AD$57,E1500=$AB$58,$AD$58,E1500=$AB$59,$AD$59,E1500=$AB$60,$AD$60,E1500=$AB$61,$AD$61,E1500=$AB$62,$AD$62,E1500=$AB$63,$AD$63,E1500=$AB$64,$AD$64,E1500=$AB$65,$AD$65,E1500=$AB$66,$AD$66,TRUE,"0")</f>
        <v xml:space="preserve">BFM </v>
      </c>
      <c r="E1500" s="2" t="s">
        <v>531</v>
      </c>
      <c r="F1500" s="2" t="s">
        <v>80</v>
      </c>
      <c r="G1500" s="2" t="s">
        <v>81</v>
      </c>
      <c r="H1500" s="3">
        <v>45424.708333333336</v>
      </c>
      <c r="I1500" s="2" t="s">
        <v>551</v>
      </c>
      <c r="J1500" s="2" t="s">
        <v>144</v>
      </c>
      <c r="K1500" s="2">
        <v>3.95</v>
      </c>
      <c r="L1500" s="2">
        <v>34</v>
      </c>
      <c r="M1500" s="2">
        <v>2.56</v>
      </c>
      <c r="N1500" s="2">
        <v>37</v>
      </c>
      <c r="O1500" s="2">
        <v>3</v>
      </c>
      <c r="P1500" s="2">
        <v>17</v>
      </c>
      <c r="Q1500" s="2" t="s">
        <v>95</v>
      </c>
      <c r="R1500" s="10" t="s">
        <v>216</v>
      </c>
      <c r="S1500" s="10" t="s">
        <v>213</v>
      </c>
      <c r="T1500" s="188">
        <v>1000</v>
      </c>
      <c r="U1500" s="8">
        <f t="shared" si="165"/>
        <v>180</v>
      </c>
      <c r="V1500" s="234">
        <f t="shared" si="166"/>
        <v>158544.15524616028</v>
      </c>
      <c r="W1500" s="15">
        <v>25</v>
      </c>
      <c r="X1500" s="8">
        <f t="shared" si="162"/>
        <v>4.5</v>
      </c>
      <c r="Y1500" s="233">
        <f t="shared" si="163"/>
        <v>5829.5</v>
      </c>
    </row>
    <row r="1501" spans="1:25">
      <c r="A1501" s="156" t="e" cm="1">
        <f t="array" aca="1" ref="A1501" ca="1">_xlfn.IFS(E1501=$AB$42,$AC$42,E1501=$AB$43,$AC$43,E1501=$AB$44,$AC$44,E1501=$AB$45,$AC$45,E1501=$AB$46,$AC$46,E1501=$AB$47,$AC$47,E1501=$AB$48,$AC$48,E1501=$AB$49,$AC$49,E1501=$AB$50,$AC$50,E1501=$AB$51,$AC$51,E1501=$AB$52,$AC$52,E1501=$AB$53,$AC$53,E1501=$AB$54,$AC$54,E1501=$AB$55,$AC$55,E1501=$AB$56,$AC$56,E1501=$AB$57,$AC$57,E1501=$AB$58,$AC$58,E1501=$AB$59,$AC$59,E1501=$AB$60,$AC$60,E1501=$AB$61,$AC$61,E1501=$AB$62,$AC$62,E1501=$AB$63,$AC$63,E1501=$AB$64,$AC$64,E1501=$AB$65,$AC$65,E1501=$AB$66,$AC$66,TRUE,"0")</f>
        <v>#NAME?</v>
      </c>
      <c r="C1501" s="161" t="str" cm="1">
        <f t="array" ref="C1501">_xlfn.IFS(E1501=$AB$42,$AF$42,E1501=$AB$43,$AF$43,E1501=$AB$44,$AF$44,E1501=$AB$45,$AF$45,E1501=$AB$46,$AF$46,E1501=$AB$47,$AF$47,E1501=$AB$48,$AF$48,E1501=$AB$49,$AF$49,E1501=$AB$50,$AF$50,E1501=$AB$51,$AF$51,E1501=$AB$52,$AF$52,E1501=$AB$53,$AF$53,E1501=$AB$54,$AF$54,E1501=$AB$55,$AF$55,E1501=$AB$56,$AF$56,E1501=$AB$57,$AF$57,E1501=$AB$58,$AF$58,E1501=$AB$59,$AF$59,E1501=$AB$60,$AF$60,E1501=$AB$61,$AF$61,E1501=$AB$62,$AF$62,E1501=$AB$63,$AF$63,E1501=$AB$64,$AF$64,E1501=$AB$65,$AF$65,E1501=$AB$66,$AF$66,TRUE,"0")</f>
        <v>20mins if  0-0, BACK over 1.5 goals X after goal OR LET RUN</v>
      </c>
      <c r="D1501" s="270" t="str" cm="1">
        <f t="array" ref="D1501">_xlfn.IFS(E1501=$AB$42,$AD$42,E1501=$AB$43,$AD$43,E1501=$AB$44,$AD$44,E1501=$AB$45,$AD$45,E1501=$AB$46,$AD$46,E1501=$AB$47,$AD$47,E1501=$AB$48,$AD$48,E1501=$AB$49,$AD$49,E1501=$AB$50,$AD$50,E1501=$AB$51,$AD$51,E1501=$AB$52,$AD$52,E1501=$AB$53,$AD$53,E1501=$AB$54,$AD$54,E1501=$AB$55,$AD$55,E1501=$AB$56,$AD$56,E1501=$AB$57,$AD$57,E1501=$AB$58,$AD$58,E1501=$AB$59,$AD$59,E1501=$AB$60,$AD$60,E1501=$AB$61,$AD$61,E1501=$AB$62,$AD$62,E1501=$AB$63,$AD$63,E1501=$AB$64,$AD$64,E1501=$AB$65,$AD$65,E1501=$AB$66,$AD$66,TRUE,"0")</f>
        <v>IP</v>
      </c>
      <c r="E1501" s="2" t="s">
        <v>474</v>
      </c>
      <c r="F1501" s="2" t="s">
        <v>434</v>
      </c>
      <c r="G1501" s="2" t="s">
        <v>435</v>
      </c>
      <c r="H1501" s="3">
        <v>45424.708333333336</v>
      </c>
      <c r="I1501" s="2" t="s">
        <v>437</v>
      </c>
      <c r="J1501" s="2" t="s">
        <v>464</v>
      </c>
      <c r="K1501" s="2">
        <v>52</v>
      </c>
      <c r="L1501" s="2">
        <v>3.3</v>
      </c>
      <c r="M1501" s="2">
        <v>20</v>
      </c>
      <c r="N1501" s="2">
        <v>65</v>
      </c>
      <c r="O1501" s="2">
        <v>85</v>
      </c>
      <c r="P1501" s="2"/>
      <c r="Q1501" s="2" t="s">
        <v>95</v>
      </c>
      <c r="R1501" s="10" t="s">
        <v>222</v>
      </c>
      <c r="S1501" s="10" t="s">
        <v>222</v>
      </c>
      <c r="T1501" s="188">
        <v>1000</v>
      </c>
      <c r="U1501" s="8">
        <f t="shared" si="165"/>
        <v>180</v>
      </c>
      <c r="V1501" s="234">
        <f t="shared" si="166"/>
        <v>158724.15524616028</v>
      </c>
      <c r="W1501" s="15">
        <v>25</v>
      </c>
      <c r="X1501" s="8">
        <f t="shared" si="162"/>
        <v>4.5</v>
      </c>
      <c r="Y1501" s="233">
        <f t="shared" si="163"/>
        <v>5834</v>
      </c>
    </row>
    <row r="1502" spans="1:25">
      <c r="A1502" s="156" t="e" cm="1">
        <f t="array" aca="1" ref="A1502" ca="1">_xlfn.IFS(E1502=$AB$42,$AC$42,E1502=$AB$43,$AC$43,E1502=$AB$44,$AC$44,E1502=$AB$45,$AC$45,E1502=$AB$46,$AC$46,E1502=$AB$47,$AC$47,E1502=$AB$48,$AC$48,E1502=$AB$49,$AC$49,E1502=$AB$50,$AC$50,E1502=$AB$51,$AC$51,E1502=$AB$52,$AC$52,E1502=$AB$53,$AC$53,E1502=$AB$54,$AC$54,E1502=$AB$55,$AC$55,E1502=$AB$56,$AC$56,E1502=$AB$57,$AC$57,E1502=$AB$58,$AC$58,E1502=$AB$59,$AC$59,E1502=$AB$60,$AC$60,E1502=$AB$61,$AC$61,E1502=$AB$62,$AC$62,E1502=$AB$63,$AC$63,E1502=$AB$64,$AC$64,E1502=$AB$65,$AC$65,E1502=$AB$66,$AC$66,TRUE,"0")</f>
        <v>#NAME?</v>
      </c>
      <c r="C1502" s="161" t="str" cm="1">
        <f t="array" ref="C1502">_xlfn.IFS(E1502=$AB$42,$AF$42,E1502=$AB$43,$AF$43,E1502=$AB$44,$AF$44,E1502=$AB$45,$AF$45,E1502=$AB$46,$AF$46,E1502=$AB$47,$AF$47,E1502=$AB$48,$AF$48,E1502=$AB$49,$AF$49,E1502=$AB$50,$AF$50,E1502=$AB$51,$AF$51,E1502=$AB$52,$AF$52,E1502=$AB$53,$AF$53,E1502=$AB$54,$AF$54,E1502=$AB$55,$AF$55,E1502=$AB$56,$AF$56,E1502=$AB$57,$AF$57,E1502=$AB$58,$AF$58,E1502=$AB$59,$AF$59,E1502=$AB$60,$AF$60,E1502=$AB$61,$AF$61,E1502=$AB$62,$AF$62,E1502=$AB$63,$AF$63,E1502=$AB$64,$AF$64,E1502=$AB$65,$AF$65,E1502=$AB$66,$AF$66,TRUE,"0")</f>
        <v>if 0-0, BACK+ 0.5 GOALS  @ 1.15+odds.  or @ 40 mins</v>
      </c>
      <c r="D1502" s="270" t="str" cm="1">
        <f t="array" ref="D1502">_xlfn.IFS(E1502=$AB$42,$AD$42,E1502=$AB$43,$AD$43,E1502=$AB$44,$AD$44,E1502=$AB$45,$AD$45,E1502=$AB$46,$AD$46,E1502=$AB$47,$AD$47,E1502=$AB$48,$AD$48,E1502=$AB$49,$AD$49,E1502=$AB$50,$AD$50,E1502=$AB$51,$AD$51,E1502=$AB$52,$AD$52,E1502=$AB$53,$AD$53,E1502=$AB$54,$AD$54,E1502=$AB$55,$AD$55,E1502=$AB$56,$AD$56,E1502=$AB$57,$AD$57,E1502=$AB$58,$AD$58,E1502=$AB$59,$AD$59,E1502=$AB$60,$AD$60,E1502=$AB$61,$AD$61,E1502=$AB$62,$AD$62,E1502=$AB$63,$AD$63,E1502=$AB$64,$AD$64,E1502=$AB$65,$AD$65,E1502=$AB$66,$AD$66,TRUE,"0")</f>
        <v>IP</v>
      </c>
      <c r="E1502" s="2" t="s">
        <v>270</v>
      </c>
      <c r="F1502" s="2" t="s">
        <v>80</v>
      </c>
      <c r="G1502" s="2" t="s">
        <v>81</v>
      </c>
      <c r="H1502" s="3">
        <v>45424.708333333336</v>
      </c>
      <c r="I1502" s="2" t="s">
        <v>550</v>
      </c>
      <c r="J1502" s="2" t="s">
        <v>310</v>
      </c>
      <c r="K1502" s="2">
        <v>65</v>
      </c>
      <c r="L1502" s="2">
        <v>0</v>
      </c>
      <c r="M1502" s="2">
        <v>20</v>
      </c>
      <c r="N1502" s="2">
        <v>36</v>
      </c>
      <c r="O1502" s="2">
        <v>2.69</v>
      </c>
      <c r="P1502" s="2"/>
      <c r="Q1502" s="2" t="s">
        <v>95</v>
      </c>
      <c r="R1502" s="10" t="s">
        <v>220</v>
      </c>
      <c r="S1502" s="10" t="s">
        <v>207</v>
      </c>
      <c r="T1502" s="188">
        <v>1000</v>
      </c>
      <c r="U1502" s="8">
        <f t="shared" si="165"/>
        <v>180</v>
      </c>
      <c r="V1502" s="234">
        <f t="shared" si="166"/>
        <v>158904.15524616028</v>
      </c>
      <c r="W1502" s="15">
        <v>25</v>
      </c>
      <c r="X1502" s="8">
        <f t="shared" si="162"/>
        <v>4.5</v>
      </c>
      <c r="Y1502" s="233">
        <f t="shared" si="163"/>
        <v>5838.5</v>
      </c>
    </row>
    <row r="1503" spans="1:25">
      <c r="A1503" s="156" t="e" cm="1">
        <f t="array" aca="1" ref="A1503" ca="1">_xlfn.IFS(E1503=$AB$42,$AC$42,E1503=$AB$43,$AC$43,E1503=$AB$44,$AC$44,E1503=$AB$45,$AC$45,E1503=$AB$46,$AC$46,E1503=$AB$47,$AC$47,E1503=$AB$48,$AC$48,E1503=$AB$49,$AC$49,E1503=$AB$50,$AC$50,E1503=$AB$51,$AC$51,E1503=$AB$52,$AC$52,E1503=$AB$53,$AC$53,E1503=$AB$54,$AC$54,E1503=$AB$55,$AC$55,E1503=$AB$56,$AC$56,E1503=$AB$57,$AC$57,E1503=$AB$58,$AC$58,E1503=$AB$59,$AC$59,E1503=$AB$60,$AC$60,E1503=$AB$61,$AC$61,E1503=$AB$62,$AC$62,E1503=$AB$63,$AC$63,E1503=$AB$64,$AC$64,E1503=$AB$65,$AC$65,E1503=$AB$66,$AC$66,TRUE,"0")</f>
        <v>#NAME?</v>
      </c>
      <c r="C1503" s="161" t="str" cm="1">
        <f t="array" ref="C1503">_xlfn.IFS(E1503=$AB$42,$AF$42,E1503=$AB$43,$AF$43,E1503=$AB$44,$AF$44,E1503=$AB$45,$AF$45,E1503=$AB$46,$AF$46,E1503=$AB$47,$AF$47,E1503=$AB$48,$AF$48,E1503=$AB$49,$AF$49,E1503=$AB$50,$AF$50,E1503=$AB$51,$AF$51,E1503=$AB$52,$AF$52,E1503=$AB$53,$AF$53,E1503=$AB$54,$AF$54,E1503=$AB$55,$AF$55,E1503=$AB$56,$AF$56,E1503=$AB$57,$AF$57,E1503=$AB$58,$AF$58,E1503=$AB$59,$AF$59,E1503=$AB$60,$AF$60,E1503=$AB$61,$AF$61,E1503=$AB$62,$AF$62,E1503=$AB$63,$AF$63,E1503=$AB$64,$AF$64,E1503=$AB$65,$AF$65,E1503=$AB$66,$AF$66,TRUE,"0")</f>
        <v>40 mins Back ANother Goal</v>
      </c>
      <c r="D1503" s="270" t="str" cm="1">
        <f t="array" ref="D1503">_xlfn.IFS(E1503=$AB$42,$AD$42,E1503=$AB$43,$AD$43,E1503=$AB$44,$AD$44,E1503=$AB$45,$AD$45,E1503=$AB$46,$AD$46,E1503=$AB$47,$AD$47,E1503=$AB$48,$AD$48,E1503=$AB$49,$AD$49,E1503=$AB$50,$AD$50,E1503=$AB$51,$AD$51,E1503=$AB$52,$AD$52,E1503=$AB$53,$AD$53,E1503=$AB$54,$AD$54,E1503=$AB$55,$AD$55,E1503=$AB$56,$AD$56,E1503=$AB$57,$AD$57,E1503=$AB$58,$AD$58,E1503=$AB$59,$AD$59,E1503=$AB$60,$AD$60,E1503=$AB$61,$AD$61,E1503=$AB$62,$AD$62,E1503=$AB$63,$AD$63,E1503=$AB$64,$AD$64,E1503=$AB$65,$AD$65,E1503=$AB$66,$AD$66,TRUE,"0")</f>
        <v xml:space="preserve">  BANG</v>
      </c>
      <c r="E1503" s="2" t="s">
        <v>43</v>
      </c>
      <c r="F1503" s="2" t="s">
        <v>119</v>
      </c>
      <c r="G1503" s="2" t="s">
        <v>166</v>
      </c>
      <c r="H1503" s="3">
        <v>45424.729166666664</v>
      </c>
      <c r="I1503" s="2" t="s">
        <v>238</v>
      </c>
      <c r="J1503" s="2" t="s">
        <v>326</v>
      </c>
      <c r="K1503" s="2">
        <v>75</v>
      </c>
      <c r="L1503" s="2">
        <v>80</v>
      </c>
      <c r="M1503" s="2">
        <v>64</v>
      </c>
      <c r="N1503" s="2">
        <v>1.45</v>
      </c>
      <c r="O1503" s="2">
        <v>1.17</v>
      </c>
      <c r="P1503" s="2"/>
      <c r="Q1503" s="2" t="s">
        <v>96</v>
      </c>
      <c r="R1503" s="10" t="s">
        <v>214</v>
      </c>
      <c r="S1503" s="10" t="s">
        <v>214</v>
      </c>
      <c r="T1503" s="188">
        <v>1000</v>
      </c>
      <c r="U1503" s="8">
        <f t="shared" si="165"/>
        <v>-1000</v>
      </c>
      <c r="V1503" s="234">
        <f t="shared" si="166"/>
        <v>157904.15524616028</v>
      </c>
      <c r="W1503" s="15">
        <v>25</v>
      </c>
      <c r="X1503" s="8">
        <f t="shared" si="162"/>
        <v>-25</v>
      </c>
      <c r="Y1503" s="233">
        <f t="shared" si="163"/>
        <v>5813.5</v>
      </c>
    </row>
    <row r="1504" spans="1:25">
      <c r="A1504" s="156" t="e" cm="1">
        <f t="array" aca="1" ref="A1504" ca="1">_xlfn.IFS(E1504=$AB$42,$AC$42,E1504=$AB$43,$AC$43,E1504=$AB$44,$AC$44,E1504=$AB$45,$AC$45,E1504=$AB$46,$AC$46,E1504=$AB$47,$AC$47,E1504=$AB$48,$AC$48,E1504=$AB$49,$AC$49,E1504=$AB$50,$AC$50,E1504=$AB$51,$AC$51,E1504=$AB$52,$AC$52,E1504=$AB$53,$AC$53,E1504=$AB$54,$AC$54,E1504=$AB$55,$AC$55,E1504=$AB$56,$AC$56,E1504=$AB$57,$AC$57,E1504=$AB$58,$AC$58,E1504=$AB$59,$AC$59,E1504=$AB$60,$AC$60,E1504=$AB$61,$AC$61,E1504=$AB$62,$AC$62,E1504=$AB$63,$AC$63,E1504=$AB$64,$AC$64,E1504=$AB$65,$AC$65,E1504=$AB$66,$AC$66,TRUE,"0")</f>
        <v>#NAME?</v>
      </c>
      <c r="C1504" s="161" t="str" cm="1">
        <f t="array" ref="C1504">_xlfn.IFS(E1504=$AB$42,$AF$42,E1504=$AB$43,$AF$43,E1504=$AB$44,$AF$44,E1504=$AB$45,$AF$45,E1504=$AB$46,$AF$46,E1504=$AB$47,$AF$47,E1504=$AB$48,$AF$48,E1504=$AB$49,$AF$49,E1504=$AB$50,$AF$50,E1504=$AB$51,$AF$51,E1504=$AB$52,$AF$52,E1504=$AB$53,$AF$53,E1504=$AB$54,$AF$54,E1504=$AB$55,$AF$55,E1504=$AB$56,$AF$56,E1504=$AB$57,$AF$57,E1504=$AB$58,$AF$58,E1504=$AB$59,$AF$59,E1504=$AB$60,$AF$60,E1504=$AB$61,$AF$61,E1504=$AB$62,$AF$62,E1504=$AB$63,$AF$63,E1504=$AB$64,$AF$64,E1504=$AB$65,$AF$65,E1504=$AB$66,$AF$66,TRUE,"0")</f>
        <v>40 mins Back ANother Goal</v>
      </c>
      <c r="D1504" s="270" t="str" cm="1">
        <f t="array" ref="D1504">_xlfn.IFS(E1504=$AB$42,$AD$42,E1504=$AB$43,$AD$43,E1504=$AB$44,$AD$44,E1504=$AB$45,$AD$45,E1504=$AB$46,$AD$46,E1504=$AB$47,$AD$47,E1504=$AB$48,$AD$48,E1504=$AB$49,$AD$49,E1504=$AB$50,$AD$50,E1504=$AB$51,$AD$51,E1504=$AB$52,$AD$52,E1504=$AB$53,$AD$53,E1504=$AB$54,$AD$54,E1504=$AB$55,$AD$55,E1504=$AB$56,$AD$56,E1504=$AB$57,$AD$57,E1504=$AB$58,$AD$58,E1504=$AB$59,$AD$59,E1504=$AB$60,$AD$60,E1504=$AB$61,$AD$61,E1504=$AB$62,$AD$62,E1504=$AB$63,$AD$63,E1504=$AB$64,$AD$64,E1504=$AB$65,$AD$65,E1504=$AB$66,$AD$66,TRUE,"0")</f>
        <v xml:space="preserve">  BANG</v>
      </c>
      <c r="E1504" s="2" t="s">
        <v>515</v>
      </c>
      <c r="F1504" s="2" t="s">
        <v>119</v>
      </c>
      <c r="G1504" s="2" t="s">
        <v>166</v>
      </c>
      <c r="H1504" s="3">
        <v>45424.729166666664</v>
      </c>
      <c r="I1504" s="2" t="s">
        <v>238</v>
      </c>
      <c r="J1504" s="2" t="s">
        <v>326</v>
      </c>
      <c r="K1504" s="2">
        <v>20</v>
      </c>
      <c r="L1504" s="2">
        <v>76</v>
      </c>
      <c r="M1504" s="2">
        <v>1.45</v>
      </c>
      <c r="N1504" s="2"/>
      <c r="O1504" s="2"/>
      <c r="P1504" s="2"/>
      <c r="Q1504" s="2" t="s">
        <v>96</v>
      </c>
      <c r="R1504" s="10" t="s">
        <v>214</v>
      </c>
      <c r="S1504" s="10" t="s">
        <v>214</v>
      </c>
      <c r="T1504" s="188">
        <v>1000</v>
      </c>
      <c r="U1504" s="8">
        <f t="shared" si="165"/>
        <v>-1000</v>
      </c>
      <c r="V1504" s="234">
        <f t="shared" si="166"/>
        <v>156904.15524616028</v>
      </c>
      <c r="W1504" s="15">
        <v>25</v>
      </c>
      <c r="X1504" s="8">
        <f t="shared" si="162"/>
        <v>-25</v>
      </c>
      <c r="Y1504" s="233">
        <f t="shared" si="163"/>
        <v>5788.5</v>
      </c>
    </row>
    <row r="1505" spans="1:25">
      <c r="A1505" s="156" t="e" cm="1">
        <f t="array" aca="1" ref="A1505" ca="1">_xlfn.IFS(E1505=$AB$42,$AC$42,E1505=$AB$43,$AC$43,E1505=$AB$44,$AC$44,E1505=$AB$45,$AC$45,E1505=$AB$46,$AC$46,E1505=$AB$47,$AC$47,E1505=$AB$48,$AC$48,E1505=$AB$49,$AC$49,E1505=$AB$50,$AC$50,E1505=$AB$51,$AC$51,E1505=$AB$52,$AC$52,E1505=$AB$53,$AC$53,E1505=$AB$54,$AC$54,E1505=$AB$55,$AC$55,E1505=$AB$56,$AC$56,E1505=$AB$57,$AC$57,E1505=$AB$58,$AC$58,E1505=$AB$59,$AC$59,E1505=$AB$60,$AC$60,E1505=$AB$61,$AC$61,E1505=$AB$62,$AC$62,E1505=$AB$63,$AC$63,E1505=$AB$64,$AC$64,E1505=$AB$65,$AC$65,E1505=$AB$66,$AC$66,TRUE,"0")</f>
        <v>#NAME?</v>
      </c>
      <c r="C1505" s="161" t="str" cm="1">
        <f t="array" ref="C1505">_xlfn.IFS(E1505=$AB$42,$AF$42,E1505=$AB$43,$AF$43,E1505=$AB$44,$AF$44,E1505=$AB$45,$AF$45,E1505=$AB$46,$AF$46,E1505=$AB$47,$AF$47,E1505=$AB$48,$AF$48,E1505=$AB$49,$AF$49,E1505=$AB$50,$AF$50,E1505=$AB$51,$AF$51,E1505=$AB$52,$AF$52,E1505=$AB$53,$AF$53,E1505=$AB$54,$AF$54,E1505=$AB$55,$AF$55,E1505=$AB$56,$AF$56,E1505=$AB$57,$AF$57,E1505=$AB$58,$AF$58,E1505=$AB$59,$AF$59,E1505=$AB$60,$AF$60,E1505=$AB$61,$AF$61,E1505=$AB$62,$AF$62,E1505=$AB$63,$AF$63,E1505=$AB$64,$AF$64,E1505=$AB$65,$AF$65,E1505=$AB$66,$AF$66,TRUE,"0")</f>
        <v>40 mins Back ANother Goal</v>
      </c>
      <c r="D1505" s="270" t="str" cm="1">
        <f t="array" ref="D1505">_xlfn.IFS(E1505=$AB$42,$AD$42,E1505=$AB$43,$AD$43,E1505=$AB$44,$AD$44,E1505=$AB$45,$AD$45,E1505=$AB$46,$AD$46,E1505=$AB$47,$AD$47,E1505=$AB$48,$AD$48,E1505=$AB$49,$AD$49,E1505=$AB$50,$AD$50,E1505=$AB$51,$AD$51,E1505=$AB$52,$AD$52,E1505=$AB$53,$AD$53,E1505=$AB$54,$AD$54,E1505=$AB$55,$AD$55,E1505=$AB$56,$AD$56,E1505=$AB$57,$AD$57,E1505=$AB$58,$AD$58,E1505=$AB$59,$AD$59,E1505=$AB$60,$AD$60,E1505=$AB$61,$AD$61,E1505=$AB$62,$AD$62,E1505=$AB$63,$AD$63,E1505=$AB$64,$AD$64,E1505=$AB$65,$AD$65,E1505=$AB$66,$AD$66,TRUE,"0")</f>
        <v xml:space="preserve">  BANG</v>
      </c>
      <c r="E1505" s="2" t="s">
        <v>726</v>
      </c>
      <c r="F1505" s="2" t="s">
        <v>58</v>
      </c>
      <c r="G1505" s="2" t="s">
        <v>59</v>
      </c>
      <c r="H1505" s="3">
        <v>45424.75</v>
      </c>
      <c r="I1505" s="2" t="s">
        <v>60</v>
      </c>
      <c r="J1505" s="2" t="s">
        <v>76</v>
      </c>
      <c r="K1505" s="2">
        <v>90</v>
      </c>
      <c r="L1505" s="2">
        <v>20</v>
      </c>
      <c r="M1505" s="2">
        <v>1.9</v>
      </c>
      <c r="N1505" s="2">
        <v>60</v>
      </c>
      <c r="O1505" s="2"/>
      <c r="P1505" s="2"/>
      <c r="Q1505" s="2" t="s">
        <v>95</v>
      </c>
      <c r="R1505" s="10" t="s">
        <v>207</v>
      </c>
      <c r="S1505" s="10" t="s">
        <v>195</v>
      </c>
      <c r="T1505" s="188">
        <v>1000</v>
      </c>
      <c r="U1505" s="8">
        <f t="shared" si="165"/>
        <v>180</v>
      </c>
      <c r="V1505" s="234">
        <f t="shared" si="166"/>
        <v>157084.15524616028</v>
      </c>
      <c r="W1505" s="15">
        <v>25</v>
      </c>
      <c r="X1505" s="8">
        <f t="shared" ref="X1505:X1568" si="167">IF(Q1505="won",W1505*0.18,-W1505)</f>
        <v>4.5</v>
      </c>
      <c r="Y1505" s="233">
        <f t="shared" si="163"/>
        <v>5793</v>
      </c>
    </row>
    <row r="1506" spans="1:25">
      <c r="A1506" s="156" t="e" cm="1">
        <f t="array" aca="1" ref="A1506" ca="1">_xlfn.IFS(E1506=$AB$42,$AC$42,E1506=$AB$43,$AC$43,E1506=$AB$44,$AC$44,E1506=$AB$45,$AC$45,E1506=$AB$46,$AC$46,E1506=$AB$47,$AC$47,E1506=$AB$48,$AC$48,E1506=$AB$49,$AC$49,E1506=$AB$50,$AC$50,E1506=$AB$51,$AC$51,E1506=$AB$52,$AC$52,E1506=$AB$53,$AC$53,E1506=$AB$54,$AC$54,E1506=$AB$55,$AC$55,E1506=$AB$56,$AC$56,E1506=$AB$57,$AC$57,E1506=$AB$58,$AC$58,E1506=$AB$59,$AC$59,E1506=$AB$60,$AC$60,E1506=$AB$61,$AC$61,E1506=$AB$62,$AC$62,E1506=$AB$63,$AC$63,E1506=$AB$64,$AC$64,E1506=$AB$65,$AC$65,E1506=$AB$66,$AC$66,TRUE,"0")</f>
        <v>#NAME?</v>
      </c>
      <c r="C1506" s="161" t="str" cm="1">
        <f t="array" ref="C1506">_xlfn.IFS(E1506=$AB$42,$AF$42,E1506=$AB$43,$AF$43,E1506=$AB$44,$AF$44,E1506=$AB$45,$AF$45,E1506=$AB$46,$AF$46,E1506=$AB$47,$AF$47,E1506=$AB$48,$AF$48,E1506=$AB$49,$AF$49,E1506=$AB$50,$AF$50,E1506=$AB$51,$AF$51,E1506=$AB$52,$AF$52,E1506=$AB$53,$AF$53,E1506=$AB$54,$AF$54,E1506=$AB$55,$AF$55,E1506=$AB$56,$AF$56,E1506=$AB$57,$AF$57,E1506=$AB$58,$AF$58,E1506=$AB$59,$AF$59,E1506=$AB$60,$AF$60,E1506=$AB$61,$AF$61,E1506=$AB$62,$AF$62,E1506=$AB$63,$AF$63,E1506=$AB$64,$AF$64,E1506=$AB$65,$AF$65,E1506=$AB$66,$AF$66,TRUE,"0")</f>
        <v>40 mins Back ANother Goal</v>
      </c>
      <c r="D1506" s="270" t="str" cm="1">
        <f t="array" ref="D1506">_xlfn.IFS(E1506=$AB$42,$AD$42,E1506=$AB$43,$AD$43,E1506=$AB$44,$AD$44,E1506=$AB$45,$AD$45,E1506=$AB$46,$AD$46,E1506=$AB$47,$AD$47,E1506=$AB$48,$AD$48,E1506=$AB$49,$AD$49,E1506=$AB$50,$AD$50,E1506=$AB$51,$AD$51,E1506=$AB$52,$AD$52,E1506=$AB$53,$AD$53,E1506=$AB$54,$AD$54,E1506=$AB$55,$AD$55,E1506=$AB$56,$AD$56,E1506=$AB$57,$AD$57,E1506=$AB$58,$AD$58,E1506=$AB$59,$AD$59,E1506=$AB$60,$AD$60,E1506=$AB$61,$AD$61,E1506=$AB$62,$AD$62,E1506=$AB$63,$AD$63,E1506=$AB$64,$AD$64,E1506=$AB$65,$AD$65,E1506=$AB$66,$AD$66,TRUE,"0")</f>
        <v xml:space="preserve">  BANG</v>
      </c>
      <c r="E1506" s="2" t="s">
        <v>792</v>
      </c>
      <c r="F1506" s="2" t="s">
        <v>133</v>
      </c>
      <c r="G1506" s="2" t="s">
        <v>78</v>
      </c>
      <c r="H1506" s="3">
        <v>45424.75</v>
      </c>
      <c r="I1506" s="2" t="s">
        <v>137</v>
      </c>
      <c r="J1506" s="2" t="s">
        <v>488</v>
      </c>
      <c r="K1506" s="2">
        <v>1.8</v>
      </c>
      <c r="L1506" s="2">
        <v>85</v>
      </c>
      <c r="M1506" s="2">
        <v>65</v>
      </c>
      <c r="N1506" s="2">
        <v>66</v>
      </c>
      <c r="O1506" s="2">
        <v>20</v>
      </c>
      <c r="P1506" s="2"/>
      <c r="Q1506" s="2" t="s">
        <v>95</v>
      </c>
      <c r="R1506" s="10" t="s">
        <v>214</v>
      </c>
      <c r="S1506" s="10" t="s">
        <v>220</v>
      </c>
      <c r="T1506" s="188">
        <v>1000</v>
      </c>
      <c r="U1506" s="8">
        <f t="shared" si="165"/>
        <v>180</v>
      </c>
      <c r="V1506" s="234">
        <f t="shared" si="166"/>
        <v>157264.15524616028</v>
      </c>
      <c r="W1506" s="15">
        <v>25</v>
      </c>
      <c r="X1506" s="8">
        <f t="shared" si="167"/>
        <v>4.5</v>
      </c>
      <c r="Y1506" s="233">
        <f t="shared" si="163"/>
        <v>5797.5</v>
      </c>
    </row>
    <row r="1507" spans="1:25">
      <c r="A1507" s="156" t="e" cm="1">
        <f t="array" aca="1" ref="A1507" ca="1">_xlfn.IFS(E1507=$AB$42,$AC$42,E1507=$AB$43,$AC$43,E1507=$AB$44,$AC$44,E1507=$AB$45,$AC$45,E1507=$AB$46,$AC$46,E1507=$AB$47,$AC$47,E1507=$AB$48,$AC$48,E1507=$AB$49,$AC$49,E1507=$AB$50,$AC$50,E1507=$AB$51,$AC$51,E1507=$AB$52,$AC$52,E1507=$AB$53,$AC$53,E1507=$AB$54,$AC$54,E1507=$AB$55,$AC$55,E1507=$AB$56,$AC$56,E1507=$AB$57,$AC$57,E1507=$AB$58,$AC$58,E1507=$AB$59,$AC$59,E1507=$AB$60,$AC$60,E1507=$AB$61,$AC$61,E1507=$AB$62,$AC$62,E1507=$AB$63,$AC$63,E1507=$AB$64,$AC$64,E1507=$AB$65,$AC$65,E1507=$AB$66,$AC$66,TRUE,"0")</f>
        <v>#NAME?</v>
      </c>
      <c r="C1507" s="161" t="str" cm="1">
        <f t="array" ref="C1507">_xlfn.IFS(E1507=$AB$42,$AF$42,E1507=$AB$43,$AF$43,E1507=$AB$44,$AF$44,E1507=$AB$45,$AF$45,E1507=$AB$46,$AF$46,E1507=$AB$47,$AF$47,E1507=$AB$48,$AF$48,E1507=$AB$49,$AF$49,E1507=$AB$50,$AF$50,E1507=$AB$51,$AF$51,E1507=$AB$52,$AF$52,E1507=$AB$53,$AF$53,E1507=$AB$54,$AF$54,E1507=$AB$55,$AF$55,E1507=$AB$56,$AF$56,E1507=$AB$57,$AF$57,E1507=$AB$58,$AF$58,E1507=$AB$59,$AF$59,E1507=$AB$60,$AF$60,E1507=$AB$61,$AF$61,E1507=$AB$62,$AF$62,E1507=$AB$63,$AF$63,E1507=$AB$64,$AF$64,E1507=$AB$65,$AF$65,E1507=$AB$66,$AF$66,TRUE,"0")</f>
        <v>40 mins Back ANother Goal</v>
      </c>
      <c r="D1507" s="270" t="str" cm="1">
        <f t="array" ref="D1507">_xlfn.IFS(E1507=$AB$42,$AD$42,E1507=$AB$43,$AD$43,E1507=$AB$44,$AD$44,E1507=$AB$45,$AD$45,E1507=$AB$46,$AD$46,E1507=$AB$47,$AD$47,E1507=$AB$48,$AD$48,E1507=$AB$49,$AD$49,E1507=$AB$50,$AD$50,E1507=$AB$51,$AD$51,E1507=$AB$52,$AD$52,E1507=$AB$53,$AD$53,E1507=$AB$54,$AD$54,E1507=$AB$55,$AD$55,E1507=$AB$56,$AD$56,E1507=$AB$57,$AD$57,E1507=$AB$58,$AD$58,E1507=$AB$59,$AD$59,E1507=$AB$60,$AD$60,E1507=$AB$61,$AD$61,E1507=$AB$62,$AD$62,E1507=$AB$63,$AD$63,E1507=$AB$64,$AD$64,E1507=$AB$65,$AD$65,E1507=$AB$66,$AD$66,TRUE,"0")</f>
        <v xml:space="preserve">  BANG</v>
      </c>
      <c r="E1507" s="2" t="s">
        <v>792</v>
      </c>
      <c r="F1507" s="2" t="s">
        <v>77</v>
      </c>
      <c r="G1507" s="2" t="s">
        <v>156</v>
      </c>
      <c r="H1507" s="3">
        <v>45424.770833333336</v>
      </c>
      <c r="I1507" s="2" t="s">
        <v>239</v>
      </c>
      <c r="J1507" s="2" t="s">
        <v>325</v>
      </c>
      <c r="K1507" s="2">
        <v>1.9</v>
      </c>
      <c r="L1507" s="2">
        <v>95</v>
      </c>
      <c r="M1507" s="2">
        <v>65</v>
      </c>
      <c r="N1507" s="2">
        <v>65</v>
      </c>
      <c r="O1507" s="2">
        <v>20</v>
      </c>
      <c r="P1507" s="2"/>
      <c r="Q1507" s="2" t="s">
        <v>95</v>
      </c>
      <c r="R1507" s="10" t="s">
        <v>217</v>
      </c>
      <c r="S1507" s="10" t="s">
        <v>734</v>
      </c>
      <c r="T1507" s="188">
        <v>1000</v>
      </c>
      <c r="U1507" s="8">
        <f t="shared" si="165"/>
        <v>180</v>
      </c>
      <c r="V1507" s="234">
        <f t="shared" si="166"/>
        <v>157444.15524616028</v>
      </c>
      <c r="W1507" s="15">
        <v>25</v>
      </c>
      <c r="X1507" s="8">
        <f t="shared" si="167"/>
        <v>4.5</v>
      </c>
      <c r="Y1507" s="233">
        <f t="shared" si="163"/>
        <v>5802</v>
      </c>
    </row>
    <row r="1508" spans="1:25">
      <c r="A1508" s="156" t="e" cm="1">
        <f t="array" aca="1" ref="A1508" ca="1">_xlfn.IFS(E1508=$AB$42,$AC$42,E1508=$AB$43,$AC$43,E1508=$AB$44,$AC$44,E1508=$AB$45,$AC$45,E1508=$AB$46,$AC$46,E1508=$AB$47,$AC$47,E1508=$AB$48,$AC$48,E1508=$AB$49,$AC$49,E1508=$AB$50,$AC$50,E1508=$AB$51,$AC$51,E1508=$AB$52,$AC$52,E1508=$AB$53,$AC$53,E1508=$AB$54,$AC$54,E1508=$AB$55,$AC$55,E1508=$AB$56,$AC$56,E1508=$AB$57,$AC$57,E1508=$AB$58,$AC$58,E1508=$AB$59,$AC$59,E1508=$AB$60,$AC$60,E1508=$AB$61,$AC$61,E1508=$AB$62,$AC$62,E1508=$AB$63,$AC$63,E1508=$AB$64,$AC$64,E1508=$AB$65,$AC$65,E1508=$AB$66,$AC$66,TRUE,"0")</f>
        <v>#NAME?</v>
      </c>
      <c r="C1508" s="161" t="str" cm="1">
        <f t="array" ref="C1508">_xlfn.IFS(E1508=$AB$42,$AF$42,E1508=$AB$43,$AF$43,E1508=$AB$44,$AF$44,E1508=$AB$45,$AF$45,E1508=$AB$46,$AF$46,E1508=$AB$47,$AF$47,E1508=$AB$48,$AF$48,E1508=$AB$49,$AF$49,E1508=$AB$50,$AF$50,E1508=$AB$51,$AF$51,E1508=$AB$52,$AF$52,E1508=$AB$53,$AF$53,E1508=$AB$54,$AF$54,E1508=$AB$55,$AF$55,E1508=$AB$56,$AF$56,E1508=$AB$57,$AF$57,E1508=$AB$58,$AF$58,E1508=$AB$59,$AF$59,E1508=$AB$60,$AF$60,E1508=$AB$61,$AF$61,E1508=$AB$62,$AF$62,E1508=$AB$63,$AF$63,E1508=$AB$64,$AF$64,E1508=$AB$65,$AF$65,E1508=$AB$66,$AF$66,TRUE,"0")</f>
        <v>if 0-0, BACK+ 0.5 GOALS  @ 1.15+odds.  or @ 40 mins</v>
      </c>
      <c r="D1508" s="270" t="str" cm="1">
        <f t="array" ref="D1508">_xlfn.IFS(E1508=$AB$42,$AD$42,E1508=$AB$43,$AD$43,E1508=$AB$44,$AD$44,E1508=$AB$45,$AD$45,E1508=$AB$46,$AD$46,E1508=$AB$47,$AD$47,E1508=$AB$48,$AD$48,E1508=$AB$49,$AD$49,E1508=$AB$50,$AD$50,E1508=$AB$51,$AD$51,E1508=$AB$52,$AD$52,E1508=$AB$53,$AD$53,E1508=$AB$54,$AD$54,E1508=$AB$55,$AD$55,E1508=$AB$56,$AD$56,E1508=$AB$57,$AD$57,E1508=$AB$58,$AD$58,E1508=$AB$59,$AD$59,E1508=$AB$60,$AD$60,E1508=$AB$61,$AD$61,E1508=$AB$62,$AD$62,E1508=$AB$63,$AD$63,E1508=$AB$64,$AD$64,E1508=$AB$65,$AD$65,E1508=$AB$66,$AD$66,TRUE,"0")</f>
        <v>IP</v>
      </c>
      <c r="E1508" s="2" t="s">
        <v>270</v>
      </c>
      <c r="F1508" s="2" t="s">
        <v>77</v>
      </c>
      <c r="G1508" s="2" t="s">
        <v>156</v>
      </c>
      <c r="H1508" s="3">
        <v>45424.770833333336</v>
      </c>
      <c r="I1508" s="2" t="s">
        <v>239</v>
      </c>
      <c r="J1508" s="2" t="s">
        <v>325</v>
      </c>
      <c r="K1508" s="2">
        <v>62</v>
      </c>
      <c r="L1508" s="2">
        <v>0</v>
      </c>
      <c r="M1508" s="2">
        <v>20</v>
      </c>
      <c r="N1508" s="2">
        <v>39</v>
      </c>
      <c r="O1508" s="2">
        <v>3.44</v>
      </c>
      <c r="P1508" s="2"/>
      <c r="Q1508" s="2" t="s">
        <v>95</v>
      </c>
      <c r="R1508" s="10" t="s">
        <v>217</v>
      </c>
      <c r="S1508" s="10" t="s">
        <v>734</v>
      </c>
      <c r="T1508" s="188">
        <v>1000</v>
      </c>
      <c r="U1508" s="8">
        <f t="shared" si="165"/>
        <v>180</v>
      </c>
      <c r="V1508" s="234">
        <f t="shared" si="166"/>
        <v>157624.15524616028</v>
      </c>
      <c r="W1508" s="15">
        <v>25</v>
      </c>
      <c r="X1508" s="8">
        <f t="shared" si="167"/>
        <v>4.5</v>
      </c>
      <c r="Y1508" s="233">
        <f t="shared" si="163"/>
        <v>5806.5</v>
      </c>
    </row>
    <row r="1509" spans="1:25">
      <c r="A1509" s="156" t="e" cm="1">
        <f t="array" aca="1" ref="A1509" ca="1">_xlfn.IFS(E1509=$AB$42,$AC$42,E1509=$AB$43,$AC$43,E1509=$AB$44,$AC$44,E1509=$AB$45,$AC$45,E1509=$AB$46,$AC$46,E1509=$AB$47,$AC$47,E1509=$AB$48,$AC$48,E1509=$AB$49,$AC$49,E1509=$AB$50,$AC$50,E1509=$AB$51,$AC$51,E1509=$AB$52,$AC$52,E1509=$AB$53,$AC$53,E1509=$AB$54,$AC$54,E1509=$AB$55,$AC$55,E1509=$AB$56,$AC$56,E1509=$AB$57,$AC$57,E1509=$AB$58,$AC$58,E1509=$AB$59,$AC$59,E1509=$AB$60,$AC$60,E1509=$AB$61,$AC$61,E1509=$AB$62,$AC$62,E1509=$AB$63,$AC$63,E1509=$AB$64,$AC$64,E1509=$AB$65,$AC$65,E1509=$AB$66,$AC$66,TRUE,"0")</f>
        <v>#NAME?</v>
      </c>
      <c r="C1509" s="161" t="str" cm="1">
        <f t="array" ref="C1509">_xlfn.IFS(E1509=$AB$42,$AF$42,E1509=$AB$43,$AF$43,E1509=$AB$44,$AF$44,E1509=$AB$45,$AF$45,E1509=$AB$46,$AF$46,E1509=$AB$47,$AF$47,E1509=$AB$48,$AF$48,E1509=$AB$49,$AF$49,E1509=$AB$50,$AF$50,E1509=$AB$51,$AF$51,E1509=$AB$52,$AF$52,E1509=$AB$53,$AF$53,E1509=$AB$54,$AF$54,E1509=$AB$55,$AF$55,E1509=$AB$56,$AF$56,E1509=$AB$57,$AF$57,E1509=$AB$58,$AF$58,E1509=$AB$59,$AF$59,E1509=$AB$60,$AF$60,E1509=$AB$61,$AF$61,E1509=$AB$62,$AF$62,E1509=$AB$63,$AF$63,E1509=$AB$64,$AF$64,E1509=$AB$65,$AF$65,E1509=$AB$66,$AF$66,TRUE,"0")</f>
        <v>40 mins Back ANother Goal</v>
      </c>
      <c r="D1509" s="270" t="str" cm="1">
        <f t="array" ref="D1509">_xlfn.IFS(E1509=$AB$42,$AD$42,E1509=$AB$43,$AD$43,E1509=$AB$44,$AD$44,E1509=$AB$45,$AD$45,E1509=$AB$46,$AD$46,E1509=$AB$47,$AD$47,E1509=$AB$48,$AD$48,E1509=$AB$49,$AD$49,E1509=$AB$50,$AD$50,E1509=$AB$51,$AD$51,E1509=$AB$52,$AD$52,E1509=$AB$53,$AD$53,E1509=$AB$54,$AD$54,E1509=$AB$55,$AD$55,E1509=$AB$56,$AD$56,E1509=$AB$57,$AD$57,E1509=$AB$58,$AD$58,E1509=$AB$59,$AD$59,E1509=$AB$60,$AD$60,E1509=$AB$61,$AD$61,E1509=$AB$62,$AD$62,E1509=$AB$63,$AD$63,E1509=$AB$64,$AD$64,E1509=$AB$65,$AD$65,E1509=$AB$66,$AD$66,TRUE,"0")</f>
        <v xml:space="preserve">  BANG</v>
      </c>
      <c r="E1509" s="2" t="s">
        <v>792</v>
      </c>
      <c r="F1509" s="2" t="s">
        <v>20</v>
      </c>
      <c r="G1509" s="2" t="s">
        <v>21</v>
      </c>
      <c r="H1509" s="3">
        <v>45424.822916666664</v>
      </c>
      <c r="I1509" s="2" t="s">
        <v>97</v>
      </c>
      <c r="J1509" s="2" t="s">
        <v>380</v>
      </c>
      <c r="K1509" s="2">
        <v>2.0499999999999998</v>
      </c>
      <c r="L1509" s="2">
        <v>90</v>
      </c>
      <c r="M1509" s="2">
        <v>70</v>
      </c>
      <c r="N1509" s="2">
        <v>60</v>
      </c>
      <c r="O1509" s="2">
        <v>20</v>
      </c>
      <c r="P1509" s="2"/>
      <c r="Q1509" s="2" t="s">
        <v>95</v>
      </c>
      <c r="R1509" s="10" t="s">
        <v>220</v>
      </c>
      <c r="S1509" s="10" t="s">
        <v>222</v>
      </c>
      <c r="T1509" s="188">
        <v>1000</v>
      </c>
      <c r="U1509" s="8">
        <f t="shared" si="165"/>
        <v>180</v>
      </c>
      <c r="V1509" s="234">
        <f t="shared" si="166"/>
        <v>157804.15524616028</v>
      </c>
      <c r="W1509" s="15">
        <v>25</v>
      </c>
      <c r="X1509" s="8">
        <f t="shared" si="167"/>
        <v>4.5</v>
      </c>
      <c r="Y1509" s="233">
        <f t="shared" ref="Y1509:Y1572" si="168">SUM(Y1508,X1509)</f>
        <v>5811</v>
      </c>
    </row>
    <row r="1510" spans="1:25">
      <c r="A1510" s="156" t="e" cm="1">
        <f t="array" aca="1" ref="A1510" ca="1">_xlfn.IFS(E1510=$AB$42,$AC$42,E1510=$AB$43,$AC$43,E1510=$AB$44,$AC$44,E1510=$AB$45,$AC$45,E1510=$AB$46,$AC$46,E1510=$AB$47,$AC$47,E1510=$AB$48,$AC$48,E1510=$AB$49,$AC$49,E1510=$AB$50,$AC$50,E1510=$AB$51,$AC$51,E1510=$AB$52,$AC$52,E1510=$AB$53,$AC$53,E1510=$AB$54,$AC$54,E1510=$AB$55,$AC$55,E1510=$AB$56,$AC$56,E1510=$AB$57,$AC$57,E1510=$AB$58,$AC$58,E1510=$AB$59,$AC$59,E1510=$AB$60,$AC$60,E1510=$AB$61,$AC$61,E1510=$AB$62,$AC$62,E1510=$AB$63,$AC$63,E1510=$AB$64,$AC$64,E1510=$AB$65,$AC$65,E1510=$AB$66,$AC$66,TRUE,"0")</f>
        <v>#NAME?</v>
      </c>
      <c r="C1510" s="161" t="str" cm="1">
        <f t="array" ref="C1510">_xlfn.IFS(E1510=$AB$42,$AF$42,E1510=$AB$43,$AF$43,E1510=$AB$44,$AF$44,E1510=$AB$45,$AF$45,E1510=$AB$46,$AF$46,E1510=$AB$47,$AF$47,E1510=$AB$48,$AF$48,E1510=$AB$49,$AF$49,E1510=$AB$50,$AF$50,E1510=$AB$51,$AF$51,E1510=$AB$52,$AF$52,E1510=$AB$53,$AF$53,E1510=$AB$54,$AF$54,E1510=$AB$55,$AF$55,E1510=$AB$56,$AF$56,E1510=$AB$57,$AF$57,E1510=$AB$58,$AF$58,E1510=$AB$59,$AF$59,E1510=$AB$60,$AF$60,E1510=$AB$61,$AF$61,E1510=$AB$62,$AF$62,E1510=$AB$63,$AF$63,E1510=$AB$64,$AF$64,E1510=$AB$65,$AF$65,E1510=$AB$66,$AF$66,TRUE,"0")</f>
        <v>40 mins Back ANother Goal</v>
      </c>
      <c r="D1510" s="270" t="str" cm="1">
        <f t="array" ref="D1510">_xlfn.IFS(E1510=$AB$42,$AD$42,E1510=$AB$43,$AD$43,E1510=$AB$44,$AD$44,E1510=$AB$45,$AD$45,E1510=$AB$46,$AD$46,E1510=$AB$47,$AD$47,E1510=$AB$48,$AD$48,E1510=$AB$49,$AD$49,E1510=$AB$50,$AD$50,E1510=$AB$51,$AD$51,E1510=$AB$52,$AD$52,E1510=$AB$53,$AD$53,E1510=$AB$54,$AD$54,E1510=$AB$55,$AD$55,E1510=$AB$56,$AD$56,E1510=$AB$57,$AD$57,E1510=$AB$58,$AD$58,E1510=$AB$59,$AD$59,E1510=$AB$60,$AD$60,E1510=$AB$61,$AD$61,E1510=$AB$62,$AD$62,E1510=$AB$63,$AD$63,E1510=$AB$64,$AD$64,E1510=$AB$65,$AD$65,E1510=$AB$66,$AD$66,TRUE,"0")</f>
        <v xml:space="preserve">  BANG</v>
      </c>
      <c r="E1510" s="2" t="s">
        <v>726</v>
      </c>
      <c r="F1510" s="2" t="s">
        <v>20</v>
      </c>
      <c r="G1510" s="2" t="s">
        <v>21</v>
      </c>
      <c r="H1510" s="3">
        <v>45424.822916666664</v>
      </c>
      <c r="I1510" s="2" t="s">
        <v>97</v>
      </c>
      <c r="J1510" s="2" t="s">
        <v>380</v>
      </c>
      <c r="K1510" s="2">
        <v>90</v>
      </c>
      <c r="L1510" s="2">
        <v>20</v>
      </c>
      <c r="M1510" s="2">
        <v>2.0499999999999998</v>
      </c>
      <c r="N1510" s="2">
        <v>60</v>
      </c>
      <c r="O1510" s="2"/>
      <c r="P1510" s="2"/>
      <c r="Q1510" s="2" t="s">
        <v>95</v>
      </c>
      <c r="R1510" s="10" t="s">
        <v>220</v>
      </c>
      <c r="S1510" s="10" t="s">
        <v>222</v>
      </c>
      <c r="T1510" s="188">
        <v>1000</v>
      </c>
      <c r="U1510" s="8">
        <f t="shared" si="165"/>
        <v>180</v>
      </c>
      <c r="V1510" s="234">
        <f t="shared" si="166"/>
        <v>157984.15524616028</v>
      </c>
      <c r="W1510" s="15">
        <v>25</v>
      </c>
      <c r="X1510" s="8">
        <f t="shared" si="167"/>
        <v>4.5</v>
      </c>
      <c r="Y1510" s="233">
        <f t="shared" si="168"/>
        <v>5815.5</v>
      </c>
    </row>
    <row r="1511" spans="1:25">
      <c r="A1511" s="156" t="e" cm="1">
        <f t="array" aca="1" ref="A1511" ca="1">_xlfn.IFS(E1511=$AB$42,$AC$42,E1511=$AB$43,$AC$43,E1511=$AB$44,$AC$44,E1511=$AB$45,$AC$45,E1511=$AB$46,$AC$46,E1511=$AB$47,$AC$47,E1511=$AB$48,$AC$48,E1511=$AB$49,$AC$49,E1511=$AB$50,$AC$50,E1511=$AB$51,$AC$51,E1511=$AB$52,$AC$52,E1511=$AB$53,$AC$53,E1511=$AB$54,$AC$54,E1511=$AB$55,$AC$55,E1511=$AB$56,$AC$56,E1511=$AB$57,$AC$57,E1511=$AB$58,$AC$58,E1511=$AB$59,$AC$59,E1511=$AB$60,$AC$60,E1511=$AB$61,$AC$61,E1511=$AB$62,$AC$62,E1511=$AB$63,$AC$63,E1511=$AB$64,$AC$64,E1511=$AB$65,$AC$65,E1511=$AB$66,$AC$66,TRUE,"0")</f>
        <v>#NAME?</v>
      </c>
      <c r="C1511" s="161" t="str" cm="1">
        <f t="array" ref="C1511">_xlfn.IFS(E1511=$AB$42,$AF$42,E1511=$AB$43,$AF$43,E1511=$AB$44,$AF$44,E1511=$AB$45,$AF$45,E1511=$AB$46,$AF$46,E1511=$AB$47,$AF$47,E1511=$AB$48,$AF$48,E1511=$AB$49,$AF$49,E1511=$AB$50,$AF$50,E1511=$AB$51,$AF$51,E1511=$AB$52,$AF$52,E1511=$AB$53,$AF$53,E1511=$AB$54,$AF$54,E1511=$AB$55,$AF$55,E1511=$AB$56,$AF$56,E1511=$AB$57,$AF$57,E1511=$AB$58,$AF$58,E1511=$AB$59,$AF$59,E1511=$AB$60,$AF$60,E1511=$AB$61,$AF$61,E1511=$AB$62,$AF$62,E1511=$AB$63,$AF$63,E1511=$AB$64,$AF$64,E1511=$AB$65,$AF$65,E1511=$AB$66,$AF$66,TRUE,"0")</f>
        <v>B4 match BACK FT +1.5 goals. X AFTER  GOAL</v>
      </c>
      <c r="D1511" s="270" t="str" cm="1">
        <f t="array" ref="D1511">_xlfn.IFS(E1511=$AB$42,$AD$42,E1511=$AB$43,$AD$43,E1511=$AB$44,$AD$44,E1511=$AB$45,$AD$45,E1511=$AB$46,$AD$46,E1511=$AB$47,$AD$47,E1511=$AB$48,$AD$48,E1511=$AB$49,$AD$49,E1511=$AB$50,$AD$50,E1511=$AB$51,$AD$51,E1511=$AB$52,$AD$52,E1511=$AB$53,$AD$53,E1511=$AB$54,$AD$54,E1511=$AB$55,$AD$55,E1511=$AB$56,$AD$56,E1511=$AB$57,$AD$57,E1511=$AB$58,$AD$58,E1511=$AB$59,$AD$59,E1511=$AB$60,$AD$60,E1511=$AB$61,$AD$61,E1511=$AB$62,$AD$62,E1511=$AB$63,$AD$63,E1511=$AB$64,$AD$64,E1511=$AB$65,$AD$65,E1511=$AB$66,$AD$66,TRUE,"0")</f>
        <v xml:space="preserve">BFM </v>
      </c>
      <c r="E1511" s="2" t="s">
        <v>623</v>
      </c>
      <c r="F1511" s="2" t="s">
        <v>119</v>
      </c>
      <c r="G1511" s="2" t="s">
        <v>120</v>
      </c>
      <c r="H1511" s="3">
        <v>45424.833333333336</v>
      </c>
      <c r="I1511" s="2" t="s">
        <v>834</v>
      </c>
      <c r="J1511" s="2" t="s">
        <v>480</v>
      </c>
      <c r="K1511" s="2">
        <v>4.5999999999999996</v>
      </c>
      <c r="L1511" s="2">
        <v>20</v>
      </c>
      <c r="M1511" s="2">
        <v>2.65</v>
      </c>
      <c r="N1511" s="2">
        <v>30</v>
      </c>
      <c r="O1511" s="2">
        <v>1</v>
      </c>
      <c r="P1511" s="2">
        <v>10</v>
      </c>
      <c r="Q1511" s="2" t="s">
        <v>95</v>
      </c>
      <c r="R1511" s="10" t="s">
        <v>222</v>
      </c>
      <c r="S1511" s="10" t="s">
        <v>209</v>
      </c>
      <c r="T1511" s="188">
        <v>1000</v>
      </c>
      <c r="U1511" s="8">
        <f t="shared" si="165"/>
        <v>180</v>
      </c>
      <c r="V1511" s="234">
        <f t="shared" si="166"/>
        <v>158164.15524616028</v>
      </c>
      <c r="W1511" s="15">
        <v>25</v>
      </c>
      <c r="X1511" s="8">
        <f t="shared" si="167"/>
        <v>4.5</v>
      </c>
      <c r="Y1511" s="233">
        <f t="shared" si="168"/>
        <v>5820</v>
      </c>
    </row>
    <row r="1512" spans="1:25">
      <c r="A1512" s="156" t="e" cm="1">
        <f t="array" aca="1" ref="A1512" ca="1">_xlfn.IFS(E1512=$AB$42,$AC$42,E1512=$AB$43,$AC$43,E1512=$AB$44,$AC$44,E1512=$AB$45,$AC$45,E1512=$AB$46,$AC$46,E1512=$AB$47,$AC$47,E1512=$AB$48,$AC$48,E1512=$AB$49,$AC$49,E1512=$AB$50,$AC$50,E1512=$AB$51,$AC$51,E1512=$AB$52,$AC$52,E1512=$AB$53,$AC$53,E1512=$AB$54,$AC$54,E1512=$AB$55,$AC$55,E1512=$AB$56,$AC$56,E1512=$AB$57,$AC$57,E1512=$AB$58,$AC$58,E1512=$AB$59,$AC$59,E1512=$AB$60,$AC$60,E1512=$AB$61,$AC$61,E1512=$AB$62,$AC$62,E1512=$AB$63,$AC$63,E1512=$AB$64,$AC$64,E1512=$AB$65,$AC$65,E1512=$AB$66,$AC$66,TRUE,"0")</f>
        <v>#NAME?</v>
      </c>
      <c r="C1512" s="161" t="str" cm="1">
        <f t="array" ref="C1512">_xlfn.IFS(E1512=$AB$42,$AF$42,E1512=$AB$43,$AF$43,E1512=$AB$44,$AF$44,E1512=$AB$45,$AF$45,E1512=$AB$46,$AF$46,E1512=$AB$47,$AF$47,E1512=$AB$48,$AF$48,E1512=$AB$49,$AF$49,E1512=$AB$50,$AF$50,E1512=$AB$51,$AF$51,E1512=$AB$52,$AF$52,E1512=$AB$53,$AF$53,E1512=$AB$54,$AF$54,E1512=$AB$55,$AF$55,E1512=$AB$56,$AF$56,E1512=$AB$57,$AF$57,E1512=$AB$58,$AF$58,E1512=$AB$59,$AF$59,E1512=$AB$60,$AF$60,E1512=$AB$61,$AF$61,E1512=$AB$62,$AF$62,E1512=$AB$63,$AF$63,E1512=$AB$64,$AF$64,E1512=$AB$65,$AF$65,E1512=$AB$66,$AF$66,TRUE,"0")</f>
        <v>40 mins Back ANother Goal</v>
      </c>
      <c r="D1512" s="270" t="str" cm="1">
        <f t="array" ref="D1512">_xlfn.IFS(E1512=$AB$42,$AD$42,E1512=$AB$43,$AD$43,E1512=$AB$44,$AD$44,E1512=$AB$45,$AD$45,E1512=$AB$46,$AD$46,E1512=$AB$47,$AD$47,E1512=$AB$48,$AD$48,E1512=$AB$49,$AD$49,E1512=$AB$50,$AD$50,E1512=$AB$51,$AD$51,E1512=$AB$52,$AD$52,E1512=$AB$53,$AD$53,E1512=$AB$54,$AD$54,E1512=$AB$55,$AD$55,E1512=$AB$56,$AD$56,E1512=$AB$57,$AD$57,E1512=$AB$58,$AD$58,E1512=$AB$59,$AD$59,E1512=$AB$60,$AD$60,E1512=$AB$61,$AD$61,E1512=$AB$62,$AD$62,E1512=$AB$63,$AD$63,E1512=$AB$64,$AD$64,E1512=$AB$65,$AD$65,E1512=$AB$66,$AD$66,TRUE,"0")</f>
        <v xml:space="preserve">  BANG</v>
      </c>
      <c r="E1512" s="2" t="s">
        <v>726</v>
      </c>
      <c r="F1512" s="2" t="s">
        <v>145</v>
      </c>
      <c r="G1512" s="2" t="s">
        <v>190</v>
      </c>
      <c r="H1512" s="3">
        <v>45424.833333333336</v>
      </c>
      <c r="I1512" s="2" t="s">
        <v>611</v>
      </c>
      <c r="J1512" s="2" t="s">
        <v>571</v>
      </c>
      <c r="K1512" s="2">
        <v>85</v>
      </c>
      <c r="L1512" s="2">
        <v>20</v>
      </c>
      <c r="M1512" s="2">
        <v>2.0499999999999998</v>
      </c>
      <c r="N1512" s="2">
        <v>59</v>
      </c>
      <c r="O1512" s="2"/>
      <c r="P1512" s="2"/>
      <c r="Q1512" s="2" t="s">
        <v>95</v>
      </c>
      <c r="R1512" s="10" t="s">
        <v>221</v>
      </c>
      <c r="S1512" s="10" t="s">
        <v>193</v>
      </c>
      <c r="T1512" s="188">
        <v>1000</v>
      </c>
      <c r="U1512" s="8">
        <f t="shared" si="165"/>
        <v>180</v>
      </c>
      <c r="V1512" s="234">
        <f t="shared" si="166"/>
        <v>158344.15524616028</v>
      </c>
      <c r="W1512" s="15">
        <v>25</v>
      </c>
      <c r="X1512" s="8">
        <f t="shared" si="167"/>
        <v>4.5</v>
      </c>
      <c r="Y1512" s="233">
        <f t="shared" si="168"/>
        <v>5824.5</v>
      </c>
    </row>
    <row r="1513" spans="1:25">
      <c r="A1513" s="156" t="e" cm="1">
        <f t="array" aca="1" ref="A1513" ca="1">_xlfn.IFS(E1513=$AB$42,$AC$42,E1513=$AB$43,$AC$43,E1513=$AB$44,$AC$44,E1513=$AB$45,$AC$45,E1513=$AB$46,$AC$46,E1513=$AB$47,$AC$47,E1513=$AB$48,$AC$48,E1513=$AB$49,$AC$49,E1513=$AB$50,$AC$50,E1513=$AB$51,$AC$51,E1513=$AB$52,$AC$52,E1513=$AB$53,$AC$53,E1513=$AB$54,$AC$54,E1513=$AB$55,$AC$55,E1513=$AB$56,$AC$56,E1513=$AB$57,$AC$57,E1513=$AB$58,$AC$58,E1513=$AB$59,$AC$59,E1513=$AB$60,$AC$60,E1513=$AB$61,$AC$61,E1513=$AB$62,$AC$62,E1513=$AB$63,$AC$63,E1513=$AB$64,$AC$64,E1513=$AB$65,$AC$65,E1513=$AB$66,$AC$66,TRUE,"0")</f>
        <v>#NAME?</v>
      </c>
      <c r="C1513" s="161" t="str" cm="1">
        <f t="array" ref="C1513">_xlfn.IFS(E1513=$AB$42,$AF$42,E1513=$AB$43,$AF$43,E1513=$AB$44,$AF$44,E1513=$AB$45,$AF$45,E1513=$AB$46,$AF$46,E1513=$AB$47,$AF$47,E1513=$AB$48,$AF$48,E1513=$AB$49,$AF$49,E1513=$AB$50,$AF$50,E1513=$AB$51,$AF$51,E1513=$AB$52,$AF$52,E1513=$AB$53,$AF$53,E1513=$AB$54,$AF$54,E1513=$AB$55,$AF$55,E1513=$AB$56,$AF$56,E1513=$AB$57,$AF$57,E1513=$AB$58,$AF$58,E1513=$AB$59,$AF$59,E1513=$AB$60,$AF$60,E1513=$AB$61,$AF$61,E1513=$AB$62,$AF$62,E1513=$AB$63,$AF$63,E1513=$AB$64,$AF$64,E1513=$AB$65,$AF$65,E1513=$AB$66,$AF$66,TRUE,"0")</f>
        <v>B4 match BACK FT +1.5 goals. X AFTER  GOAL</v>
      </c>
      <c r="D1513" s="270" t="str" cm="1">
        <f t="array" ref="D1513">_xlfn.IFS(E1513=$AB$42,$AD$42,E1513=$AB$43,$AD$43,E1513=$AB$44,$AD$44,E1513=$AB$45,$AD$45,E1513=$AB$46,$AD$46,E1513=$AB$47,$AD$47,E1513=$AB$48,$AD$48,E1513=$AB$49,$AD$49,E1513=$AB$50,$AD$50,E1513=$AB$51,$AD$51,E1513=$AB$52,$AD$52,E1513=$AB$53,$AD$53,E1513=$AB$54,$AD$54,E1513=$AB$55,$AD$55,E1513=$AB$56,$AD$56,E1513=$AB$57,$AD$57,E1513=$AB$58,$AD$58,E1513=$AB$59,$AD$59,E1513=$AB$60,$AD$60,E1513=$AB$61,$AD$61,E1513=$AB$62,$AD$62,E1513=$AB$63,$AD$63,E1513=$AB$64,$AD$64,E1513=$AB$65,$AD$65,E1513=$AB$66,$AD$66,TRUE,"0")</f>
        <v xml:space="preserve">BFM </v>
      </c>
      <c r="E1513" s="2" t="s">
        <v>531</v>
      </c>
      <c r="F1513" s="2" t="s">
        <v>145</v>
      </c>
      <c r="G1513" s="2" t="s">
        <v>190</v>
      </c>
      <c r="H1513" s="3">
        <v>45424.833333333336</v>
      </c>
      <c r="I1513" s="2" t="s">
        <v>611</v>
      </c>
      <c r="J1513" s="2" t="s">
        <v>571</v>
      </c>
      <c r="K1513" s="2">
        <v>4.9000000000000004</v>
      </c>
      <c r="L1513" s="2">
        <v>32</v>
      </c>
      <c r="M1513" s="2">
        <v>2.78</v>
      </c>
      <c r="N1513" s="2">
        <v>36</v>
      </c>
      <c r="O1513" s="2">
        <v>2</v>
      </c>
      <c r="P1513" s="2">
        <v>16</v>
      </c>
      <c r="Q1513" s="2" t="s">
        <v>95</v>
      </c>
      <c r="R1513" s="10" t="s">
        <v>221</v>
      </c>
      <c r="S1513" s="10" t="s">
        <v>193</v>
      </c>
      <c r="T1513" s="188">
        <v>1000</v>
      </c>
      <c r="U1513" s="8">
        <f t="shared" si="165"/>
        <v>180</v>
      </c>
      <c r="V1513" s="234">
        <f t="shared" si="166"/>
        <v>158524.15524616028</v>
      </c>
      <c r="W1513" s="15">
        <v>25</v>
      </c>
      <c r="X1513" s="8">
        <f t="shared" si="167"/>
        <v>4.5</v>
      </c>
      <c r="Y1513" s="233">
        <f t="shared" si="168"/>
        <v>5829</v>
      </c>
    </row>
    <row r="1514" spans="1:25">
      <c r="A1514" s="156" t="e" cm="1">
        <f t="array" aca="1" ref="A1514" ca="1">_xlfn.IFS(E1514=$AB$42,$AC$42,E1514=$AB$43,$AC$43,E1514=$AB$44,$AC$44,E1514=$AB$45,$AC$45,E1514=$AB$46,$AC$46,E1514=$AB$47,$AC$47,E1514=$AB$48,$AC$48,E1514=$AB$49,$AC$49,E1514=$AB$50,$AC$50,E1514=$AB$51,$AC$51,E1514=$AB$52,$AC$52,E1514=$AB$53,$AC$53,E1514=$AB$54,$AC$54,E1514=$AB$55,$AC$55,E1514=$AB$56,$AC$56,E1514=$AB$57,$AC$57,E1514=$AB$58,$AC$58,E1514=$AB$59,$AC$59,E1514=$AB$60,$AC$60,E1514=$AB$61,$AC$61,E1514=$AB$62,$AC$62,E1514=$AB$63,$AC$63,E1514=$AB$64,$AC$64,E1514=$AB$65,$AC$65,E1514=$AB$66,$AC$66,TRUE,"0")</f>
        <v>#NAME?</v>
      </c>
      <c r="C1514" s="161" t="str" cm="1">
        <f t="array" ref="C1514">_xlfn.IFS(E1514=$AB$42,$AF$42,E1514=$AB$43,$AF$43,E1514=$AB$44,$AF$44,E1514=$AB$45,$AF$45,E1514=$AB$46,$AF$46,E1514=$AB$47,$AF$47,E1514=$AB$48,$AF$48,E1514=$AB$49,$AF$49,E1514=$AB$50,$AF$50,E1514=$AB$51,$AF$51,E1514=$AB$52,$AF$52,E1514=$AB$53,$AF$53,E1514=$AB$54,$AF$54,E1514=$AB$55,$AF$55,E1514=$AB$56,$AF$56,E1514=$AB$57,$AF$57,E1514=$AB$58,$AF$58,E1514=$AB$59,$AF$59,E1514=$AB$60,$AF$60,E1514=$AB$61,$AF$61,E1514=$AB$62,$AF$62,E1514=$AB$63,$AF$63,E1514=$AB$64,$AF$64,E1514=$AB$65,$AF$65,E1514=$AB$66,$AF$66,TRUE,"0")</f>
        <v>AT HT IF 0-0 BACK +0.5 GOALS</v>
      </c>
      <c r="D1514" s="270" t="str" cm="1">
        <f t="array" ref="D1514">_xlfn.IFS(E1514=$AB$42,$AD$42,E1514=$AB$43,$AD$43,E1514=$AB$44,$AD$44,E1514=$AB$45,$AD$45,E1514=$AB$46,$AD$46,E1514=$AB$47,$AD$47,E1514=$AB$48,$AD$48,E1514=$AB$49,$AD$49,E1514=$AB$50,$AD$50,E1514=$AB$51,$AD$51,E1514=$AB$52,$AD$52,E1514=$AB$53,$AD$53,E1514=$AB$54,$AD$54,E1514=$AB$55,$AD$55,E1514=$AB$56,$AD$56,E1514=$AB$57,$AD$57,E1514=$AB$58,$AD$58,E1514=$AB$59,$AD$59,E1514=$AB$60,$AD$60,E1514=$AB$61,$AD$61,E1514=$AB$62,$AD$62,E1514=$AB$63,$AD$63,E1514=$AB$64,$AD$64,E1514=$AB$65,$AD$65,E1514=$AB$66,$AD$66,TRUE,"0")</f>
        <v>IP</v>
      </c>
      <c r="E1514" s="2" t="s">
        <v>514</v>
      </c>
      <c r="F1514" s="2" t="s">
        <v>145</v>
      </c>
      <c r="G1514" s="2" t="s">
        <v>190</v>
      </c>
      <c r="H1514" s="3">
        <v>45424.833333333336</v>
      </c>
      <c r="I1514" s="2" t="s">
        <v>611</v>
      </c>
      <c r="J1514" s="2" t="s">
        <v>571</v>
      </c>
      <c r="K1514" s="2">
        <v>32</v>
      </c>
      <c r="L1514" s="2">
        <v>4.9000000000000004</v>
      </c>
      <c r="M1514" s="2">
        <v>0</v>
      </c>
      <c r="N1514" s="2">
        <v>20</v>
      </c>
      <c r="O1514" s="2">
        <v>20</v>
      </c>
      <c r="P1514" s="2">
        <v>26</v>
      </c>
      <c r="Q1514" s="2" t="s">
        <v>95</v>
      </c>
      <c r="R1514" s="10" t="s">
        <v>221</v>
      </c>
      <c r="S1514" s="10" t="s">
        <v>193</v>
      </c>
      <c r="T1514" s="188">
        <v>1000</v>
      </c>
      <c r="U1514" s="8">
        <f t="shared" si="165"/>
        <v>180</v>
      </c>
      <c r="V1514" s="234">
        <f t="shared" si="166"/>
        <v>158704.15524616028</v>
      </c>
      <c r="W1514" s="15">
        <v>25</v>
      </c>
      <c r="X1514" s="8">
        <f t="shared" si="167"/>
        <v>4.5</v>
      </c>
      <c r="Y1514" s="233">
        <f t="shared" si="168"/>
        <v>5833.5</v>
      </c>
    </row>
    <row r="1515" spans="1:25">
      <c r="A1515" s="156" t="e" cm="1">
        <f t="array" aca="1" ref="A1515" ca="1">_xlfn.IFS(E1515=$AB$42,$AC$42,E1515=$AB$43,$AC$43,E1515=$AB$44,$AC$44,E1515=$AB$45,$AC$45,E1515=$AB$46,$AC$46,E1515=$AB$47,$AC$47,E1515=$AB$48,$AC$48,E1515=$AB$49,$AC$49,E1515=$AB$50,$AC$50,E1515=$AB$51,$AC$51,E1515=$AB$52,$AC$52,E1515=$AB$53,$AC$53,E1515=$AB$54,$AC$54,E1515=$AB$55,$AC$55,E1515=$AB$56,$AC$56,E1515=$AB$57,$AC$57,E1515=$AB$58,$AC$58,E1515=$AB$59,$AC$59,E1515=$AB$60,$AC$60,E1515=$AB$61,$AC$61,E1515=$AB$62,$AC$62,E1515=$AB$63,$AC$63,E1515=$AB$64,$AC$64,E1515=$AB$65,$AC$65,E1515=$AB$66,$AC$66,TRUE,"0")</f>
        <v>#NAME?</v>
      </c>
      <c r="C1515" s="161" t="str" cm="1">
        <f t="array" ref="C1515">_xlfn.IFS(E1515=$AB$42,$AF$42,E1515=$AB$43,$AF$43,E1515=$AB$44,$AF$44,E1515=$AB$45,$AF$45,E1515=$AB$46,$AF$46,E1515=$AB$47,$AF$47,E1515=$AB$48,$AF$48,E1515=$AB$49,$AF$49,E1515=$AB$50,$AF$50,E1515=$AB$51,$AF$51,E1515=$AB$52,$AF$52,E1515=$AB$53,$AF$53,E1515=$AB$54,$AF$54,E1515=$AB$55,$AF$55,E1515=$AB$56,$AF$56,E1515=$AB$57,$AF$57,E1515=$AB$58,$AF$58,E1515=$AB$59,$AF$59,E1515=$AB$60,$AF$60,E1515=$AB$61,$AF$61,E1515=$AB$62,$AF$62,E1515=$AB$63,$AF$63,E1515=$AB$64,$AF$64,E1515=$AB$65,$AF$65,E1515=$AB$66,$AF$66,TRUE,"0")</f>
        <v>B4 match BACK FT +1.5 goals. X AFTER  GOAL</v>
      </c>
      <c r="D1515" s="270" t="str" cm="1">
        <f t="array" ref="D1515">_xlfn.IFS(E1515=$AB$42,$AD$42,E1515=$AB$43,$AD$43,E1515=$AB$44,$AD$44,E1515=$AB$45,$AD$45,E1515=$AB$46,$AD$46,E1515=$AB$47,$AD$47,E1515=$AB$48,$AD$48,E1515=$AB$49,$AD$49,E1515=$AB$50,$AD$50,E1515=$AB$51,$AD$51,E1515=$AB$52,$AD$52,E1515=$AB$53,$AD$53,E1515=$AB$54,$AD$54,E1515=$AB$55,$AD$55,E1515=$AB$56,$AD$56,E1515=$AB$57,$AD$57,E1515=$AB$58,$AD$58,E1515=$AB$59,$AD$59,E1515=$AB$60,$AD$60,E1515=$AB$61,$AD$61,E1515=$AB$62,$AD$62,E1515=$AB$63,$AD$63,E1515=$AB$64,$AD$64,E1515=$AB$65,$AD$65,E1515=$AB$66,$AD$66,TRUE,"0")</f>
        <v xml:space="preserve">BFM </v>
      </c>
      <c r="E1515" s="2" t="s">
        <v>623</v>
      </c>
      <c r="F1515" s="2" t="s">
        <v>145</v>
      </c>
      <c r="G1515" s="2" t="s">
        <v>190</v>
      </c>
      <c r="H1515" s="3">
        <v>45424.833333333336</v>
      </c>
      <c r="I1515" s="2" t="s">
        <v>191</v>
      </c>
      <c r="J1515" s="2" t="s">
        <v>227</v>
      </c>
      <c r="K1515" s="2">
        <v>5.4</v>
      </c>
      <c r="L1515" s="2">
        <v>20</v>
      </c>
      <c r="M1515" s="2">
        <v>3</v>
      </c>
      <c r="N1515" s="2">
        <v>27</v>
      </c>
      <c r="O1515" s="2">
        <v>1</v>
      </c>
      <c r="P1515" s="2">
        <v>10</v>
      </c>
      <c r="Q1515" s="2" t="s">
        <v>95</v>
      </c>
      <c r="R1515" s="10" t="s">
        <v>222</v>
      </c>
      <c r="S1515" s="10" t="s">
        <v>215</v>
      </c>
      <c r="T1515" s="188">
        <v>1000</v>
      </c>
      <c r="U1515" s="8">
        <f t="shared" si="165"/>
        <v>180</v>
      </c>
      <c r="V1515" s="234">
        <f t="shared" ref="V1515:V1534" si="169">SUM(V1514,U1515)</f>
        <v>158884.15524616028</v>
      </c>
      <c r="W1515" s="15">
        <v>25</v>
      </c>
      <c r="X1515" s="8">
        <f t="shared" si="167"/>
        <v>4.5</v>
      </c>
      <c r="Y1515" s="233">
        <f t="shared" si="168"/>
        <v>5838</v>
      </c>
    </row>
    <row r="1516" spans="1:25">
      <c r="A1516" s="156" t="e" cm="1">
        <f t="array" aca="1" ref="A1516" ca="1">_xlfn.IFS(E1516=$AB$42,$AC$42,E1516=$AB$43,$AC$43,E1516=$AB$44,$AC$44,E1516=$AB$45,$AC$45,E1516=$AB$46,$AC$46,E1516=$AB$47,$AC$47,E1516=$AB$48,$AC$48,E1516=$AB$49,$AC$49,E1516=$AB$50,$AC$50,E1516=$AB$51,$AC$51,E1516=$AB$52,$AC$52,E1516=$AB$53,$AC$53,E1516=$AB$54,$AC$54,E1516=$AB$55,$AC$55,E1516=$AB$56,$AC$56,E1516=$AB$57,$AC$57,E1516=$AB$58,$AC$58,E1516=$AB$59,$AC$59,E1516=$AB$60,$AC$60,E1516=$AB$61,$AC$61,E1516=$AB$62,$AC$62,E1516=$AB$63,$AC$63,E1516=$AB$64,$AC$64,E1516=$AB$65,$AC$65,E1516=$AB$66,$AC$66,TRUE,"0")</f>
        <v>#NAME?</v>
      </c>
      <c r="C1516" s="161" t="str" cm="1">
        <f t="array" ref="C1516">_xlfn.IFS(E1516=$AB$42,$AF$42,E1516=$AB$43,$AF$43,E1516=$AB$44,$AF$44,E1516=$AB$45,$AF$45,E1516=$AB$46,$AF$46,E1516=$AB$47,$AF$47,E1516=$AB$48,$AF$48,E1516=$AB$49,$AF$49,E1516=$AB$50,$AF$50,E1516=$AB$51,$AF$51,E1516=$AB$52,$AF$52,E1516=$AB$53,$AF$53,E1516=$AB$54,$AF$54,E1516=$AB$55,$AF$55,E1516=$AB$56,$AF$56,E1516=$AB$57,$AF$57,E1516=$AB$58,$AF$58,E1516=$AB$59,$AF$59,E1516=$AB$60,$AF$60,E1516=$AB$61,$AF$61,E1516=$AB$62,$AF$62,E1516=$AB$63,$AF$63,E1516=$AB$64,$AF$64,E1516=$AB$65,$AF$65,E1516=$AB$66,$AF$66,TRUE,"0")</f>
        <v>40 mins Back ANother Goal</v>
      </c>
      <c r="D1516" s="270" t="str" cm="1">
        <f t="array" ref="D1516">_xlfn.IFS(E1516=$AB$42,$AD$42,E1516=$AB$43,$AD$43,E1516=$AB$44,$AD$44,E1516=$AB$45,$AD$45,E1516=$AB$46,$AD$46,E1516=$AB$47,$AD$47,E1516=$AB$48,$AD$48,E1516=$AB$49,$AD$49,E1516=$AB$50,$AD$50,E1516=$AB$51,$AD$51,E1516=$AB$52,$AD$52,E1516=$AB$53,$AD$53,E1516=$AB$54,$AD$54,E1516=$AB$55,$AD$55,E1516=$AB$56,$AD$56,E1516=$AB$57,$AD$57,E1516=$AB$58,$AD$58,E1516=$AB$59,$AD$59,E1516=$AB$60,$AD$60,E1516=$AB$61,$AD$61,E1516=$AB$62,$AD$62,E1516=$AB$63,$AD$63,E1516=$AB$64,$AD$64,E1516=$AB$65,$AD$65,E1516=$AB$66,$AD$66,TRUE,"0")</f>
        <v xml:space="preserve">  BANG</v>
      </c>
      <c r="E1516" s="2" t="s">
        <v>726</v>
      </c>
      <c r="F1516" s="2" t="s">
        <v>145</v>
      </c>
      <c r="G1516" s="2" t="s">
        <v>190</v>
      </c>
      <c r="H1516" s="3">
        <v>45424.833333333336</v>
      </c>
      <c r="I1516" s="2" t="s">
        <v>390</v>
      </c>
      <c r="J1516" s="2" t="s">
        <v>364</v>
      </c>
      <c r="K1516" s="2">
        <v>80</v>
      </c>
      <c r="L1516" s="2">
        <v>20</v>
      </c>
      <c r="M1516" s="2">
        <v>1.85</v>
      </c>
      <c r="N1516" s="2">
        <v>61</v>
      </c>
      <c r="O1516" s="2"/>
      <c r="P1516" s="2"/>
      <c r="Q1516" s="2" t="s">
        <v>95</v>
      </c>
      <c r="R1516" s="10" t="s">
        <v>221</v>
      </c>
      <c r="S1516" s="10" t="s">
        <v>217</v>
      </c>
      <c r="T1516" s="188">
        <v>1000</v>
      </c>
      <c r="U1516" s="8">
        <f t="shared" si="165"/>
        <v>180</v>
      </c>
      <c r="V1516" s="234">
        <f t="shared" si="169"/>
        <v>159064.15524616028</v>
      </c>
      <c r="W1516" s="15">
        <v>25</v>
      </c>
      <c r="X1516" s="8">
        <f t="shared" si="167"/>
        <v>4.5</v>
      </c>
      <c r="Y1516" s="233">
        <f t="shared" si="168"/>
        <v>5842.5</v>
      </c>
    </row>
    <row r="1517" spans="1:25">
      <c r="A1517" s="156" t="e" cm="1">
        <f t="array" aca="1" ref="A1517" ca="1">_xlfn.IFS(E1517=$AB$42,$AC$42,E1517=$AB$43,$AC$43,E1517=$AB$44,$AC$44,E1517=$AB$45,$AC$45,E1517=$AB$46,$AC$46,E1517=$AB$47,$AC$47,E1517=$AB$48,$AC$48,E1517=$AB$49,$AC$49,E1517=$AB$50,$AC$50,E1517=$AB$51,$AC$51,E1517=$AB$52,$AC$52,E1517=$AB$53,$AC$53,E1517=$AB$54,$AC$54,E1517=$AB$55,$AC$55,E1517=$AB$56,$AC$56,E1517=$AB$57,$AC$57,E1517=$AB$58,$AC$58,E1517=$AB$59,$AC$59,E1517=$AB$60,$AC$60,E1517=$AB$61,$AC$61,E1517=$AB$62,$AC$62,E1517=$AB$63,$AC$63,E1517=$AB$64,$AC$64,E1517=$AB$65,$AC$65,E1517=$AB$66,$AC$66,TRUE,"0")</f>
        <v>#NAME?</v>
      </c>
      <c r="C1517" s="161" t="str" cm="1">
        <f t="array" ref="C1517">_xlfn.IFS(E1517=$AB$42,$AF$42,E1517=$AB$43,$AF$43,E1517=$AB$44,$AF$44,E1517=$AB$45,$AF$45,E1517=$AB$46,$AF$46,E1517=$AB$47,$AF$47,E1517=$AB$48,$AF$48,E1517=$AB$49,$AF$49,E1517=$AB$50,$AF$50,E1517=$AB$51,$AF$51,E1517=$AB$52,$AF$52,E1517=$AB$53,$AF$53,E1517=$AB$54,$AF$54,E1517=$AB$55,$AF$55,E1517=$AB$56,$AF$56,E1517=$AB$57,$AF$57,E1517=$AB$58,$AF$58,E1517=$AB$59,$AF$59,E1517=$AB$60,$AF$60,E1517=$AB$61,$AF$61,E1517=$AB$62,$AF$62,E1517=$AB$63,$AF$63,E1517=$AB$64,$AF$64,E1517=$AB$65,$AF$65,E1517=$AB$66,$AF$66,TRUE,"0")</f>
        <v>B4 match BACK FT +1.5 goals. X AFTER  GOAL</v>
      </c>
      <c r="D1517" s="270" t="str" cm="1">
        <f t="array" ref="D1517">_xlfn.IFS(E1517=$AB$42,$AD$42,E1517=$AB$43,$AD$43,E1517=$AB$44,$AD$44,E1517=$AB$45,$AD$45,E1517=$AB$46,$AD$46,E1517=$AB$47,$AD$47,E1517=$AB$48,$AD$48,E1517=$AB$49,$AD$49,E1517=$AB$50,$AD$50,E1517=$AB$51,$AD$51,E1517=$AB$52,$AD$52,E1517=$AB$53,$AD$53,E1517=$AB$54,$AD$54,E1517=$AB$55,$AD$55,E1517=$AB$56,$AD$56,E1517=$AB$57,$AD$57,E1517=$AB$58,$AD$58,E1517=$AB$59,$AD$59,E1517=$AB$60,$AD$60,E1517=$AB$61,$AD$61,E1517=$AB$62,$AD$62,E1517=$AB$63,$AD$63,E1517=$AB$64,$AD$64,E1517=$AB$65,$AD$65,E1517=$AB$66,$AD$66,TRUE,"0")</f>
        <v xml:space="preserve">BFM </v>
      </c>
      <c r="E1517" s="2" t="s">
        <v>531</v>
      </c>
      <c r="F1517" s="2" t="s">
        <v>145</v>
      </c>
      <c r="G1517" s="2" t="s">
        <v>190</v>
      </c>
      <c r="H1517" s="3">
        <v>45424.833333333336</v>
      </c>
      <c r="I1517" s="2" t="s">
        <v>390</v>
      </c>
      <c r="J1517" s="2" t="s">
        <v>364</v>
      </c>
      <c r="K1517" s="2">
        <v>5</v>
      </c>
      <c r="L1517" s="2">
        <v>32</v>
      </c>
      <c r="M1517" s="2">
        <v>3.28</v>
      </c>
      <c r="N1517" s="2">
        <v>20</v>
      </c>
      <c r="O1517" s="2">
        <v>3</v>
      </c>
      <c r="P1517" s="2">
        <v>16</v>
      </c>
      <c r="Q1517" s="2" t="s">
        <v>95</v>
      </c>
      <c r="R1517" s="10" t="s">
        <v>221</v>
      </c>
      <c r="S1517" s="10" t="s">
        <v>217</v>
      </c>
      <c r="T1517" s="188">
        <v>1000</v>
      </c>
      <c r="U1517" s="8">
        <f t="shared" si="165"/>
        <v>180</v>
      </c>
      <c r="V1517" s="234">
        <f t="shared" si="169"/>
        <v>159244.15524616028</v>
      </c>
      <c r="W1517" s="15">
        <v>25</v>
      </c>
      <c r="X1517" s="8">
        <f t="shared" si="167"/>
        <v>4.5</v>
      </c>
      <c r="Y1517" s="233">
        <f t="shared" si="168"/>
        <v>5847</v>
      </c>
    </row>
    <row r="1518" spans="1:25">
      <c r="A1518" s="156" t="e" cm="1">
        <f t="array" aca="1" ref="A1518" ca="1">_xlfn.IFS(E1518=$AB$42,$AC$42,E1518=$AB$43,$AC$43,E1518=$AB$44,$AC$44,E1518=$AB$45,$AC$45,E1518=$AB$46,$AC$46,E1518=$AB$47,$AC$47,E1518=$AB$48,$AC$48,E1518=$AB$49,$AC$49,E1518=$AB$50,$AC$50,E1518=$AB$51,$AC$51,E1518=$AB$52,$AC$52,E1518=$AB$53,$AC$53,E1518=$AB$54,$AC$54,E1518=$AB$55,$AC$55,E1518=$AB$56,$AC$56,E1518=$AB$57,$AC$57,E1518=$AB$58,$AC$58,E1518=$AB$59,$AC$59,E1518=$AB$60,$AC$60,E1518=$AB$61,$AC$61,E1518=$AB$62,$AC$62,E1518=$AB$63,$AC$63,E1518=$AB$64,$AC$64,E1518=$AB$65,$AC$65,E1518=$AB$66,$AC$66,TRUE,"0")</f>
        <v>#NAME?</v>
      </c>
      <c r="C1518" s="161" t="str" cm="1">
        <f t="array" ref="C1518">_xlfn.IFS(E1518=$AB$42,$AF$42,E1518=$AB$43,$AF$43,E1518=$AB$44,$AF$44,E1518=$AB$45,$AF$45,E1518=$AB$46,$AF$46,E1518=$AB$47,$AF$47,E1518=$AB$48,$AF$48,E1518=$AB$49,$AF$49,E1518=$AB$50,$AF$50,E1518=$AB$51,$AF$51,E1518=$AB$52,$AF$52,E1518=$AB$53,$AF$53,E1518=$AB$54,$AF$54,E1518=$AB$55,$AF$55,E1518=$AB$56,$AF$56,E1518=$AB$57,$AF$57,E1518=$AB$58,$AF$58,E1518=$AB$59,$AF$59,E1518=$AB$60,$AF$60,E1518=$AB$61,$AF$61,E1518=$AB$62,$AF$62,E1518=$AB$63,$AF$63,E1518=$AB$64,$AF$64,E1518=$AB$65,$AF$65,E1518=$AB$66,$AF$66,TRUE,"0")</f>
        <v>AT HT IF 0-0 BACK +0.5 GOALS</v>
      </c>
      <c r="D1518" s="270" t="str" cm="1">
        <f t="array" ref="D1518">_xlfn.IFS(E1518=$AB$42,$AD$42,E1518=$AB$43,$AD$43,E1518=$AB$44,$AD$44,E1518=$AB$45,$AD$45,E1518=$AB$46,$AD$46,E1518=$AB$47,$AD$47,E1518=$AB$48,$AD$48,E1518=$AB$49,$AD$49,E1518=$AB$50,$AD$50,E1518=$AB$51,$AD$51,E1518=$AB$52,$AD$52,E1518=$AB$53,$AD$53,E1518=$AB$54,$AD$54,E1518=$AB$55,$AD$55,E1518=$AB$56,$AD$56,E1518=$AB$57,$AD$57,E1518=$AB$58,$AD$58,E1518=$AB$59,$AD$59,E1518=$AB$60,$AD$60,E1518=$AB$61,$AD$61,E1518=$AB$62,$AD$62,E1518=$AB$63,$AD$63,E1518=$AB$64,$AD$64,E1518=$AB$65,$AD$65,E1518=$AB$66,$AD$66,TRUE,"0")</f>
        <v>IP</v>
      </c>
      <c r="E1518" s="2" t="s">
        <v>514</v>
      </c>
      <c r="F1518" s="2" t="s">
        <v>145</v>
      </c>
      <c r="G1518" s="2" t="s">
        <v>190</v>
      </c>
      <c r="H1518" s="3">
        <v>45424.833333333336</v>
      </c>
      <c r="I1518" s="2" t="s">
        <v>390</v>
      </c>
      <c r="J1518" s="2" t="s">
        <v>364</v>
      </c>
      <c r="K1518" s="2">
        <v>16</v>
      </c>
      <c r="L1518" s="2">
        <v>5</v>
      </c>
      <c r="M1518" s="2">
        <v>0</v>
      </c>
      <c r="N1518" s="2">
        <v>20</v>
      </c>
      <c r="O1518" s="2">
        <v>15</v>
      </c>
      <c r="P1518" s="2">
        <v>22</v>
      </c>
      <c r="Q1518" s="2" t="s">
        <v>95</v>
      </c>
      <c r="R1518" s="10" t="s">
        <v>221</v>
      </c>
      <c r="S1518" s="10" t="s">
        <v>217</v>
      </c>
      <c r="T1518" s="188">
        <v>1000</v>
      </c>
      <c r="U1518" s="8">
        <f t="shared" si="165"/>
        <v>180</v>
      </c>
      <c r="V1518" s="234">
        <f t="shared" si="169"/>
        <v>159424.15524616028</v>
      </c>
      <c r="W1518" s="15">
        <v>25</v>
      </c>
      <c r="X1518" s="8">
        <f t="shared" si="167"/>
        <v>4.5</v>
      </c>
      <c r="Y1518" s="233">
        <f t="shared" si="168"/>
        <v>5851.5</v>
      </c>
    </row>
    <row r="1519" spans="1:25">
      <c r="A1519" s="156" t="e" cm="1">
        <f t="array" aca="1" ref="A1519" ca="1">_xlfn.IFS(E1519=$AB$42,$AC$42,E1519=$AB$43,$AC$43,E1519=$AB$44,$AC$44,E1519=$AB$45,$AC$45,E1519=$AB$46,$AC$46,E1519=$AB$47,$AC$47,E1519=$AB$48,$AC$48,E1519=$AB$49,$AC$49,E1519=$AB$50,$AC$50,E1519=$AB$51,$AC$51,E1519=$AB$52,$AC$52,E1519=$AB$53,$AC$53,E1519=$AB$54,$AC$54,E1519=$AB$55,$AC$55,E1519=$AB$56,$AC$56,E1519=$AB$57,$AC$57,E1519=$AB$58,$AC$58,E1519=$AB$59,$AC$59,E1519=$AB$60,$AC$60,E1519=$AB$61,$AC$61,E1519=$AB$62,$AC$62,E1519=$AB$63,$AC$63,E1519=$AB$64,$AC$64,E1519=$AB$65,$AC$65,E1519=$AB$66,$AC$66,TRUE,"0")</f>
        <v>#NAME?</v>
      </c>
      <c r="C1519" s="161" t="str" cm="1">
        <f t="array" ref="C1519">_xlfn.IFS(E1519=$AB$42,$AF$42,E1519=$AB$43,$AF$43,E1519=$AB$44,$AF$44,E1519=$AB$45,$AF$45,E1519=$AB$46,$AF$46,E1519=$AB$47,$AF$47,E1519=$AB$48,$AF$48,E1519=$AB$49,$AF$49,E1519=$AB$50,$AF$50,E1519=$AB$51,$AF$51,E1519=$AB$52,$AF$52,E1519=$AB$53,$AF$53,E1519=$AB$54,$AF$54,E1519=$AB$55,$AF$55,E1519=$AB$56,$AF$56,E1519=$AB$57,$AF$57,E1519=$AB$58,$AF$58,E1519=$AB$59,$AF$59,E1519=$AB$60,$AF$60,E1519=$AB$61,$AF$61,E1519=$AB$62,$AF$62,E1519=$AB$63,$AF$63,E1519=$AB$64,$AF$64,E1519=$AB$65,$AF$65,E1519=$AB$66,$AF$66,TRUE,"0")</f>
        <v>B4 match BACK FT +1.5 goals. X AFTER  GOAL</v>
      </c>
      <c r="D1519" s="270" t="str" cm="1">
        <f t="array" ref="D1519">_xlfn.IFS(E1519=$AB$42,$AD$42,E1519=$AB$43,$AD$43,E1519=$AB$44,$AD$44,E1519=$AB$45,$AD$45,E1519=$AB$46,$AD$46,E1519=$AB$47,$AD$47,E1519=$AB$48,$AD$48,E1519=$AB$49,$AD$49,E1519=$AB$50,$AD$50,E1519=$AB$51,$AD$51,E1519=$AB$52,$AD$52,E1519=$AB$53,$AD$53,E1519=$AB$54,$AD$54,E1519=$AB$55,$AD$55,E1519=$AB$56,$AD$56,E1519=$AB$57,$AD$57,E1519=$AB$58,$AD$58,E1519=$AB$59,$AD$59,E1519=$AB$60,$AD$60,E1519=$AB$61,$AD$61,E1519=$AB$62,$AD$62,E1519=$AB$63,$AD$63,E1519=$AB$64,$AD$64,E1519=$AB$65,$AD$65,E1519=$AB$66,$AD$66,TRUE,"0")</f>
        <v xml:space="preserve">BFM </v>
      </c>
      <c r="E1519" s="2" t="s">
        <v>623</v>
      </c>
      <c r="F1519" s="2" t="s">
        <v>145</v>
      </c>
      <c r="G1519" s="2" t="s">
        <v>190</v>
      </c>
      <c r="H1519" s="3">
        <v>45424.833333333336</v>
      </c>
      <c r="I1519" s="2" t="s">
        <v>826</v>
      </c>
      <c r="J1519" s="2" t="s">
        <v>570</v>
      </c>
      <c r="K1519" s="2">
        <v>3.9</v>
      </c>
      <c r="L1519" s="2">
        <v>20</v>
      </c>
      <c r="M1519" s="2">
        <v>3.3</v>
      </c>
      <c r="N1519" s="2">
        <v>26</v>
      </c>
      <c r="O1519" s="2">
        <v>2</v>
      </c>
      <c r="P1519" s="2">
        <v>10</v>
      </c>
      <c r="Q1519" s="2" t="s">
        <v>95</v>
      </c>
      <c r="R1519" s="10" t="s">
        <v>216</v>
      </c>
      <c r="S1519" s="10" t="s">
        <v>211</v>
      </c>
      <c r="T1519" s="188">
        <v>1000</v>
      </c>
      <c r="U1519" s="8">
        <f t="shared" si="165"/>
        <v>180</v>
      </c>
      <c r="V1519" s="234">
        <f t="shared" si="169"/>
        <v>159604.15524616028</v>
      </c>
      <c r="W1519" s="15">
        <v>25</v>
      </c>
      <c r="X1519" s="8">
        <f t="shared" si="167"/>
        <v>4.5</v>
      </c>
      <c r="Y1519" s="233">
        <f t="shared" si="168"/>
        <v>5856</v>
      </c>
    </row>
    <row r="1520" spans="1:25">
      <c r="A1520" s="156" t="e" cm="1">
        <f t="array" aca="1" ref="A1520" ca="1">_xlfn.IFS(E1520=$AB$42,$AC$42,E1520=$AB$43,$AC$43,E1520=$AB$44,$AC$44,E1520=$AB$45,$AC$45,E1520=$AB$46,$AC$46,E1520=$AB$47,$AC$47,E1520=$AB$48,$AC$48,E1520=$AB$49,$AC$49,E1520=$AB$50,$AC$50,E1520=$AB$51,$AC$51,E1520=$AB$52,$AC$52,E1520=$AB$53,$AC$53,E1520=$AB$54,$AC$54,E1520=$AB$55,$AC$55,E1520=$AB$56,$AC$56,E1520=$AB$57,$AC$57,E1520=$AB$58,$AC$58,E1520=$AB$59,$AC$59,E1520=$AB$60,$AC$60,E1520=$AB$61,$AC$61,E1520=$AB$62,$AC$62,E1520=$AB$63,$AC$63,E1520=$AB$64,$AC$64,E1520=$AB$65,$AC$65,E1520=$AB$66,$AC$66,TRUE,"0")</f>
        <v>#NAME?</v>
      </c>
      <c r="C1520" s="161" t="str" cm="1">
        <f t="array" ref="C1520">_xlfn.IFS(E1520=$AB$42,$AF$42,E1520=$AB$43,$AF$43,E1520=$AB$44,$AF$44,E1520=$AB$45,$AF$45,E1520=$AB$46,$AF$46,E1520=$AB$47,$AF$47,E1520=$AB$48,$AF$48,E1520=$AB$49,$AF$49,E1520=$AB$50,$AF$50,E1520=$AB$51,$AF$51,E1520=$AB$52,$AF$52,E1520=$AB$53,$AF$53,E1520=$AB$54,$AF$54,E1520=$AB$55,$AF$55,E1520=$AB$56,$AF$56,E1520=$AB$57,$AF$57,E1520=$AB$58,$AF$58,E1520=$AB$59,$AF$59,E1520=$AB$60,$AF$60,E1520=$AB$61,$AF$61,E1520=$AB$62,$AF$62,E1520=$AB$63,$AF$63,E1520=$AB$64,$AF$64,E1520=$AB$65,$AF$65,E1520=$AB$66,$AF$66,TRUE,"0")</f>
        <v>if 0-0, BACK+ 0.5 GOALS  @ 1.15+odds.  or @ 40 mins</v>
      </c>
      <c r="D1520" s="270" t="str" cm="1">
        <f t="array" ref="D1520">_xlfn.IFS(E1520=$AB$42,$AD$42,E1520=$AB$43,$AD$43,E1520=$AB$44,$AD$44,E1520=$AB$45,$AD$45,E1520=$AB$46,$AD$46,E1520=$AB$47,$AD$47,E1520=$AB$48,$AD$48,E1520=$AB$49,$AD$49,E1520=$AB$50,$AD$50,E1520=$AB$51,$AD$51,E1520=$AB$52,$AD$52,E1520=$AB$53,$AD$53,E1520=$AB$54,$AD$54,E1520=$AB$55,$AD$55,E1520=$AB$56,$AD$56,E1520=$AB$57,$AD$57,E1520=$AB$58,$AD$58,E1520=$AB$59,$AD$59,E1520=$AB$60,$AD$60,E1520=$AB$61,$AD$61,E1520=$AB$62,$AD$62,E1520=$AB$63,$AD$63,E1520=$AB$64,$AD$64,E1520=$AB$65,$AD$65,E1520=$AB$66,$AD$66,TRUE,"0")</f>
        <v>IP</v>
      </c>
      <c r="E1520" s="2" t="s">
        <v>270</v>
      </c>
      <c r="F1520" s="2" t="s">
        <v>173</v>
      </c>
      <c r="G1520" s="2" t="s">
        <v>174</v>
      </c>
      <c r="H1520" s="3">
        <v>45424.916666666664</v>
      </c>
      <c r="I1520" s="2" t="s">
        <v>825</v>
      </c>
      <c r="J1520" s="2" t="s">
        <v>770</v>
      </c>
      <c r="K1520" s="2">
        <v>60</v>
      </c>
      <c r="L1520" s="2">
        <v>0</v>
      </c>
      <c r="M1520" s="2">
        <v>20</v>
      </c>
      <c r="N1520" s="2">
        <v>38</v>
      </c>
      <c r="O1520" s="2">
        <v>0</v>
      </c>
      <c r="P1520" s="2"/>
      <c r="Q1520" s="2" t="s">
        <v>95</v>
      </c>
      <c r="R1520" s="10" t="s">
        <v>193</v>
      </c>
      <c r="S1520" s="10" t="s">
        <v>210</v>
      </c>
      <c r="T1520" s="188">
        <v>1000</v>
      </c>
      <c r="U1520" s="8">
        <f t="shared" si="165"/>
        <v>180</v>
      </c>
      <c r="V1520" s="234">
        <f t="shared" si="169"/>
        <v>159784.15524616028</v>
      </c>
      <c r="W1520" s="15">
        <v>25</v>
      </c>
      <c r="X1520" s="8">
        <f t="shared" si="167"/>
        <v>4.5</v>
      </c>
      <c r="Y1520" s="233">
        <f t="shared" si="168"/>
        <v>5860.5</v>
      </c>
    </row>
    <row r="1521" spans="1:25">
      <c r="A1521" s="156" t="e" cm="1">
        <f t="array" aca="1" ref="A1521" ca="1">_xlfn.IFS(E1521=$AB$42,$AC$42,E1521=$AB$43,$AC$43,E1521=$AB$44,$AC$44,E1521=$AB$45,$AC$45,E1521=$AB$46,$AC$46,E1521=$AB$47,$AC$47,E1521=$AB$48,$AC$48,E1521=$AB$49,$AC$49,E1521=$AB$50,$AC$50,E1521=$AB$51,$AC$51,E1521=$AB$52,$AC$52,E1521=$AB$53,$AC$53,E1521=$AB$54,$AC$54,E1521=$AB$55,$AC$55,E1521=$AB$56,$AC$56,E1521=$AB$57,$AC$57,E1521=$AB$58,$AC$58,E1521=$AB$59,$AC$59,E1521=$AB$60,$AC$60,E1521=$AB$61,$AC$61,E1521=$AB$62,$AC$62,E1521=$AB$63,$AC$63,E1521=$AB$64,$AC$64,E1521=$AB$65,$AC$65,E1521=$AB$66,$AC$66,TRUE,"0")</f>
        <v>#NAME?</v>
      </c>
      <c r="C1521" s="161" t="str" cm="1">
        <f t="array" ref="C1521">_xlfn.IFS(E1521=$AB$42,$AF$42,E1521=$AB$43,$AF$43,E1521=$AB$44,$AF$44,E1521=$AB$45,$AF$45,E1521=$AB$46,$AF$46,E1521=$AB$47,$AF$47,E1521=$AB$48,$AF$48,E1521=$AB$49,$AF$49,E1521=$AB$50,$AF$50,E1521=$AB$51,$AF$51,E1521=$AB$52,$AF$52,E1521=$AB$53,$AF$53,E1521=$AB$54,$AF$54,E1521=$AB$55,$AF$55,E1521=$AB$56,$AF$56,E1521=$AB$57,$AF$57,E1521=$AB$58,$AF$58,E1521=$AB$59,$AF$59,E1521=$AB$60,$AF$60,E1521=$AB$61,$AF$61,E1521=$AB$62,$AF$62,E1521=$AB$63,$AF$63,E1521=$AB$64,$AF$64,E1521=$AB$65,$AF$65,E1521=$AB$66,$AF$66,TRUE,"0")</f>
        <v>if 0-0, BACK+ 0.5 GOALS  @ 1.15+odds.  or @ 40 mins</v>
      </c>
      <c r="D1521" s="270" t="str" cm="1">
        <f t="array" ref="D1521">_xlfn.IFS(E1521=$AB$42,$AD$42,E1521=$AB$43,$AD$43,E1521=$AB$44,$AD$44,E1521=$AB$45,$AD$45,E1521=$AB$46,$AD$46,E1521=$AB$47,$AD$47,E1521=$AB$48,$AD$48,E1521=$AB$49,$AD$49,E1521=$AB$50,$AD$50,E1521=$AB$51,$AD$51,E1521=$AB$52,$AD$52,E1521=$AB$53,$AD$53,E1521=$AB$54,$AD$54,E1521=$AB$55,$AD$55,E1521=$AB$56,$AD$56,E1521=$AB$57,$AD$57,E1521=$AB$58,$AD$58,E1521=$AB$59,$AD$59,E1521=$AB$60,$AD$60,E1521=$AB$61,$AD$61,E1521=$AB$62,$AD$62,E1521=$AB$63,$AD$63,E1521=$AB$64,$AD$64,E1521=$AB$65,$AD$65,E1521=$AB$66,$AD$66,TRUE,"0")</f>
        <v>IP</v>
      </c>
      <c r="E1521" s="2" t="s">
        <v>270</v>
      </c>
      <c r="F1521" s="2" t="s">
        <v>441</v>
      </c>
      <c r="G1521" s="2" t="s">
        <v>442</v>
      </c>
      <c r="H1521" s="3">
        <v>45425.520833333336</v>
      </c>
      <c r="I1521" s="2" t="s">
        <v>696</v>
      </c>
      <c r="J1521" s="2" t="s">
        <v>445</v>
      </c>
      <c r="K1521" s="2">
        <v>59</v>
      </c>
      <c r="L1521" s="2">
        <v>0</v>
      </c>
      <c r="M1521" s="2">
        <v>20</v>
      </c>
      <c r="N1521" s="2">
        <v>26</v>
      </c>
      <c r="O1521" s="2">
        <v>2.3199999999999998</v>
      </c>
      <c r="P1521" s="2"/>
      <c r="Q1521" s="2" t="s">
        <v>95</v>
      </c>
      <c r="R1521" s="10" t="s">
        <v>221</v>
      </c>
      <c r="S1521" s="10" t="s">
        <v>223</v>
      </c>
      <c r="T1521" s="188">
        <v>1000</v>
      </c>
      <c r="U1521" s="8">
        <f t="shared" si="165"/>
        <v>180</v>
      </c>
      <c r="V1521" s="234">
        <f t="shared" si="169"/>
        <v>159964.15524616028</v>
      </c>
      <c r="W1521" s="15">
        <v>25</v>
      </c>
      <c r="X1521" s="8">
        <f t="shared" si="167"/>
        <v>4.5</v>
      </c>
      <c r="Y1521" s="233">
        <f t="shared" si="168"/>
        <v>5865</v>
      </c>
    </row>
    <row r="1522" spans="1:25">
      <c r="A1522" s="156" t="e" cm="1">
        <f t="array" aca="1" ref="A1522" ca="1">_xlfn.IFS(E1522=$AB$42,$AC$42,E1522=$AB$43,$AC$43,E1522=$AB$44,$AC$44,E1522=$AB$45,$AC$45,E1522=$AB$46,$AC$46,E1522=$AB$47,$AC$47,E1522=$AB$48,$AC$48,E1522=$AB$49,$AC$49,E1522=$AB$50,$AC$50,E1522=$AB$51,$AC$51,E1522=$AB$52,$AC$52,E1522=$AB$53,$AC$53,E1522=$AB$54,$AC$54,E1522=$AB$55,$AC$55,E1522=$AB$56,$AC$56,E1522=$AB$57,$AC$57,E1522=$AB$58,$AC$58,E1522=$AB$59,$AC$59,E1522=$AB$60,$AC$60,E1522=$AB$61,$AC$61,E1522=$AB$62,$AC$62,E1522=$AB$63,$AC$63,E1522=$AB$64,$AC$64,E1522=$AB$65,$AC$65,E1522=$AB$66,$AC$66,TRUE,"0")</f>
        <v>#NAME?</v>
      </c>
      <c r="C1522" s="161" t="str" cm="1">
        <f t="array" ref="C1522">_xlfn.IFS(E1522=$AB$42,$AF$42,E1522=$AB$43,$AF$43,E1522=$AB$44,$AF$44,E1522=$AB$45,$AF$45,E1522=$AB$46,$AF$46,E1522=$AB$47,$AF$47,E1522=$AB$48,$AF$48,E1522=$AB$49,$AF$49,E1522=$AB$50,$AF$50,E1522=$AB$51,$AF$51,E1522=$AB$52,$AF$52,E1522=$AB$53,$AF$53,E1522=$AB$54,$AF$54,E1522=$AB$55,$AF$55,E1522=$AB$56,$AF$56,E1522=$AB$57,$AF$57,E1522=$AB$58,$AF$58,E1522=$AB$59,$AF$59,E1522=$AB$60,$AF$60,E1522=$AB$61,$AF$61,E1522=$AB$62,$AF$62,E1522=$AB$63,$AF$63,E1522=$AB$64,$AF$64,E1522=$AB$65,$AF$65,E1522=$AB$66,$AF$66,TRUE,"0")</f>
        <v>if 0-0, BACK+ 0.5 GOALS  @ 1.15+odds.  or @ 40 mins</v>
      </c>
      <c r="D1522" s="270" t="str" cm="1">
        <f t="array" ref="D1522">_xlfn.IFS(E1522=$AB$42,$AD$42,E1522=$AB$43,$AD$43,E1522=$AB$44,$AD$44,E1522=$AB$45,$AD$45,E1522=$AB$46,$AD$46,E1522=$AB$47,$AD$47,E1522=$AB$48,$AD$48,E1522=$AB$49,$AD$49,E1522=$AB$50,$AD$50,E1522=$AB$51,$AD$51,E1522=$AB$52,$AD$52,E1522=$AB$53,$AD$53,E1522=$AB$54,$AD$54,E1522=$AB$55,$AD$55,E1522=$AB$56,$AD$56,E1522=$AB$57,$AD$57,E1522=$AB$58,$AD$58,E1522=$AB$59,$AD$59,E1522=$AB$60,$AD$60,E1522=$AB$61,$AD$61,E1522=$AB$62,$AD$62,E1522=$AB$63,$AD$63,E1522=$AB$64,$AD$64,E1522=$AB$65,$AD$65,E1522=$AB$66,$AD$66,TRUE,"0")</f>
        <v>IP</v>
      </c>
      <c r="E1522" s="2" t="s">
        <v>270</v>
      </c>
      <c r="F1522" s="2" t="s">
        <v>626</v>
      </c>
      <c r="G1522" s="2" t="s">
        <v>627</v>
      </c>
      <c r="H1522" s="3">
        <v>45425.708333333336</v>
      </c>
      <c r="I1522" s="2" t="s">
        <v>635</v>
      </c>
      <c r="J1522" s="2" t="s">
        <v>756</v>
      </c>
      <c r="K1522" s="2">
        <v>60</v>
      </c>
      <c r="L1522" s="2">
        <v>0</v>
      </c>
      <c r="M1522" s="2">
        <v>20</v>
      </c>
      <c r="N1522" s="2">
        <v>35</v>
      </c>
      <c r="O1522" s="2">
        <v>0</v>
      </c>
      <c r="P1522" s="2"/>
      <c r="Q1522" s="2" t="s">
        <v>96</v>
      </c>
      <c r="R1522" s="10" t="s">
        <v>221</v>
      </c>
      <c r="S1522" s="10" t="s">
        <v>221</v>
      </c>
      <c r="T1522" s="188">
        <v>1000</v>
      </c>
      <c r="U1522" s="8">
        <f t="shared" si="165"/>
        <v>-1000</v>
      </c>
      <c r="V1522" s="234">
        <f t="shared" si="169"/>
        <v>158964.15524616028</v>
      </c>
      <c r="W1522" s="15">
        <v>25</v>
      </c>
      <c r="X1522" s="8">
        <f t="shared" si="167"/>
        <v>-25</v>
      </c>
      <c r="Y1522" s="233">
        <f t="shared" si="168"/>
        <v>5840</v>
      </c>
    </row>
    <row r="1523" spans="1:25">
      <c r="A1523" s="156" t="e" cm="1">
        <f t="array" aca="1" ref="A1523" ca="1">_xlfn.IFS(E1523=$AB$42,$AC$42,E1523=$AB$43,$AC$43,E1523=$AB$44,$AC$44,E1523=$AB$45,$AC$45,E1523=$AB$46,$AC$46,E1523=$AB$47,$AC$47,E1523=$AB$48,$AC$48,E1523=$AB$49,$AC$49,E1523=$AB$50,$AC$50,E1523=$AB$51,$AC$51,E1523=$AB$52,$AC$52,E1523=$AB$53,$AC$53,E1523=$AB$54,$AC$54,E1523=$AB$55,$AC$55,E1523=$AB$56,$AC$56,E1523=$AB$57,$AC$57,E1523=$AB$58,$AC$58,E1523=$AB$59,$AC$59,E1523=$AB$60,$AC$60,E1523=$AB$61,$AC$61,E1523=$AB$62,$AC$62,E1523=$AB$63,$AC$63,E1523=$AB$64,$AC$64,E1523=$AB$65,$AC$65,E1523=$AB$66,$AC$66,TRUE,"0")</f>
        <v>#NAME?</v>
      </c>
      <c r="C1523" s="161" t="str" cm="1">
        <f t="array" ref="C1523">_xlfn.IFS(E1523=$AB$42,$AF$42,E1523=$AB$43,$AF$43,E1523=$AB$44,$AF$44,E1523=$AB$45,$AF$45,E1523=$AB$46,$AF$46,E1523=$AB$47,$AF$47,E1523=$AB$48,$AF$48,E1523=$AB$49,$AF$49,E1523=$AB$50,$AF$50,E1523=$AB$51,$AF$51,E1523=$AB$52,$AF$52,E1523=$AB$53,$AF$53,E1523=$AB$54,$AF$54,E1523=$AB$55,$AF$55,E1523=$AB$56,$AF$56,E1523=$AB$57,$AF$57,E1523=$AB$58,$AF$58,E1523=$AB$59,$AF$59,E1523=$AB$60,$AF$60,E1523=$AB$61,$AF$61,E1523=$AB$62,$AF$62,E1523=$AB$63,$AF$63,E1523=$AB$64,$AF$64,E1523=$AB$65,$AF$65,E1523=$AB$66,$AF$66,TRUE,"0")</f>
        <v>if 0-0, BACK+ 0.5 GOALS  @ 1.15+odds.  or @ 40 mins</v>
      </c>
      <c r="D1523" s="270" t="str" cm="1">
        <f t="array" ref="D1523">_xlfn.IFS(E1523=$AB$42,$AD$42,E1523=$AB$43,$AD$43,E1523=$AB$44,$AD$44,E1523=$AB$45,$AD$45,E1523=$AB$46,$AD$46,E1523=$AB$47,$AD$47,E1523=$AB$48,$AD$48,E1523=$AB$49,$AD$49,E1523=$AB$50,$AD$50,E1523=$AB$51,$AD$51,E1523=$AB$52,$AD$52,E1523=$AB$53,$AD$53,E1523=$AB$54,$AD$54,E1523=$AB$55,$AD$55,E1523=$AB$56,$AD$56,E1523=$AB$57,$AD$57,E1523=$AB$58,$AD$58,E1523=$AB$59,$AD$59,E1523=$AB$60,$AD$60,E1523=$AB$61,$AD$61,E1523=$AB$62,$AD$62,E1523=$AB$63,$AD$63,E1523=$AB$64,$AD$64,E1523=$AB$65,$AD$65,E1523=$AB$66,$AD$66,TRUE,"0")</f>
        <v>IP</v>
      </c>
      <c r="E1523" s="2" t="s">
        <v>270</v>
      </c>
      <c r="F1523" s="2" t="s">
        <v>67</v>
      </c>
      <c r="G1523" s="2" t="s">
        <v>68</v>
      </c>
      <c r="H1523" s="3">
        <v>45425.8125</v>
      </c>
      <c r="I1523" s="2" t="s">
        <v>265</v>
      </c>
      <c r="J1523" s="2" t="s">
        <v>465</v>
      </c>
      <c r="K1523" s="2">
        <v>60</v>
      </c>
      <c r="L1523" s="2">
        <v>0</v>
      </c>
      <c r="M1523" s="2">
        <v>20</v>
      </c>
      <c r="N1523" s="2">
        <v>27</v>
      </c>
      <c r="O1523" s="2">
        <v>2.4900000000000002</v>
      </c>
      <c r="P1523" s="2"/>
      <c r="Q1523" s="2" t="s">
        <v>95</v>
      </c>
      <c r="R1523" s="10" t="s">
        <v>221</v>
      </c>
      <c r="S1523" s="10" t="s">
        <v>210</v>
      </c>
      <c r="T1523" s="188">
        <v>1000</v>
      </c>
      <c r="U1523" s="8">
        <f t="shared" si="165"/>
        <v>180</v>
      </c>
      <c r="V1523" s="234">
        <f t="shared" si="169"/>
        <v>159144.15524616028</v>
      </c>
      <c r="W1523" s="15">
        <v>25</v>
      </c>
      <c r="X1523" s="8">
        <f t="shared" si="167"/>
        <v>4.5</v>
      </c>
      <c r="Y1523" s="233">
        <f t="shared" si="168"/>
        <v>5844.5</v>
      </c>
    </row>
    <row r="1524" spans="1:25">
      <c r="A1524" s="156" t="e" cm="1">
        <f t="array" aca="1" ref="A1524" ca="1">_xlfn.IFS(E1524=$AB$42,$AC$42,E1524=$AB$43,$AC$43,E1524=$AB$44,$AC$44,E1524=$AB$45,$AC$45,E1524=$AB$46,$AC$46,E1524=$AB$47,$AC$47,E1524=$AB$48,$AC$48,E1524=$AB$49,$AC$49,E1524=$AB$50,$AC$50,E1524=$AB$51,$AC$51,E1524=$AB$52,$AC$52,E1524=$AB$53,$AC$53,E1524=$AB$54,$AC$54,E1524=$AB$55,$AC$55,E1524=$AB$56,$AC$56,E1524=$AB$57,$AC$57,E1524=$AB$58,$AC$58,E1524=$AB$59,$AC$59,E1524=$AB$60,$AC$60,E1524=$AB$61,$AC$61,E1524=$AB$62,$AC$62,E1524=$AB$63,$AC$63,E1524=$AB$64,$AC$64,E1524=$AB$65,$AC$65,E1524=$AB$66,$AC$66,TRUE,"0")</f>
        <v>#NAME?</v>
      </c>
      <c r="C1524" s="161" t="str" cm="1">
        <f t="array" ref="C1524">_xlfn.IFS(E1524=$AB$42,$AF$42,E1524=$AB$43,$AF$43,E1524=$AB$44,$AF$44,E1524=$AB$45,$AF$45,E1524=$AB$46,$AF$46,E1524=$AB$47,$AF$47,E1524=$AB$48,$AF$48,E1524=$AB$49,$AF$49,E1524=$AB$50,$AF$50,E1524=$AB$51,$AF$51,E1524=$AB$52,$AF$52,E1524=$AB$53,$AF$53,E1524=$AB$54,$AF$54,E1524=$AB$55,$AF$55,E1524=$AB$56,$AF$56,E1524=$AB$57,$AF$57,E1524=$AB$58,$AF$58,E1524=$AB$59,$AF$59,E1524=$AB$60,$AF$60,E1524=$AB$61,$AF$61,E1524=$AB$62,$AF$62,E1524=$AB$63,$AF$63,E1524=$AB$64,$AF$64,E1524=$AB$65,$AF$65,E1524=$AB$66,$AF$66,TRUE,"0")</f>
        <v>40 mins Back ANother Goal</v>
      </c>
      <c r="D1524" s="270" t="str" cm="1">
        <f t="array" ref="D1524">_xlfn.IFS(E1524=$AB$42,$AD$42,E1524=$AB$43,$AD$43,E1524=$AB$44,$AD$44,E1524=$AB$45,$AD$45,E1524=$AB$46,$AD$46,E1524=$AB$47,$AD$47,E1524=$AB$48,$AD$48,E1524=$AB$49,$AD$49,E1524=$AB$50,$AD$50,E1524=$AB$51,$AD$51,E1524=$AB$52,$AD$52,E1524=$AB$53,$AD$53,E1524=$AB$54,$AD$54,E1524=$AB$55,$AD$55,E1524=$AB$56,$AD$56,E1524=$AB$57,$AD$57,E1524=$AB$58,$AD$58,E1524=$AB$59,$AD$59,E1524=$AB$60,$AD$60,E1524=$AB$61,$AD$61,E1524=$AB$62,$AD$62,E1524=$AB$63,$AD$63,E1524=$AB$64,$AD$64,E1524=$AB$65,$AD$65,E1524=$AB$66,$AD$66,TRUE,"0")</f>
        <v xml:space="preserve">  BANG</v>
      </c>
      <c r="E1524" s="2" t="s">
        <v>792</v>
      </c>
      <c r="F1524" s="2" t="s">
        <v>6</v>
      </c>
      <c r="G1524" s="2" t="s">
        <v>62</v>
      </c>
      <c r="H1524" s="3">
        <v>45425.833333333336</v>
      </c>
      <c r="I1524" s="2" t="s">
        <v>102</v>
      </c>
      <c r="J1524" s="2" t="s">
        <v>285</v>
      </c>
      <c r="K1524" s="2">
        <v>2.4</v>
      </c>
      <c r="L1524" s="2">
        <v>100</v>
      </c>
      <c r="M1524" s="2">
        <v>80</v>
      </c>
      <c r="N1524" s="2">
        <v>61</v>
      </c>
      <c r="O1524" s="2">
        <v>20</v>
      </c>
      <c r="P1524" s="2"/>
      <c r="Q1524" s="2" t="s">
        <v>95</v>
      </c>
      <c r="R1524" s="10" t="s">
        <v>223</v>
      </c>
      <c r="S1524" s="10" t="s">
        <v>279</v>
      </c>
      <c r="T1524" s="188">
        <v>1000</v>
      </c>
      <c r="U1524" s="8">
        <f t="shared" si="165"/>
        <v>180</v>
      </c>
      <c r="V1524" s="234">
        <f t="shared" si="169"/>
        <v>159324.15524616028</v>
      </c>
      <c r="W1524" s="15">
        <v>25</v>
      </c>
      <c r="X1524" s="8">
        <f t="shared" si="167"/>
        <v>4.5</v>
      </c>
      <c r="Y1524" s="233">
        <f t="shared" si="168"/>
        <v>5849</v>
      </c>
    </row>
    <row r="1525" spans="1:25">
      <c r="A1525" s="156" t="e" cm="1">
        <f t="array" aca="1" ref="A1525" ca="1">_xlfn.IFS(E1525=$AB$42,$AC$42,E1525=$AB$43,$AC$43,E1525=$AB$44,$AC$44,E1525=$AB$45,$AC$45,E1525=$AB$46,$AC$46,E1525=$AB$47,$AC$47,E1525=$AB$48,$AC$48,E1525=$AB$49,$AC$49,E1525=$AB$50,$AC$50,E1525=$AB$51,$AC$51,E1525=$AB$52,$AC$52,E1525=$AB$53,$AC$53,E1525=$AB$54,$AC$54,E1525=$AB$55,$AC$55,E1525=$AB$56,$AC$56,E1525=$AB$57,$AC$57,E1525=$AB$58,$AC$58,E1525=$AB$59,$AC$59,E1525=$AB$60,$AC$60,E1525=$AB$61,$AC$61,E1525=$AB$62,$AC$62,E1525=$AB$63,$AC$63,E1525=$AB$64,$AC$64,E1525=$AB$65,$AC$65,E1525=$AB$66,$AC$66,TRUE,"0")</f>
        <v>#NAME?</v>
      </c>
      <c r="C1525" s="161" t="str" cm="1">
        <f t="array" ref="C1525">_xlfn.IFS(E1525=$AB$42,$AF$42,E1525=$AB$43,$AF$43,E1525=$AB$44,$AF$44,E1525=$AB$45,$AF$45,E1525=$AB$46,$AF$46,E1525=$AB$47,$AF$47,E1525=$AB$48,$AF$48,E1525=$AB$49,$AF$49,E1525=$AB$50,$AF$50,E1525=$AB$51,$AF$51,E1525=$AB$52,$AF$52,E1525=$AB$53,$AF$53,E1525=$AB$54,$AF$54,E1525=$AB$55,$AF$55,E1525=$AB$56,$AF$56,E1525=$AB$57,$AF$57,E1525=$AB$58,$AF$58,E1525=$AB$59,$AF$59,E1525=$AB$60,$AF$60,E1525=$AB$61,$AF$61,E1525=$AB$62,$AF$62,E1525=$AB$63,$AF$63,E1525=$AB$64,$AF$64,E1525=$AB$65,$AF$65,E1525=$AB$66,$AF$66,TRUE,"0")</f>
        <v>40 mins Back ANother Goal</v>
      </c>
      <c r="D1525" s="270" t="str" cm="1">
        <f t="array" ref="D1525">_xlfn.IFS(E1525=$AB$42,$AD$42,E1525=$AB$43,$AD$43,E1525=$AB$44,$AD$44,E1525=$AB$45,$AD$45,E1525=$AB$46,$AD$46,E1525=$AB$47,$AD$47,E1525=$AB$48,$AD$48,E1525=$AB$49,$AD$49,E1525=$AB$50,$AD$50,E1525=$AB$51,$AD$51,E1525=$AB$52,$AD$52,E1525=$AB$53,$AD$53,E1525=$AB$54,$AD$54,E1525=$AB$55,$AD$55,E1525=$AB$56,$AD$56,E1525=$AB$57,$AD$57,E1525=$AB$58,$AD$58,E1525=$AB$59,$AD$59,E1525=$AB$60,$AD$60,E1525=$AB$61,$AD$61,E1525=$AB$62,$AD$62,E1525=$AB$63,$AD$63,E1525=$AB$64,$AD$64,E1525=$AB$65,$AD$65,E1525=$AB$66,$AD$66,TRUE,"0")</f>
        <v xml:space="preserve">  BANG</v>
      </c>
      <c r="E1525" s="2" t="s">
        <v>726</v>
      </c>
      <c r="F1525" s="2" t="s">
        <v>6</v>
      </c>
      <c r="G1525" s="2" t="s">
        <v>62</v>
      </c>
      <c r="H1525" s="3">
        <v>45425.833333333336</v>
      </c>
      <c r="I1525" s="2" t="s">
        <v>102</v>
      </c>
      <c r="J1525" s="2" t="s">
        <v>285</v>
      </c>
      <c r="K1525" s="2">
        <v>100</v>
      </c>
      <c r="L1525" s="2">
        <v>20</v>
      </c>
      <c r="M1525" s="2">
        <v>2.4</v>
      </c>
      <c r="N1525" s="2">
        <v>61</v>
      </c>
      <c r="O1525" s="2"/>
      <c r="P1525" s="2"/>
      <c r="Q1525" s="2" t="s">
        <v>95</v>
      </c>
      <c r="R1525" s="10" t="s">
        <v>223</v>
      </c>
      <c r="S1525" s="10" t="s">
        <v>279</v>
      </c>
      <c r="T1525" s="188">
        <v>1000</v>
      </c>
      <c r="U1525" s="8">
        <f t="shared" si="165"/>
        <v>180</v>
      </c>
      <c r="V1525" s="234">
        <f t="shared" si="169"/>
        <v>159504.15524616028</v>
      </c>
      <c r="W1525" s="15">
        <v>25</v>
      </c>
      <c r="X1525" s="8">
        <f t="shared" si="167"/>
        <v>4.5</v>
      </c>
      <c r="Y1525" s="233">
        <f t="shared" si="168"/>
        <v>5853.5</v>
      </c>
    </row>
    <row r="1526" spans="1:25">
      <c r="A1526" s="156" t="e" cm="1">
        <f t="array" aca="1" ref="A1526" ca="1">_xlfn.IFS(E1526=$AB$42,$AC$42,E1526=$AB$43,$AC$43,E1526=$AB$44,$AC$44,E1526=$AB$45,$AC$45,E1526=$AB$46,$AC$46,E1526=$AB$47,$AC$47,E1526=$AB$48,$AC$48,E1526=$AB$49,$AC$49,E1526=$AB$50,$AC$50,E1526=$AB$51,$AC$51,E1526=$AB$52,$AC$52,E1526=$AB$53,$AC$53,E1526=$AB$54,$AC$54,E1526=$AB$55,$AC$55,E1526=$AB$56,$AC$56,E1526=$AB$57,$AC$57,E1526=$AB$58,$AC$58,E1526=$AB$59,$AC$59,E1526=$AB$60,$AC$60,E1526=$AB$61,$AC$61,E1526=$AB$62,$AC$62,E1526=$AB$63,$AC$63,E1526=$AB$64,$AC$64,E1526=$AB$65,$AC$65,E1526=$AB$66,$AC$66,TRUE,"0")</f>
        <v>#NAME?</v>
      </c>
      <c r="C1526" s="161" t="str" cm="1">
        <f t="array" ref="C1526">_xlfn.IFS(E1526=$AB$42,$AF$42,E1526=$AB$43,$AF$43,E1526=$AB$44,$AF$44,E1526=$AB$45,$AF$45,E1526=$AB$46,$AF$46,E1526=$AB$47,$AF$47,E1526=$AB$48,$AF$48,E1526=$AB$49,$AF$49,E1526=$AB$50,$AF$50,E1526=$AB$51,$AF$51,E1526=$AB$52,$AF$52,E1526=$AB$53,$AF$53,E1526=$AB$54,$AF$54,E1526=$AB$55,$AF$55,E1526=$AB$56,$AF$56,E1526=$AB$57,$AF$57,E1526=$AB$58,$AF$58,E1526=$AB$59,$AF$59,E1526=$AB$60,$AF$60,E1526=$AB$61,$AF$61,E1526=$AB$62,$AF$62,E1526=$AB$63,$AF$63,E1526=$AB$64,$AF$64,E1526=$AB$65,$AF$65,E1526=$AB$66,$AF$66,TRUE,"0")</f>
        <v>B4 match BACK FT +1.5 goals. X AFTER  GOAL</v>
      </c>
      <c r="D1526" s="270" t="str" cm="1">
        <f t="array" ref="D1526">_xlfn.IFS(E1526=$AB$42,$AD$42,E1526=$AB$43,$AD$43,E1526=$AB$44,$AD$44,E1526=$AB$45,$AD$45,E1526=$AB$46,$AD$46,E1526=$AB$47,$AD$47,E1526=$AB$48,$AD$48,E1526=$AB$49,$AD$49,E1526=$AB$50,$AD$50,E1526=$AB$51,$AD$51,E1526=$AB$52,$AD$52,E1526=$AB$53,$AD$53,E1526=$AB$54,$AD$54,E1526=$AB$55,$AD$55,E1526=$AB$56,$AD$56,E1526=$AB$57,$AD$57,E1526=$AB$58,$AD$58,E1526=$AB$59,$AD$59,E1526=$AB$60,$AD$60,E1526=$AB$61,$AD$61,E1526=$AB$62,$AD$62,E1526=$AB$63,$AD$63,E1526=$AB$64,$AD$64,E1526=$AB$65,$AD$65,E1526=$AB$66,$AD$66,TRUE,"0")</f>
        <v xml:space="preserve">BFM </v>
      </c>
      <c r="E1526" s="2" t="s">
        <v>531</v>
      </c>
      <c r="F1526" s="2" t="s">
        <v>6</v>
      </c>
      <c r="G1526" s="2" t="s">
        <v>62</v>
      </c>
      <c r="H1526" s="3">
        <v>45425.833333333336</v>
      </c>
      <c r="I1526" s="2" t="s">
        <v>102</v>
      </c>
      <c r="J1526" s="2" t="s">
        <v>285</v>
      </c>
      <c r="K1526" s="2">
        <v>5.5</v>
      </c>
      <c r="L1526" s="2">
        <v>36</v>
      </c>
      <c r="M1526" s="2">
        <v>3.47</v>
      </c>
      <c r="N1526" s="2">
        <v>33</v>
      </c>
      <c r="O1526" s="2">
        <v>2</v>
      </c>
      <c r="P1526" s="2">
        <v>18</v>
      </c>
      <c r="Q1526" s="2" t="s">
        <v>95</v>
      </c>
      <c r="R1526" s="10" t="s">
        <v>223</v>
      </c>
      <c r="S1526" s="10" t="s">
        <v>279</v>
      </c>
      <c r="T1526" s="188">
        <v>1000</v>
      </c>
      <c r="U1526" s="8">
        <f t="shared" si="165"/>
        <v>180</v>
      </c>
      <c r="V1526" s="234">
        <f t="shared" si="169"/>
        <v>159684.15524616028</v>
      </c>
      <c r="W1526" s="15">
        <v>25</v>
      </c>
      <c r="X1526" s="8">
        <f t="shared" si="167"/>
        <v>4.5</v>
      </c>
      <c r="Y1526" s="233">
        <f t="shared" si="168"/>
        <v>5858</v>
      </c>
    </row>
    <row r="1527" spans="1:25">
      <c r="A1527" s="156" t="e" cm="1">
        <f t="array" aca="1" ref="A1527" ca="1">_xlfn.IFS(E1527=$AB$42,$AC$42,E1527=$AB$43,$AC$43,E1527=$AB$44,$AC$44,E1527=$AB$45,$AC$45,E1527=$AB$46,$AC$46,E1527=$AB$47,$AC$47,E1527=$AB$48,$AC$48,E1527=$AB$49,$AC$49,E1527=$AB$50,$AC$50,E1527=$AB$51,$AC$51,E1527=$AB$52,$AC$52,E1527=$AB$53,$AC$53,E1527=$AB$54,$AC$54,E1527=$AB$55,$AC$55,E1527=$AB$56,$AC$56,E1527=$AB$57,$AC$57,E1527=$AB$58,$AC$58,E1527=$AB$59,$AC$59,E1527=$AB$60,$AC$60,E1527=$AB$61,$AC$61,E1527=$AB$62,$AC$62,E1527=$AB$63,$AC$63,E1527=$AB$64,$AC$64,E1527=$AB$65,$AC$65,E1527=$AB$66,$AC$66,TRUE,"0")</f>
        <v>#NAME?</v>
      </c>
      <c r="C1527" s="161" t="str" cm="1">
        <f t="array" ref="C1527">_xlfn.IFS(E1527=$AB$42,$AF$42,E1527=$AB$43,$AF$43,E1527=$AB$44,$AF$44,E1527=$AB$45,$AF$45,E1527=$AB$46,$AF$46,E1527=$AB$47,$AF$47,E1527=$AB$48,$AF$48,E1527=$AB$49,$AF$49,E1527=$AB$50,$AF$50,E1527=$AB$51,$AF$51,E1527=$AB$52,$AF$52,E1527=$AB$53,$AF$53,E1527=$AB$54,$AF$54,E1527=$AB$55,$AF$55,E1527=$AB$56,$AF$56,E1527=$AB$57,$AF$57,E1527=$AB$58,$AF$58,E1527=$AB$59,$AF$59,E1527=$AB$60,$AF$60,E1527=$AB$61,$AF$61,E1527=$AB$62,$AF$62,E1527=$AB$63,$AF$63,E1527=$AB$64,$AF$64,E1527=$AB$65,$AF$65,E1527=$AB$66,$AF$66,TRUE,"0")</f>
        <v>if 0-0, BACK+ 0.5 GOALS  @ 1.15+odds.  or @ 40 mins</v>
      </c>
      <c r="D1527" s="270" t="str" cm="1">
        <f t="array" ref="D1527">_xlfn.IFS(E1527=$AB$42,$AD$42,E1527=$AB$43,$AD$43,E1527=$AB$44,$AD$44,E1527=$AB$45,$AD$45,E1527=$AB$46,$AD$46,E1527=$AB$47,$AD$47,E1527=$AB$48,$AD$48,E1527=$AB$49,$AD$49,E1527=$AB$50,$AD$50,E1527=$AB$51,$AD$51,E1527=$AB$52,$AD$52,E1527=$AB$53,$AD$53,E1527=$AB$54,$AD$54,E1527=$AB$55,$AD$55,E1527=$AB$56,$AD$56,E1527=$AB$57,$AD$57,E1527=$AB$58,$AD$58,E1527=$AB$59,$AD$59,E1527=$AB$60,$AD$60,E1527=$AB$61,$AD$61,E1527=$AB$62,$AD$62,E1527=$AB$63,$AD$63,E1527=$AB$64,$AD$64,E1527=$AB$65,$AD$65,E1527=$AB$66,$AD$66,TRUE,"0")</f>
        <v>IP</v>
      </c>
      <c r="E1527" s="2" t="s">
        <v>270</v>
      </c>
      <c r="F1527" s="2" t="s">
        <v>6</v>
      </c>
      <c r="G1527" s="2" t="s">
        <v>62</v>
      </c>
      <c r="H1527" s="3">
        <v>45425.833333333336</v>
      </c>
      <c r="I1527" s="2" t="s">
        <v>102</v>
      </c>
      <c r="J1527" s="2" t="s">
        <v>285</v>
      </c>
      <c r="K1527" s="2">
        <v>66</v>
      </c>
      <c r="L1527" s="2">
        <v>0</v>
      </c>
      <c r="M1527" s="2">
        <v>20</v>
      </c>
      <c r="N1527" s="2">
        <v>35</v>
      </c>
      <c r="O1527" s="2">
        <v>2.96</v>
      </c>
      <c r="P1527" s="2"/>
      <c r="Q1527" s="2" t="s">
        <v>95</v>
      </c>
      <c r="R1527" s="10" t="s">
        <v>223</v>
      </c>
      <c r="S1527" s="10" t="s">
        <v>279</v>
      </c>
      <c r="T1527" s="188">
        <v>1000</v>
      </c>
      <c r="U1527" s="8">
        <f t="shared" si="165"/>
        <v>180</v>
      </c>
      <c r="V1527" s="234">
        <f t="shared" si="169"/>
        <v>159864.15524616028</v>
      </c>
      <c r="W1527" s="15">
        <v>25</v>
      </c>
      <c r="X1527" s="8">
        <f t="shared" si="167"/>
        <v>4.5</v>
      </c>
      <c r="Y1527" s="233">
        <f t="shared" si="168"/>
        <v>5862.5</v>
      </c>
    </row>
    <row r="1528" spans="1:25">
      <c r="A1528" s="156" t="e" cm="1">
        <f t="array" aca="1" ref="A1528" ca="1">_xlfn.IFS(E1528=$AB$42,$AC$42,E1528=$AB$43,$AC$43,E1528=$AB$44,$AC$44,E1528=$AB$45,$AC$45,E1528=$AB$46,$AC$46,E1528=$AB$47,$AC$47,E1528=$AB$48,$AC$48,E1528=$AB$49,$AC$49,E1528=$AB$50,$AC$50,E1528=$AB$51,$AC$51,E1528=$AB$52,$AC$52,E1528=$AB$53,$AC$53,E1528=$AB$54,$AC$54,E1528=$AB$55,$AC$55,E1528=$AB$56,$AC$56,E1528=$AB$57,$AC$57,E1528=$AB$58,$AC$58,E1528=$AB$59,$AC$59,E1528=$AB$60,$AC$60,E1528=$AB$61,$AC$61,E1528=$AB$62,$AC$62,E1528=$AB$63,$AC$63,E1528=$AB$64,$AC$64,E1528=$AB$65,$AC$65,E1528=$AB$66,$AC$66,TRUE,"0")</f>
        <v>#NAME?</v>
      </c>
      <c r="C1528" s="161" t="str" cm="1">
        <f t="array" ref="C1528">_xlfn.IFS(E1528=$AB$42,$AF$42,E1528=$AB$43,$AF$43,E1528=$AB$44,$AF$44,E1528=$AB$45,$AF$45,E1528=$AB$46,$AF$46,E1528=$AB$47,$AF$47,E1528=$AB$48,$AF$48,E1528=$AB$49,$AF$49,E1528=$AB$50,$AF$50,E1528=$AB$51,$AF$51,E1528=$AB$52,$AF$52,E1528=$AB$53,$AF$53,E1528=$AB$54,$AF$54,E1528=$AB$55,$AF$55,E1528=$AB$56,$AF$56,E1528=$AB$57,$AF$57,E1528=$AB$58,$AF$58,E1528=$AB$59,$AF$59,E1528=$AB$60,$AF$60,E1528=$AB$61,$AF$61,E1528=$AB$62,$AF$62,E1528=$AB$63,$AF$63,E1528=$AB$64,$AF$64,E1528=$AB$65,$AF$65,E1528=$AB$66,$AF$66,TRUE,"0")</f>
        <v>40 mins Back ANother Goal</v>
      </c>
      <c r="D1528" s="270" t="str" cm="1">
        <f t="array" ref="D1528">_xlfn.IFS(E1528=$AB$42,$AD$42,E1528=$AB$43,$AD$43,E1528=$AB$44,$AD$44,E1528=$AB$45,$AD$45,E1528=$AB$46,$AD$46,E1528=$AB$47,$AD$47,E1528=$AB$48,$AD$48,E1528=$AB$49,$AD$49,E1528=$AB$50,$AD$50,E1528=$AB$51,$AD$51,E1528=$AB$52,$AD$52,E1528=$AB$53,$AD$53,E1528=$AB$54,$AD$54,E1528=$AB$55,$AD$55,E1528=$AB$56,$AD$56,E1528=$AB$57,$AD$57,E1528=$AB$58,$AD$58,E1528=$AB$59,$AD$59,E1528=$AB$60,$AD$60,E1528=$AB$61,$AD$61,E1528=$AB$62,$AD$62,E1528=$AB$63,$AD$63,E1528=$AB$64,$AD$64,E1528=$AB$65,$AD$65,E1528=$AB$66,$AD$66,TRUE,"0")</f>
        <v xml:space="preserve">  BANG</v>
      </c>
      <c r="E1528" s="2" t="s">
        <v>792</v>
      </c>
      <c r="F1528" s="2" t="s">
        <v>13</v>
      </c>
      <c r="G1528" s="2" t="s">
        <v>37</v>
      </c>
      <c r="H1528" s="3">
        <v>45426.8125</v>
      </c>
      <c r="I1528" s="2" t="s">
        <v>79</v>
      </c>
      <c r="J1528" s="2" t="s">
        <v>306</v>
      </c>
      <c r="K1528" s="2">
        <v>1.95</v>
      </c>
      <c r="L1528" s="2">
        <v>95</v>
      </c>
      <c r="M1528" s="2">
        <v>65</v>
      </c>
      <c r="N1528" s="2">
        <v>66</v>
      </c>
      <c r="O1528" s="2">
        <v>20</v>
      </c>
      <c r="P1528" s="2"/>
      <c r="Q1528" s="2" t="s">
        <v>95</v>
      </c>
      <c r="R1528" s="10" t="s">
        <v>223</v>
      </c>
      <c r="S1528" s="10" t="s">
        <v>208</v>
      </c>
      <c r="T1528" s="188">
        <v>1000</v>
      </c>
      <c r="U1528" s="8">
        <f t="shared" si="165"/>
        <v>180</v>
      </c>
      <c r="V1528" s="234">
        <f t="shared" si="169"/>
        <v>160044.15524616028</v>
      </c>
      <c r="W1528" s="15">
        <v>25</v>
      </c>
      <c r="X1528" s="8">
        <f t="shared" si="167"/>
        <v>4.5</v>
      </c>
      <c r="Y1528" s="233">
        <f t="shared" si="168"/>
        <v>5867</v>
      </c>
    </row>
    <row r="1529" spans="1:25">
      <c r="A1529" s="156" t="e" cm="1">
        <f t="array" aca="1" ref="A1529" ca="1">_xlfn.IFS(E1529=$AB$42,$AC$42,E1529=$AB$43,$AC$43,E1529=$AB$44,$AC$44,E1529=$AB$45,$AC$45,E1529=$AB$46,$AC$46,E1529=$AB$47,$AC$47,E1529=$AB$48,$AC$48,E1529=$AB$49,$AC$49,E1529=$AB$50,$AC$50,E1529=$AB$51,$AC$51,E1529=$AB$52,$AC$52,E1529=$AB$53,$AC$53,E1529=$AB$54,$AC$54,E1529=$AB$55,$AC$55,E1529=$AB$56,$AC$56,E1529=$AB$57,$AC$57,E1529=$AB$58,$AC$58,E1529=$AB$59,$AC$59,E1529=$AB$60,$AC$60,E1529=$AB$61,$AC$61,E1529=$AB$62,$AC$62,E1529=$AB$63,$AC$63,E1529=$AB$64,$AC$64,E1529=$AB$65,$AC$65,E1529=$AB$66,$AC$66,TRUE,"0")</f>
        <v>#NAME?</v>
      </c>
      <c r="C1529" s="161" t="str" cm="1">
        <f t="array" ref="C1529">_xlfn.IFS(E1529=$AB$42,$AF$42,E1529=$AB$43,$AF$43,E1529=$AB$44,$AF$44,E1529=$AB$45,$AF$45,E1529=$AB$46,$AF$46,E1529=$AB$47,$AF$47,E1529=$AB$48,$AF$48,E1529=$AB$49,$AF$49,E1529=$AB$50,$AF$50,E1529=$AB$51,$AF$51,E1529=$AB$52,$AF$52,E1529=$AB$53,$AF$53,E1529=$AB$54,$AF$54,E1529=$AB$55,$AF$55,E1529=$AB$56,$AF$56,E1529=$AB$57,$AF$57,E1529=$AB$58,$AF$58,E1529=$AB$59,$AF$59,E1529=$AB$60,$AF$60,E1529=$AB$61,$AF$61,E1529=$AB$62,$AF$62,E1529=$AB$63,$AF$63,E1529=$AB$64,$AF$64,E1529=$AB$65,$AF$65,E1529=$AB$66,$AF$66,TRUE,"0")</f>
        <v>40 mins Back ANother Goal</v>
      </c>
      <c r="D1529" s="270" t="str" cm="1">
        <f t="array" ref="D1529">_xlfn.IFS(E1529=$AB$42,$AD$42,E1529=$AB$43,$AD$43,E1529=$AB$44,$AD$44,E1529=$AB$45,$AD$45,E1529=$AB$46,$AD$46,E1529=$AB$47,$AD$47,E1529=$AB$48,$AD$48,E1529=$AB$49,$AD$49,E1529=$AB$50,$AD$50,E1529=$AB$51,$AD$51,E1529=$AB$52,$AD$52,E1529=$AB$53,$AD$53,E1529=$AB$54,$AD$54,E1529=$AB$55,$AD$55,E1529=$AB$56,$AD$56,E1529=$AB$57,$AD$57,E1529=$AB$58,$AD$58,E1529=$AB$59,$AD$59,E1529=$AB$60,$AD$60,E1529=$AB$61,$AD$61,E1529=$AB$62,$AD$62,E1529=$AB$63,$AD$63,E1529=$AB$64,$AD$64,E1529=$AB$65,$AD$65,E1529=$AB$66,$AD$66,TRUE,"0")</f>
        <v xml:space="preserve">  BANG</v>
      </c>
      <c r="E1529" s="2" t="s">
        <v>792</v>
      </c>
      <c r="F1529" s="2" t="s">
        <v>6</v>
      </c>
      <c r="G1529" s="2" t="s">
        <v>62</v>
      </c>
      <c r="H1529" s="3">
        <v>45426.833333333336</v>
      </c>
      <c r="I1529" s="2" t="s">
        <v>116</v>
      </c>
      <c r="J1529" s="2" t="s">
        <v>72</v>
      </c>
      <c r="K1529" s="2">
        <v>2.1</v>
      </c>
      <c r="L1529" s="2">
        <v>95</v>
      </c>
      <c r="M1529" s="2">
        <v>70</v>
      </c>
      <c r="N1529" s="2">
        <v>60</v>
      </c>
      <c r="O1529" s="2">
        <v>20</v>
      </c>
      <c r="P1529" s="2"/>
      <c r="Q1529" s="2" t="s">
        <v>95</v>
      </c>
      <c r="R1529" s="10" t="s">
        <v>221</v>
      </c>
      <c r="S1529" s="10" t="s">
        <v>217</v>
      </c>
      <c r="T1529" s="188">
        <v>1000</v>
      </c>
      <c r="U1529" s="8">
        <f t="shared" si="165"/>
        <v>180</v>
      </c>
      <c r="V1529" s="234">
        <f t="shared" si="169"/>
        <v>160224.15524616028</v>
      </c>
      <c r="W1529" s="15">
        <v>25</v>
      </c>
      <c r="X1529" s="8">
        <f t="shared" si="167"/>
        <v>4.5</v>
      </c>
      <c r="Y1529" s="233">
        <f t="shared" si="168"/>
        <v>5871.5</v>
      </c>
    </row>
    <row r="1530" spans="1:25">
      <c r="A1530" s="156" t="e" cm="1">
        <f t="array" aca="1" ref="A1530" ca="1">_xlfn.IFS(E1530=$AB$42,$AC$42,E1530=$AB$43,$AC$43,E1530=$AB$44,$AC$44,E1530=$AB$45,$AC$45,E1530=$AB$46,$AC$46,E1530=$AB$47,$AC$47,E1530=$AB$48,$AC$48,E1530=$AB$49,$AC$49,E1530=$AB$50,$AC$50,E1530=$AB$51,$AC$51,E1530=$AB$52,$AC$52,E1530=$AB$53,$AC$53,E1530=$AB$54,$AC$54,E1530=$AB$55,$AC$55,E1530=$AB$56,$AC$56,E1530=$AB$57,$AC$57,E1530=$AB$58,$AC$58,E1530=$AB$59,$AC$59,E1530=$AB$60,$AC$60,E1530=$AB$61,$AC$61,E1530=$AB$62,$AC$62,E1530=$AB$63,$AC$63,E1530=$AB$64,$AC$64,E1530=$AB$65,$AC$65,E1530=$AB$66,$AC$66,TRUE,"0")</f>
        <v>#NAME?</v>
      </c>
      <c r="C1530" s="161" t="str" cm="1">
        <f t="array" ref="C1530">_xlfn.IFS(E1530=$AB$42,$AF$42,E1530=$AB$43,$AF$43,E1530=$AB$44,$AF$44,E1530=$AB$45,$AF$45,E1530=$AB$46,$AF$46,E1530=$AB$47,$AF$47,E1530=$AB$48,$AF$48,E1530=$AB$49,$AF$49,E1530=$AB$50,$AF$50,E1530=$AB$51,$AF$51,E1530=$AB$52,$AF$52,E1530=$AB$53,$AF$53,E1530=$AB$54,$AF$54,E1530=$AB$55,$AF$55,E1530=$AB$56,$AF$56,E1530=$AB$57,$AF$57,E1530=$AB$58,$AF$58,E1530=$AB$59,$AF$59,E1530=$AB$60,$AF$60,E1530=$AB$61,$AF$61,E1530=$AB$62,$AF$62,E1530=$AB$63,$AF$63,E1530=$AB$64,$AF$64,E1530=$AB$65,$AF$65,E1530=$AB$66,$AF$66,TRUE,"0")</f>
        <v>40 mins Back ANother Goal</v>
      </c>
      <c r="D1530" s="270" t="str" cm="1">
        <f t="array" ref="D1530">_xlfn.IFS(E1530=$AB$42,$AD$42,E1530=$AB$43,$AD$43,E1530=$AB$44,$AD$44,E1530=$AB$45,$AD$45,E1530=$AB$46,$AD$46,E1530=$AB$47,$AD$47,E1530=$AB$48,$AD$48,E1530=$AB$49,$AD$49,E1530=$AB$50,$AD$50,E1530=$AB$51,$AD$51,E1530=$AB$52,$AD$52,E1530=$AB$53,$AD$53,E1530=$AB$54,$AD$54,E1530=$AB$55,$AD$55,E1530=$AB$56,$AD$56,E1530=$AB$57,$AD$57,E1530=$AB$58,$AD$58,E1530=$AB$59,$AD$59,E1530=$AB$60,$AD$60,E1530=$AB$61,$AD$61,E1530=$AB$62,$AD$62,E1530=$AB$63,$AD$63,E1530=$AB$64,$AD$64,E1530=$AB$65,$AD$65,E1530=$AB$66,$AD$66,TRUE,"0")</f>
        <v xml:space="preserve">  BANG</v>
      </c>
      <c r="E1530" s="2" t="s">
        <v>726</v>
      </c>
      <c r="F1530" s="2" t="s">
        <v>6</v>
      </c>
      <c r="G1530" s="2" t="s">
        <v>62</v>
      </c>
      <c r="H1530" s="3">
        <v>45426.833333333336</v>
      </c>
      <c r="I1530" s="2" t="s">
        <v>116</v>
      </c>
      <c r="J1530" s="2" t="s">
        <v>72</v>
      </c>
      <c r="K1530" s="2">
        <v>95</v>
      </c>
      <c r="L1530" s="2">
        <v>20</v>
      </c>
      <c r="M1530" s="2">
        <v>2.1</v>
      </c>
      <c r="N1530" s="2">
        <v>60</v>
      </c>
      <c r="O1530" s="2"/>
      <c r="P1530" s="2"/>
      <c r="Q1530" s="2" t="s">
        <v>95</v>
      </c>
      <c r="R1530" s="10" t="s">
        <v>221</v>
      </c>
      <c r="S1530" s="10" t="s">
        <v>217</v>
      </c>
      <c r="T1530" s="188">
        <v>1000</v>
      </c>
      <c r="U1530" s="8">
        <f t="shared" si="165"/>
        <v>180</v>
      </c>
      <c r="V1530" s="234">
        <f t="shared" si="169"/>
        <v>160404.15524616028</v>
      </c>
      <c r="W1530" s="15">
        <v>25</v>
      </c>
      <c r="X1530" s="8">
        <f t="shared" si="167"/>
        <v>4.5</v>
      </c>
      <c r="Y1530" s="233">
        <f t="shared" si="168"/>
        <v>5876</v>
      </c>
    </row>
    <row r="1531" spans="1:25">
      <c r="A1531" s="156" t="e" cm="1">
        <f t="array" aca="1" ref="A1531" ca="1">_xlfn.IFS(E1531=$AB$42,$AC$42,E1531=$AB$43,$AC$43,E1531=$AB$44,$AC$44,E1531=$AB$45,$AC$45,E1531=$AB$46,$AC$46,E1531=$AB$47,$AC$47,E1531=$AB$48,$AC$48,E1531=$AB$49,$AC$49,E1531=$AB$50,$AC$50,E1531=$AB$51,$AC$51,E1531=$AB$52,$AC$52,E1531=$AB$53,$AC$53,E1531=$AB$54,$AC$54,E1531=$AB$55,$AC$55,E1531=$AB$56,$AC$56,E1531=$AB$57,$AC$57,E1531=$AB$58,$AC$58,E1531=$AB$59,$AC$59,E1531=$AB$60,$AC$60,E1531=$AB$61,$AC$61,E1531=$AB$62,$AC$62,E1531=$AB$63,$AC$63,E1531=$AB$64,$AC$64,E1531=$AB$65,$AC$65,E1531=$AB$66,$AC$66,TRUE,"0")</f>
        <v>#NAME?</v>
      </c>
      <c r="C1531" s="161" t="str" cm="1">
        <f t="array" ref="C1531">_xlfn.IFS(E1531=$AB$42,$AF$42,E1531=$AB$43,$AF$43,E1531=$AB$44,$AF$44,E1531=$AB$45,$AF$45,E1531=$AB$46,$AF$46,E1531=$AB$47,$AF$47,E1531=$AB$48,$AF$48,E1531=$AB$49,$AF$49,E1531=$AB$50,$AF$50,E1531=$AB$51,$AF$51,E1531=$AB$52,$AF$52,E1531=$AB$53,$AF$53,E1531=$AB$54,$AF$54,E1531=$AB$55,$AF$55,E1531=$AB$56,$AF$56,E1531=$AB$57,$AF$57,E1531=$AB$58,$AF$58,E1531=$AB$59,$AF$59,E1531=$AB$60,$AF$60,E1531=$AB$61,$AF$61,E1531=$AB$62,$AF$62,E1531=$AB$63,$AF$63,E1531=$AB$64,$AF$64,E1531=$AB$65,$AF$65,E1531=$AB$66,$AF$66,TRUE,"0")</f>
        <v>B4 match BACK FT +1.5 goals. X AFTER  GOAL</v>
      </c>
      <c r="D1531" s="270" t="str" cm="1">
        <f t="array" ref="D1531">_xlfn.IFS(E1531=$AB$42,$AD$42,E1531=$AB$43,$AD$43,E1531=$AB$44,$AD$44,E1531=$AB$45,$AD$45,E1531=$AB$46,$AD$46,E1531=$AB$47,$AD$47,E1531=$AB$48,$AD$48,E1531=$AB$49,$AD$49,E1531=$AB$50,$AD$50,E1531=$AB$51,$AD$51,E1531=$AB$52,$AD$52,E1531=$AB$53,$AD$53,E1531=$AB$54,$AD$54,E1531=$AB$55,$AD$55,E1531=$AB$56,$AD$56,E1531=$AB$57,$AD$57,E1531=$AB$58,$AD$58,E1531=$AB$59,$AD$59,E1531=$AB$60,$AD$60,E1531=$AB$61,$AD$61,E1531=$AB$62,$AD$62,E1531=$AB$63,$AD$63,E1531=$AB$64,$AD$64,E1531=$AB$65,$AD$65,E1531=$AB$66,$AD$66,TRUE,"0")</f>
        <v xml:space="preserve">BFM </v>
      </c>
      <c r="E1531" s="2" t="s">
        <v>531</v>
      </c>
      <c r="F1531" s="2" t="s">
        <v>6</v>
      </c>
      <c r="G1531" s="2" t="s">
        <v>62</v>
      </c>
      <c r="H1531" s="3">
        <v>45426.833333333336</v>
      </c>
      <c r="I1531" s="2" t="s">
        <v>116</v>
      </c>
      <c r="J1531" s="2" t="s">
        <v>72</v>
      </c>
      <c r="K1531" s="2">
        <v>3.4</v>
      </c>
      <c r="L1531" s="2">
        <v>36</v>
      </c>
      <c r="M1531" s="2">
        <v>3.44</v>
      </c>
      <c r="N1531" s="2">
        <v>29</v>
      </c>
      <c r="O1531" s="2">
        <v>4</v>
      </c>
      <c r="P1531" s="2">
        <v>18</v>
      </c>
      <c r="Q1531" s="2" t="s">
        <v>95</v>
      </c>
      <c r="R1531" s="10" t="s">
        <v>221</v>
      </c>
      <c r="S1531" s="10" t="s">
        <v>217</v>
      </c>
      <c r="T1531" s="188">
        <v>1000</v>
      </c>
      <c r="U1531" s="8">
        <f t="shared" si="165"/>
        <v>180</v>
      </c>
      <c r="V1531" s="234">
        <f t="shared" si="169"/>
        <v>160584.15524616028</v>
      </c>
      <c r="W1531" s="15">
        <v>25</v>
      </c>
      <c r="X1531" s="8">
        <f t="shared" si="167"/>
        <v>4.5</v>
      </c>
      <c r="Y1531" s="233">
        <f t="shared" si="168"/>
        <v>5880.5</v>
      </c>
    </row>
    <row r="1532" spans="1:25">
      <c r="A1532" s="156" t="e" cm="1">
        <f t="array" aca="1" ref="A1532" ca="1">_xlfn.IFS(E1532=$AB$42,$AC$42,E1532=$AB$43,$AC$43,E1532=$AB$44,$AC$44,E1532=$AB$45,$AC$45,E1532=$AB$46,$AC$46,E1532=$AB$47,$AC$47,E1532=$AB$48,$AC$48,E1532=$AB$49,$AC$49,E1532=$AB$50,$AC$50,E1532=$AB$51,$AC$51,E1532=$AB$52,$AC$52,E1532=$AB$53,$AC$53,E1532=$AB$54,$AC$54,E1532=$AB$55,$AC$55,E1532=$AB$56,$AC$56,E1532=$AB$57,$AC$57,E1532=$AB$58,$AC$58,E1532=$AB$59,$AC$59,E1532=$AB$60,$AC$60,E1532=$AB$61,$AC$61,E1532=$AB$62,$AC$62,E1532=$AB$63,$AC$63,E1532=$AB$64,$AC$64,E1532=$AB$65,$AC$65,E1532=$AB$66,$AC$66,TRUE,"0")</f>
        <v>#NAME?</v>
      </c>
      <c r="C1532" s="161" t="str" cm="1">
        <f t="array" ref="C1532">_xlfn.IFS(E1532=$AB$42,$AF$42,E1532=$AB$43,$AF$43,E1532=$AB$44,$AF$44,E1532=$AB$45,$AF$45,E1532=$AB$46,$AF$46,E1532=$AB$47,$AF$47,E1532=$AB$48,$AF$48,E1532=$AB$49,$AF$49,E1532=$AB$50,$AF$50,E1532=$AB$51,$AF$51,E1532=$AB$52,$AF$52,E1532=$AB$53,$AF$53,E1532=$AB$54,$AF$54,E1532=$AB$55,$AF$55,E1532=$AB$56,$AF$56,E1532=$AB$57,$AF$57,E1532=$AB$58,$AF$58,E1532=$AB$59,$AF$59,E1532=$AB$60,$AF$60,E1532=$AB$61,$AF$61,E1532=$AB$62,$AF$62,E1532=$AB$63,$AF$63,E1532=$AB$64,$AF$64,E1532=$AB$65,$AF$65,E1532=$AB$66,$AF$66,TRUE,"0")</f>
        <v>B4 Match, lay HT 0-0 or BACK H1 +0.5 GOALS</v>
      </c>
      <c r="D1532" s="270" t="str" cm="1">
        <f t="array" ref="D1532">_xlfn.IFS(E1532=$AB$42,$AD$42,E1532=$AB$43,$AD$43,E1532=$AB$44,$AD$44,E1532=$AB$45,$AD$45,E1532=$AB$46,$AD$46,E1532=$AB$47,$AD$47,E1532=$AB$48,$AD$48,E1532=$AB$49,$AD$49,E1532=$AB$50,$AD$50,E1532=$AB$51,$AD$51,E1532=$AB$52,$AD$52,E1532=$AB$53,$AD$53,E1532=$AB$54,$AD$54,E1532=$AB$55,$AD$55,E1532=$AB$56,$AD$56,E1532=$AB$57,$AD$57,E1532=$AB$58,$AD$58,E1532=$AB$59,$AD$59,E1532=$AB$60,$AD$60,E1532=$AB$61,$AD$61,E1532=$AB$62,$AD$62,E1532=$AB$63,$AD$63,E1532=$AB$64,$AD$64,E1532=$AB$65,$AD$65,E1532=$AB$66,$AD$66,TRUE,"0")</f>
        <v xml:space="preserve">BFM </v>
      </c>
      <c r="E1532" s="2" t="s">
        <v>432</v>
      </c>
      <c r="F1532" s="2" t="s">
        <v>6</v>
      </c>
      <c r="G1532" s="2" t="s">
        <v>62</v>
      </c>
      <c r="H1532" s="3">
        <v>45426.833333333336</v>
      </c>
      <c r="I1532" s="2" t="s">
        <v>116</v>
      </c>
      <c r="J1532" s="2" t="s">
        <v>72</v>
      </c>
      <c r="K1532" s="2">
        <v>5</v>
      </c>
      <c r="L1532" s="2">
        <v>20</v>
      </c>
      <c r="M1532" s="2">
        <v>12</v>
      </c>
      <c r="N1532" s="2">
        <v>16</v>
      </c>
      <c r="O1532" s="2">
        <v>22</v>
      </c>
      <c r="P1532" s="2">
        <v>1.5</v>
      </c>
      <c r="Q1532" s="2" t="s">
        <v>96</v>
      </c>
      <c r="R1532" s="10" t="s">
        <v>221</v>
      </c>
      <c r="S1532" s="10" t="s">
        <v>217</v>
      </c>
      <c r="T1532" s="188">
        <v>1000</v>
      </c>
      <c r="U1532" s="8">
        <f t="shared" si="165"/>
        <v>-1000</v>
      </c>
      <c r="V1532" s="234">
        <f t="shared" si="169"/>
        <v>159584.15524616028</v>
      </c>
      <c r="W1532" s="15">
        <v>25</v>
      </c>
      <c r="X1532" s="8">
        <f t="shared" si="167"/>
        <v>-25</v>
      </c>
      <c r="Y1532" s="233">
        <f t="shared" si="168"/>
        <v>5855.5</v>
      </c>
    </row>
    <row r="1533" spans="1:25">
      <c r="A1533" s="156" t="e" cm="1">
        <f t="array" aca="1" ref="A1533" ca="1">_xlfn.IFS(E1533=$AB$42,$AC$42,E1533=$AB$43,$AC$43,E1533=$AB$44,$AC$44,E1533=$AB$45,$AC$45,E1533=$AB$46,$AC$46,E1533=$AB$47,$AC$47,E1533=$AB$48,$AC$48,E1533=$AB$49,$AC$49,E1533=$AB$50,$AC$50,E1533=$AB$51,$AC$51,E1533=$AB$52,$AC$52,E1533=$AB$53,$AC$53,E1533=$AB$54,$AC$54,E1533=$AB$55,$AC$55,E1533=$AB$56,$AC$56,E1533=$AB$57,$AC$57,E1533=$AB$58,$AC$58,E1533=$AB$59,$AC$59,E1533=$AB$60,$AC$60,E1533=$AB$61,$AC$61,E1533=$AB$62,$AC$62,E1533=$AB$63,$AC$63,E1533=$AB$64,$AC$64,E1533=$AB$65,$AC$65,E1533=$AB$66,$AC$66,TRUE,"0")</f>
        <v>#NAME?</v>
      </c>
      <c r="C1533" s="161" t="str" cm="1">
        <f t="array" ref="C1533">_xlfn.IFS(E1533=$AB$42,$AF$42,E1533=$AB$43,$AF$43,E1533=$AB$44,$AF$44,E1533=$AB$45,$AF$45,E1533=$AB$46,$AF$46,E1533=$AB$47,$AF$47,E1533=$AB$48,$AF$48,E1533=$AB$49,$AF$49,E1533=$AB$50,$AF$50,E1533=$AB$51,$AF$51,E1533=$AB$52,$AF$52,E1533=$AB$53,$AF$53,E1533=$AB$54,$AF$54,E1533=$AB$55,$AF$55,E1533=$AB$56,$AF$56,E1533=$AB$57,$AF$57,E1533=$AB$58,$AF$58,E1533=$AB$59,$AF$59,E1533=$AB$60,$AF$60,E1533=$AB$61,$AF$61,E1533=$AB$62,$AF$62,E1533=$AB$63,$AF$63,E1533=$AB$64,$AF$64,E1533=$AB$65,$AF$65,E1533=$AB$66,$AF$66,TRUE,"0")</f>
        <v>B4 match BACK FT +1.5 goals. X AFTER  GOAL</v>
      </c>
      <c r="D1533" s="270" t="str" cm="1">
        <f t="array" ref="D1533">_xlfn.IFS(E1533=$AB$42,$AD$42,E1533=$AB$43,$AD$43,E1533=$AB$44,$AD$44,E1533=$AB$45,$AD$45,E1533=$AB$46,$AD$46,E1533=$AB$47,$AD$47,E1533=$AB$48,$AD$48,E1533=$AB$49,$AD$49,E1533=$AB$50,$AD$50,E1533=$AB$51,$AD$51,E1533=$AB$52,$AD$52,E1533=$AB$53,$AD$53,E1533=$AB$54,$AD$54,E1533=$AB$55,$AD$55,E1533=$AB$56,$AD$56,E1533=$AB$57,$AD$57,E1533=$AB$58,$AD$58,E1533=$AB$59,$AD$59,E1533=$AB$60,$AD$60,E1533=$AB$61,$AD$61,E1533=$AB$62,$AD$62,E1533=$AB$63,$AD$63,E1533=$AB$64,$AD$64,E1533=$AB$65,$AD$65,E1533=$AB$66,$AD$66,TRUE,"0")</f>
        <v xml:space="preserve">BFM </v>
      </c>
      <c r="E1533" s="2" t="s">
        <v>623</v>
      </c>
      <c r="F1533" s="2" t="s">
        <v>119</v>
      </c>
      <c r="G1533" s="2" t="s">
        <v>120</v>
      </c>
      <c r="H1533" s="3">
        <v>45426.854166666664</v>
      </c>
      <c r="I1533" s="2" t="s">
        <v>122</v>
      </c>
      <c r="J1533" s="2" t="s">
        <v>835</v>
      </c>
      <c r="K1533" s="2">
        <v>3.7</v>
      </c>
      <c r="L1533" s="2">
        <v>20</v>
      </c>
      <c r="M1533" s="2">
        <v>2.5499999999999998</v>
      </c>
      <c r="N1533" s="2">
        <v>34</v>
      </c>
      <c r="O1533" s="2">
        <v>3</v>
      </c>
      <c r="P1533" s="2">
        <v>10</v>
      </c>
      <c r="Q1533" s="2" t="s">
        <v>95</v>
      </c>
      <c r="R1533" s="10" t="s">
        <v>207</v>
      </c>
      <c r="S1533" s="10" t="s">
        <v>195</v>
      </c>
      <c r="T1533" s="188">
        <v>1000</v>
      </c>
      <c r="U1533" s="8">
        <f t="shared" si="165"/>
        <v>180</v>
      </c>
      <c r="V1533" s="234">
        <f t="shared" si="169"/>
        <v>159764.15524616028</v>
      </c>
      <c r="W1533" s="15">
        <v>25</v>
      </c>
      <c r="X1533" s="8">
        <f t="shared" si="167"/>
        <v>4.5</v>
      </c>
      <c r="Y1533" s="233">
        <f t="shared" si="168"/>
        <v>5860</v>
      </c>
    </row>
    <row r="1534" spans="1:25">
      <c r="A1534" s="156" t="e" cm="1">
        <f t="array" aca="1" ref="A1534" ca="1">_xlfn.IFS(E1534=$AB$42,$AC$42,E1534=$AB$43,$AC$43,E1534=$AB$44,$AC$44,E1534=$AB$45,$AC$45,E1534=$AB$46,$AC$46,E1534=$AB$47,$AC$47,E1534=$AB$48,$AC$48,E1534=$AB$49,$AC$49,E1534=$AB$50,$AC$50,E1534=$AB$51,$AC$51,E1534=$AB$52,$AC$52,E1534=$AB$53,$AC$53,E1534=$AB$54,$AC$54,E1534=$AB$55,$AC$55,E1534=$AB$56,$AC$56,E1534=$AB$57,$AC$57,E1534=$AB$58,$AC$58,E1534=$AB$59,$AC$59,E1534=$AB$60,$AC$60,E1534=$AB$61,$AC$61,E1534=$AB$62,$AC$62,E1534=$AB$63,$AC$63,E1534=$AB$64,$AC$64,E1534=$AB$65,$AC$65,E1534=$AB$66,$AC$66,TRUE,"0")</f>
        <v>#NAME?</v>
      </c>
      <c r="C1534" s="161" t="str" cm="1">
        <f t="array" ref="C1534">_xlfn.IFS(E1534=$AB$42,$AF$42,E1534=$AB$43,$AF$43,E1534=$AB$44,$AF$44,E1534=$AB$45,$AF$45,E1534=$AB$46,$AF$46,E1534=$AB$47,$AF$47,E1534=$AB$48,$AF$48,E1534=$AB$49,$AF$49,E1534=$AB$50,$AF$50,E1534=$AB$51,$AF$51,E1534=$AB$52,$AF$52,E1534=$AB$53,$AF$53,E1534=$AB$54,$AF$54,E1534=$AB$55,$AF$55,E1534=$AB$56,$AF$56,E1534=$AB$57,$AF$57,E1534=$AB$58,$AF$58,E1534=$AB$59,$AF$59,E1534=$AB$60,$AF$60,E1534=$AB$61,$AF$61,E1534=$AB$62,$AF$62,E1534=$AB$63,$AF$63,E1534=$AB$64,$AF$64,E1534=$AB$65,$AF$65,E1534=$AB$66,$AF$66,TRUE,"0")</f>
        <v>40 mins Back ANother Goal</v>
      </c>
      <c r="D1534" s="270" t="str" cm="1">
        <f t="array" ref="D1534">_xlfn.IFS(E1534=$AB$42,$AD$42,E1534=$AB$43,$AD$43,E1534=$AB$44,$AD$44,E1534=$AB$45,$AD$45,E1534=$AB$46,$AD$46,E1534=$AB$47,$AD$47,E1534=$AB$48,$AD$48,E1534=$AB$49,$AD$49,E1534=$AB$50,$AD$50,E1534=$AB$51,$AD$51,E1534=$AB$52,$AD$52,E1534=$AB$53,$AD$53,E1534=$AB$54,$AD$54,E1534=$AB$55,$AD$55,E1534=$AB$56,$AD$56,E1534=$AB$57,$AD$57,E1534=$AB$58,$AD$58,E1534=$AB$59,$AD$59,E1534=$AB$60,$AD$60,E1534=$AB$61,$AD$61,E1534=$AB$62,$AD$62,E1534=$AB$63,$AD$63,E1534=$AB$64,$AD$64,E1534=$AB$65,$AD$65,E1534=$AB$66,$AD$66,TRUE,"0")</f>
        <v xml:space="preserve">  BANG</v>
      </c>
      <c r="E1534" s="2" t="s">
        <v>792</v>
      </c>
      <c r="F1534" s="2" t="s">
        <v>119</v>
      </c>
      <c r="G1534" s="2" t="s">
        <v>120</v>
      </c>
      <c r="H1534" s="3">
        <v>45426.875</v>
      </c>
      <c r="I1534" s="2" t="s">
        <v>453</v>
      </c>
      <c r="J1534" s="2" t="s">
        <v>362</v>
      </c>
      <c r="K1534" s="2">
        <v>2.25</v>
      </c>
      <c r="L1534" s="2">
        <v>90</v>
      </c>
      <c r="M1534" s="2">
        <v>75</v>
      </c>
      <c r="N1534" s="2">
        <v>61</v>
      </c>
      <c r="O1534" s="2">
        <v>20</v>
      </c>
      <c r="P1534" s="2"/>
      <c r="Q1534" s="2" t="s">
        <v>95</v>
      </c>
      <c r="R1534" s="10" t="s">
        <v>221</v>
      </c>
      <c r="S1534" s="10" t="s">
        <v>193</v>
      </c>
      <c r="T1534" s="188">
        <v>1000</v>
      </c>
      <c r="U1534" s="8">
        <f t="shared" si="165"/>
        <v>180</v>
      </c>
      <c r="V1534" s="234">
        <f t="shared" si="169"/>
        <v>159944.15524616028</v>
      </c>
      <c r="W1534" s="15">
        <v>25</v>
      </c>
      <c r="X1534" s="8">
        <f t="shared" si="167"/>
        <v>4.5</v>
      </c>
      <c r="Y1534" s="233">
        <f t="shared" si="168"/>
        <v>5864.5</v>
      </c>
    </row>
    <row r="1535" spans="1:25">
      <c r="A1535" s="156" t="e" cm="1">
        <f t="array" aca="1" ref="A1535" ca="1">_xlfn.IFS(E1535=$AB$42,$AC$42,E1535=$AB$43,$AC$43,E1535=$AB$44,$AC$44,E1535=$AB$45,$AC$45,E1535=$AB$46,$AC$46,E1535=$AB$47,$AC$47,E1535=$AB$48,$AC$48,E1535=$AB$49,$AC$49,E1535=$AB$50,$AC$50,E1535=$AB$51,$AC$51,E1535=$AB$52,$AC$52,E1535=$AB$53,$AC$53,E1535=$AB$54,$AC$54,E1535=$AB$55,$AC$55,E1535=$AB$56,$AC$56,E1535=$AB$57,$AC$57,E1535=$AB$58,$AC$58,E1535=$AB$59,$AC$59,E1535=$AB$60,$AC$60,E1535=$AB$61,$AC$61,E1535=$AB$62,$AC$62,E1535=$AB$63,$AC$63,E1535=$AB$64,$AC$64,E1535=$AB$65,$AC$65,E1535=$AB$66,$AC$66,TRUE,"0")</f>
        <v>#NAME?</v>
      </c>
      <c r="C1535" s="161" t="str" cm="1">
        <f t="array" ref="C1535">_xlfn.IFS(E1535=$AB$42,$AF$42,E1535=$AB$43,$AF$43,E1535=$AB$44,$AF$44,E1535=$AB$45,$AF$45,E1535=$AB$46,$AF$46,E1535=$AB$47,$AF$47,E1535=$AB$48,$AF$48,E1535=$AB$49,$AF$49,E1535=$AB$50,$AF$50,E1535=$AB$51,$AF$51,E1535=$AB$52,$AF$52,E1535=$AB$53,$AF$53,E1535=$AB$54,$AF$54,E1535=$AB$55,$AF$55,E1535=$AB$56,$AF$56,E1535=$AB$57,$AF$57,E1535=$AB$58,$AF$58,E1535=$AB$59,$AF$59,E1535=$AB$60,$AF$60,E1535=$AB$61,$AF$61,E1535=$AB$62,$AF$62,E1535=$AB$63,$AF$63,E1535=$AB$64,$AF$64,E1535=$AB$65,$AF$65,E1535=$AB$66,$AF$66,TRUE,"0")</f>
        <v>40 mins Back ANother Goal</v>
      </c>
      <c r="D1535" s="270" t="str" cm="1">
        <f t="array" ref="D1535">_xlfn.IFS(E1535=$AB$42,$AD$42,E1535=$AB$43,$AD$43,E1535=$AB$44,$AD$44,E1535=$AB$45,$AD$45,E1535=$AB$46,$AD$46,E1535=$AB$47,$AD$47,E1535=$AB$48,$AD$48,E1535=$AB$49,$AD$49,E1535=$AB$50,$AD$50,E1535=$AB$51,$AD$51,E1535=$AB$52,$AD$52,E1535=$AB$53,$AD$53,E1535=$AB$54,$AD$54,E1535=$AB$55,$AD$55,E1535=$AB$56,$AD$56,E1535=$AB$57,$AD$57,E1535=$AB$58,$AD$58,E1535=$AB$59,$AD$59,E1535=$AB$60,$AD$60,E1535=$AB$61,$AD$61,E1535=$AB$62,$AD$62,E1535=$AB$63,$AD$63,E1535=$AB$64,$AD$64,E1535=$AB$65,$AD$65,E1535=$AB$66,$AD$66,TRUE,"0")</f>
        <v xml:space="preserve">  BANG</v>
      </c>
      <c r="E1535" s="2" t="s">
        <v>726</v>
      </c>
      <c r="F1535" s="2" t="s">
        <v>119</v>
      </c>
      <c r="G1535" s="2" t="s">
        <v>120</v>
      </c>
      <c r="H1535" s="3">
        <v>45426.875</v>
      </c>
      <c r="I1535" s="2" t="s">
        <v>453</v>
      </c>
      <c r="J1535" s="2" t="s">
        <v>362</v>
      </c>
      <c r="K1535" s="2">
        <v>90</v>
      </c>
      <c r="L1535" s="2">
        <v>20</v>
      </c>
      <c r="M1535" s="2">
        <v>2.25</v>
      </c>
      <c r="N1535" s="2">
        <v>61</v>
      </c>
      <c r="O1535" s="2"/>
      <c r="P1535" s="2"/>
      <c r="Q1535" s="2" t="s">
        <v>95</v>
      </c>
      <c r="R1535" s="10" t="s">
        <v>221</v>
      </c>
      <c r="S1535" s="10" t="s">
        <v>193</v>
      </c>
      <c r="T1535" s="188">
        <v>1000</v>
      </c>
      <c r="U1535" s="8">
        <f t="shared" si="165"/>
        <v>180</v>
      </c>
      <c r="V1535" s="234">
        <f t="shared" ref="V1535:V1552" si="170">SUM(V1534,U1535)</f>
        <v>160124.15524616028</v>
      </c>
      <c r="W1535" s="15">
        <v>25</v>
      </c>
      <c r="X1535" s="8">
        <f t="shared" si="167"/>
        <v>4.5</v>
      </c>
      <c r="Y1535" s="233">
        <f t="shared" si="168"/>
        <v>5869</v>
      </c>
    </row>
    <row r="1536" spans="1:25">
      <c r="A1536" s="156" t="e" cm="1">
        <f t="array" aca="1" ref="A1536" ca="1">_xlfn.IFS(E1536=$AB$42,$AC$42,E1536=$AB$43,$AC$43,E1536=$AB$44,$AC$44,E1536=$AB$45,$AC$45,E1536=$AB$46,$AC$46,E1536=$AB$47,$AC$47,E1536=$AB$48,$AC$48,E1536=$AB$49,$AC$49,E1536=$AB$50,$AC$50,E1536=$AB$51,$AC$51,E1536=$AB$52,$AC$52,E1536=$AB$53,$AC$53,E1536=$AB$54,$AC$54,E1536=$AB$55,$AC$55,E1536=$AB$56,$AC$56,E1536=$AB$57,$AC$57,E1536=$AB$58,$AC$58,E1536=$AB$59,$AC$59,E1536=$AB$60,$AC$60,E1536=$AB$61,$AC$61,E1536=$AB$62,$AC$62,E1536=$AB$63,$AC$63,E1536=$AB$64,$AC$64,E1536=$AB$65,$AC$65,E1536=$AB$66,$AC$66,TRUE,"0")</f>
        <v>#NAME?</v>
      </c>
      <c r="C1536" s="161" t="str" cm="1">
        <f t="array" ref="C1536">_xlfn.IFS(E1536=$AB$42,$AF$42,E1536=$AB$43,$AF$43,E1536=$AB$44,$AF$44,E1536=$AB$45,$AF$45,E1536=$AB$46,$AF$46,E1536=$AB$47,$AF$47,E1536=$AB$48,$AF$48,E1536=$AB$49,$AF$49,E1536=$AB$50,$AF$50,E1536=$AB$51,$AF$51,E1536=$AB$52,$AF$52,E1536=$AB$53,$AF$53,E1536=$AB$54,$AF$54,E1536=$AB$55,$AF$55,E1536=$AB$56,$AF$56,E1536=$AB$57,$AF$57,E1536=$AB$58,$AF$58,E1536=$AB$59,$AF$59,E1536=$AB$60,$AF$60,E1536=$AB$61,$AF$61,E1536=$AB$62,$AF$62,E1536=$AB$63,$AF$63,E1536=$AB$64,$AF$64,E1536=$AB$65,$AF$65,E1536=$AB$66,$AF$66,TRUE,"0")</f>
        <v>AT HT IF 0-0 BACK +0.5 GOALS</v>
      </c>
      <c r="D1536" s="270" t="str" cm="1">
        <f t="array" ref="D1536">_xlfn.IFS(E1536=$AB$42,$AD$42,E1536=$AB$43,$AD$43,E1536=$AB$44,$AD$44,E1536=$AB$45,$AD$45,E1536=$AB$46,$AD$46,E1536=$AB$47,$AD$47,E1536=$AB$48,$AD$48,E1536=$AB$49,$AD$49,E1536=$AB$50,$AD$50,E1536=$AB$51,$AD$51,E1536=$AB$52,$AD$52,E1536=$AB$53,$AD$53,E1536=$AB$54,$AD$54,E1536=$AB$55,$AD$55,E1536=$AB$56,$AD$56,E1536=$AB$57,$AD$57,E1536=$AB$58,$AD$58,E1536=$AB$59,$AD$59,E1536=$AB$60,$AD$60,E1536=$AB$61,$AD$61,E1536=$AB$62,$AD$62,E1536=$AB$63,$AD$63,E1536=$AB$64,$AD$64,E1536=$AB$65,$AD$65,E1536=$AB$66,$AD$66,TRUE,"0")</f>
        <v>IP</v>
      </c>
      <c r="E1536" s="2" t="s">
        <v>514</v>
      </c>
      <c r="F1536" s="2" t="s">
        <v>119</v>
      </c>
      <c r="G1536" s="2" t="s">
        <v>120</v>
      </c>
      <c r="H1536" s="3">
        <v>45426.875</v>
      </c>
      <c r="I1536" s="2" t="s">
        <v>453</v>
      </c>
      <c r="J1536" s="2" t="s">
        <v>362</v>
      </c>
      <c r="K1536" s="2">
        <v>5.0999999999999996</v>
      </c>
      <c r="L1536" s="2">
        <v>22</v>
      </c>
      <c r="M1536" s="2">
        <v>130</v>
      </c>
      <c r="N1536" s="2">
        <v>20</v>
      </c>
      <c r="O1536" s="2">
        <v>30</v>
      </c>
      <c r="P1536" s="2">
        <v>24</v>
      </c>
      <c r="Q1536" s="2" t="s">
        <v>95</v>
      </c>
      <c r="R1536" s="10" t="s">
        <v>221</v>
      </c>
      <c r="S1536" s="10" t="s">
        <v>193</v>
      </c>
      <c r="T1536" s="188">
        <v>1000</v>
      </c>
      <c r="U1536" s="8">
        <f t="shared" si="165"/>
        <v>180</v>
      </c>
      <c r="V1536" s="234">
        <f t="shared" si="170"/>
        <v>160304.15524616028</v>
      </c>
      <c r="W1536" s="15">
        <v>25</v>
      </c>
      <c r="X1536" s="8">
        <f t="shared" si="167"/>
        <v>4.5</v>
      </c>
      <c r="Y1536" s="233">
        <f t="shared" si="168"/>
        <v>5873.5</v>
      </c>
    </row>
    <row r="1537" spans="1:25">
      <c r="A1537" s="156" t="e" cm="1">
        <f t="array" aca="1" ref="A1537" ca="1">_xlfn.IFS(E1537=$AB$42,$AC$42,E1537=$AB$43,$AC$43,E1537=$AB$44,$AC$44,E1537=$AB$45,$AC$45,E1537=$AB$46,$AC$46,E1537=$AB$47,$AC$47,E1537=$AB$48,$AC$48,E1537=$AB$49,$AC$49,E1537=$AB$50,$AC$50,E1537=$AB$51,$AC$51,E1537=$AB$52,$AC$52,E1537=$AB$53,$AC$53,E1537=$AB$54,$AC$54,E1537=$AB$55,$AC$55,E1537=$AB$56,$AC$56,E1537=$AB$57,$AC$57,E1537=$AB$58,$AC$58,E1537=$AB$59,$AC$59,E1537=$AB$60,$AC$60,E1537=$AB$61,$AC$61,E1537=$AB$62,$AC$62,E1537=$AB$63,$AC$63,E1537=$AB$64,$AC$64,E1537=$AB$65,$AC$65,E1537=$AB$66,$AC$66,TRUE,"0")</f>
        <v>#NAME?</v>
      </c>
      <c r="C1537" s="161" t="str" cm="1">
        <f t="array" ref="C1537">_xlfn.IFS(E1537=$AB$42,$AF$42,E1537=$AB$43,$AF$43,E1537=$AB$44,$AF$44,E1537=$AB$45,$AF$45,E1537=$AB$46,$AF$46,E1537=$AB$47,$AF$47,E1537=$AB$48,$AF$48,E1537=$AB$49,$AF$49,E1537=$AB$50,$AF$50,E1537=$AB$51,$AF$51,E1537=$AB$52,$AF$52,E1537=$AB$53,$AF$53,E1537=$AB$54,$AF$54,E1537=$AB$55,$AF$55,E1537=$AB$56,$AF$56,E1537=$AB$57,$AF$57,E1537=$AB$58,$AF$58,E1537=$AB$59,$AF$59,E1537=$AB$60,$AF$60,E1537=$AB$61,$AF$61,E1537=$AB$62,$AF$62,E1537=$AB$63,$AF$63,E1537=$AB$64,$AF$64,E1537=$AB$65,$AF$65,E1537=$AB$66,$AF$66,TRUE,"0")</f>
        <v>B4 Match, lay HT 0-0 or BACK H1 +0.5 GOALS</v>
      </c>
      <c r="D1537" s="270" t="str" cm="1">
        <f t="array" ref="D1537">_xlfn.IFS(E1537=$AB$42,$AD$42,E1537=$AB$43,$AD$43,E1537=$AB$44,$AD$44,E1537=$AB$45,$AD$45,E1537=$AB$46,$AD$46,E1537=$AB$47,$AD$47,E1537=$AB$48,$AD$48,E1537=$AB$49,$AD$49,E1537=$AB$50,$AD$50,E1537=$AB$51,$AD$51,E1537=$AB$52,$AD$52,E1537=$AB$53,$AD$53,E1537=$AB$54,$AD$54,E1537=$AB$55,$AD$55,E1537=$AB$56,$AD$56,E1537=$AB$57,$AD$57,E1537=$AB$58,$AD$58,E1537=$AB$59,$AD$59,E1537=$AB$60,$AD$60,E1537=$AB$61,$AD$61,E1537=$AB$62,$AD$62,E1537=$AB$63,$AD$63,E1537=$AB$64,$AD$64,E1537=$AB$65,$AD$65,E1537=$AB$66,$AD$66,TRUE,"0")</f>
        <v xml:space="preserve">BFM </v>
      </c>
      <c r="E1537" s="2" t="s">
        <v>448</v>
      </c>
      <c r="F1537" s="2" t="s">
        <v>133</v>
      </c>
      <c r="G1537" s="2" t="s">
        <v>78</v>
      </c>
      <c r="H1537" s="3">
        <v>45427.75</v>
      </c>
      <c r="I1537" s="2" t="s">
        <v>488</v>
      </c>
      <c r="J1537" s="2" t="s">
        <v>447</v>
      </c>
      <c r="K1537" s="2">
        <v>20</v>
      </c>
      <c r="L1537" s="2">
        <v>10</v>
      </c>
      <c r="M1537" s="2">
        <v>39</v>
      </c>
      <c r="N1537" s="2">
        <v>7</v>
      </c>
      <c r="O1537" s="2">
        <v>6</v>
      </c>
      <c r="P1537" s="2">
        <v>5</v>
      </c>
      <c r="Q1537" s="2" t="s">
        <v>95</v>
      </c>
      <c r="R1537" s="10" t="s">
        <v>221</v>
      </c>
      <c r="S1537" s="10" t="s">
        <v>220</v>
      </c>
      <c r="T1537" s="188">
        <v>1000</v>
      </c>
      <c r="U1537" s="8">
        <f t="shared" si="165"/>
        <v>180</v>
      </c>
      <c r="V1537" s="234">
        <f t="shared" si="170"/>
        <v>160484.15524616028</v>
      </c>
      <c r="W1537" s="15">
        <v>25</v>
      </c>
      <c r="X1537" s="8">
        <f t="shared" si="167"/>
        <v>4.5</v>
      </c>
      <c r="Y1537" s="233">
        <f t="shared" si="168"/>
        <v>5878</v>
      </c>
    </row>
    <row r="1538" spans="1:25">
      <c r="A1538" s="156" t="e" cm="1">
        <f t="array" aca="1" ref="A1538" ca="1">_xlfn.IFS(E1538=$AB$42,$AC$42,E1538=$AB$43,$AC$43,E1538=$AB$44,$AC$44,E1538=$AB$45,$AC$45,E1538=$AB$46,$AC$46,E1538=$AB$47,$AC$47,E1538=$AB$48,$AC$48,E1538=$AB$49,$AC$49,E1538=$AB$50,$AC$50,E1538=$AB$51,$AC$51,E1538=$AB$52,$AC$52,E1538=$AB$53,$AC$53,E1538=$AB$54,$AC$54,E1538=$AB$55,$AC$55,E1538=$AB$56,$AC$56,E1538=$AB$57,$AC$57,E1538=$AB$58,$AC$58,E1538=$AB$59,$AC$59,E1538=$AB$60,$AC$60,E1538=$AB$61,$AC$61,E1538=$AB$62,$AC$62,E1538=$AB$63,$AC$63,E1538=$AB$64,$AC$64,E1538=$AB$65,$AC$65,E1538=$AB$66,$AC$66,TRUE,"0")</f>
        <v>#NAME?</v>
      </c>
      <c r="C1538" s="161" t="str" cm="1">
        <f t="array" ref="C1538">_xlfn.IFS(E1538=$AB$42,$AF$42,E1538=$AB$43,$AF$43,E1538=$AB$44,$AF$44,E1538=$AB$45,$AF$45,E1538=$AB$46,$AF$46,E1538=$AB$47,$AF$47,E1538=$AB$48,$AF$48,E1538=$AB$49,$AF$49,E1538=$AB$50,$AF$50,E1538=$AB$51,$AF$51,E1538=$AB$52,$AF$52,E1538=$AB$53,$AF$53,E1538=$AB$54,$AF$54,E1538=$AB$55,$AF$55,E1538=$AB$56,$AF$56,E1538=$AB$57,$AF$57,E1538=$AB$58,$AF$58,E1538=$AB$59,$AF$59,E1538=$AB$60,$AF$60,E1538=$AB$61,$AF$61,E1538=$AB$62,$AF$62,E1538=$AB$63,$AF$63,E1538=$AB$64,$AF$64,E1538=$AB$65,$AF$65,E1538=$AB$66,$AF$66,TRUE,"0")</f>
        <v>20mins if  0-0, BACK over 1.5 goals X after goal OR LET RUN</v>
      </c>
      <c r="D1538" s="270" t="str" cm="1">
        <f t="array" ref="D1538">_xlfn.IFS(E1538=$AB$42,$AD$42,E1538=$AB$43,$AD$43,E1538=$AB$44,$AD$44,E1538=$AB$45,$AD$45,E1538=$AB$46,$AD$46,E1538=$AB$47,$AD$47,E1538=$AB$48,$AD$48,E1538=$AB$49,$AD$49,E1538=$AB$50,$AD$50,E1538=$AB$51,$AD$51,E1538=$AB$52,$AD$52,E1538=$AB$53,$AD$53,E1538=$AB$54,$AD$54,E1538=$AB$55,$AD$55,E1538=$AB$56,$AD$56,E1538=$AB$57,$AD$57,E1538=$AB$58,$AD$58,E1538=$AB$59,$AD$59,E1538=$AB$60,$AD$60,E1538=$AB$61,$AD$61,E1538=$AB$62,$AD$62,E1538=$AB$63,$AD$63,E1538=$AB$64,$AD$64,E1538=$AB$65,$AD$65,E1538=$AB$66,$AD$66,TRUE,"0")</f>
        <v>IP</v>
      </c>
      <c r="E1538" s="2" t="s">
        <v>474</v>
      </c>
      <c r="F1538" s="2" t="s">
        <v>133</v>
      </c>
      <c r="G1538" s="2" t="s">
        <v>78</v>
      </c>
      <c r="H1538" s="3">
        <v>45427.75</v>
      </c>
      <c r="I1538" s="2" t="s">
        <v>488</v>
      </c>
      <c r="J1538" s="2" t="s">
        <v>447</v>
      </c>
      <c r="K1538" s="2">
        <v>53</v>
      </c>
      <c r="L1538" s="2">
        <v>3.75</v>
      </c>
      <c r="M1538" s="2">
        <v>20</v>
      </c>
      <c r="N1538" s="2">
        <v>95</v>
      </c>
      <c r="O1538" s="2">
        <v>100</v>
      </c>
      <c r="P1538" s="2"/>
      <c r="Q1538" s="2" t="s">
        <v>95</v>
      </c>
      <c r="R1538" s="10" t="s">
        <v>221</v>
      </c>
      <c r="S1538" s="10" t="s">
        <v>220</v>
      </c>
      <c r="T1538" s="188">
        <v>1000</v>
      </c>
      <c r="U1538" s="8">
        <f t="shared" si="165"/>
        <v>180</v>
      </c>
      <c r="V1538" s="234">
        <f t="shared" si="170"/>
        <v>160664.15524616028</v>
      </c>
      <c r="W1538" s="15">
        <v>25</v>
      </c>
      <c r="X1538" s="8">
        <f t="shared" si="167"/>
        <v>4.5</v>
      </c>
      <c r="Y1538" s="233">
        <f t="shared" si="168"/>
        <v>5882.5</v>
      </c>
    </row>
    <row r="1539" spans="1:25">
      <c r="A1539" s="156" t="e" cm="1">
        <f t="array" aca="1" ref="A1539" ca="1">_xlfn.IFS(E1539=$AB$42,$AC$42,E1539=$AB$43,$AC$43,E1539=$AB$44,$AC$44,E1539=$AB$45,$AC$45,E1539=$AB$46,$AC$46,E1539=$AB$47,$AC$47,E1539=$AB$48,$AC$48,E1539=$AB$49,$AC$49,E1539=$AB$50,$AC$50,E1539=$AB$51,$AC$51,E1539=$AB$52,$AC$52,E1539=$AB$53,$AC$53,E1539=$AB$54,$AC$54,E1539=$AB$55,$AC$55,E1539=$AB$56,$AC$56,E1539=$AB$57,$AC$57,E1539=$AB$58,$AC$58,E1539=$AB$59,$AC$59,E1539=$AB$60,$AC$60,E1539=$AB$61,$AC$61,E1539=$AB$62,$AC$62,E1539=$AB$63,$AC$63,E1539=$AB$64,$AC$64,E1539=$AB$65,$AC$65,E1539=$AB$66,$AC$66,TRUE,"0")</f>
        <v>#NAME?</v>
      </c>
      <c r="C1539" s="161" t="str" cm="1">
        <f t="array" ref="C1539">_xlfn.IFS(E1539=$AB$42,$AF$42,E1539=$AB$43,$AF$43,E1539=$AB$44,$AF$44,E1539=$AB$45,$AF$45,E1539=$AB$46,$AF$46,E1539=$AB$47,$AF$47,E1539=$AB$48,$AF$48,E1539=$AB$49,$AF$49,E1539=$AB$50,$AF$50,E1539=$AB$51,$AF$51,E1539=$AB$52,$AF$52,E1539=$AB$53,$AF$53,E1539=$AB$54,$AF$54,E1539=$AB$55,$AF$55,E1539=$AB$56,$AF$56,E1539=$AB$57,$AF$57,E1539=$AB$58,$AF$58,E1539=$AB$59,$AF$59,E1539=$AB$60,$AF$60,E1539=$AB$61,$AF$61,E1539=$AB$62,$AF$62,E1539=$AB$63,$AF$63,E1539=$AB$64,$AF$64,E1539=$AB$65,$AF$65,E1539=$AB$66,$AF$66,TRUE,"0")</f>
        <v>B4 MATCH back over 2.5 goals.X after goal OR let run</v>
      </c>
      <c r="D1539" s="270" t="str" cm="1">
        <f t="array" ref="D1539">_xlfn.IFS(E1539=$AB$42,$AD$42,E1539=$AB$43,$AD$43,E1539=$AB$44,$AD$44,E1539=$AB$45,$AD$45,E1539=$AB$46,$AD$46,E1539=$AB$47,$AD$47,E1539=$AB$48,$AD$48,E1539=$AB$49,$AD$49,E1539=$AB$50,$AD$50,E1539=$AB$51,$AD$51,E1539=$AB$52,$AD$52,E1539=$AB$53,$AD$53,E1539=$AB$54,$AD$54,E1539=$AB$55,$AD$55,E1539=$AB$56,$AD$56,E1539=$AB$57,$AD$57,E1539=$AB$58,$AD$58,E1539=$AB$59,$AD$59,E1539=$AB$60,$AD$60,E1539=$AB$61,$AD$61,E1539=$AB$62,$AD$62,E1539=$AB$63,$AD$63,E1539=$AB$64,$AD$64,E1539=$AB$65,$AD$65,E1539=$AB$66,$AD$66,TRUE,"0")</f>
        <v xml:space="preserve">BFM </v>
      </c>
      <c r="E1539" s="2" t="s">
        <v>177</v>
      </c>
      <c r="F1539" s="2" t="s">
        <v>133</v>
      </c>
      <c r="G1539" s="2" t="s">
        <v>78</v>
      </c>
      <c r="H1539" s="3">
        <v>45427.75</v>
      </c>
      <c r="I1539" s="2" t="s">
        <v>137</v>
      </c>
      <c r="J1539" s="2" t="s">
        <v>466</v>
      </c>
      <c r="K1539" s="2">
        <v>3.45</v>
      </c>
      <c r="L1539" s="2">
        <v>95</v>
      </c>
      <c r="M1539" s="2">
        <v>80</v>
      </c>
      <c r="N1539" s="2">
        <v>29</v>
      </c>
      <c r="O1539" s="2">
        <v>60</v>
      </c>
      <c r="P1539" s="2">
        <v>2.48</v>
      </c>
      <c r="Q1539" s="2" t="s">
        <v>95</v>
      </c>
      <c r="R1539" s="10" t="s">
        <v>214</v>
      </c>
      <c r="S1539" s="10" t="s">
        <v>196</v>
      </c>
      <c r="T1539" s="188">
        <v>1000</v>
      </c>
      <c r="U1539" s="8">
        <f t="shared" si="165"/>
        <v>180</v>
      </c>
      <c r="V1539" s="234">
        <f t="shared" si="170"/>
        <v>160844.15524616028</v>
      </c>
      <c r="W1539" s="15">
        <v>25</v>
      </c>
      <c r="X1539" s="8">
        <f t="shared" si="167"/>
        <v>4.5</v>
      </c>
      <c r="Y1539" s="233">
        <f t="shared" si="168"/>
        <v>5887</v>
      </c>
    </row>
    <row r="1540" spans="1:25">
      <c r="A1540" s="156" t="e" cm="1">
        <f t="array" aca="1" ref="A1540" ca="1">_xlfn.IFS(E1540=$AB$42,$AC$42,E1540=$AB$43,$AC$43,E1540=$AB$44,$AC$44,E1540=$AB$45,$AC$45,E1540=$AB$46,$AC$46,E1540=$AB$47,$AC$47,E1540=$AB$48,$AC$48,E1540=$AB$49,$AC$49,E1540=$AB$50,$AC$50,E1540=$AB$51,$AC$51,E1540=$AB$52,$AC$52,E1540=$AB$53,$AC$53,E1540=$AB$54,$AC$54,E1540=$AB$55,$AC$55,E1540=$AB$56,$AC$56,E1540=$AB$57,$AC$57,E1540=$AB$58,$AC$58,E1540=$AB$59,$AC$59,E1540=$AB$60,$AC$60,E1540=$AB$61,$AC$61,E1540=$AB$62,$AC$62,E1540=$AB$63,$AC$63,E1540=$AB$64,$AC$64,E1540=$AB$65,$AC$65,E1540=$AB$66,$AC$66,TRUE,"0")</f>
        <v>#NAME?</v>
      </c>
      <c r="C1540" s="161" t="str" cm="1">
        <f t="array" ref="C1540">_xlfn.IFS(E1540=$AB$42,$AF$42,E1540=$AB$43,$AF$43,E1540=$AB$44,$AF$44,E1540=$AB$45,$AF$45,E1540=$AB$46,$AF$46,E1540=$AB$47,$AF$47,E1540=$AB$48,$AF$48,E1540=$AB$49,$AF$49,E1540=$AB$50,$AF$50,E1540=$AB$51,$AF$51,E1540=$AB$52,$AF$52,E1540=$AB$53,$AF$53,E1540=$AB$54,$AF$54,E1540=$AB$55,$AF$55,E1540=$AB$56,$AF$56,E1540=$AB$57,$AF$57,E1540=$AB$58,$AF$58,E1540=$AB$59,$AF$59,E1540=$AB$60,$AF$60,E1540=$AB$61,$AF$61,E1540=$AB$62,$AF$62,E1540=$AB$63,$AF$63,E1540=$AB$64,$AF$64,E1540=$AB$65,$AF$65,E1540=$AB$66,$AF$66,TRUE,"0")</f>
        <v>40 mins Back ANother Goal</v>
      </c>
      <c r="D1540" s="270" t="str" cm="1">
        <f t="array" ref="D1540">_xlfn.IFS(E1540=$AB$42,$AD$42,E1540=$AB$43,$AD$43,E1540=$AB$44,$AD$44,E1540=$AB$45,$AD$45,E1540=$AB$46,$AD$46,E1540=$AB$47,$AD$47,E1540=$AB$48,$AD$48,E1540=$AB$49,$AD$49,E1540=$AB$50,$AD$50,E1540=$AB$51,$AD$51,E1540=$AB$52,$AD$52,E1540=$AB$53,$AD$53,E1540=$AB$54,$AD$54,E1540=$AB$55,$AD$55,E1540=$AB$56,$AD$56,E1540=$AB$57,$AD$57,E1540=$AB$58,$AD$58,E1540=$AB$59,$AD$59,E1540=$AB$60,$AD$60,E1540=$AB$61,$AD$61,E1540=$AB$62,$AD$62,E1540=$AB$63,$AD$63,E1540=$AB$64,$AD$64,E1540=$AB$65,$AD$65,E1540=$AB$66,$AD$66,TRUE,"0")</f>
        <v xml:space="preserve">  BANG</v>
      </c>
      <c r="E1540" s="2" t="s">
        <v>792</v>
      </c>
      <c r="F1540" s="2" t="s">
        <v>133</v>
      </c>
      <c r="G1540" s="2" t="s">
        <v>78</v>
      </c>
      <c r="H1540" s="3">
        <v>45427.75</v>
      </c>
      <c r="I1540" s="2" t="s">
        <v>137</v>
      </c>
      <c r="J1540" s="2" t="s">
        <v>466</v>
      </c>
      <c r="K1540" s="2">
        <v>1.95</v>
      </c>
      <c r="L1540" s="2">
        <v>95</v>
      </c>
      <c r="M1540" s="2">
        <v>70</v>
      </c>
      <c r="N1540" s="2">
        <v>64</v>
      </c>
      <c r="O1540" s="2">
        <v>20</v>
      </c>
      <c r="P1540" s="2"/>
      <c r="Q1540" s="2" t="s">
        <v>95</v>
      </c>
      <c r="R1540" s="10" t="s">
        <v>214</v>
      </c>
      <c r="S1540" s="10" t="s">
        <v>196</v>
      </c>
      <c r="T1540" s="188">
        <v>1000</v>
      </c>
      <c r="U1540" s="8">
        <f t="shared" si="165"/>
        <v>180</v>
      </c>
      <c r="V1540" s="234">
        <f t="shared" si="170"/>
        <v>161024.15524616028</v>
      </c>
      <c r="W1540" s="15">
        <v>25</v>
      </c>
      <c r="X1540" s="8">
        <f t="shared" si="167"/>
        <v>4.5</v>
      </c>
      <c r="Y1540" s="233">
        <f t="shared" si="168"/>
        <v>5891.5</v>
      </c>
    </row>
    <row r="1541" spans="1:25">
      <c r="A1541" s="156" t="e" cm="1">
        <f t="array" aca="1" ref="A1541" ca="1">_xlfn.IFS(E1541=$AB$42,$AC$42,E1541=$AB$43,$AC$43,E1541=$AB$44,$AC$44,E1541=$AB$45,$AC$45,E1541=$AB$46,$AC$46,E1541=$AB$47,$AC$47,E1541=$AB$48,$AC$48,E1541=$AB$49,$AC$49,E1541=$AB$50,$AC$50,E1541=$AB$51,$AC$51,E1541=$AB$52,$AC$52,E1541=$AB$53,$AC$53,E1541=$AB$54,$AC$54,E1541=$AB$55,$AC$55,E1541=$AB$56,$AC$56,E1541=$AB$57,$AC$57,E1541=$AB$58,$AC$58,E1541=$AB$59,$AC$59,E1541=$AB$60,$AC$60,E1541=$AB$61,$AC$61,E1541=$AB$62,$AC$62,E1541=$AB$63,$AC$63,E1541=$AB$64,$AC$64,E1541=$AB$65,$AC$65,E1541=$AB$66,$AC$66,TRUE,"0")</f>
        <v>#NAME?</v>
      </c>
      <c r="C1541" s="161" t="str" cm="1">
        <f t="array" ref="C1541">_xlfn.IFS(E1541=$AB$42,$AF$42,E1541=$AB$43,$AF$43,E1541=$AB$44,$AF$44,E1541=$AB$45,$AF$45,E1541=$AB$46,$AF$46,E1541=$AB$47,$AF$47,E1541=$AB$48,$AF$48,E1541=$AB$49,$AF$49,E1541=$AB$50,$AF$50,E1541=$AB$51,$AF$51,E1541=$AB$52,$AF$52,E1541=$AB$53,$AF$53,E1541=$AB$54,$AF$54,E1541=$AB$55,$AF$55,E1541=$AB$56,$AF$56,E1541=$AB$57,$AF$57,E1541=$AB$58,$AF$58,E1541=$AB$59,$AF$59,E1541=$AB$60,$AF$60,E1541=$AB$61,$AF$61,E1541=$AB$62,$AF$62,E1541=$AB$63,$AF$63,E1541=$AB$64,$AF$64,E1541=$AB$65,$AF$65,E1541=$AB$66,$AF$66,TRUE,"0")</f>
        <v>40 mins Back ANother Goal</v>
      </c>
      <c r="D1541" s="270" t="str" cm="1">
        <f t="array" ref="D1541">_xlfn.IFS(E1541=$AB$42,$AD$42,E1541=$AB$43,$AD$43,E1541=$AB$44,$AD$44,E1541=$AB$45,$AD$45,E1541=$AB$46,$AD$46,E1541=$AB$47,$AD$47,E1541=$AB$48,$AD$48,E1541=$AB$49,$AD$49,E1541=$AB$50,$AD$50,E1541=$AB$51,$AD$51,E1541=$AB$52,$AD$52,E1541=$AB$53,$AD$53,E1541=$AB$54,$AD$54,E1541=$AB$55,$AD$55,E1541=$AB$56,$AD$56,E1541=$AB$57,$AD$57,E1541=$AB$58,$AD$58,E1541=$AB$59,$AD$59,E1541=$AB$60,$AD$60,E1541=$AB$61,$AD$61,E1541=$AB$62,$AD$62,E1541=$AB$63,$AD$63,E1541=$AB$64,$AD$64,E1541=$AB$65,$AD$65,E1541=$AB$66,$AD$66,TRUE,"0")</f>
        <v xml:space="preserve">  BANG</v>
      </c>
      <c r="E1541" s="2" t="s">
        <v>726</v>
      </c>
      <c r="F1541" s="2" t="s">
        <v>133</v>
      </c>
      <c r="G1541" s="2" t="s">
        <v>78</v>
      </c>
      <c r="H1541" s="3">
        <v>45427.75</v>
      </c>
      <c r="I1541" s="2" t="s">
        <v>137</v>
      </c>
      <c r="J1541" s="2" t="s">
        <v>466</v>
      </c>
      <c r="K1541" s="2">
        <v>95</v>
      </c>
      <c r="L1541" s="2">
        <v>20</v>
      </c>
      <c r="M1541" s="2">
        <v>1.95</v>
      </c>
      <c r="N1541" s="2">
        <v>64</v>
      </c>
      <c r="O1541" s="2"/>
      <c r="P1541" s="2"/>
      <c r="Q1541" s="2" t="s">
        <v>95</v>
      </c>
      <c r="R1541" s="10" t="s">
        <v>214</v>
      </c>
      <c r="S1541" s="10" t="s">
        <v>196</v>
      </c>
      <c r="T1541" s="188">
        <v>1000</v>
      </c>
      <c r="U1541" s="8">
        <f t="shared" si="165"/>
        <v>180</v>
      </c>
      <c r="V1541" s="234">
        <f t="shared" si="170"/>
        <v>161204.15524616028</v>
      </c>
      <c r="W1541" s="15">
        <v>25</v>
      </c>
      <c r="X1541" s="8">
        <f t="shared" si="167"/>
        <v>4.5</v>
      </c>
      <c r="Y1541" s="233">
        <f t="shared" si="168"/>
        <v>5896</v>
      </c>
    </row>
    <row r="1542" spans="1:25">
      <c r="A1542" s="156" t="e" cm="1">
        <f t="array" aca="1" ref="A1542" ca="1">_xlfn.IFS(E1542=$AB$42,$AC$42,E1542=$AB$43,$AC$43,E1542=$AB$44,$AC$44,E1542=$AB$45,$AC$45,E1542=$AB$46,$AC$46,E1542=$AB$47,$AC$47,E1542=$AB$48,$AC$48,E1542=$AB$49,$AC$49,E1542=$AB$50,$AC$50,E1542=$AB$51,$AC$51,E1542=$AB$52,$AC$52,E1542=$AB$53,$AC$53,E1542=$AB$54,$AC$54,E1542=$AB$55,$AC$55,E1542=$AB$56,$AC$56,E1542=$AB$57,$AC$57,E1542=$AB$58,$AC$58,E1542=$AB$59,$AC$59,E1542=$AB$60,$AC$60,E1542=$AB$61,$AC$61,E1542=$AB$62,$AC$62,E1542=$AB$63,$AC$63,E1542=$AB$64,$AC$64,E1542=$AB$65,$AC$65,E1542=$AB$66,$AC$66,TRUE,"0")</f>
        <v>#NAME?</v>
      </c>
      <c r="C1542" s="161" t="str" cm="1">
        <f t="array" ref="C1542">_xlfn.IFS(E1542=$AB$42,$AF$42,E1542=$AB$43,$AF$43,E1542=$AB$44,$AF$44,E1542=$AB$45,$AF$45,E1542=$AB$46,$AF$46,E1542=$AB$47,$AF$47,E1542=$AB$48,$AF$48,E1542=$AB$49,$AF$49,E1542=$AB$50,$AF$50,E1542=$AB$51,$AF$51,E1542=$AB$52,$AF$52,E1542=$AB$53,$AF$53,E1542=$AB$54,$AF$54,E1542=$AB$55,$AF$55,E1542=$AB$56,$AF$56,E1542=$AB$57,$AF$57,E1542=$AB$58,$AF$58,E1542=$AB$59,$AF$59,E1542=$AB$60,$AF$60,E1542=$AB$61,$AF$61,E1542=$AB$62,$AF$62,E1542=$AB$63,$AF$63,E1542=$AB$64,$AF$64,E1542=$AB$65,$AF$65,E1542=$AB$66,$AF$66,TRUE,"0")</f>
        <v>15mins if  0-0, BACK over 1.5 goals X after goal OR LET RUN</v>
      </c>
      <c r="D1542" s="270" t="str" cm="1">
        <f t="array" ref="D1542">_xlfn.IFS(E1542=$AB$42,$AD$42,E1542=$AB$43,$AD$43,E1542=$AB$44,$AD$44,E1542=$AB$45,$AD$45,E1542=$AB$46,$AD$46,E1542=$AB$47,$AD$47,E1542=$AB$48,$AD$48,E1542=$AB$49,$AD$49,E1542=$AB$50,$AD$50,E1542=$AB$51,$AD$51,E1542=$AB$52,$AD$52,E1542=$AB$53,$AD$53,E1542=$AB$54,$AD$54,E1542=$AB$55,$AD$55,E1542=$AB$56,$AD$56,E1542=$AB$57,$AD$57,E1542=$AB$58,$AD$58,E1542=$AB$59,$AD$59,E1542=$AB$60,$AD$60,E1542=$AB$61,$AD$61,E1542=$AB$62,$AD$62,E1542=$AB$63,$AD$63,E1542=$AB$64,$AD$64,E1542=$AB$65,$AD$65,E1542=$AB$66,$AD$66,TRUE,"0")</f>
        <v>IP</v>
      </c>
      <c r="E1542" s="2" t="s">
        <v>473</v>
      </c>
      <c r="F1542" s="2" t="s">
        <v>133</v>
      </c>
      <c r="G1542" s="2" t="s">
        <v>78</v>
      </c>
      <c r="H1542" s="3">
        <v>45427.75</v>
      </c>
      <c r="I1542" s="2" t="s">
        <v>137</v>
      </c>
      <c r="J1542" s="2" t="s">
        <v>466</v>
      </c>
      <c r="K1542" s="2">
        <v>69</v>
      </c>
      <c r="L1542" s="2">
        <v>95</v>
      </c>
      <c r="M1542" s="2">
        <v>20</v>
      </c>
      <c r="N1542" s="2">
        <v>3.45</v>
      </c>
      <c r="O1542" s="2"/>
      <c r="P1542" s="2"/>
      <c r="Q1542" s="2" t="s">
        <v>95</v>
      </c>
      <c r="R1542" s="10" t="s">
        <v>214</v>
      </c>
      <c r="S1542" s="10" t="s">
        <v>196</v>
      </c>
      <c r="T1542" s="188">
        <v>1000</v>
      </c>
      <c r="U1542" s="8">
        <f t="shared" si="165"/>
        <v>180</v>
      </c>
      <c r="V1542" s="234">
        <f t="shared" si="170"/>
        <v>161384.15524616028</v>
      </c>
      <c r="W1542" s="15">
        <v>25</v>
      </c>
      <c r="X1542" s="8">
        <f t="shared" si="167"/>
        <v>4.5</v>
      </c>
      <c r="Y1542" s="233">
        <f t="shared" si="168"/>
        <v>5900.5</v>
      </c>
    </row>
    <row r="1543" spans="1:25">
      <c r="A1543" s="156" t="e" cm="1">
        <f t="array" aca="1" ref="A1543" ca="1">_xlfn.IFS(E1543=$AB$42,$AC$42,E1543=$AB$43,$AC$43,E1543=$AB$44,$AC$44,E1543=$AB$45,$AC$45,E1543=$AB$46,$AC$46,E1543=$AB$47,$AC$47,E1543=$AB$48,$AC$48,E1543=$AB$49,$AC$49,E1543=$AB$50,$AC$50,E1543=$AB$51,$AC$51,E1543=$AB$52,$AC$52,E1543=$AB$53,$AC$53,E1543=$AB$54,$AC$54,E1543=$AB$55,$AC$55,E1543=$AB$56,$AC$56,E1543=$AB$57,$AC$57,E1543=$AB$58,$AC$58,E1543=$AB$59,$AC$59,E1543=$AB$60,$AC$60,E1543=$AB$61,$AC$61,E1543=$AB$62,$AC$62,E1543=$AB$63,$AC$63,E1543=$AB$64,$AC$64,E1543=$AB$65,$AC$65,E1543=$AB$66,$AC$66,TRUE,"0")</f>
        <v>#NAME?</v>
      </c>
      <c r="C1543" s="161" t="str" cm="1">
        <f t="array" ref="C1543">_xlfn.IFS(E1543=$AB$42,$AF$42,E1543=$AB$43,$AF$43,E1543=$AB$44,$AF$44,E1543=$AB$45,$AF$45,E1543=$AB$46,$AF$46,E1543=$AB$47,$AF$47,E1543=$AB$48,$AF$48,E1543=$AB$49,$AF$49,E1543=$AB$50,$AF$50,E1543=$AB$51,$AF$51,E1543=$AB$52,$AF$52,E1543=$AB$53,$AF$53,E1543=$AB$54,$AF$54,E1543=$AB$55,$AF$55,E1543=$AB$56,$AF$56,E1543=$AB$57,$AF$57,E1543=$AB$58,$AF$58,E1543=$AB$59,$AF$59,E1543=$AB$60,$AF$60,E1543=$AB$61,$AF$61,E1543=$AB$62,$AF$62,E1543=$AB$63,$AF$63,E1543=$AB$64,$AF$64,E1543=$AB$65,$AF$65,E1543=$AB$66,$AF$66,TRUE,"0")</f>
        <v>20mins if  0-0, BACK over 1.5 goals X after goal OR LET RUN</v>
      </c>
      <c r="D1543" s="270" t="str" cm="1">
        <f t="array" ref="D1543">_xlfn.IFS(E1543=$AB$42,$AD$42,E1543=$AB$43,$AD$43,E1543=$AB$44,$AD$44,E1543=$AB$45,$AD$45,E1543=$AB$46,$AD$46,E1543=$AB$47,$AD$47,E1543=$AB$48,$AD$48,E1543=$AB$49,$AD$49,E1543=$AB$50,$AD$50,E1543=$AB$51,$AD$51,E1543=$AB$52,$AD$52,E1543=$AB$53,$AD$53,E1543=$AB$54,$AD$54,E1543=$AB$55,$AD$55,E1543=$AB$56,$AD$56,E1543=$AB$57,$AD$57,E1543=$AB$58,$AD$58,E1543=$AB$59,$AD$59,E1543=$AB$60,$AD$60,E1543=$AB$61,$AD$61,E1543=$AB$62,$AD$62,E1543=$AB$63,$AD$63,E1543=$AB$64,$AD$64,E1543=$AB$65,$AD$65,E1543=$AB$66,$AD$66,TRUE,"0")</f>
        <v>IP</v>
      </c>
      <c r="E1543" s="2" t="s">
        <v>474</v>
      </c>
      <c r="F1543" s="2" t="s">
        <v>133</v>
      </c>
      <c r="G1543" s="2" t="s">
        <v>78</v>
      </c>
      <c r="H1543" s="3">
        <v>45427.75</v>
      </c>
      <c r="I1543" s="2" t="s">
        <v>137</v>
      </c>
      <c r="J1543" s="2" t="s">
        <v>466</v>
      </c>
      <c r="K1543" s="2">
        <v>57</v>
      </c>
      <c r="L1543" s="2">
        <v>3.45</v>
      </c>
      <c r="M1543" s="2">
        <v>20</v>
      </c>
      <c r="N1543" s="2">
        <v>80</v>
      </c>
      <c r="O1543" s="2">
        <v>95</v>
      </c>
      <c r="P1543" s="2"/>
      <c r="Q1543" s="2" t="s">
        <v>95</v>
      </c>
      <c r="R1543" s="10" t="s">
        <v>214</v>
      </c>
      <c r="S1543" s="10" t="s">
        <v>196</v>
      </c>
      <c r="T1543" s="188">
        <v>1000</v>
      </c>
      <c r="U1543" s="8">
        <f t="shared" si="165"/>
        <v>180</v>
      </c>
      <c r="V1543" s="234">
        <f t="shared" si="170"/>
        <v>161564.15524616028</v>
      </c>
      <c r="W1543" s="15">
        <v>25</v>
      </c>
      <c r="X1543" s="8">
        <f t="shared" si="167"/>
        <v>4.5</v>
      </c>
      <c r="Y1543" s="233">
        <f t="shared" si="168"/>
        <v>5905</v>
      </c>
    </row>
    <row r="1544" spans="1:25">
      <c r="A1544" s="156" t="e" cm="1">
        <f t="array" aca="1" ref="A1544" ca="1">_xlfn.IFS(E1544=$AB$42,$AC$42,E1544=$AB$43,$AC$43,E1544=$AB$44,$AC$44,E1544=$AB$45,$AC$45,E1544=$AB$46,$AC$46,E1544=$AB$47,$AC$47,E1544=$AB$48,$AC$48,E1544=$AB$49,$AC$49,E1544=$AB$50,$AC$50,E1544=$AB$51,$AC$51,E1544=$AB$52,$AC$52,E1544=$AB$53,$AC$53,E1544=$AB$54,$AC$54,E1544=$AB$55,$AC$55,E1544=$AB$56,$AC$56,E1544=$AB$57,$AC$57,E1544=$AB$58,$AC$58,E1544=$AB$59,$AC$59,E1544=$AB$60,$AC$60,E1544=$AB$61,$AC$61,E1544=$AB$62,$AC$62,E1544=$AB$63,$AC$63,E1544=$AB$64,$AC$64,E1544=$AB$65,$AC$65,E1544=$AB$66,$AC$66,TRUE,"0")</f>
        <v>#NAME?</v>
      </c>
      <c r="C1544" s="161" t="str" cm="1">
        <f t="array" ref="C1544">_xlfn.IFS(E1544=$AB$42,$AF$42,E1544=$AB$43,$AF$43,E1544=$AB$44,$AF$44,E1544=$AB$45,$AF$45,E1544=$AB$46,$AF$46,E1544=$AB$47,$AF$47,E1544=$AB$48,$AF$48,E1544=$AB$49,$AF$49,E1544=$AB$50,$AF$50,E1544=$AB$51,$AF$51,E1544=$AB$52,$AF$52,E1544=$AB$53,$AF$53,E1544=$AB$54,$AF$54,E1544=$AB$55,$AF$55,E1544=$AB$56,$AF$56,E1544=$AB$57,$AF$57,E1544=$AB$58,$AF$58,E1544=$AB$59,$AF$59,E1544=$AB$60,$AF$60,E1544=$AB$61,$AF$61,E1544=$AB$62,$AF$62,E1544=$AB$63,$AF$63,E1544=$AB$64,$AF$64,E1544=$AB$65,$AF$65,E1544=$AB$66,$AF$66,TRUE,"0")</f>
        <v>15mins if  0-0, BACK over 1.5 goals X after goal OR LET RUN</v>
      </c>
      <c r="D1544" s="270" t="str" cm="1">
        <f t="array" ref="D1544">_xlfn.IFS(E1544=$AB$42,$AD$42,E1544=$AB$43,$AD$43,E1544=$AB$44,$AD$44,E1544=$AB$45,$AD$45,E1544=$AB$46,$AD$46,E1544=$AB$47,$AD$47,E1544=$AB$48,$AD$48,E1544=$AB$49,$AD$49,E1544=$AB$50,$AD$50,E1544=$AB$51,$AD$51,E1544=$AB$52,$AD$52,E1544=$AB$53,$AD$53,E1544=$AB$54,$AD$54,E1544=$AB$55,$AD$55,E1544=$AB$56,$AD$56,E1544=$AB$57,$AD$57,E1544=$AB$58,$AD$58,E1544=$AB$59,$AD$59,E1544=$AB$60,$AD$60,E1544=$AB$61,$AD$61,E1544=$AB$62,$AD$62,E1544=$AB$63,$AD$63,E1544=$AB$64,$AD$64,E1544=$AB$65,$AD$65,E1544=$AB$66,$AD$66,TRUE,"0")</f>
        <v>IP</v>
      </c>
      <c r="E1544" s="2" t="s">
        <v>473</v>
      </c>
      <c r="F1544" s="2" t="s">
        <v>434</v>
      </c>
      <c r="G1544" s="2" t="s">
        <v>435</v>
      </c>
      <c r="H1544" s="3">
        <v>45427.791666666664</v>
      </c>
      <c r="I1544" s="2" t="s">
        <v>436</v>
      </c>
      <c r="J1544" s="2" t="s">
        <v>533</v>
      </c>
      <c r="K1544" s="2">
        <v>64</v>
      </c>
      <c r="L1544" s="2">
        <v>80</v>
      </c>
      <c r="M1544" s="2">
        <v>20</v>
      </c>
      <c r="N1544" s="2">
        <v>2.5499999999999998</v>
      </c>
      <c r="O1544" s="2"/>
      <c r="P1544" s="2"/>
      <c r="Q1544" s="2" t="s">
        <v>95</v>
      </c>
      <c r="R1544" s="10" t="s">
        <v>214</v>
      </c>
      <c r="S1544" s="10" t="s">
        <v>214</v>
      </c>
      <c r="T1544" s="188">
        <v>1000</v>
      </c>
      <c r="U1544" s="8">
        <f t="shared" si="165"/>
        <v>180</v>
      </c>
      <c r="V1544" s="234">
        <f t="shared" si="170"/>
        <v>161744.15524616028</v>
      </c>
      <c r="W1544" s="15">
        <v>25</v>
      </c>
      <c r="X1544" s="8">
        <f t="shared" si="167"/>
        <v>4.5</v>
      </c>
      <c r="Y1544" s="233">
        <f t="shared" si="168"/>
        <v>5909.5</v>
      </c>
    </row>
    <row r="1545" spans="1:25">
      <c r="A1545" s="156" t="e" cm="1">
        <f t="array" aca="1" ref="A1545" ca="1">_xlfn.IFS(E1545=$AB$42,$AC$42,E1545=$AB$43,$AC$43,E1545=$AB$44,$AC$44,E1545=$AB$45,$AC$45,E1545=$AB$46,$AC$46,E1545=$AB$47,$AC$47,E1545=$AB$48,$AC$48,E1545=$AB$49,$AC$49,E1545=$AB$50,$AC$50,E1545=$AB$51,$AC$51,E1545=$AB$52,$AC$52,E1545=$AB$53,$AC$53,E1545=$AB$54,$AC$54,E1545=$AB$55,$AC$55,E1545=$AB$56,$AC$56,E1545=$AB$57,$AC$57,E1545=$AB$58,$AC$58,E1545=$AB$59,$AC$59,E1545=$AB$60,$AC$60,E1545=$AB$61,$AC$61,E1545=$AB$62,$AC$62,E1545=$AB$63,$AC$63,E1545=$AB$64,$AC$64,E1545=$AB$65,$AC$65,E1545=$AB$66,$AC$66,TRUE,"0")</f>
        <v>#NAME?</v>
      </c>
      <c r="C1545" s="161" t="str" cm="1">
        <f t="array" ref="C1545">_xlfn.IFS(E1545=$AB$42,$AF$42,E1545=$AB$43,$AF$43,E1545=$AB$44,$AF$44,E1545=$AB$45,$AF$45,E1545=$AB$46,$AF$46,E1545=$AB$47,$AF$47,E1545=$AB$48,$AF$48,E1545=$AB$49,$AF$49,E1545=$AB$50,$AF$50,E1545=$AB$51,$AF$51,E1545=$AB$52,$AF$52,E1545=$AB$53,$AF$53,E1545=$AB$54,$AF$54,E1545=$AB$55,$AF$55,E1545=$AB$56,$AF$56,E1545=$AB$57,$AF$57,E1545=$AB$58,$AF$58,E1545=$AB$59,$AF$59,E1545=$AB$60,$AF$60,E1545=$AB$61,$AF$61,E1545=$AB$62,$AF$62,E1545=$AB$63,$AF$63,E1545=$AB$64,$AF$64,E1545=$AB$65,$AF$65,E1545=$AB$66,$AF$66,TRUE,"0")</f>
        <v>40 mins Back ANother Goal</v>
      </c>
      <c r="D1545" s="270" t="str" cm="1">
        <f t="array" ref="D1545">_xlfn.IFS(E1545=$AB$42,$AD$42,E1545=$AB$43,$AD$43,E1545=$AB$44,$AD$44,E1545=$AB$45,$AD$45,E1545=$AB$46,$AD$46,E1545=$AB$47,$AD$47,E1545=$AB$48,$AD$48,E1545=$AB$49,$AD$49,E1545=$AB$50,$AD$50,E1545=$AB$51,$AD$51,E1545=$AB$52,$AD$52,E1545=$AB$53,$AD$53,E1545=$AB$54,$AD$54,E1545=$AB$55,$AD$55,E1545=$AB$56,$AD$56,E1545=$AB$57,$AD$57,E1545=$AB$58,$AD$58,E1545=$AB$59,$AD$59,E1545=$AB$60,$AD$60,E1545=$AB$61,$AD$61,E1545=$AB$62,$AD$62,E1545=$AB$63,$AD$63,E1545=$AB$64,$AD$64,E1545=$AB$65,$AD$65,E1545=$AB$66,$AD$66,TRUE,"0")</f>
        <v xml:space="preserve">  BANG</v>
      </c>
      <c r="E1545" s="2" t="s">
        <v>792</v>
      </c>
      <c r="F1545" s="2" t="s">
        <v>13</v>
      </c>
      <c r="G1545" s="2" t="s">
        <v>37</v>
      </c>
      <c r="H1545" s="3">
        <v>45427.8125</v>
      </c>
      <c r="I1545" s="2" t="s">
        <v>324</v>
      </c>
      <c r="J1545" s="2" t="s">
        <v>99</v>
      </c>
      <c r="K1545" s="2">
        <v>2.1</v>
      </c>
      <c r="L1545" s="2">
        <v>95</v>
      </c>
      <c r="M1545" s="2">
        <v>65</v>
      </c>
      <c r="N1545" s="2">
        <v>62</v>
      </c>
      <c r="O1545" s="2">
        <v>20</v>
      </c>
      <c r="P1545" s="2"/>
      <c r="Q1545" s="2" t="s">
        <v>95</v>
      </c>
      <c r="R1545" s="10" t="s">
        <v>218</v>
      </c>
      <c r="S1545" s="10" t="s">
        <v>734</v>
      </c>
      <c r="T1545" s="188">
        <v>1000</v>
      </c>
      <c r="U1545" s="8">
        <f t="shared" si="165"/>
        <v>180</v>
      </c>
      <c r="V1545" s="234">
        <f t="shared" si="170"/>
        <v>161924.15524616028</v>
      </c>
      <c r="W1545" s="15">
        <v>25</v>
      </c>
      <c r="X1545" s="8">
        <f t="shared" si="167"/>
        <v>4.5</v>
      </c>
      <c r="Y1545" s="233">
        <f t="shared" si="168"/>
        <v>5914</v>
      </c>
    </row>
    <row r="1546" spans="1:25">
      <c r="A1546" s="156" t="e" cm="1">
        <f t="array" aca="1" ref="A1546" ca="1">_xlfn.IFS(E1546=$AB$42,$AC$42,E1546=$AB$43,$AC$43,E1546=$AB$44,$AC$44,E1546=$AB$45,$AC$45,E1546=$AB$46,$AC$46,E1546=$AB$47,$AC$47,E1546=$AB$48,$AC$48,E1546=$AB$49,$AC$49,E1546=$AB$50,$AC$50,E1546=$AB$51,$AC$51,E1546=$AB$52,$AC$52,E1546=$AB$53,$AC$53,E1546=$AB$54,$AC$54,E1546=$AB$55,$AC$55,E1546=$AB$56,$AC$56,E1546=$AB$57,$AC$57,E1546=$AB$58,$AC$58,E1546=$AB$59,$AC$59,E1546=$AB$60,$AC$60,E1546=$AB$61,$AC$61,E1546=$AB$62,$AC$62,E1546=$AB$63,$AC$63,E1546=$AB$64,$AC$64,E1546=$AB$65,$AC$65,E1546=$AB$66,$AC$66,TRUE,"0")</f>
        <v>#NAME?</v>
      </c>
      <c r="C1546" s="161" t="str" cm="1">
        <f t="array" ref="C1546">_xlfn.IFS(E1546=$AB$42,$AF$42,E1546=$AB$43,$AF$43,E1546=$AB$44,$AF$44,E1546=$AB$45,$AF$45,E1546=$AB$46,$AF$46,E1546=$AB$47,$AF$47,E1546=$AB$48,$AF$48,E1546=$AB$49,$AF$49,E1546=$AB$50,$AF$50,E1546=$AB$51,$AF$51,E1546=$AB$52,$AF$52,E1546=$AB$53,$AF$53,E1546=$AB$54,$AF$54,E1546=$AB$55,$AF$55,E1546=$AB$56,$AF$56,E1546=$AB$57,$AF$57,E1546=$AB$58,$AF$58,E1546=$AB$59,$AF$59,E1546=$AB$60,$AF$60,E1546=$AB$61,$AF$61,E1546=$AB$62,$AF$62,E1546=$AB$63,$AF$63,E1546=$AB$64,$AF$64,E1546=$AB$65,$AF$65,E1546=$AB$66,$AF$66,TRUE,"0")</f>
        <v>40 mins Back ANother Goal</v>
      </c>
      <c r="D1546" s="270" t="str" cm="1">
        <f t="array" ref="D1546">_xlfn.IFS(E1546=$AB$42,$AD$42,E1546=$AB$43,$AD$43,E1546=$AB$44,$AD$44,E1546=$AB$45,$AD$45,E1546=$AB$46,$AD$46,E1546=$AB$47,$AD$47,E1546=$AB$48,$AD$48,E1546=$AB$49,$AD$49,E1546=$AB$50,$AD$50,E1546=$AB$51,$AD$51,E1546=$AB$52,$AD$52,E1546=$AB$53,$AD$53,E1546=$AB$54,$AD$54,E1546=$AB$55,$AD$55,E1546=$AB$56,$AD$56,E1546=$AB$57,$AD$57,E1546=$AB$58,$AD$58,E1546=$AB$59,$AD$59,E1546=$AB$60,$AD$60,E1546=$AB$61,$AD$61,E1546=$AB$62,$AD$62,E1546=$AB$63,$AD$63,E1546=$AB$64,$AD$64,E1546=$AB$65,$AD$65,E1546=$AB$66,$AD$66,TRUE,"0")</f>
        <v xml:space="preserve">  BANG</v>
      </c>
      <c r="E1546" s="2" t="s">
        <v>43</v>
      </c>
      <c r="F1546" s="2" t="s">
        <v>13</v>
      </c>
      <c r="G1546" s="2" t="s">
        <v>37</v>
      </c>
      <c r="H1546" s="3">
        <v>45427.8125</v>
      </c>
      <c r="I1546" s="2" t="s">
        <v>324</v>
      </c>
      <c r="J1546" s="2" t="s">
        <v>99</v>
      </c>
      <c r="K1546" s="2">
        <v>72</v>
      </c>
      <c r="L1546" s="2">
        <v>67</v>
      </c>
      <c r="M1546" s="2">
        <v>62</v>
      </c>
      <c r="N1546" s="2">
        <v>2.1</v>
      </c>
      <c r="O1546" s="2">
        <v>1.53</v>
      </c>
      <c r="P1546" s="2"/>
      <c r="Q1546" s="2" t="s">
        <v>95</v>
      </c>
      <c r="R1546" s="10" t="s">
        <v>218</v>
      </c>
      <c r="S1546" s="10" t="s">
        <v>734</v>
      </c>
      <c r="T1546" s="188">
        <v>1000</v>
      </c>
      <c r="U1546" s="8">
        <f t="shared" si="165"/>
        <v>180</v>
      </c>
      <c r="V1546" s="234">
        <f t="shared" si="170"/>
        <v>162104.15524616028</v>
      </c>
      <c r="W1546" s="15">
        <v>25</v>
      </c>
      <c r="X1546" s="8">
        <f t="shared" si="167"/>
        <v>4.5</v>
      </c>
      <c r="Y1546" s="233">
        <f t="shared" si="168"/>
        <v>5918.5</v>
      </c>
    </row>
    <row r="1547" spans="1:25">
      <c r="A1547" s="156" t="e" cm="1">
        <f t="array" aca="1" ref="A1547" ca="1">_xlfn.IFS(E1547=$AB$42,$AC$42,E1547=$AB$43,$AC$43,E1547=$AB$44,$AC$44,E1547=$AB$45,$AC$45,E1547=$AB$46,$AC$46,E1547=$AB$47,$AC$47,E1547=$AB$48,$AC$48,E1547=$AB$49,$AC$49,E1547=$AB$50,$AC$50,E1547=$AB$51,$AC$51,E1547=$AB$52,$AC$52,E1547=$AB$53,$AC$53,E1547=$AB$54,$AC$54,E1547=$AB$55,$AC$55,E1547=$AB$56,$AC$56,E1547=$AB$57,$AC$57,E1547=$AB$58,$AC$58,E1547=$AB$59,$AC$59,E1547=$AB$60,$AC$60,E1547=$AB$61,$AC$61,E1547=$AB$62,$AC$62,E1547=$AB$63,$AC$63,E1547=$AB$64,$AC$64,E1547=$AB$65,$AC$65,E1547=$AB$66,$AC$66,TRUE,"0")</f>
        <v>#NAME?</v>
      </c>
      <c r="C1547" s="161" t="str" cm="1">
        <f t="array" ref="C1547">_xlfn.IFS(E1547=$AB$42,$AF$42,E1547=$AB$43,$AF$43,E1547=$AB$44,$AF$44,E1547=$AB$45,$AF$45,E1547=$AB$46,$AF$46,E1547=$AB$47,$AF$47,E1547=$AB$48,$AF$48,E1547=$AB$49,$AF$49,E1547=$AB$50,$AF$50,E1547=$AB$51,$AF$51,E1547=$AB$52,$AF$52,E1547=$AB$53,$AF$53,E1547=$AB$54,$AF$54,E1547=$AB$55,$AF$55,E1547=$AB$56,$AF$56,E1547=$AB$57,$AF$57,E1547=$AB$58,$AF$58,E1547=$AB$59,$AF$59,E1547=$AB$60,$AF$60,E1547=$AB$61,$AF$61,E1547=$AB$62,$AF$62,E1547=$AB$63,$AF$63,E1547=$AB$64,$AF$64,E1547=$AB$65,$AF$65,E1547=$AB$66,$AF$66,TRUE,"0")</f>
        <v>B4 match BACK FT +1.5 goals. X AFTER  GOAL</v>
      </c>
      <c r="D1547" s="270" t="str" cm="1">
        <f t="array" ref="D1547">_xlfn.IFS(E1547=$AB$42,$AD$42,E1547=$AB$43,$AD$43,E1547=$AB$44,$AD$44,E1547=$AB$45,$AD$45,E1547=$AB$46,$AD$46,E1547=$AB$47,$AD$47,E1547=$AB$48,$AD$48,E1547=$AB$49,$AD$49,E1547=$AB$50,$AD$50,E1547=$AB$51,$AD$51,E1547=$AB$52,$AD$52,E1547=$AB$53,$AD$53,E1547=$AB$54,$AD$54,E1547=$AB$55,$AD$55,E1547=$AB$56,$AD$56,E1547=$AB$57,$AD$57,E1547=$AB$58,$AD$58,E1547=$AB$59,$AD$59,E1547=$AB$60,$AD$60,E1547=$AB$61,$AD$61,E1547=$AB$62,$AD$62,E1547=$AB$63,$AD$63,E1547=$AB$64,$AD$64,E1547=$AB$65,$AD$65,E1547=$AB$66,$AD$66,TRUE,"0")</f>
        <v xml:space="preserve">BFM </v>
      </c>
      <c r="E1547" s="2" t="s">
        <v>531</v>
      </c>
      <c r="F1547" s="2" t="s">
        <v>13</v>
      </c>
      <c r="G1547" s="2" t="s">
        <v>37</v>
      </c>
      <c r="H1547" s="3">
        <v>45427.8125</v>
      </c>
      <c r="I1547" s="2" t="s">
        <v>324</v>
      </c>
      <c r="J1547" s="2" t="s">
        <v>99</v>
      </c>
      <c r="K1547" s="2">
        <v>4</v>
      </c>
      <c r="L1547" s="2">
        <v>36</v>
      </c>
      <c r="M1547" s="2">
        <v>2.75</v>
      </c>
      <c r="N1547" s="2">
        <v>34</v>
      </c>
      <c r="O1547" s="2">
        <v>1</v>
      </c>
      <c r="P1547" s="2">
        <v>18</v>
      </c>
      <c r="Q1547" s="2" t="s">
        <v>95</v>
      </c>
      <c r="R1547" s="10" t="s">
        <v>218</v>
      </c>
      <c r="S1547" s="10" t="s">
        <v>734</v>
      </c>
      <c r="T1547" s="188">
        <v>1000</v>
      </c>
      <c r="U1547" s="8">
        <f t="shared" si="165"/>
        <v>180</v>
      </c>
      <c r="V1547" s="234">
        <f t="shared" si="170"/>
        <v>162284.15524616028</v>
      </c>
      <c r="W1547" s="15">
        <v>25</v>
      </c>
      <c r="X1547" s="8">
        <f t="shared" si="167"/>
        <v>4.5</v>
      </c>
      <c r="Y1547" s="233">
        <f t="shared" si="168"/>
        <v>5923</v>
      </c>
    </row>
    <row r="1548" spans="1:25">
      <c r="A1548" s="156" t="e" cm="1">
        <f t="array" aca="1" ref="A1548" ca="1">_xlfn.IFS(E1548=$AB$42,$AC$42,E1548=$AB$43,$AC$43,E1548=$AB$44,$AC$44,E1548=$AB$45,$AC$45,E1548=$AB$46,$AC$46,E1548=$AB$47,$AC$47,E1548=$AB$48,$AC$48,E1548=$AB$49,$AC$49,E1548=$AB$50,$AC$50,E1548=$AB$51,$AC$51,E1548=$AB$52,$AC$52,E1548=$AB$53,$AC$53,E1548=$AB$54,$AC$54,E1548=$AB$55,$AC$55,E1548=$AB$56,$AC$56,E1548=$AB$57,$AC$57,E1548=$AB$58,$AC$58,E1548=$AB$59,$AC$59,E1548=$AB$60,$AC$60,E1548=$AB$61,$AC$61,E1548=$AB$62,$AC$62,E1548=$AB$63,$AC$63,E1548=$AB$64,$AC$64,E1548=$AB$65,$AC$65,E1548=$AB$66,$AC$66,TRUE,"0")</f>
        <v>#NAME?</v>
      </c>
      <c r="C1548" s="161" t="str" cm="1">
        <f t="array" ref="C1548">_xlfn.IFS(E1548=$AB$42,$AF$42,E1548=$AB$43,$AF$43,E1548=$AB$44,$AF$44,E1548=$AB$45,$AF$45,E1548=$AB$46,$AF$46,E1548=$AB$47,$AF$47,E1548=$AB$48,$AF$48,E1548=$AB$49,$AF$49,E1548=$AB$50,$AF$50,E1548=$AB$51,$AF$51,E1548=$AB$52,$AF$52,E1548=$AB$53,$AF$53,E1548=$AB$54,$AF$54,E1548=$AB$55,$AF$55,E1548=$AB$56,$AF$56,E1548=$AB$57,$AF$57,E1548=$AB$58,$AF$58,E1548=$AB$59,$AF$59,E1548=$AB$60,$AF$60,E1548=$AB$61,$AF$61,E1548=$AB$62,$AF$62,E1548=$AB$63,$AF$63,E1548=$AB$64,$AF$64,E1548=$AB$65,$AF$65,E1548=$AB$66,$AF$66,TRUE,"0")</f>
        <v>40 mins Back ANother Goal</v>
      </c>
      <c r="D1548" s="270" t="str" cm="1">
        <f t="array" ref="D1548">_xlfn.IFS(E1548=$AB$42,$AD$42,E1548=$AB$43,$AD$43,E1548=$AB$44,$AD$44,E1548=$AB$45,$AD$45,E1548=$AB$46,$AD$46,E1548=$AB$47,$AD$47,E1548=$AB$48,$AD$48,E1548=$AB$49,$AD$49,E1548=$AB$50,$AD$50,E1548=$AB$51,$AD$51,E1548=$AB$52,$AD$52,E1548=$AB$53,$AD$53,E1548=$AB$54,$AD$54,E1548=$AB$55,$AD$55,E1548=$AB$56,$AD$56,E1548=$AB$57,$AD$57,E1548=$AB$58,$AD$58,E1548=$AB$59,$AD$59,E1548=$AB$60,$AD$60,E1548=$AB$61,$AD$61,E1548=$AB$62,$AD$62,E1548=$AB$63,$AD$63,E1548=$AB$64,$AD$64,E1548=$AB$65,$AD$65,E1548=$AB$66,$AD$66,TRUE,"0")</f>
        <v xml:space="preserve">  BANG</v>
      </c>
      <c r="E1548" s="2" t="s">
        <v>522</v>
      </c>
      <c r="F1548" s="2" t="s">
        <v>13</v>
      </c>
      <c r="G1548" s="2" t="s">
        <v>37</v>
      </c>
      <c r="H1548" s="3">
        <v>45427.8125</v>
      </c>
      <c r="I1548" s="2" t="s">
        <v>324</v>
      </c>
      <c r="J1548" s="2" t="s">
        <v>99</v>
      </c>
      <c r="K1548" s="2">
        <v>70</v>
      </c>
      <c r="L1548" s="2">
        <v>20</v>
      </c>
      <c r="M1548" s="2">
        <v>95</v>
      </c>
      <c r="N1548" s="2">
        <v>65</v>
      </c>
      <c r="O1548" s="2">
        <v>2.1</v>
      </c>
      <c r="P1548" s="2"/>
      <c r="Q1548" s="2" t="s">
        <v>95</v>
      </c>
      <c r="R1548" s="10" t="s">
        <v>218</v>
      </c>
      <c r="S1548" s="10" t="s">
        <v>734</v>
      </c>
      <c r="T1548" s="188">
        <v>1000</v>
      </c>
      <c r="U1548" s="8">
        <f t="shared" ref="U1548:U1596" si="171">IF(Q1548="won",T1548*0.18,-T1548)</f>
        <v>180</v>
      </c>
      <c r="V1548" s="234">
        <f t="shared" si="170"/>
        <v>162464.15524616028</v>
      </c>
      <c r="W1548" s="15">
        <v>25</v>
      </c>
      <c r="X1548" s="8">
        <f t="shared" si="167"/>
        <v>4.5</v>
      </c>
      <c r="Y1548" s="233">
        <f t="shared" si="168"/>
        <v>5927.5</v>
      </c>
    </row>
    <row r="1549" spans="1:25">
      <c r="A1549" s="156" t="e" cm="1">
        <f t="array" aca="1" ref="A1549" ca="1">_xlfn.IFS(E1549=$AB$42,$AC$42,E1549=$AB$43,$AC$43,E1549=$AB$44,$AC$44,E1549=$AB$45,$AC$45,E1549=$AB$46,$AC$46,E1549=$AB$47,$AC$47,E1549=$AB$48,$AC$48,E1549=$AB$49,$AC$49,E1549=$AB$50,$AC$50,E1549=$AB$51,$AC$51,E1549=$AB$52,$AC$52,E1549=$AB$53,$AC$53,E1549=$AB$54,$AC$54,E1549=$AB$55,$AC$55,E1549=$AB$56,$AC$56,E1549=$AB$57,$AC$57,E1549=$AB$58,$AC$58,E1549=$AB$59,$AC$59,E1549=$AB$60,$AC$60,E1549=$AB$61,$AC$61,E1549=$AB$62,$AC$62,E1549=$AB$63,$AC$63,E1549=$AB$64,$AC$64,E1549=$AB$65,$AC$65,E1549=$AB$66,$AC$66,TRUE,"0")</f>
        <v>#NAME?</v>
      </c>
      <c r="C1549" s="161" t="str" cm="1">
        <f t="array" ref="C1549">_xlfn.IFS(E1549=$AB$42,$AF$42,E1549=$AB$43,$AF$43,E1549=$AB$44,$AF$44,E1549=$AB$45,$AF$45,E1549=$AB$46,$AF$46,E1549=$AB$47,$AF$47,E1549=$AB$48,$AF$48,E1549=$AB$49,$AF$49,E1549=$AB$50,$AF$50,E1549=$AB$51,$AF$51,E1549=$AB$52,$AF$52,E1549=$AB$53,$AF$53,E1549=$AB$54,$AF$54,E1549=$AB$55,$AF$55,E1549=$AB$56,$AF$56,E1549=$AB$57,$AF$57,E1549=$AB$58,$AF$58,E1549=$AB$59,$AF$59,E1549=$AB$60,$AF$60,E1549=$AB$61,$AF$61,E1549=$AB$62,$AF$62,E1549=$AB$63,$AF$63,E1549=$AB$64,$AF$64,E1549=$AB$65,$AF$65,E1549=$AB$66,$AF$66,TRUE,"0")</f>
        <v>40 mins Back ANother Goal</v>
      </c>
      <c r="D1549" s="270" t="str" cm="1">
        <f t="array" ref="D1549">_xlfn.IFS(E1549=$AB$42,$AD$42,E1549=$AB$43,$AD$43,E1549=$AB$44,$AD$44,E1549=$AB$45,$AD$45,E1549=$AB$46,$AD$46,E1549=$AB$47,$AD$47,E1549=$AB$48,$AD$48,E1549=$AB$49,$AD$49,E1549=$AB$50,$AD$50,E1549=$AB$51,$AD$51,E1549=$AB$52,$AD$52,E1549=$AB$53,$AD$53,E1549=$AB$54,$AD$54,E1549=$AB$55,$AD$55,E1549=$AB$56,$AD$56,E1549=$AB$57,$AD$57,E1549=$AB$58,$AD$58,E1549=$AB$59,$AD$59,E1549=$AB$60,$AD$60,E1549=$AB$61,$AD$61,E1549=$AB$62,$AD$62,E1549=$AB$63,$AD$63,E1549=$AB$64,$AD$64,E1549=$AB$65,$AD$65,E1549=$AB$66,$AD$66,TRUE,"0")</f>
        <v xml:space="preserve">  BANG</v>
      </c>
      <c r="E1549" s="2" t="s">
        <v>515</v>
      </c>
      <c r="F1549" s="2" t="s">
        <v>13</v>
      </c>
      <c r="G1549" s="2" t="s">
        <v>37</v>
      </c>
      <c r="H1549" s="3">
        <v>45427.8125</v>
      </c>
      <c r="I1549" s="2" t="s">
        <v>324</v>
      </c>
      <c r="J1549" s="2" t="s">
        <v>99</v>
      </c>
      <c r="K1549" s="2">
        <v>20</v>
      </c>
      <c r="L1549" s="2">
        <v>70</v>
      </c>
      <c r="M1549" s="2">
        <v>2.1</v>
      </c>
      <c r="N1549" s="2"/>
      <c r="O1549" s="2"/>
      <c r="P1549" s="2"/>
      <c r="Q1549" s="2" t="s">
        <v>95</v>
      </c>
      <c r="R1549" s="10" t="s">
        <v>218</v>
      </c>
      <c r="S1549" s="10" t="s">
        <v>734</v>
      </c>
      <c r="T1549" s="188">
        <v>1000</v>
      </c>
      <c r="U1549" s="8">
        <f t="shared" si="171"/>
        <v>180</v>
      </c>
      <c r="V1549" s="234">
        <f t="shared" si="170"/>
        <v>162644.15524616028</v>
      </c>
      <c r="W1549" s="15">
        <v>25</v>
      </c>
      <c r="X1549" s="8">
        <f t="shared" si="167"/>
        <v>4.5</v>
      </c>
      <c r="Y1549" s="233">
        <f t="shared" si="168"/>
        <v>5932</v>
      </c>
    </row>
    <row r="1550" spans="1:25">
      <c r="A1550" s="156" t="e" cm="1">
        <f t="array" aca="1" ref="A1550" ca="1">_xlfn.IFS(E1550=$AB$42,$AC$42,E1550=$AB$43,$AC$43,E1550=$AB$44,$AC$44,E1550=$AB$45,$AC$45,E1550=$AB$46,$AC$46,E1550=$AB$47,$AC$47,E1550=$AB$48,$AC$48,E1550=$AB$49,$AC$49,E1550=$AB$50,$AC$50,E1550=$AB$51,$AC$51,E1550=$AB$52,$AC$52,E1550=$AB$53,$AC$53,E1550=$AB$54,$AC$54,E1550=$AB$55,$AC$55,E1550=$AB$56,$AC$56,E1550=$AB$57,$AC$57,E1550=$AB$58,$AC$58,E1550=$AB$59,$AC$59,E1550=$AB$60,$AC$60,E1550=$AB$61,$AC$61,E1550=$AB$62,$AC$62,E1550=$AB$63,$AC$63,E1550=$AB$64,$AC$64,E1550=$AB$65,$AC$65,E1550=$AB$66,$AC$66,TRUE,"0")</f>
        <v>#NAME?</v>
      </c>
      <c r="C1550" s="161" t="str" cm="1">
        <f t="array" ref="C1550">_xlfn.IFS(E1550=$AB$42,$AF$42,E1550=$AB$43,$AF$43,E1550=$AB$44,$AF$44,E1550=$AB$45,$AF$45,E1550=$AB$46,$AF$46,E1550=$AB$47,$AF$47,E1550=$AB$48,$AF$48,E1550=$AB$49,$AF$49,E1550=$AB$50,$AF$50,E1550=$AB$51,$AF$51,E1550=$AB$52,$AF$52,E1550=$AB$53,$AF$53,E1550=$AB$54,$AF$54,E1550=$AB$55,$AF$55,E1550=$AB$56,$AF$56,E1550=$AB$57,$AF$57,E1550=$AB$58,$AF$58,E1550=$AB$59,$AF$59,E1550=$AB$60,$AF$60,E1550=$AB$61,$AF$61,E1550=$AB$62,$AF$62,E1550=$AB$63,$AF$63,E1550=$AB$64,$AF$64,E1550=$AB$65,$AF$65,E1550=$AB$66,$AF$66,TRUE,"0")</f>
        <v>B4 match BACK FT +1.5 goals. X AFTER  GOAL</v>
      </c>
      <c r="D1550" s="270" t="str" cm="1">
        <f t="array" ref="D1550">_xlfn.IFS(E1550=$AB$42,$AD$42,E1550=$AB$43,$AD$43,E1550=$AB$44,$AD$44,E1550=$AB$45,$AD$45,E1550=$AB$46,$AD$46,E1550=$AB$47,$AD$47,E1550=$AB$48,$AD$48,E1550=$AB$49,$AD$49,E1550=$AB$50,$AD$50,E1550=$AB$51,$AD$51,E1550=$AB$52,$AD$52,E1550=$AB$53,$AD$53,E1550=$AB$54,$AD$54,E1550=$AB$55,$AD$55,E1550=$AB$56,$AD$56,E1550=$AB$57,$AD$57,E1550=$AB$58,$AD$58,E1550=$AB$59,$AD$59,E1550=$AB$60,$AD$60,E1550=$AB$61,$AD$61,E1550=$AB$62,$AD$62,E1550=$AB$63,$AD$63,E1550=$AB$64,$AD$64,E1550=$AB$65,$AD$65,E1550=$AB$66,$AD$66,TRUE,"0")</f>
        <v xml:space="preserve">BFM </v>
      </c>
      <c r="E1550" s="2" t="s">
        <v>623</v>
      </c>
      <c r="F1550" s="2" t="s">
        <v>13</v>
      </c>
      <c r="G1550" s="2" t="s">
        <v>37</v>
      </c>
      <c r="H1550" s="3">
        <v>45427.822916666664</v>
      </c>
      <c r="I1550" s="2" t="s">
        <v>319</v>
      </c>
      <c r="J1550" s="2" t="s">
        <v>39</v>
      </c>
      <c r="K1550" s="2">
        <v>5.8</v>
      </c>
      <c r="L1550" s="2">
        <v>20</v>
      </c>
      <c r="M1550" s="2">
        <v>2.9</v>
      </c>
      <c r="N1550" s="2">
        <v>31</v>
      </c>
      <c r="O1550" s="2">
        <v>0</v>
      </c>
      <c r="P1550" s="2">
        <v>10</v>
      </c>
      <c r="Q1550" s="2" t="s">
        <v>95</v>
      </c>
      <c r="R1550" s="10" t="s">
        <v>221</v>
      </c>
      <c r="S1550" s="10" t="s">
        <v>197</v>
      </c>
      <c r="T1550" s="188">
        <v>1000</v>
      </c>
      <c r="U1550" s="8">
        <f t="shared" si="171"/>
        <v>180</v>
      </c>
      <c r="V1550" s="234">
        <f t="shared" si="170"/>
        <v>162824.15524616028</v>
      </c>
      <c r="W1550" s="15">
        <v>25</v>
      </c>
      <c r="X1550" s="8">
        <f t="shared" si="167"/>
        <v>4.5</v>
      </c>
      <c r="Y1550" s="233">
        <f t="shared" si="168"/>
        <v>5936.5</v>
      </c>
    </row>
    <row r="1551" spans="1:25">
      <c r="A1551" s="156" t="e" cm="1">
        <f t="array" aca="1" ref="A1551" ca="1">_xlfn.IFS(E1551=$AB$42,$AC$42,E1551=$AB$43,$AC$43,E1551=$AB$44,$AC$44,E1551=$AB$45,$AC$45,E1551=$AB$46,$AC$46,E1551=$AB$47,$AC$47,E1551=$AB$48,$AC$48,E1551=$AB$49,$AC$49,E1551=$AB$50,$AC$50,E1551=$AB$51,$AC$51,E1551=$AB$52,$AC$52,E1551=$AB$53,$AC$53,E1551=$AB$54,$AC$54,E1551=$AB$55,$AC$55,E1551=$AB$56,$AC$56,E1551=$AB$57,$AC$57,E1551=$AB$58,$AC$58,E1551=$AB$59,$AC$59,E1551=$AB$60,$AC$60,E1551=$AB$61,$AC$61,E1551=$AB$62,$AC$62,E1551=$AB$63,$AC$63,E1551=$AB$64,$AC$64,E1551=$AB$65,$AC$65,E1551=$AB$66,$AC$66,TRUE,"0")</f>
        <v>#NAME?</v>
      </c>
      <c r="C1551" s="161" t="str" cm="1">
        <f t="array" ref="C1551">_xlfn.IFS(E1551=$AB$42,$AF$42,E1551=$AB$43,$AF$43,E1551=$AB$44,$AF$44,E1551=$AB$45,$AF$45,E1551=$AB$46,$AF$46,E1551=$AB$47,$AF$47,E1551=$AB$48,$AF$48,E1551=$AB$49,$AF$49,E1551=$AB$50,$AF$50,E1551=$AB$51,$AF$51,E1551=$AB$52,$AF$52,E1551=$AB$53,$AF$53,E1551=$AB$54,$AF$54,E1551=$AB$55,$AF$55,E1551=$AB$56,$AF$56,E1551=$AB$57,$AF$57,E1551=$AB$58,$AF$58,E1551=$AB$59,$AF$59,E1551=$AB$60,$AF$60,E1551=$AB$61,$AF$61,E1551=$AB$62,$AF$62,E1551=$AB$63,$AF$63,E1551=$AB$64,$AF$64,E1551=$AB$65,$AF$65,E1551=$AB$66,$AF$66,TRUE,"0")</f>
        <v>10mins if  0-0, BACK over 1.5 goals X after goal OR LET RUN</v>
      </c>
      <c r="D1551" s="270" t="str" cm="1">
        <f t="array" ref="D1551">_xlfn.IFS(E1551=$AB$42,$AD$42,E1551=$AB$43,$AD$43,E1551=$AB$44,$AD$44,E1551=$AB$45,$AD$45,E1551=$AB$46,$AD$46,E1551=$AB$47,$AD$47,E1551=$AB$48,$AD$48,E1551=$AB$49,$AD$49,E1551=$AB$50,$AD$50,E1551=$AB$51,$AD$51,E1551=$AB$52,$AD$52,E1551=$AB$53,$AD$53,E1551=$AB$54,$AD$54,E1551=$AB$55,$AD$55,E1551=$AB$56,$AD$56,E1551=$AB$57,$AD$57,E1551=$AB$58,$AD$58,E1551=$AB$59,$AD$59,E1551=$AB$60,$AD$60,E1551=$AB$61,$AD$61,E1551=$AB$62,$AD$62,E1551=$AB$63,$AD$63,E1551=$AB$64,$AD$64,E1551=$AB$65,$AD$65,E1551=$AB$66,$AD$66,TRUE,"0")</f>
        <v>IP</v>
      </c>
      <c r="E1551" s="2" t="s">
        <v>498</v>
      </c>
      <c r="F1551" s="2" t="s">
        <v>13</v>
      </c>
      <c r="G1551" s="2" t="s">
        <v>37</v>
      </c>
      <c r="H1551" s="3">
        <v>45427.822916666664</v>
      </c>
      <c r="I1551" s="2" t="s">
        <v>319</v>
      </c>
      <c r="J1551" s="2" t="s">
        <v>39</v>
      </c>
      <c r="K1551" s="2">
        <v>66</v>
      </c>
      <c r="L1551" s="2">
        <v>80</v>
      </c>
      <c r="M1551" s="2">
        <v>1.7</v>
      </c>
      <c r="N1551" s="2">
        <v>20</v>
      </c>
      <c r="O1551" s="2"/>
      <c r="P1551" s="2"/>
      <c r="Q1551" s="2" t="s">
        <v>95</v>
      </c>
      <c r="R1551" s="10" t="s">
        <v>221</v>
      </c>
      <c r="S1551" s="10" t="s">
        <v>197</v>
      </c>
      <c r="T1551" s="188">
        <v>1000</v>
      </c>
      <c r="U1551" s="8">
        <f t="shared" si="171"/>
        <v>180</v>
      </c>
      <c r="V1551" s="234">
        <f t="shared" si="170"/>
        <v>163004.15524616028</v>
      </c>
      <c r="W1551" s="15">
        <v>25</v>
      </c>
      <c r="X1551" s="8">
        <f t="shared" si="167"/>
        <v>4.5</v>
      </c>
      <c r="Y1551" s="233">
        <f t="shared" si="168"/>
        <v>5941</v>
      </c>
    </row>
    <row r="1552" spans="1:25">
      <c r="A1552" s="156" t="e" cm="1">
        <f t="array" aca="1" ref="A1552" ca="1">_xlfn.IFS(E1552=$AB$42,$AC$42,E1552=$AB$43,$AC$43,E1552=$AB$44,$AC$44,E1552=$AB$45,$AC$45,E1552=$AB$46,$AC$46,E1552=$AB$47,$AC$47,E1552=$AB$48,$AC$48,E1552=$AB$49,$AC$49,E1552=$AB$50,$AC$50,E1552=$AB$51,$AC$51,E1552=$AB$52,$AC$52,E1552=$AB$53,$AC$53,E1552=$AB$54,$AC$54,E1552=$AB$55,$AC$55,E1552=$AB$56,$AC$56,E1552=$AB$57,$AC$57,E1552=$AB$58,$AC$58,E1552=$AB$59,$AC$59,E1552=$AB$60,$AC$60,E1552=$AB$61,$AC$61,E1552=$AB$62,$AC$62,E1552=$AB$63,$AC$63,E1552=$AB$64,$AC$64,E1552=$AB$65,$AC$65,E1552=$AB$66,$AC$66,TRUE,"0")</f>
        <v>#NAME?</v>
      </c>
      <c r="C1552" s="161" t="str" cm="1">
        <f t="array" ref="C1552">_xlfn.IFS(E1552=$AB$42,$AF$42,E1552=$AB$43,$AF$43,E1552=$AB$44,$AF$44,E1552=$AB$45,$AF$45,E1552=$AB$46,$AF$46,E1552=$AB$47,$AF$47,E1552=$AB$48,$AF$48,E1552=$AB$49,$AF$49,E1552=$AB$50,$AF$50,E1552=$AB$51,$AF$51,E1552=$AB$52,$AF$52,E1552=$AB$53,$AF$53,E1552=$AB$54,$AF$54,E1552=$AB$55,$AF$55,E1552=$AB$56,$AF$56,E1552=$AB$57,$AF$57,E1552=$AB$58,$AF$58,E1552=$AB$59,$AF$59,E1552=$AB$60,$AF$60,E1552=$AB$61,$AF$61,E1552=$AB$62,$AF$62,E1552=$AB$63,$AF$63,E1552=$AB$64,$AF$64,E1552=$AB$65,$AF$65,E1552=$AB$66,$AF$66,TRUE,"0")</f>
        <v>15mins if  0-0, BACK over 1.5 goals X after goal OR LET RUN</v>
      </c>
      <c r="D1552" s="270" t="str" cm="1">
        <f t="array" ref="D1552">_xlfn.IFS(E1552=$AB$42,$AD$42,E1552=$AB$43,$AD$43,E1552=$AB$44,$AD$44,E1552=$AB$45,$AD$45,E1552=$AB$46,$AD$46,E1552=$AB$47,$AD$47,E1552=$AB$48,$AD$48,E1552=$AB$49,$AD$49,E1552=$AB$50,$AD$50,E1552=$AB$51,$AD$51,E1552=$AB$52,$AD$52,E1552=$AB$53,$AD$53,E1552=$AB$54,$AD$54,E1552=$AB$55,$AD$55,E1552=$AB$56,$AD$56,E1552=$AB$57,$AD$57,E1552=$AB$58,$AD$58,E1552=$AB$59,$AD$59,E1552=$AB$60,$AD$60,E1552=$AB$61,$AD$61,E1552=$AB$62,$AD$62,E1552=$AB$63,$AD$63,E1552=$AB$64,$AD$64,E1552=$AB$65,$AD$65,E1552=$AB$66,$AD$66,TRUE,"0")</f>
        <v>IP</v>
      </c>
      <c r="E1552" s="2" t="s">
        <v>473</v>
      </c>
      <c r="F1552" s="2" t="s">
        <v>13</v>
      </c>
      <c r="G1552" s="2" t="s">
        <v>37</v>
      </c>
      <c r="H1552" s="3">
        <v>45427.822916666664</v>
      </c>
      <c r="I1552" s="2" t="s">
        <v>319</v>
      </c>
      <c r="J1552" s="2" t="s">
        <v>39</v>
      </c>
      <c r="K1552" s="2">
        <v>66</v>
      </c>
      <c r="L1552" s="2">
        <v>80</v>
      </c>
      <c r="M1552" s="2">
        <v>20</v>
      </c>
      <c r="N1552" s="2">
        <v>2.9</v>
      </c>
      <c r="O1552" s="2"/>
      <c r="P1552" s="2"/>
      <c r="Q1552" s="2" t="s">
        <v>95</v>
      </c>
      <c r="R1552" s="10" t="s">
        <v>221</v>
      </c>
      <c r="S1552" s="10" t="s">
        <v>197</v>
      </c>
      <c r="T1552" s="188">
        <v>1000</v>
      </c>
      <c r="U1552" s="8">
        <f t="shared" si="171"/>
        <v>180</v>
      </c>
      <c r="V1552" s="234">
        <f t="shared" si="170"/>
        <v>163184.15524616028</v>
      </c>
      <c r="W1552" s="15">
        <v>25</v>
      </c>
      <c r="X1552" s="8">
        <f t="shared" si="167"/>
        <v>4.5</v>
      </c>
      <c r="Y1552" s="233">
        <f t="shared" si="168"/>
        <v>5945.5</v>
      </c>
    </row>
    <row r="1553" spans="1:25">
      <c r="A1553" s="156" t="e" cm="1">
        <f t="array" aca="1" ref="A1553" ca="1">_xlfn.IFS(E1553=$AB$42,$AC$42,E1553=$AB$43,$AC$43,E1553=$AB$44,$AC$44,E1553=$AB$45,$AC$45,E1553=$AB$46,$AC$46,E1553=$AB$47,$AC$47,E1553=$AB$48,$AC$48,E1553=$AB$49,$AC$49,E1553=$AB$50,$AC$50,E1553=$AB$51,$AC$51,E1553=$AB$52,$AC$52,E1553=$AB$53,$AC$53,E1553=$AB$54,$AC$54,E1553=$AB$55,$AC$55,E1553=$AB$56,$AC$56,E1553=$AB$57,$AC$57,E1553=$AB$58,$AC$58,E1553=$AB$59,$AC$59,E1553=$AB$60,$AC$60,E1553=$AB$61,$AC$61,E1553=$AB$62,$AC$62,E1553=$AB$63,$AC$63,E1553=$AB$64,$AC$64,E1553=$AB$65,$AC$65,E1553=$AB$66,$AC$66,TRUE,"0")</f>
        <v>#NAME?</v>
      </c>
      <c r="C1553" s="161" t="str" cm="1">
        <f t="array" ref="C1553">_xlfn.IFS(E1553=$AB$42,$AF$42,E1553=$AB$43,$AF$43,E1553=$AB$44,$AF$44,E1553=$AB$45,$AF$45,E1553=$AB$46,$AF$46,E1553=$AB$47,$AF$47,E1553=$AB$48,$AF$48,E1553=$AB$49,$AF$49,E1553=$AB$50,$AF$50,E1553=$AB$51,$AF$51,E1553=$AB$52,$AF$52,E1553=$AB$53,$AF$53,E1553=$AB$54,$AF$54,E1553=$AB$55,$AF$55,E1553=$AB$56,$AF$56,E1553=$AB$57,$AF$57,E1553=$AB$58,$AF$58,E1553=$AB$59,$AF$59,E1553=$AB$60,$AF$60,E1553=$AB$61,$AF$61,E1553=$AB$62,$AF$62,E1553=$AB$63,$AF$63,E1553=$AB$64,$AF$64,E1553=$AB$65,$AF$65,E1553=$AB$66,$AF$66,TRUE,"0")</f>
        <v>40 mins Back ANother Goal</v>
      </c>
      <c r="D1553" s="270" t="str" cm="1">
        <f t="array" ref="D1553">_xlfn.IFS(E1553=$AB$42,$AD$42,E1553=$AB$43,$AD$43,E1553=$AB$44,$AD$44,E1553=$AB$45,$AD$45,E1553=$AB$46,$AD$46,E1553=$AB$47,$AD$47,E1553=$AB$48,$AD$48,E1553=$AB$49,$AD$49,E1553=$AB$50,$AD$50,E1553=$AB$51,$AD$51,E1553=$AB$52,$AD$52,E1553=$AB$53,$AD$53,E1553=$AB$54,$AD$54,E1553=$AB$55,$AD$55,E1553=$AB$56,$AD$56,E1553=$AB$57,$AD$57,E1553=$AB$58,$AD$58,E1553=$AB$59,$AD$59,E1553=$AB$60,$AD$60,E1553=$AB$61,$AD$61,E1553=$AB$62,$AD$62,E1553=$AB$63,$AD$63,E1553=$AB$64,$AD$64,E1553=$AB$65,$AD$65,E1553=$AB$66,$AD$66,TRUE,"0")</f>
        <v xml:space="preserve">  BANG</v>
      </c>
      <c r="E1553" s="2" t="s">
        <v>792</v>
      </c>
      <c r="F1553" s="2" t="s">
        <v>6</v>
      </c>
      <c r="G1553" s="2" t="s">
        <v>62</v>
      </c>
      <c r="H1553" s="3">
        <v>45427.822916666664</v>
      </c>
      <c r="I1553" s="2" t="s">
        <v>267</v>
      </c>
      <c r="J1553" s="2" t="s">
        <v>65</v>
      </c>
      <c r="K1553" s="2">
        <v>2.0499999999999998</v>
      </c>
      <c r="L1553" s="2">
        <v>90</v>
      </c>
      <c r="M1553" s="2">
        <v>65</v>
      </c>
      <c r="N1553" s="2">
        <v>65</v>
      </c>
      <c r="O1553" s="2">
        <v>20</v>
      </c>
      <c r="P1553" s="2"/>
      <c r="Q1553" s="2" t="s">
        <v>95</v>
      </c>
      <c r="R1553" s="10" t="s">
        <v>193</v>
      </c>
      <c r="S1553" s="10" t="s">
        <v>223</v>
      </c>
      <c r="T1553" s="188">
        <v>1000</v>
      </c>
      <c r="U1553" s="8">
        <f t="shared" si="171"/>
        <v>180</v>
      </c>
      <c r="V1553" s="234">
        <f t="shared" ref="V1553:V1560" si="172">SUM(V1552,U1553)</f>
        <v>163364.15524616028</v>
      </c>
      <c r="W1553" s="15">
        <v>25</v>
      </c>
      <c r="X1553" s="8">
        <f t="shared" si="167"/>
        <v>4.5</v>
      </c>
      <c r="Y1553" s="233">
        <f t="shared" si="168"/>
        <v>5950</v>
      </c>
    </row>
    <row r="1554" spans="1:25">
      <c r="A1554" s="156" t="e" cm="1">
        <f t="array" aca="1" ref="A1554" ca="1">_xlfn.IFS(E1554=$AB$42,$AC$42,E1554=$AB$43,$AC$43,E1554=$AB$44,$AC$44,E1554=$AB$45,$AC$45,E1554=$AB$46,$AC$46,E1554=$AB$47,$AC$47,E1554=$AB$48,$AC$48,E1554=$AB$49,$AC$49,E1554=$AB$50,$AC$50,E1554=$AB$51,$AC$51,E1554=$AB$52,$AC$52,E1554=$AB$53,$AC$53,E1554=$AB$54,$AC$54,E1554=$AB$55,$AC$55,E1554=$AB$56,$AC$56,E1554=$AB$57,$AC$57,E1554=$AB$58,$AC$58,E1554=$AB$59,$AC$59,E1554=$AB$60,$AC$60,E1554=$AB$61,$AC$61,E1554=$AB$62,$AC$62,E1554=$AB$63,$AC$63,E1554=$AB$64,$AC$64,E1554=$AB$65,$AC$65,E1554=$AB$66,$AC$66,TRUE,"0")</f>
        <v>#NAME?</v>
      </c>
      <c r="C1554" s="161" t="str" cm="1">
        <f t="array" ref="C1554">_xlfn.IFS(E1554=$AB$42,$AF$42,E1554=$AB$43,$AF$43,E1554=$AB$44,$AF$44,E1554=$AB$45,$AF$45,E1554=$AB$46,$AF$46,E1554=$AB$47,$AF$47,E1554=$AB$48,$AF$48,E1554=$AB$49,$AF$49,E1554=$AB$50,$AF$50,E1554=$AB$51,$AF$51,E1554=$AB$52,$AF$52,E1554=$AB$53,$AF$53,E1554=$AB$54,$AF$54,E1554=$AB$55,$AF$55,E1554=$AB$56,$AF$56,E1554=$AB$57,$AF$57,E1554=$AB$58,$AF$58,E1554=$AB$59,$AF$59,E1554=$AB$60,$AF$60,E1554=$AB$61,$AF$61,E1554=$AB$62,$AF$62,E1554=$AB$63,$AF$63,E1554=$AB$64,$AF$64,E1554=$AB$65,$AF$65,E1554=$AB$66,$AF$66,TRUE,"0")</f>
        <v>40 mins Back ANother Goal</v>
      </c>
      <c r="D1554" s="270" t="str" cm="1">
        <f t="array" ref="D1554">_xlfn.IFS(E1554=$AB$42,$AD$42,E1554=$AB$43,$AD$43,E1554=$AB$44,$AD$44,E1554=$AB$45,$AD$45,E1554=$AB$46,$AD$46,E1554=$AB$47,$AD$47,E1554=$AB$48,$AD$48,E1554=$AB$49,$AD$49,E1554=$AB$50,$AD$50,E1554=$AB$51,$AD$51,E1554=$AB$52,$AD$52,E1554=$AB$53,$AD$53,E1554=$AB$54,$AD$54,E1554=$AB$55,$AD$55,E1554=$AB$56,$AD$56,E1554=$AB$57,$AD$57,E1554=$AB$58,$AD$58,E1554=$AB$59,$AD$59,E1554=$AB$60,$AD$60,E1554=$AB$61,$AD$61,E1554=$AB$62,$AD$62,E1554=$AB$63,$AD$63,E1554=$AB$64,$AD$64,E1554=$AB$65,$AD$65,E1554=$AB$66,$AD$66,TRUE,"0")</f>
        <v xml:space="preserve">  BANG</v>
      </c>
      <c r="E1554" s="2" t="s">
        <v>792</v>
      </c>
      <c r="F1554" s="2" t="s">
        <v>6</v>
      </c>
      <c r="G1554" s="2" t="s">
        <v>62</v>
      </c>
      <c r="H1554" s="3">
        <v>45427.833333333336</v>
      </c>
      <c r="I1554" s="2" t="s">
        <v>383</v>
      </c>
      <c r="J1554" s="2" t="s">
        <v>164</v>
      </c>
      <c r="K1554" s="2">
        <v>2.15</v>
      </c>
      <c r="L1554" s="2">
        <v>85</v>
      </c>
      <c r="M1554" s="2">
        <v>70</v>
      </c>
      <c r="N1554" s="2">
        <v>59</v>
      </c>
      <c r="O1554" s="2">
        <v>20</v>
      </c>
      <c r="P1554" s="2"/>
      <c r="Q1554" s="2" t="s">
        <v>95</v>
      </c>
      <c r="R1554" s="10" t="s">
        <v>214</v>
      </c>
      <c r="S1554" s="10" t="s">
        <v>209</v>
      </c>
      <c r="T1554" s="188">
        <v>1000</v>
      </c>
      <c r="U1554" s="8">
        <f t="shared" si="171"/>
        <v>180</v>
      </c>
      <c r="V1554" s="234">
        <f t="shared" si="172"/>
        <v>163544.15524616028</v>
      </c>
      <c r="W1554" s="15">
        <v>25</v>
      </c>
      <c r="X1554" s="8">
        <f t="shared" si="167"/>
        <v>4.5</v>
      </c>
      <c r="Y1554" s="233">
        <f t="shared" si="168"/>
        <v>5954.5</v>
      </c>
    </row>
    <row r="1555" spans="1:25">
      <c r="A1555" s="156" t="e" cm="1">
        <f t="array" aca="1" ref="A1555" ca="1">_xlfn.IFS(E1555=$AB$42,$AC$42,E1555=$AB$43,$AC$43,E1555=$AB$44,$AC$44,E1555=$AB$45,$AC$45,E1555=$AB$46,$AC$46,E1555=$AB$47,$AC$47,E1555=$AB$48,$AC$48,E1555=$AB$49,$AC$49,E1555=$AB$50,$AC$50,E1555=$AB$51,$AC$51,E1555=$AB$52,$AC$52,E1555=$AB$53,$AC$53,E1555=$AB$54,$AC$54,E1555=$AB$55,$AC$55,E1555=$AB$56,$AC$56,E1555=$AB$57,$AC$57,E1555=$AB$58,$AC$58,E1555=$AB$59,$AC$59,E1555=$AB$60,$AC$60,E1555=$AB$61,$AC$61,E1555=$AB$62,$AC$62,E1555=$AB$63,$AC$63,E1555=$AB$64,$AC$64,E1555=$AB$65,$AC$65,E1555=$AB$66,$AC$66,TRUE,"0")</f>
        <v>#NAME?</v>
      </c>
      <c r="C1555" s="161" t="str" cm="1">
        <f t="array" ref="C1555">_xlfn.IFS(E1555=$AB$42,$AF$42,E1555=$AB$43,$AF$43,E1555=$AB$44,$AF$44,E1555=$AB$45,$AF$45,E1555=$AB$46,$AF$46,E1555=$AB$47,$AF$47,E1555=$AB$48,$AF$48,E1555=$AB$49,$AF$49,E1555=$AB$50,$AF$50,E1555=$AB$51,$AF$51,E1555=$AB$52,$AF$52,E1555=$AB$53,$AF$53,E1555=$AB$54,$AF$54,E1555=$AB$55,$AF$55,E1555=$AB$56,$AF$56,E1555=$AB$57,$AF$57,E1555=$AB$58,$AF$58,E1555=$AB$59,$AF$59,E1555=$AB$60,$AF$60,E1555=$AB$61,$AF$61,E1555=$AB$62,$AF$62,E1555=$AB$63,$AF$63,E1555=$AB$64,$AF$64,E1555=$AB$65,$AF$65,E1555=$AB$66,$AF$66,TRUE,"0")</f>
        <v>40 mins Back ANother Goal</v>
      </c>
      <c r="D1555" s="270" t="str" cm="1">
        <f t="array" ref="D1555">_xlfn.IFS(E1555=$AB$42,$AD$42,E1555=$AB$43,$AD$43,E1555=$AB$44,$AD$44,E1555=$AB$45,$AD$45,E1555=$AB$46,$AD$46,E1555=$AB$47,$AD$47,E1555=$AB$48,$AD$48,E1555=$AB$49,$AD$49,E1555=$AB$50,$AD$50,E1555=$AB$51,$AD$51,E1555=$AB$52,$AD$52,E1555=$AB$53,$AD$53,E1555=$AB$54,$AD$54,E1555=$AB$55,$AD$55,E1555=$AB$56,$AD$56,E1555=$AB$57,$AD$57,E1555=$AB$58,$AD$58,E1555=$AB$59,$AD$59,E1555=$AB$60,$AD$60,E1555=$AB$61,$AD$61,E1555=$AB$62,$AD$62,E1555=$AB$63,$AD$63,E1555=$AB$64,$AD$64,E1555=$AB$65,$AD$65,E1555=$AB$66,$AD$66,TRUE,"0")</f>
        <v xml:space="preserve">  BANG</v>
      </c>
      <c r="E1555" s="2" t="s">
        <v>726</v>
      </c>
      <c r="F1555" s="2" t="s">
        <v>6</v>
      </c>
      <c r="G1555" s="2" t="s">
        <v>62</v>
      </c>
      <c r="H1555" s="3">
        <v>45427.833333333336</v>
      </c>
      <c r="I1555" s="2" t="s">
        <v>383</v>
      </c>
      <c r="J1555" s="2" t="s">
        <v>164</v>
      </c>
      <c r="K1555" s="2">
        <v>85</v>
      </c>
      <c r="L1555" s="2">
        <v>20</v>
      </c>
      <c r="M1555" s="2">
        <v>2.15</v>
      </c>
      <c r="N1555" s="2">
        <v>59</v>
      </c>
      <c r="O1555" s="2"/>
      <c r="P1555" s="2"/>
      <c r="Q1555" s="2" t="s">
        <v>95</v>
      </c>
      <c r="R1555" s="10" t="s">
        <v>214</v>
      </c>
      <c r="S1555" s="10" t="s">
        <v>209</v>
      </c>
      <c r="T1555" s="188">
        <v>1000</v>
      </c>
      <c r="U1555" s="8">
        <f t="shared" si="171"/>
        <v>180</v>
      </c>
      <c r="V1555" s="234">
        <f t="shared" si="172"/>
        <v>163724.15524616028</v>
      </c>
      <c r="W1555" s="15">
        <v>25</v>
      </c>
      <c r="X1555" s="8">
        <f t="shared" si="167"/>
        <v>4.5</v>
      </c>
      <c r="Y1555" s="233">
        <f t="shared" si="168"/>
        <v>5959</v>
      </c>
    </row>
    <row r="1556" spans="1:25">
      <c r="A1556" s="156" t="e" cm="1">
        <f t="array" aca="1" ref="A1556" ca="1">_xlfn.IFS(E1556=$AB$42,$AC$42,E1556=$AB$43,$AC$43,E1556=$AB$44,$AC$44,E1556=$AB$45,$AC$45,E1556=$AB$46,$AC$46,E1556=$AB$47,$AC$47,E1556=$AB$48,$AC$48,E1556=$AB$49,$AC$49,E1556=$AB$50,$AC$50,E1556=$AB$51,$AC$51,E1556=$AB$52,$AC$52,E1556=$AB$53,$AC$53,E1556=$AB$54,$AC$54,E1556=$AB$55,$AC$55,E1556=$AB$56,$AC$56,E1556=$AB$57,$AC$57,E1556=$AB$58,$AC$58,E1556=$AB$59,$AC$59,E1556=$AB$60,$AC$60,E1556=$AB$61,$AC$61,E1556=$AB$62,$AC$62,E1556=$AB$63,$AC$63,E1556=$AB$64,$AC$64,E1556=$AB$65,$AC$65,E1556=$AB$66,$AC$66,TRUE,"0")</f>
        <v>#NAME?</v>
      </c>
      <c r="C1556" s="161" t="str" cm="1">
        <f t="array" ref="C1556">_xlfn.IFS(E1556=$AB$42,$AF$42,E1556=$AB$43,$AF$43,E1556=$AB$44,$AF$44,E1556=$AB$45,$AF$45,E1556=$AB$46,$AF$46,E1556=$AB$47,$AF$47,E1556=$AB$48,$AF$48,E1556=$AB$49,$AF$49,E1556=$AB$50,$AF$50,E1556=$AB$51,$AF$51,E1556=$AB$52,$AF$52,E1556=$AB$53,$AF$53,E1556=$AB$54,$AF$54,E1556=$AB$55,$AF$55,E1556=$AB$56,$AF$56,E1556=$AB$57,$AF$57,E1556=$AB$58,$AF$58,E1556=$AB$59,$AF$59,E1556=$AB$60,$AF$60,E1556=$AB$61,$AF$61,E1556=$AB$62,$AF$62,E1556=$AB$63,$AF$63,E1556=$AB$64,$AF$64,E1556=$AB$65,$AF$65,E1556=$AB$66,$AF$66,TRUE,"0")</f>
        <v>if 0-0, BACK+ 0.5 GOALS  @ 1.15+odds.  or @ 40 mins</v>
      </c>
      <c r="D1556" s="270" t="str" cm="1">
        <f t="array" ref="D1556">_xlfn.IFS(E1556=$AB$42,$AD$42,E1556=$AB$43,$AD$43,E1556=$AB$44,$AD$44,E1556=$AB$45,$AD$45,E1556=$AB$46,$AD$46,E1556=$AB$47,$AD$47,E1556=$AB$48,$AD$48,E1556=$AB$49,$AD$49,E1556=$AB$50,$AD$50,E1556=$AB$51,$AD$51,E1556=$AB$52,$AD$52,E1556=$AB$53,$AD$53,E1556=$AB$54,$AD$54,E1556=$AB$55,$AD$55,E1556=$AB$56,$AD$56,E1556=$AB$57,$AD$57,E1556=$AB$58,$AD$58,E1556=$AB$59,$AD$59,E1556=$AB$60,$AD$60,E1556=$AB$61,$AD$61,E1556=$AB$62,$AD$62,E1556=$AB$63,$AD$63,E1556=$AB$64,$AD$64,E1556=$AB$65,$AD$65,E1556=$AB$66,$AD$66,TRUE,"0")</f>
        <v>IP</v>
      </c>
      <c r="E1556" s="2" t="s">
        <v>270</v>
      </c>
      <c r="F1556" s="2" t="s">
        <v>6</v>
      </c>
      <c r="G1556" s="2" t="s">
        <v>62</v>
      </c>
      <c r="H1556" s="3">
        <v>45427.833333333336</v>
      </c>
      <c r="I1556" s="2" t="s">
        <v>383</v>
      </c>
      <c r="J1556" s="2" t="s">
        <v>164</v>
      </c>
      <c r="K1556" s="2">
        <v>60</v>
      </c>
      <c r="L1556" s="2">
        <v>0</v>
      </c>
      <c r="M1556" s="2">
        <v>20</v>
      </c>
      <c r="N1556" s="2">
        <v>30</v>
      </c>
      <c r="O1556" s="2">
        <v>3.04</v>
      </c>
      <c r="P1556" s="2"/>
      <c r="Q1556" s="2" t="s">
        <v>95</v>
      </c>
      <c r="R1556" s="10" t="s">
        <v>214</v>
      </c>
      <c r="S1556" s="10" t="s">
        <v>209</v>
      </c>
      <c r="T1556" s="188">
        <v>1000</v>
      </c>
      <c r="U1556" s="8">
        <f t="shared" si="171"/>
        <v>180</v>
      </c>
      <c r="V1556" s="234">
        <f t="shared" si="172"/>
        <v>163904.15524616028</v>
      </c>
      <c r="W1556" s="15">
        <v>25</v>
      </c>
      <c r="X1556" s="8">
        <f t="shared" si="167"/>
        <v>4.5</v>
      </c>
      <c r="Y1556" s="233">
        <f t="shared" si="168"/>
        <v>5963.5</v>
      </c>
    </row>
    <row r="1557" spans="1:25">
      <c r="A1557" s="156" t="e" cm="1">
        <f t="array" aca="1" ref="A1557" ca="1">_xlfn.IFS(E1557=$AB$42,$AC$42,E1557=$AB$43,$AC$43,E1557=$AB$44,$AC$44,E1557=$AB$45,$AC$45,E1557=$AB$46,$AC$46,E1557=$AB$47,$AC$47,E1557=$AB$48,$AC$48,E1557=$AB$49,$AC$49,E1557=$AB$50,$AC$50,E1557=$AB$51,$AC$51,E1557=$AB$52,$AC$52,E1557=$AB$53,$AC$53,E1557=$AB$54,$AC$54,E1557=$AB$55,$AC$55,E1557=$AB$56,$AC$56,E1557=$AB$57,$AC$57,E1557=$AB$58,$AC$58,E1557=$AB$59,$AC$59,E1557=$AB$60,$AC$60,E1557=$AB$61,$AC$61,E1557=$AB$62,$AC$62,E1557=$AB$63,$AC$63,E1557=$AB$64,$AC$64,E1557=$AB$65,$AC$65,E1557=$AB$66,$AC$66,TRUE,"0")</f>
        <v>#NAME?</v>
      </c>
      <c r="C1557" s="161" t="str" cm="1">
        <f t="array" ref="C1557">_xlfn.IFS(E1557=$AB$42,$AF$42,E1557=$AB$43,$AF$43,E1557=$AB$44,$AF$44,E1557=$AB$45,$AF$45,E1557=$AB$46,$AF$46,E1557=$AB$47,$AF$47,E1557=$AB$48,$AF$48,E1557=$AB$49,$AF$49,E1557=$AB$50,$AF$50,E1557=$AB$51,$AF$51,E1557=$AB$52,$AF$52,E1557=$AB$53,$AF$53,E1557=$AB$54,$AF$54,E1557=$AB$55,$AF$55,E1557=$AB$56,$AF$56,E1557=$AB$57,$AF$57,E1557=$AB$58,$AF$58,E1557=$AB$59,$AF$59,E1557=$AB$60,$AF$60,E1557=$AB$61,$AF$61,E1557=$AB$62,$AF$62,E1557=$AB$63,$AF$63,E1557=$AB$64,$AF$64,E1557=$AB$65,$AF$65,E1557=$AB$66,$AF$66,TRUE,"0")</f>
        <v>B4 Match, lay HT 0-0 or BACK H1 +0.5 GOALS</v>
      </c>
      <c r="D1557" s="270" t="str" cm="1">
        <f t="array" ref="D1557">_xlfn.IFS(E1557=$AB$42,$AD$42,E1557=$AB$43,$AD$43,E1557=$AB$44,$AD$44,E1557=$AB$45,$AD$45,E1557=$AB$46,$AD$46,E1557=$AB$47,$AD$47,E1557=$AB$48,$AD$48,E1557=$AB$49,$AD$49,E1557=$AB$50,$AD$50,E1557=$AB$51,$AD$51,E1557=$AB$52,$AD$52,E1557=$AB$53,$AD$53,E1557=$AB$54,$AD$54,E1557=$AB$55,$AD$55,E1557=$AB$56,$AD$56,E1557=$AB$57,$AD$57,E1557=$AB$58,$AD$58,E1557=$AB$59,$AD$59,E1557=$AB$60,$AD$60,E1557=$AB$61,$AD$61,E1557=$AB$62,$AD$62,E1557=$AB$63,$AD$63,E1557=$AB$64,$AD$64,E1557=$AB$65,$AD$65,E1557=$AB$66,$AD$66,TRUE,"0")</f>
        <v xml:space="preserve">BFM </v>
      </c>
      <c r="E1557" s="2" t="s">
        <v>432</v>
      </c>
      <c r="F1557" s="2" t="s">
        <v>616</v>
      </c>
      <c r="G1557" s="2" t="s">
        <v>617</v>
      </c>
      <c r="H1557" s="3">
        <v>45428.145833333336</v>
      </c>
      <c r="I1557" s="2" t="s">
        <v>618</v>
      </c>
      <c r="J1557" s="2" t="s">
        <v>717</v>
      </c>
      <c r="K1557" s="2">
        <v>5</v>
      </c>
      <c r="L1557" s="2">
        <v>20</v>
      </c>
      <c r="M1557" s="2">
        <v>18</v>
      </c>
      <c r="N1557" s="2">
        <v>18</v>
      </c>
      <c r="O1557" s="2">
        <v>20</v>
      </c>
      <c r="P1557" s="2">
        <v>1.85</v>
      </c>
      <c r="Q1557" s="2" t="s">
        <v>95</v>
      </c>
      <c r="R1557" s="10" t="s">
        <v>217</v>
      </c>
      <c r="S1557" s="10" t="s">
        <v>277</v>
      </c>
      <c r="T1557" s="188">
        <v>1000</v>
      </c>
      <c r="U1557" s="8">
        <f t="shared" si="171"/>
        <v>180</v>
      </c>
      <c r="V1557" s="234">
        <f t="shared" si="172"/>
        <v>164084.15524616028</v>
      </c>
      <c r="W1557" s="15">
        <v>25</v>
      </c>
      <c r="X1557" s="8">
        <f t="shared" si="167"/>
        <v>4.5</v>
      </c>
      <c r="Y1557" s="233">
        <f t="shared" si="168"/>
        <v>5968</v>
      </c>
    </row>
    <row r="1558" spans="1:25">
      <c r="A1558" s="156" t="e" cm="1">
        <f t="array" aca="1" ref="A1558" ca="1">_xlfn.IFS(E1558=$AB$42,$AC$42,E1558=$AB$43,$AC$43,E1558=$AB$44,$AC$44,E1558=$AB$45,$AC$45,E1558=$AB$46,$AC$46,E1558=$AB$47,$AC$47,E1558=$AB$48,$AC$48,E1558=$AB$49,$AC$49,E1558=$AB$50,$AC$50,E1558=$AB$51,$AC$51,E1558=$AB$52,$AC$52,E1558=$AB$53,$AC$53,E1558=$AB$54,$AC$54,E1558=$AB$55,$AC$55,E1558=$AB$56,$AC$56,E1558=$AB$57,$AC$57,E1558=$AB$58,$AC$58,E1558=$AB$59,$AC$59,E1558=$AB$60,$AC$60,E1558=$AB$61,$AC$61,E1558=$AB$62,$AC$62,E1558=$AB$63,$AC$63,E1558=$AB$64,$AC$64,E1558=$AB$65,$AC$65,E1558=$AB$66,$AC$66,TRUE,"0")</f>
        <v>#NAME?</v>
      </c>
      <c r="C1558" s="161" t="str" cm="1">
        <f t="array" ref="C1558">_xlfn.IFS(E1558=$AB$42,$AF$42,E1558=$AB$43,$AF$43,E1558=$AB$44,$AF$44,E1558=$AB$45,$AF$45,E1558=$AB$46,$AF$46,E1558=$AB$47,$AF$47,E1558=$AB$48,$AF$48,E1558=$AB$49,$AF$49,E1558=$AB$50,$AF$50,E1558=$AB$51,$AF$51,E1558=$AB$52,$AF$52,E1558=$AB$53,$AF$53,E1558=$AB$54,$AF$54,E1558=$AB$55,$AF$55,E1558=$AB$56,$AF$56,E1558=$AB$57,$AF$57,E1558=$AB$58,$AF$58,E1558=$AB$59,$AF$59,E1558=$AB$60,$AF$60,E1558=$AB$61,$AF$61,E1558=$AB$62,$AF$62,E1558=$AB$63,$AF$63,E1558=$AB$64,$AF$64,E1558=$AB$65,$AF$65,E1558=$AB$66,$AF$66,TRUE,"0")</f>
        <v>15mins if  0-0, BACK over 1.5 goals X after goal OR LET RUN</v>
      </c>
      <c r="D1558" s="270" t="str" cm="1">
        <f t="array" ref="D1558">_xlfn.IFS(E1558=$AB$42,$AD$42,E1558=$AB$43,$AD$43,E1558=$AB$44,$AD$44,E1558=$AB$45,$AD$45,E1558=$AB$46,$AD$46,E1558=$AB$47,$AD$47,E1558=$AB$48,$AD$48,E1558=$AB$49,$AD$49,E1558=$AB$50,$AD$50,E1558=$AB$51,$AD$51,E1558=$AB$52,$AD$52,E1558=$AB$53,$AD$53,E1558=$AB$54,$AD$54,E1558=$AB$55,$AD$55,E1558=$AB$56,$AD$56,E1558=$AB$57,$AD$57,E1558=$AB$58,$AD$58,E1558=$AB$59,$AD$59,E1558=$AB$60,$AD$60,E1558=$AB$61,$AD$61,E1558=$AB$62,$AD$62,E1558=$AB$63,$AD$63,E1558=$AB$64,$AD$64,E1558=$AB$65,$AD$65,E1558=$AB$66,$AD$66,TRUE,"0")</f>
        <v>IP</v>
      </c>
      <c r="E1558" s="2" t="s">
        <v>473</v>
      </c>
      <c r="F1558" s="2" t="s">
        <v>434</v>
      </c>
      <c r="G1558" s="2" t="s">
        <v>435</v>
      </c>
      <c r="H1558" s="3">
        <v>45428.791666666664</v>
      </c>
      <c r="I1558" s="2" t="s">
        <v>476</v>
      </c>
      <c r="J1558" s="2" t="s">
        <v>437</v>
      </c>
      <c r="K1558" s="2">
        <v>64</v>
      </c>
      <c r="L1558" s="2">
        <v>80</v>
      </c>
      <c r="M1558" s="2">
        <v>20</v>
      </c>
      <c r="N1558" s="2">
        <v>2.85</v>
      </c>
      <c r="O1558" s="2"/>
      <c r="P1558" s="2"/>
      <c r="Q1558" s="2" t="s">
        <v>95</v>
      </c>
      <c r="R1558" s="10" t="s">
        <v>217</v>
      </c>
      <c r="S1558" s="10" t="s">
        <v>223</v>
      </c>
      <c r="T1558" s="188">
        <v>1000</v>
      </c>
      <c r="U1558" s="8">
        <f t="shared" si="171"/>
        <v>180</v>
      </c>
      <c r="V1558" s="234">
        <f t="shared" si="172"/>
        <v>164264.15524616028</v>
      </c>
      <c r="W1558" s="15">
        <v>25</v>
      </c>
      <c r="X1558" s="8">
        <f t="shared" si="167"/>
        <v>4.5</v>
      </c>
      <c r="Y1558" s="233">
        <f t="shared" si="168"/>
        <v>5972.5</v>
      </c>
    </row>
    <row r="1559" spans="1:25">
      <c r="A1559" s="156" t="e" cm="1">
        <f t="array" aca="1" ref="A1559" ca="1">_xlfn.IFS(E1559=$AB$42,$AC$42,E1559=$AB$43,$AC$43,E1559=$AB$44,$AC$44,E1559=$AB$45,$AC$45,E1559=$AB$46,$AC$46,E1559=$AB$47,$AC$47,E1559=$AB$48,$AC$48,E1559=$AB$49,$AC$49,E1559=$AB$50,$AC$50,E1559=$AB$51,$AC$51,E1559=$AB$52,$AC$52,E1559=$AB$53,$AC$53,E1559=$AB$54,$AC$54,E1559=$AB$55,$AC$55,E1559=$AB$56,$AC$56,E1559=$AB$57,$AC$57,E1559=$AB$58,$AC$58,E1559=$AB$59,$AC$59,E1559=$AB$60,$AC$60,E1559=$AB$61,$AC$61,E1559=$AB$62,$AC$62,E1559=$AB$63,$AC$63,E1559=$AB$64,$AC$64,E1559=$AB$65,$AC$65,E1559=$AB$66,$AC$66,TRUE,"0")</f>
        <v>#NAME?</v>
      </c>
      <c r="C1559" s="161" t="str" cm="1">
        <f t="array" ref="C1559">_xlfn.IFS(E1559=$AB$42,$AF$42,E1559=$AB$43,$AF$43,E1559=$AB$44,$AF$44,E1559=$AB$45,$AF$45,E1559=$AB$46,$AF$46,E1559=$AB$47,$AF$47,E1559=$AB$48,$AF$48,E1559=$AB$49,$AF$49,E1559=$AB$50,$AF$50,E1559=$AB$51,$AF$51,E1559=$AB$52,$AF$52,E1559=$AB$53,$AF$53,E1559=$AB$54,$AF$54,E1559=$AB$55,$AF$55,E1559=$AB$56,$AF$56,E1559=$AB$57,$AF$57,E1559=$AB$58,$AF$58,E1559=$AB$59,$AF$59,E1559=$AB$60,$AF$60,E1559=$AB$61,$AF$61,E1559=$AB$62,$AF$62,E1559=$AB$63,$AF$63,E1559=$AB$64,$AF$64,E1559=$AB$65,$AF$65,E1559=$AB$66,$AF$66,TRUE,"0")</f>
        <v>B4 match BACK FT +1.5 goals. X AFTER  GOAL</v>
      </c>
      <c r="D1559" s="270" t="str" cm="1">
        <f t="array" ref="D1559">_xlfn.IFS(E1559=$AB$42,$AD$42,E1559=$AB$43,$AD$43,E1559=$AB$44,$AD$44,E1559=$AB$45,$AD$45,E1559=$AB$46,$AD$46,E1559=$AB$47,$AD$47,E1559=$AB$48,$AD$48,E1559=$AB$49,$AD$49,E1559=$AB$50,$AD$50,E1559=$AB$51,$AD$51,E1559=$AB$52,$AD$52,E1559=$AB$53,$AD$53,E1559=$AB$54,$AD$54,E1559=$AB$55,$AD$55,E1559=$AB$56,$AD$56,E1559=$AB$57,$AD$57,E1559=$AB$58,$AD$58,E1559=$AB$59,$AD$59,E1559=$AB$60,$AD$60,E1559=$AB$61,$AD$61,E1559=$AB$62,$AD$62,E1559=$AB$63,$AD$63,E1559=$AB$64,$AD$64,E1559=$AB$65,$AD$65,E1559=$AB$66,$AD$66,TRUE,"0")</f>
        <v xml:space="preserve">BFM </v>
      </c>
      <c r="E1559" s="2" t="s">
        <v>531</v>
      </c>
      <c r="F1559" s="2" t="s">
        <v>119</v>
      </c>
      <c r="G1559" s="2" t="s">
        <v>120</v>
      </c>
      <c r="H1559" s="3">
        <v>45428.854166666664</v>
      </c>
      <c r="I1559" s="2" t="s">
        <v>480</v>
      </c>
      <c r="J1559" s="2" t="s">
        <v>361</v>
      </c>
      <c r="K1559" s="2">
        <v>3.65</v>
      </c>
      <c r="L1559" s="2">
        <v>34</v>
      </c>
      <c r="M1559" s="2">
        <v>3.03</v>
      </c>
      <c r="N1559" s="2">
        <v>26</v>
      </c>
      <c r="O1559" s="2">
        <v>3</v>
      </c>
      <c r="P1559" s="2">
        <v>17</v>
      </c>
      <c r="Q1559" s="2" t="s">
        <v>95</v>
      </c>
      <c r="R1559" s="10" t="s">
        <v>193</v>
      </c>
      <c r="S1559" s="10" t="s">
        <v>217</v>
      </c>
      <c r="T1559" s="188">
        <v>1000</v>
      </c>
      <c r="U1559" s="8">
        <f t="shared" si="171"/>
        <v>180</v>
      </c>
      <c r="V1559" s="234">
        <f t="shared" si="172"/>
        <v>164444.15524616028</v>
      </c>
      <c r="W1559" s="15">
        <v>25</v>
      </c>
      <c r="X1559" s="8">
        <f t="shared" si="167"/>
        <v>4.5</v>
      </c>
      <c r="Y1559" s="233">
        <f t="shared" si="168"/>
        <v>5977</v>
      </c>
    </row>
    <row r="1560" spans="1:25">
      <c r="A1560" s="156" t="e" cm="1">
        <f t="array" aca="1" ref="A1560" ca="1">_xlfn.IFS(E1560=$AB$42,$AC$42,E1560=$AB$43,$AC$43,E1560=$AB$44,$AC$44,E1560=$AB$45,$AC$45,E1560=$AB$46,$AC$46,E1560=$AB$47,$AC$47,E1560=$AB$48,$AC$48,E1560=$AB$49,$AC$49,E1560=$AB$50,$AC$50,E1560=$AB$51,$AC$51,E1560=$AB$52,$AC$52,E1560=$AB$53,$AC$53,E1560=$AB$54,$AC$54,E1560=$AB$55,$AC$55,E1560=$AB$56,$AC$56,E1560=$AB$57,$AC$57,E1560=$AB$58,$AC$58,E1560=$AB$59,$AC$59,E1560=$AB$60,$AC$60,E1560=$AB$61,$AC$61,E1560=$AB$62,$AC$62,E1560=$AB$63,$AC$63,E1560=$AB$64,$AC$64,E1560=$AB$65,$AC$65,E1560=$AB$66,$AC$66,TRUE,"0")</f>
        <v>#NAME?</v>
      </c>
      <c r="C1560" s="161" t="str" cm="1">
        <f t="array" ref="C1560">_xlfn.IFS(E1560=$AB$42,$AF$42,E1560=$AB$43,$AF$43,E1560=$AB$44,$AF$44,E1560=$AB$45,$AF$45,E1560=$AB$46,$AF$46,E1560=$AB$47,$AF$47,E1560=$AB$48,$AF$48,E1560=$AB$49,$AF$49,E1560=$AB$50,$AF$50,E1560=$AB$51,$AF$51,E1560=$AB$52,$AF$52,E1560=$AB$53,$AF$53,E1560=$AB$54,$AF$54,E1560=$AB$55,$AF$55,E1560=$AB$56,$AF$56,E1560=$AB$57,$AF$57,E1560=$AB$58,$AF$58,E1560=$AB$59,$AF$59,E1560=$AB$60,$AF$60,E1560=$AB$61,$AF$61,E1560=$AB$62,$AF$62,E1560=$AB$63,$AF$63,E1560=$AB$64,$AF$64,E1560=$AB$65,$AF$65,E1560=$AB$66,$AF$66,TRUE,"0")</f>
        <v>40 mins Back ANother Goal</v>
      </c>
      <c r="D1560" s="270" t="str" cm="1">
        <f t="array" ref="D1560">_xlfn.IFS(E1560=$AB$42,$AD$42,E1560=$AB$43,$AD$43,E1560=$AB$44,$AD$44,E1560=$AB$45,$AD$45,E1560=$AB$46,$AD$46,E1560=$AB$47,$AD$47,E1560=$AB$48,$AD$48,E1560=$AB$49,$AD$49,E1560=$AB$50,$AD$50,E1560=$AB$51,$AD$51,E1560=$AB$52,$AD$52,E1560=$AB$53,$AD$53,E1560=$AB$54,$AD$54,E1560=$AB$55,$AD$55,E1560=$AB$56,$AD$56,E1560=$AB$57,$AD$57,E1560=$AB$58,$AD$58,E1560=$AB$59,$AD$59,E1560=$AB$60,$AD$60,E1560=$AB$61,$AD$61,E1560=$AB$62,$AD$62,E1560=$AB$63,$AD$63,E1560=$AB$64,$AD$64,E1560=$AB$65,$AD$65,E1560=$AB$66,$AD$66,TRUE,"0")</f>
        <v xml:space="preserve">  BANG</v>
      </c>
      <c r="E1560" s="2" t="s">
        <v>792</v>
      </c>
      <c r="F1560" s="2" t="s">
        <v>516</v>
      </c>
      <c r="G1560" s="2" t="s">
        <v>78</v>
      </c>
      <c r="H1560" s="3">
        <v>45429.524305555555</v>
      </c>
      <c r="I1560" s="2" t="s">
        <v>836</v>
      </c>
      <c r="J1560" s="2" t="s">
        <v>837</v>
      </c>
      <c r="K1560" s="2">
        <v>1.9</v>
      </c>
      <c r="L1560" s="2">
        <v>85</v>
      </c>
      <c r="M1560" s="2">
        <v>75</v>
      </c>
      <c r="N1560" s="2">
        <v>60</v>
      </c>
      <c r="O1560" s="2">
        <v>20</v>
      </c>
      <c r="P1560" s="2"/>
      <c r="Q1560" s="2" t="s">
        <v>95</v>
      </c>
      <c r="R1560" s="10" t="s">
        <v>223</v>
      </c>
      <c r="S1560" s="10" t="s">
        <v>213</v>
      </c>
      <c r="T1560" s="188">
        <v>1000</v>
      </c>
      <c r="U1560" s="8">
        <f t="shared" si="171"/>
        <v>180</v>
      </c>
      <c r="V1560" s="234">
        <f t="shared" si="172"/>
        <v>164624.15524616028</v>
      </c>
      <c r="W1560" s="15">
        <v>25</v>
      </c>
      <c r="X1560" s="8">
        <f t="shared" si="167"/>
        <v>4.5</v>
      </c>
      <c r="Y1560" s="233">
        <f t="shared" si="168"/>
        <v>5981.5</v>
      </c>
    </row>
    <row r="1561" spans="1:25">
      <c r="A1561" s="156" t="e" cm="1">
        <f t="array" aca="1" ref="A1561" ca="1">_xlfn.IFS(E1561=$AB$42,$AC$42,E1561=$AB$43,$AC$43,E1561=$AB$44,$AC$44,E1561=$AB$45,$AC$45,E1561=$AB$46,$AC$46,E1561=$AB$47,$AC$47,E1561=$AB$48,$AC$48,E1561=$AB$49,$AC$49,E1561=$AB$50,$AC$50,E1561=$AB$51,$AC$51,E1561=$AB$52,$AC$52,E1561=$AB$53,$AC$53,E1561=$AB$54,$AC$54,E1561=$AB$55,$AC$55,E1561=$AB$56,$AC$56,E1561=$AB$57,$AC$57,E1561=$AB$58,$AC$58,E1561=$AB$59,$AC$59,E1561=$AB$60,$AC$60,E1561=$AB$61,$AC$61,E1561=$AB$62,$AC$62,E1561=$AB$63,$AC$63,E1561=$AB$64,$AC$64,E1561=$AB$65,$AC$65,E1561=$AB$66,$AC$66,TRUE,"0")</f>
        <v>#NAME?</v>
      </c>
      <c r="C1561" s="161" t="str" cm="1">
        <f t="array" ref="C1561">_xlfn.IFS(E1561=$AB$42,$AF$42,E1561=$AB$43,$AF$43,E1561=$AB$44,$AF$44,E1561=$AB$45,$AF$45,E1561=$AB$46,$AF$46,E1561=$AB$47,$AF$47,E1561=$AB$48,$AF$48,E1561=$AB$49,$AF$49,E1561=$AB$50,$AF$50,E1561=$AB$51,$AF$51,E1561=$AB$52,$AF$52,E1561=$AB$53,$AF$53,E1561=$AB$54,$AF$54,E1561=$AB$55,$AF$55,E1561=$AB$56,$AF$56,E1561=$AB$57,$AF$57,E1561=$AB$58,$AF$58,E1561=$AB$59,$AF$59,E1561=$AB$60,$AF$60,E1561=$AB$61,$AF$61,E1561=$AB$62,$AF$62,E1561=$AB$63,$AF$63,E1561=$AB$64,$AF$64,E1561=$AB$65,$AF$65,E1561=$AB$66,$AF$66,TRUE,"0")</f>
        <v>if 0-0, BACK+ 0.5 GOALS  @ 1.15+odds.  or @ 40 mins</v>
      </c>
      <c r="D1561" s="270" t="str" cm="1">
        <f t="array" ref="D1561">_xlfn.IFS(E1561=$AB$42,$AD$42,E1561=$AB$43,$AD$43,E1561=$AB$44,$AD$44,E1561=$AB$45,$AD$45,E1561=$AB$46,$AD$46,E1561=$AB$47,$AD$47,E1561=$AB$48,$AD$48,E1561=$AB$49,$AD$49,E1561=$AB$50,$AD$50,E1561=$AB$51,$AD$51,E1561=$AB$52,$AD$52,E1561=$AB$53,$AD$53,E1561=$AB$54,$AD$54,E1561=$AB$55,$AD$55,E1561=$AB$56,$AD$56,E1561=$AB$57,$AD$57,E1561=$AB$58,$AD$58,E1561=$AB$59,$AD$59,E1561=$AB$60,$AD$60,E1561=$AB$61,$AD$61,E1561=$AB$62,$AD$62,E1561=$AB$63,$AD$63,E1561=$AB$64,$AD$64,E1561=$AB$65,$AD$65,E1561=$AB$66,$AD$66,TRUE,"0")</f>
        <v>IP</v>
      </c>
      <c r="E1561" s="2" t="s">
        <v>270</v>
      </c>
      <c r="F1561" s="2" t="s">
        <v>626</v>
      </c>
      <c r="G1561" s="2" t="s">
        <v>627</v>
      </c>
      <c r="H1561" s="3">
        <v>45429.729166666664</v>
      </c>
      <c r="I1561" s="2" t="s">
        <v>722</v>
      </c>
      <c r="J1561" s="2" t="s">
        <v>653</v>
      </c>
      <c r="K1561" s="2">
        <v>62</v>
      </c>
      <c r="L1561" s="2">
        <v>0</v>
      </c>
      <c r="M1561" s="2">
        <v>20</v>
      </c>
      <c r="N1561" s="2">
        <v>30</v>
      </c>
      <c r="O1561" s="2">
        <v>0</v>
      </c>
      <c r="P1561" s="2"/>
      <c r="Q1561" s="2" t="s">
        <v>95</v>
      </c>
      <c r="R1561" s="10" t="s">
        <v>221</v>
      </c>
      <c r="S1561" s="10" t="s">
        <v>193</v>
      </c>
      <c r="T1561" s="188">
        <v>1000</v>
      </c>
      <c r="U1561" s="8">
        <f t="shared" si="171"/>
        <v>180</v>
      </c>
      <c r="V1561" s="234">
        <f t="shared" ref="V1561:V1570" si="173">SUM(V1560,U1561)</f>
        <v>164804.15524616028</v>
      </c>
      <c r="W1561" s="15">
        <v>25</v>
      </c>
      <c r="X1561" s="8">
        <f t="shared" si="167"/>
        <v>4.5</v>
      </c>
      <c r="Y1561" s="233">
        <f t="shared" si="168"/>
        <v>5986</v>
      </c>
    </row>
    <row r="1562" spans="1:25">
      <c r="A1562" s="156" t="e" cm="1">
        <f t="array" aca="1" ref="A1562" ca="1">_xlfn.IFS(E1562=$AB$42,$AC$42,E1562=$AB$43,$AC$43,E1562=$AB$44,$AC$44,E1562=$AB$45,$AC$45,E1562=$AB$46,$AC$46,E1562=$AB$47,$AC$47,E1562=$AB$48,$AC$48,E1562=$AB$49,$AC$49,E1562=$AB$50,$AC$50,E1562=$AB$51,$AC$51,E1562=$AB$52,$AC$52,E1562=$AB$53,$AC$53,E1562=$AB$54,$AC$54,E1562=$AB$55,$AC$55,E1562=$AB$56,$AC$56,E1562=$AB$57,$AC$57,E1562=$AB$58,$AC$58,E1562=$AB$59,$AC$59,E1562=$AB$60,$AC$60,E1562=$AB$61,$AC$61,E1562=$AB$62,$AC$62,E1562=$AB$63,$AC$63,E1562=$AB$64,$AC$64,E1562=$AB$65,$AC$65,E1562=$AB$66,$AC$66,TRUE,"0")</f>
        <v>#NAME?</v>
      </c>
      <c r="C1562" s="161" t="str" cm="1">
        <f t="array" ref="C1562">_xlfn.IFS(E1562=$AB$42,$AF$42,E1562=$AB$43,$AF$43,E1562=$AB$44,$AF$44,E1562=$AB$45,$AF$45,E1562=$AB$46,$AF$46,E1562=$AB$47,$AF$47,E1562=$AB$48,$AF$48,E1562=$AB$49,$AF$49,E1562=$AB$50,$AF$50,E1562=$AB$51,$AF$51,E1562=$AB$52,$AF$52,E1562=$AB$53,$AF$53,E1562=$AB$54,$AF$54,E1562=$AB$55,$AF$55,E1562=$AB$56,$AF$56,E1562=$AB$57,$AF$57,E1562=$AB$58,$AF$58,E1562=$AB$59,$AF$59,E1562=$AB$60,$AF$60,E1562=$AB$61,$AF$61,E1562=$AB$62,$AF$62,E1562=$AB$63,$AF$63,E1562=$AB$64,$AF$64,E1562=$AB$65,$AF$65,E1562=$AB$66,$AF$66,TRUE,"0")</f>
        <v>B4 Match, lay HT 0-0 or BACK H1 +0.5 GOALS</v>
      </c>
      <c r="D1562" s="270" t="str" cm="1">
        <f t="array" ref="D1562">_xlfn.IFS(E1562=$AB$42,$AD$42,E1562=$AB$43,$AD$43,E1562=$AB$44,$AD$44,E1562=$AB$45,$AD$45,E1562=$AB$46,$AD$46,E1562=$AB$47,$AD$47,E1562=$AB$48,$AD$48,E1562=$AB$49,$AD$49,E1562=$AB$50,$AD$50,E1562=$AB$51,$AD$51,E1562=$AB$52,$AD$52,E1562=$AB$53,$AD$53,E1562=$AB$54,$AD$54,E1562=$AB$55,$AD$55,E1562=$AB$56,$AD$56,E1562=$AB$57,$AD$57,E1562=$AB$58,$AD$58,E1562=$AB$59,$AD$59,E1562=$AB$60,$AD$60,E1562=$AB$61,$AD$61,E1562=$AB$62,$AD$62,E1562=$AB$63,$AD$63,E1562=$AB$64,$AD$64,E1562=$AB$65,$AD$65,E1562=$AB$66,$AD$66,TRUE,"0")</f>
        <v xml:space="preserve">BFM </v>
      </c>
      <c r="E1562" s="2" t="s">
        <v>448</v>
      </c>
      <c r="F1562" s="2" t="s">
        <v>296</v>
      </c>
      <c r="G1562" s="2" t="s">
        <v>525</v>
      </c>
      <c r="H1562" s="3">
        <v>45429.802083333336</v>
      </c>
      <c r="I1562" s="2" t="s">
        <v>526</v>
      </c>
      <c r="J1562" s="2" t="s">
        <v>589</v>
      </c>
      <c r="K1562" s="2">
        <v>20</v>
      </c>
      <c r="L1562" s="2">
        <v>10</v>
      </c>
      <c r="M1562" s="2">
        <v>35</v>
      </c>
      <c r="N1562" s="2">
        <v>4</v>
      </c>
      <c r="O1562" s="2">
        <v>22</v>
      </c>
      <c r="P1562" s="2">
        <v>57</v>
      </c>
      <c r="Q1562" s="2" t="s">
        <v>95</v>
      </c>
      <c r="R1562" s="10" t="s">
        <v>222</v>
      </c>
      <c r="S1562" s="10" t="s">
        <v>210</v>
      </c>
      <c r="T1562" s="188">
        <v>1000</v>
      </c>
      <c r="U1562" s="8">
        <f t="shared" si="171"/>
        <v>180</v>
      </c>
      <c r="V1562" s="234">
        <f t="shared" si="173"/>
        <v>164984.15524616028</v>
      </c>
      <c r="W1562" s="15">
        <v>25</v>
      </c>
      <c r="X1562" s="8">
        <f t="shared" si="167"/>
        <v>4.5</v>
      </c>
      <c r="Y1562" s="233">
        <f t="shared" si="168"/>
        <v>5990.5</v>
      </c>
    </row>
    <row r="1563" spans="1:25">
      <c r="A1563" s="156" t="e" cm="1">
        <f t="array" aca="1" ref="A1563" ca="1">_xlfn.IFS(E1563=$AB$42,$AC$42,E1563=$AB$43,$AC$43,E1563=$AB$44,$AC$44,E1563=$AB$45,$AC$45,E1563=$AB$46,$AC$46,E1563=$AB$47,$AC$47,E1563=$AB$48,$AC$48,E1563=$AB$49,$AC$49,E1563=$AB$50,$AC$50,E1563=$AB$51,$AC$51,E1563=$AB$52,$AC$52,E1563=$AB$53,$AC$53,E1563=$AB$54,$AC$54,E1563=$AB$55,$AC$55,E1563=$AB$56,$AC$56,E1563=$AB$57,$AC$57,E1563=$AB$58,$AC$58,E1563=$AB$59,$AC$59,E1563=$AB$60,$AC$60,E1563=$AB$61,$AC$61,E1563=$AB$62,$AC$62,E1563=$AB$63,$AC$63,E1563=$AB$64,$AC$64,E1563=$AB$65,$AC$65,E1563=$AB$66,$AC$66,TRUE,"0")</f>
        <v>#NAME?</v>
      </c>
      <c r="C1563" s="161" t="str" cm="1">
        <f t="array" ref="C1563">_xlfn.IFS(E1563=$AB$42,$AF$42,E1563=$AB$43,$AF$43,E1563=$AB$44,$AF$44,E1563=$AB$45,$AF$45,E1563=$AB$46,$AF$46,E1563=$AB$47,$AF$47,E1563=$AB$48,$AF$48,E1563=$AB$49,$AF$49,E1563=$AB$50,$AF$50,E1563=$AB$51,$AF$51,E1563=$AB$52,$AF$52,E1563=$AB$53,$AF$53,E1563=$AB$54,$AF$54,E1563=$AB$55,$AF$55,E1563=$AB$56,$AF$56,E1563=$AB$57,$AF$57,E1563=$AB$58,$AF$58,E1563=$AB$59,$AF$59,E1563=$AB$60,$AF$60,E1563=$AB$61,$AF$61,E1563=$AB$62,$AF$62,E1563=$AB$63,$AF$63,E1563=$AB$64,$AF$64,E1563=$AB$65,$AF$65,E1563=$AB$66,$AF$66,TRUE,"0")</f>
        <v>40 mins Back ANother Goal</v>
      </c>
      <c r="D1563" s="270" t="str" cm="1">
        <f t="array" ref="D1563">_xlfn.IFS(E1563=$AB$42,$AD$42,E1563=$AB$43,$AD$43,E1563=$AB$44,$AD$44,E1563=$AB$45,$AD$45,E1563=$AB$46,$AD$46,E1563=$AB$47,$AD$47,E1563=$AB$48,$AD$48,E1563=$AB$49,$AD$49,E1563=$AB$50,$AD$50,E1563=$AB$51,$AD$51,E1563=$AB$52,$AD$52,E1563=$AB$53,$AD$53,E1563=$AB$54,$AD$54,E1563=$AB$55,$AD$55,E1563=$AB$56,$AD$56,E1563=$AB$57,$AD$57,E1563=$AB$58,$AD$58,E1563=$AB$59,$AD$59,E1563=$AB$60,$AD$60,E1563=$AB$61,$AD$61,E1563=$AB$62,$AD$62,E1563=$AB$63,$AD$63,E1563=$AB$64,$AD$64,E1563=$AB$65,$AD$65,E1563=$AB$66,$AD$66,TRUE,"0")</f>
        <v xml:space="preserve">  BANG</v>
      </c>
      <c r="E1563" s="2" t="s">
        <v>726</v>
      </c>
      <c r="F1563" s="2" t="s">
        <v>296</v>
      </c>
      <c r="G1563" s="2" t="s">
        <v>525</v>
      </c>
      <c r="H1563" s="3">
        <v>45429.802083333336</v>
      </c>
      <c r="I1563" s="2" t="s">
        <v>528</v>
      </c>
      <c r="J1563" s="2" t="s">
        <v>597</v>
      </c>
      <c r="K1563" s="2">
        <v>80</v>
      </c>
      <c r="L1563" s="2">
        <v>20</v>
      </c>
      <c r="M1563" s="2">
        <v>2</v>
      </c>
      <c r="N1563" s="2">
        <v>63</v>
      </c>
      <c r="O1563" s="2"/>
      <c r="P1563" s="2"/>
      <c r="Q1563" s="2" t="s">
        <v>95</v>
      </c>
      <c r="R1563" s="10" t="s">
        <v>214</v>
      </c>
      <c r="S1563" s="10" t="s">
        <v>194</v>
      </c>
      <c r="T1563" s="188">
        <v>1000</v>
      </c>
      <c r="U1563" s="8">
        <f t="shared" si="171"/>
        <v>180</v>
      </c>
      <c r="V1563" s="234">
        <f t="shared" si="173"/>
        <v>165164.15524616028</v>
      </c>
      <c r="W1563" s="15">
        <v>25</v>
      </c>
      <c r="X1563" s="8">
        <f t="shared" si="167"/>
        <v>4.5</v>
      </c>
      <c r="Y1563" s="233">
        <f t="shared" si="168"/>
        <v>5995</v>
      </c>
    </row>
    <row r="1564" spans="1:25">
      <c r="A1564" s="156" t="e" cm="1">
        <f t="array" aca="1" ref="A1564" ca="1">_xlfn.IFS(E1564=$AB$42,$AC$42,E1564=$AB$43,$AC$43,E1564=$AB$44,$AC$44,E1564=$AB$45,$AC$45,E1564=$AB$46,$AC$46,E1564=$AB$47,$AC$47,E1564=$AB$48,$AC$48,E1564=$AB$49,$AC$49,E1564=$AB$50,$AC$50,E1564=$AB$51,$AC$51,E1564=$AB$52,$AC$52,E1564=$AB$53,$AC$53,E1564=$AB$54,$AC$54,E1564=$AB$55,$AC$55,E1564=$AB$56,$AC$56,E1564=$AB$57,$AC$57,E1564=$AB$58,$AC$58,E1564=$AB$59,$AC$59,E1564=$AB$60,$AC$60,E1564=$AB$61,$AC$61,E1564=$AB$62,$AC$62,E1564=$AB$63,$AC$63,E1564=$AB$64,$AC$64,E1564=$AB$65,$AC$65,E1564=$AB$66,$AC$66,TRUE,"0")</f>
        <v>#NAME?</v>
      </c>
      <c r="C1564" s="161" t="str" cm="1">
        <f t="array" ref="C1564">_xlfn.IFS(E1564=$AB$42,$AF$42,E1564=$AB$43,$AF$43,E1564=$AB$44,$AF$44,E1564=$AB$45,$AF$45,E1564=$AB$46,$AF$46,E1564=$AB$47,$AF$47,E1564=$AB$48,$AF$48,E1564=$AB$49,$AF$49,E1564=$AB$50,$AF$50,E1564=$AB$51,$AF$51,E1564=$AB$52,$AF$52,E1564=$AB$53,$AF$53,E1564=$AB$54,$AF$54,E1564=$AB$55,$AF$55,E1564=$AB$56,$AF$56,E1564=$AB$57,$AF$57,E1564=$AB$58,$AF$58,E1564=$AB$59,$AF$59,E1564=$AB$60,$AF$60,E1564=$AB$61,$AF$61,E1564=$AB$62,$AF$62,E1564=$AB$63,$AF$63,E1564=$AB$64,$AF$64,E1564=$AB$65,$AF$65,E1564=$AB$66,$AF$66,TRUE,"0")</f>
        <v>B4 match BACK FT +1.5 goals. X AFTER  GOAL</v>
      </c>
      <c r="D1564" s="270" t="str" cm="1">
        <f t="array" ref="D1564">_xlfn.IFS(E1564=$AB$42,$AD$42,E1564=$AB$43,$AD$43,E1564=$AB$44,$AD$44,E1564=$AB$45,$AD$45,E1564=$AB$46,$AD$46,E1564=$AB$47,$AD$47,E1564=$AB$48,$AD$48,E1564=$AB$49,$AD$49,E1564=$AB$50,$AD$50,E1564=$AB$51,$AD$51,E1564=$AB$52,$AD$52,E1564=$AB$53,$AD$53,E1564=$AB$54,$AD$54,E1564=$AB$55,$AD$55,E1564=$AB$56,$AD$56,E1564=$AB$57,$AD$57,E1564=$AB$58,$AD$58,E1564=$AB$59,$AD$59,E1564=$AB$60,$AD$60,E1564=$AB$61,$AD$61,E1564=$AB$62,$AD$62,E1564=$AB$63,$AD$63,E1564=$AB$64,$AD$64,E1564=$AB$65,$AD$65,E1564=$AB$66,$AD$66,TRUE,"0")</f>
        <v xml:space="preserve">BFM </v>
      </c>
      <c r="E1564" s="2" t="s">
        <v>623</v>
      </c>
      <c r="F1564" s="2" t="s">
        <v>145</v>
      </c>
      <c r="G1564" s="2" t="s">
        <v>268</v>
      </c>
      <c r="H1564" s="3">
        <v>45429.822916666664</v>
      </c>
      <c r="I1564" s="2" t="s">
        <v>844</v>
      </c>
      <c r="J1564" s="2" t="s">
        <v>304</v>
      </c>
      <c r="K1564" s="2">
        <v>6.2</v>
      </c>
      <c r="L1564" s="2">
        <v>20</v>
      </c>
      <c r="M1564" s="2">
        <v>2.5499999999999998</v>
      </c>
      <c r="N1564" s="2">
        <v>25</v>
      </c>
      <c r="O1564" s="2">
        <v>0</v>
      </c>
      <c r="P1564" s="2">
        <v>10</v>
      </c>
      <c r="Q1564" s="2" t="s">
        <v>96</v>
      </c>
      <c r="R1564" s="10" t="s">
        <v>221</v>
      </c>
      <c r="S1564" s="10" t="s">
        <v>221</v>
      </c>
      <c r="T1564" s="188">
        <v>1000</v>
      </c>
      <c r="U1564" s="8">
        <f t="shared" si="171"/>
        <v>-1000</v>
      </c>
      <c r="V1564" s="234">
        <f t="shared" si="173"/>
        <v>164164.15524616028</v>
      </c>
      <c r="W1564" s="15">
        <v>25</v>
      </c>
      <c r="X1564" s="8">
        <f t="shared" si="167"/>
        <v>-25</v>
      </c>
      <c r="Y1564" s="233">
        <f t="shared" si="168"/>
        <v>5970</v>
      </c>
    </row>
    <row r="1565" spans="1:25">
      <c r="A1565" s="156" t="e" cm="1">
        <f t="array" aca="1" ref="A1565" ca="1">_xlfn.IFS(E1565=$AB$42,$AC$42,E1565=$AB$43,$AC$43,E1565=$AB$44,$AC$44,E1565=$AB$45,$AC$45,E1565=$AB$46,$AC$46,E1565=$AB$47,$AC$47,E1565=$AB$48,$AC$48,E1565=$AB$49,$AC$49,E1565=$AB$50,$AC$50,E1565=$AB$51,$AC$51,E1565=$AB$52,$AC$52,E1565=$AB$53,$AC$53,E1565=$AB$54,$AC$54,E1565=$AB$55,$AC$55,E1565=$AB$56,$AC$56,E1565=$AB$57,$AC$57,E1565=$AB$58,$AC$58,E1565=$AB$59,$AC$59,E1565=$AB$60,$AC$60,E1565=$AB$61,$AC$61,E1565=$AB$62,$AC$62,E1565=$AB$63,$AC$63,E1565=$AB$64,$AC$64,E1565=$AB$65,$AC$65,E1565=$AB$66,$AC$66,TRUE,"0")</f>
        <v>#NAME?</v>
      </c>
      <c r="C1565" s="161" t="str" cm="1">
        <f t="array" ref="C1565">_xlfn.IFS(E1565=$AB$42,$AF$42,E1565=$AB$43,$AF$43,E1565=$AB$44,$AF$44,E1565=$AB$45,$AF$45,E1565=$AB$46,$AF$46,E1565=$AB$47,$AF$47,E1565=$AB$48,$AF$48,E1565=$AB$49,$AF$49,E1565=$AB$50,$AF$50,E1565=$AB$51,$AF$51,E1565=$AB$52,$AF$52,E1565=$AB$53,$AF$53,E1565=$AB$54,$AF$54,E1565=$AB$55,$AF$55,E1565=$AB$56,$AF$56,E1565=$AB$57,$AF$57,E1565=$AB$58,$AF$58,E1565=$AB$59,$AF$59,E1565=$AB$60,$AF$60,E1565=$AB$61,$AF$61,E1565=$AB$62,$AF$62,E1565=$AB$63,$AF$63,E1565=$AB$64,$AF$64,E1565=$AB$65,$AF$65,E1565=$AB$66,$AF$66,TRUE,"0")</f>
        <v>B4 match BACK FT +1.5 goals. X AFTER  GOAL</v>
      </c>
      <c r="D1565" s="270" t="str" cm="1">
        <f t="array" ref="D1565">_xlfn.IFS(E1565=$AB$42,$AD$42,E1565=$AB$43,$AD$43,E1565=$AB$44,$AD$44,E1565=$AB$45,$AD$45,E1565=$AB$46,$AD$46,E1565=$AB$47,$AD$47,E1565=$AB$48,$AD$48,E1565=$AB$49,$AD$49,E1565=$AB$50,$AD$50,E1565=$AB$51,$AD$51,E1565=$AB$52,$AD$52,E1565=$AB$53,$AD$53,E1565=$AB$54,$AD$54,E1565=$AB$55,$AD$55,E1565=$AB$56,$AD$56,E1565=$AB$57,$AD$57,E1565=$AB$58,$AD$58,E1565=$AB$59,$AD$59,E1565=$AB$60,$AD$60,E1565=$AB$61,$AD$61,E1565=$AB$62,$AD$62,E1565=$AB$63,$AD$63,E1565=$AB$64,$AD$64,E1565=$AB$65,$AD$65,E1565=$AB$66,$AD$66,TRUE,"0")</f>
        <v xml:space="preserve">BFM </v>
      </c>
      <c r="E1565" s="2" t="s">
        <v>623</v>
      </c>
      <c r="F1565" s="2" t="s">
        <v>145</v>
      </c>
      <c r="G1565" s="2" t="s">
        <v>268</v>
      </c>
      <c r="H1565" s="3">
        <v>45429.822916666664</v>
      </c>
      <c r="I1565" s="2" t="s">
        <v>703</v>
      </c>
      <c r="J1565" s="2" t="s">
        <v>845</v>
      </c>
      <c r="K1565" s="2">
        <v>3.85</v>
      </c>
      <c r="L1565" s="2">
        <v>20</v>
      </c>
      <c r="M1565" s="2">
        <v>2.1</v>
      </c>
      <c r="N1565" s="2">
        <v>37</v>
      </c>
      <c r="O1565" s="2">
        <v>1</v>
      </c>
      <c r="P1565" s="2">
        <v>10</v>
      </c>
      <c r="Q1565" s="2" t="s">
        <v>95</v>
      </c>
      <c r="R1565" s="10" t="s">
        <v>216</v>
      </c>
      <c r="S1565" s="10" t="s">
        <v>196</v>
      </c>
      <c r="T1565" s="188">
        <v>1000</v>
      </c>
      <c r="U1565" s="8">
        <f t="shared" si="171"/>
        <v>180</v>
      </c>
      <c r="V1565" s="234">
        <f t="shared" si="173"/>
        <v>164344.15524616028</v>
      </c>
      <c r="W1565" s="15">
        <v>25</v>
      </c>
      <c r="X1565" s="8">
        <f t="shared" si="167"/>
        <v>4.5</v>
      </c>
      <c r="Y1565" s="233">
        <f t="shared" si="168"/>
        <v>5974.5</v>
      </c>
    </row>
    <row r="1566" spans="1:25">
      <c r="A1566" s="156" t="e" cm="1">
        <f t="array" aca="1" ref="A1566" ca="1">_xlfn.IFS(E1566=$AB$42,$AC$42,E1566=$AB$43,$AC$43,E1566=$AB$44,$AC$44,E1566=$AB$45,$AC$45,E1566=$AB$46,$AC$46,E1566=$AB$47,$AC$47,E1566=$AB$48,$AC$48,E1566=$AB$49,$AC$49,E1566=$AB$50,$AC$50,E1566=$AB$51,$AC$51,E1566=$AB$52,$AC$52,E1566=$AB$53,$AC$53,E1566=$AB$54,$AC$54,E1566=$AB$55,$AC$55,E1566=$AB$56,$AC$56,E1566=$AB$57,$AC$57,E1566=$AB$58,$AC$58,E1566=$AB$59,$AC$59,E1566=$AB$60,$AC$60,E1566=$AB$61,$AC$61,E1566=$AB$62,$AC$62,E1566=$AB$63,$AC$63,E1566=$AB$64,$AC$64,E1566=$AB$65,$AC$65,E1566=$AB$66,$AC$66,TRUE,"0")</f>
        <v>#NAME?</v>
      </c>
      <c r="C1566" s="161" t="str" cm="1">
        <f t="array" ref="C1566">_xlfn.IFS(E1566=$AB$42,$AF$42,E1566=$AB$43,$AF$43,E1566=$AB$44,$AF$44,E1566=$AB$45,$AF$45,E1566=$AB$46,$AF$46,E1566=$AB$47,$AF$47,E1566=$AB$48,$AF$48,E1566=$AB$49,$AF$49,E1566=$AB$50,$AF$50,E1566=$AB$51,$AF$51,E1566=$AB$52,$AF$52,E1566=$AB$53,$AF$53,E1566=$AB$54,$AF$54,E1566=$AB$55,$AF$55,E1566=$AB$56,$AF$56,E1566=$AB$57,$AF$57,E1566=$AB$58,$AF$58,E1566=$AB$59,$AF$59,E1566=$AB$60,$AF$60,E1566=$AB$61,$AF$61,E1566=$AB$62,$AF$62,E1566=$AB$63,$AF$63,E1566=$AB$64,$AF$64,E1566=$AB$65,$AF$65,E1566=$AB$66,$AF$66,TRUE,"0")</f>
        <v>B4 match BACK FT +1.5 goals. X AFTER  GOAL</v>
      </c>
      <c r="D1566" s="270" t="str" cm="1">
        <f t="array" ref="D1566">_xlfn.IFS(E1566=$AB$42,$AD$42,E1566=$AB$43,$AD$43,E1566=$AB$44,$AD$44,E1566=$AB$45,$AD$45,E1566=$AB$46,$AD$46,E1566=$AB$47,$AD$47,E1566=$AB$48,$AD$48,E1566=$AB$49,$AD$49,E1566=$AB$50,$AD$50,E1566=$AB$51,$AD$51,E1566=$AB$52,$AD$52,E1566=$AB$53,$AD$53,E1566=$AB$54,$AD$54,E1566=$AB$55,$AD$55,E1566=$AB$56,$AD$56,E1566=$AB$57,$AD$57,E1566=$AB$58,$AD$58,E1566=$AB$59,$AD$59,E1566=$AB$60,$AD$60,E1566=$AB$61,$AD$61,E1566=$AB$62,$AD$62,E1566=$AB$63,$AD$63,E1566=$AB$64,$AD$64,E1566=$AB$65,$AD$65,E1566=$AB$66,$AD$66,TRUE,"0")</f>
        <v xml:space="preserve">BFM </v>
      </c>
      <c r="E1566" s="2" t="s">
        <v>623</v>
      </c>
      <c r="F1566" s="2" t="s">
        <v>145</v>
      </c>
      <c r="G1566" s="2" t="s">
        <v>268</v>
      </c>
      <c r="H1566" s="3">
        <v>45429.822916666664</v>
      </c>
      <c r="I1566" s="2" t="s">
        <v>846</v>
      </c>
      <c r="J1566" s="2" t="s">
        <v>484</v>
      </c>
      <c r="K1566" s="2">
        <v>5.6</v>
      </c>
      <c r="L1566" s="2">
        <v>20</v>
      </c>
      <c r="M1566" s="2">
        <v>2.5</v>
      </c>
      <c r="N1566" s="2">
        <v>32</v>
      </c>
      <c r="O1566" s="2">
        <v>1</v>
      </c>
      <c r="P1566" s="2">
        <v>10</v>
      </c>
      <c r="Q1566" s="2" t="s">
        <v>95</v>
      </c>
      <c r="R1566" s="10" t="s">
        <v>220</v>
      </c>
      <c r="S1566" s="10" t="s">
        <v>209</v>
      </c>
      <c r="T1566" s="188">
        <v>1000</v>
      </c>
      <c r="U1566" s="8">
        <f t="shared" si="171"/>
        <v>180</v>
      </c>
      <c r="V1566" s="234">
        <f t="shared" si="173"/>
        <v>164524.15524616028</v>
      </c>
      <c r="W1566" s="15">
        <v>25</v>
      </c>
      <c r="X1566" s="8">
        <f t="shared" si="167"/>
        <v>4.5</v>
      </c>
      <c r="Y1566" s="233">
        <f t="shared" si="168"/>
        <v>5979</v>
      </c>
    </row>
    <row r="1567" spans="1:25">
      <c r="A1567" s="156" t="e" cm="1">
        <f t="array" aca="1" ref="A1567" ca="1">_xlfn.IFS(E1567=$AB$42,$AC$42,E1567=$AB$43,$AC$43,E1567=$AB$44,$AC$44,E1567=$AB$45,$AC$45,E1567=$AB$46,$AC$46,E1567=$AB$47,$AC$47,E1567=$AB$48,$AC$48,E1567=$AB$49,$AC$49,E1567=$AB$50,$AC$50,E1567=$AB$51,$AC$51,E1567=$AB$52,$AC$52,E1567=$AB$53,$AC$53,E1567=$AB$54,$AC$54,E1567=$AB$55,$AC$55,E1567=$AB$56,$AC$56,E1567=$AB$57,$AC$57,E1567=$AB$58,$AC$58,E1567=$AB$59,$AC$59,E1567=$AB$60,$AC$60,E1567=$AB$61,$AC$61,E1567=$AB$62,$AC$62,E1567=$AB$63,$AC$63,E1567=$AB$64,$AC$64,E1567=$AB$65,$AC$65,E1567=$AB$66,$AC$66,TRUE,"0")</f>
        <v>#NAME?</v>
      </c>
      <c r="C1567" s="161" t="str" cm="1">
        <f t="array" ref="C1567">_xlfn.IFS(E1567=$AB$42,$AF$42,E1567=$AB$43,$AF$43,E1567=$AB$44,$AF$44,E1567=$AB$45,$AF$45,E1567=$AB$46,$AF$46,E1567=$AB$47,$AF$47,E1567=$AB$48,$AF$48,E1567=$AB$49,$AF$49,E1567=$AB$50,$AF$50,E1567=$AB$51,$AF$51,E1567=$AB$52,$AF$52,E1567=$AB$53,$AF$53,E1567=$AB$54,$AF$54,E1567=$AB$55,$AF$55,E1567=$AB$56,$AF$56,E1567=$AB$57,$AF$57,E1567=$AB$58,$AF$58,E1567=$AB$59,$AF$59,E1567=$AB$60,$AF$60,E1567=$AB$61,$AF$61,E1567=$AB$62,$AF$62,E1567=$AB$63,$AF$63,E1567=$AB$64,$AF$64,E1567=$AB$65,$AF$65,E1567=$AB$66,$AF$66,TRUE,"0")</f>
        <v>B4 match BACK FT +1.5 goals. X AFTER  GOAL</v>
      </c>
      <c r="D1567" s="270" t="str" cm="1">
        <f t="array" ref="D1567">_xlfn.IFS(E1567=$AB$42,$AD$42,E1567=$AB$43,$AD$43,E1567=$AB$44,$AD$44,E1567=$AB$45,$AD$45,E1567=$AB$46,$AD$46,E1567=$AB$47,$AD$47,E1567=$AB$48,$AD$48,E1567=$AB$49,$AD$49,E1567=$AB$50,$AD$50,E1567=$AB$51,$AD$51,E1567=$AB$52,$AD$52,E1567=$AB$53,$AD$53,E1567=$AB$54,$AD$54,E1567=$AB$55,$AD$55,E1567=$AB$56,$AD$56,E1567=$AB$57,$AD$57,E1567=$AB$58,$AD$58,E1567=$AB$59,$AD$59,E1567=$AB$60,$AD$60,E1567=$AB$61,$AD$61,E1567=$AB$62,$AD$62,E1567=$AB$63,$AD$63,E1567=$AB$64,$AD$64,E1567=$AB$65,$AD$65,E1567=$AB$66,$AD$66,TRUE,"0")</f>
        <v xml:space="preserve">BFM </v>
      </c>
      <c r="E1567" s="2" t="s">
        <v>623</v>
      </c>
      <c r="F1567" s="2" t="s">
        <v>145</v>
      </c>
      <c r="G1567" s="2" t="s">
        <v>268</v>
      </c>
      <c r="H1567" s="3">
        <v>45429.822916666664</v>
      </c>
      <c r="I1567" s="2" t="s">
        <v>485</v>
      </c>
      <c r="J1567" s="2" t="s">
        <v>847</v>
      </c>
      <c r="K1567" s="2">
        <v>4.3</v>
      </c>
      <c r="L1567" s="2">
        <v>20</v>
      </c>
      <c r="M1567" s="2">
        <v>1.95</v>
      </c>
      <c r="N1567" s="2">
        <v>37</v>
      </c>
      <c r="O1567" s="2">
        <v>0</v>
      </c>
      <c r="P1567" s="2">
        <v>10</v>
      </c>
      <c r="Q1567" s="2" t="s">
        <v>95</v>
      </c>
      <c r="R1567" s="10" t="s">
        <v>214</v>
      </c>
      <c r="S1567" s="10" t="s">
        <v>207</v>
      </c>
      <c r="T1567" s="188">
        <v>1000</v>
      </c>
      <c r="U1567" s="8">
        <f t="shared" si="171"/>
        <v>180</v>
      </c>
      <c r="V1567" s="234">
        <f t="shared" si="173"/>
        <v>164704.15524616028</v>
      </c>
      <c r="W1567" s="15">
        <v>25</v>
      </c>
      <c r="X1567" s="8">
        <f t="shared" si="167"/>
        <v>4.5</v>
      </c>
      <c r="Y1567" s="233">
        <f t="shared" si="168"/>
        <v>5983.5</v>
      </c>
    </row>
    <row r="1568" spans="1:25">
      <c r="A1568" s="156" t="e" cm="1">
        <f t="array" aca="1" ref="A1568" ca="1">_xlfn.IFS(E1568=$AB$42,$AC$42,E1568=$AB$43,$AC$43,E1568=$AB$44,$AC$44,E1568=$AB$45,$AC$45,E1568=$AB$46,$AC$46,E1568=$AB$47,$AC$47,E1568=$AB$48,$AC$48,E1568=$AB$49,$AC$49,E1568=$AB$50,$AC$50,E1568=$AB$51,$AC$51,E1568=$AB$52,$AC$52,E1568=$AB$53,$AC$53,E1568=$AB$54,$AC$54,E1568=$AB$55,$AC$55,E1568=$AB$56,$AC$56,E1568=$AB$57,$AC$57,E1568=$AB$58,$AC$58,E1568=$AB$59,$AC$59,E1568=$AB$60,$AC$60,E1568=$AB$61,$AC$61,E1568=$AB$62,$AC$62,E1568=$AB$63,$AC$63,E1568=$AB$64,$AC$64,E1568=$AB$65,$AC$65,E1568=$AB$66,$AC$66,TRUE,"0")</f>
        <v>#NAME?</v>
      </c>
      <c r="C1568" s="161" t="str" cm="1">
        <f t="array" ref="C1568">_xlfn.IFS(E1568=$AB$42,$AF$42,E1568=$AB$43,$AF$43,E1568=$AB$44,$AF$44,E1568=$AB$45,$AF$45,E1568=$AB$46,$AF$46,E1568=$AB$47,$AF$47,E1568=$AB$48,$AF$48,E1568=$AB$49,$AF$49,E1568=$AB$50,$AF$50,E1568=$AB$51,$AF$51,E1568=$AB$52,$AF$52,E1568=$AB$53,$AF$53,E1568=$AB$54,$AF$54,E1568=$AB$55,$AF$55,E1568=$AB$56,$AF$56,E1568=$AB$57,$AF$57,E1568=$AB$58,$AF$58,E1568=$AB$59,$AF$59,E1568=$AB$60,$AF$60,E1568=$AB$61,$AF$61,E1568=$AB$62,$AF$62,E1568=$AB$63,$AF$63,E1568=$AB$64,$AF$64,E1568=$AB$65,$AF$65,E1568=$AB$66,$AF$66,TRUE,"0")</f>
        <v>40 mins Back ANother Goal</v>
      </c>
      <c r="D1568" s="270" t="str" cm="1">
        <f t="array" ref="D1568">_xlfn.IFS(E1568=$AB$42,$AD$42,E1568=$AB$43,$AD$43,E1568=$AB$44,$AD$44,E1568=$AB$45,$AD$45,E1568=$AB$46,$AD$46,E1568=$AB$47,$AD$47,E1568=$AB$48,$AD$48,E1568=$AB$49,$AD$49,E1568=$AB$50,$AD$50,E1568=$AB$51,$AD$51,E1568=$AB$52,$AD$52,E1568=$AB$53,$AD$53,E1568=$AB$54,$AD$54,E1568=$AB$55,$AD$55,E1568=$AB$56,$AD$56,E1568=$AB$57,$AD$57,E1568=$AB$58,$AD$58,E1568=$AB$59,$AD$59,E1568=$AB$60,$AD$60,E1568=$AB$61,$AD$61,E1568=$AB$62,$AD$62,E1568=$AB$63,$AD$63,E1568=$AB$64,$AD$64,E1568=$AB$65,$AD$65,E1568=$AB$66,$AD$66,TRUE,"0")</f>
        <v xml:space="preserve">  BANG</v>
      </c>
      <c r="E1568" s="2" t="s">
        <v>43</v>
      </c>
      <c r="F1568" s="2" t="s">
        <v>20</v>
      </c>
      <c r="G1568" s="2" t="s">
        <v>21</v>
      </c>
      <c r="H1568" s="3">
        <v>45429.822916666664</v>
      </c>
      <c r="I1568" s="2" t="s">
        <v>784</v>
      </c>
      <c r="J1568" s="2" t="s">
        <v>22</v>
      </c>
      <c r="K1568" s="2">
        <v>71</v>
      </c>
      <c r="L1568" s="2">
        <v>77</v>
      </c>
      <c r="M1568" s="2">
        <v>61</v>
      </c>
      <c r="N1568" s="2">
        <v>1.95</v>
      </c>
      <c r="O1568" s="2">
        <v>1.38</v>
      </c>
      <c r="P1568" s="2"/>
      <c r="Q1568" s="2" t="s">
        <v>95</v>
      </c>
      <c r="R1568" s="10" t="s">
        <v>222</v>
      </c>
      <c r="S1568" s="10" t="s">
        <v>210</v>
      </c>
      <c r="T1568" s="188">
        <v>1000</v>
      </c>
      <c r="U1568" s="8">
        <f t="shared" si="171"/>
        <v>180</v>
      </c>
      <c r="V1568" s="234">
        <f t="shared" si="173"/>
        <v>164884.15524616028</v>
      </c>
      <c r="W1568" s="15">
        <v>25</v>
      </c>
      <c r="X1568" s="8">
        <f t="shared" si="167"/>
        <v>4.5</v>
      </c>
      <c r="Y1568" s="233">
        <f t="shared" si="168"/>
        <v>5988</v>
      </c>
    </row>
    <row r="1569" spans="1:25">
      <c r="A1569" s="156" t="e" cm="1">
        <f t="array" aca="1" ref="A1569" ca="1">_xlfn.IFS(E1569=$AB$42,$AC$42,E1569=$AB$43,$AC$43,E1569=$AB$44,$AC$44,E1569=$AB$45,$AC$45,E1569=$AB$46,$AC$46,E1569=$AB$47,$AC$47,E1569=$AB$48,$AC$48,E1569=$AB$49,$AC$49,E1569=$AB$50,$AC$50,E1569=$AB$51,$AC$51,E1569=$AB$52,$AC$52,E1569=$AB$53,$AC$53,E1569=$AB$54,$AC$54,E1569=$AB$55,$AC$55,E1569=$AB$56,$AC$56,E1569=$AB$57,$AC$57,E1569=$AB$58,$AC$58,E1569=$AB$59,$AC$59,E1569=$AB$60,$AC$60,E1569=$AB$61,$AC$61,E1569=$AB$62,$AC$62,E1569=$AB$63,$AC$63,E1569=$AB$64,$AC$64,E1569=$AB$65,$AC$65,E1569=$AB$66,$AC$66,TRUE,"0")</f>
        <v>#NAME?</v>
      </c>
      <c r="C1569" s="161" t="str" cm="1">
        <f t="array" ref="C1569">_xlfn.IFS(E1569=$AB$42,$AF$42,E1569=$AB$43,$AF$43,E1569=$AB$44,$AF$44,E1569=$AB$45,$AF$45,E1569=$AB$46,$AF$46,E1569=$AB$47,$AF$47,E1569=$AB$48,$AF$48,E1569=$AB$49,$AF$49,E1569=$AB$50,$AF$50,E1569=$AB$51,$AF$51,E1569=$AB$52,$AF$52,E1569=$AB$53,$AF$53,E1569=$AB$54,$AF$54,E1569=$AB$55,$AF$55,E1569=$AB$56,$AF$56,E1569=$AB$57,$AF$57,E1569=$AB$58,$AF$58,E1569=$AB$59,$AF$59,E1569=$AB$60,$AF$60,E1569=$AB$61,$AF$61,E1569=$AB$62,$AF$62,E1569=$AB$63,$AF$63,E1569=$AB$64,$AF$64,E1569=$AB$65,$AF$65,E1569=$AB$66,$AF$66,TRUE,"0")</f>
        <v>40 mins Back ANother Goal</v>
      </c>
      <c r="D1569" s="270" t="str" cm="1">
        <f t="array" ref="D1569">_xlfn.IFS(E1569=$AB$42,$AD$42,E1569=$AB$43,$AD$43,E1569=$AB$44,$AD$44,E1569=$AB$45,$AD$45,E1569=$AB$46,$AD$46,E1569=$AB$47,$AD$47,E1569=$AB$48,$AD$48,E1569=$AB$49,$AD$49,E1569=$AB$50,$AD$50,E1569=$AB$51,$AD$51,E1569=$AB$52,$AD$52,E1569=$AB$53,$AD$53,E1569=$AB$54,$AD$54,E1569=$AB$55,$AD$55,E1569=$AB$56,$AD$56,E1569=$AB$57,$AD$57,E1569=$AB$58,$AD$58,E1569=$AB$59,$AD$59,E1569=$AB$60,$AD$60,E1569=$AB$61,$AD$61,E1569=$AB$62,$AD$62,E1569=$AB$63,$AD$63,E1569=$AB$64,$AD$64,E1569=$AB$65,$AD$65,E1569=$AB$66,$AD$66,TRUE,"0")</f>
        <v xml:space="preserve">  BANG</v>
      </c>
      <c r="E1569" s="2" t="s">
        <v>726</v>
      </c>
      <c r="F1569" s="2" t="s">
        <v>20</v>
      </c>
      <c r="G1569" s="2" t="s">
        <v>21</v>
      </c>
      <c r="H1569" s="3">
        <v>45429.822916666664</v>
      </c>
      <c r="I1569" s="2" t="s">
        <v>784</v>
      </c>
      <c r="J1569" s="2" t="s">
        <v>22</v>
      </c>
      <c r="K1569" s="2">
        <v>80</v>
      </c>
      <c r="L1569" s="2">
        <v>20</v>
      </c>
      <c r="M1569" s="2">
        <v>1.95</v>
      </c>
      <c r="N1569" s="2">
        <v>61</v>
      </c>
      <c r="O1569" s="2"/>
      <c r="P1569" s="2"/>
      <c r="Q1569" s="2" t="s">
        <v>95</v>
      </c>
      <c r="R1569" s="10" t="s">
        <v>222</v>
      </c>
      <c r="S1569" s="10" t="s">
        <v>210</v>
      </c>
      <c r="T1569" s="188">
        <v>1000</v>
      </c>
      <c r="U1569" s="8">
        <f t="shared" si="171"/>
        <v>180</v>
      </c>
      <c r="V1569" s="234">
        <f t="shared" si="173"/>
        <v>165064.15524616028</v>
      </c>
      <c r="W1569" s="15">
        <v>25</v>
      </c>
      <c r="X1569" s="8">
        <f t="shared" ref="X1569:X1632" si="174">IF(Q1569="won",W1569*0.18,-W1569)</f>
        <v>4.5</v>
      </c>
      <c r="Y1569" s="233">
        <f t="shared" si="168"/>
        <v>5992.5</v>
      </c>
    </row>
    <row r="1570" spans="1:25">
      <c r="A1570" s="156" t="e" cm="1">
        <f t="array" aca="1" ref="A1570" ca="1">_xlfn.IFS(E1570=$AB$42,$AC$42,E1570=$AB$43,$AC$43,E1570=$AB$44,$AC$44,E1570=$AB$45,$AC$45,E1570=$AB$46,$AC$46,E1570=$AB$47,$AC$47,E1570=$AB$48,$AC$48,E1570=$AB$49,$AC$49,E1570=$AB$50,$AC$50,E1570=$AB$51,$AC$51,E1570=$AB$52,$AC$52,E1570=$AB$53,$AC$53,E1570=$AB$54,$AC$54,E1570=$AB$55,$AC$55,E1570=$AB$56,$AC$56,E1570=$AB$57,$AC$57,E1570=$AB$58,$AC$58,E1570=$AB$59,$AC$59,E1570=$AB$60,$AC$60,E1570=$AB$61,$AC$61,E1570=$AB$62,$AC$62,E1570=$AB$63,$AC$63,E1570=$AB$64,$AC$64,E1570=$AB$65,$AC$65,E1570=$AB$66,$AC$66,TRUE,"0")</f>
        <v>#NAME?</v>
      </c>
      <c r="C1570" s="161" t="str" cm="1">
        <f t="array" ref="C1570">_xlfn.IFS(E1570=$AB$42,$AF$42,E1570=$AB$43,$AF$43,E1570=$AB$44,$AF$44,E1570=$AB$45,$AF$45,E1570=$AB$46,$AF$46,E1570=$AB$47,$AF$47,E1570=$AB$48,$AF$48,E1570=$AB$49,$AF$49,E1570=$AB$50,$AF$50,E1570=$AB$51,$AF$51,E1570=$AB$52,$AF$52,E1570=$AB$53,$AF$53,E1570=$AB$54,$AF$54,E1570=$AB$55,$AF$55,E1570=$AB$56,$AF$56,E1570=$AB$57,$AF$57,E1570=$AB$58,$AF$58,E1570=$AB$59,$AF$59,E1570=$AB$60,$AF$60,E1570=$AB$61,$AF$61,E1570=$AB$62,$AF$62,E1570=$AB$63,$AF$63,E1570=$AB$64,$AF$64,E1570=$AB$65,$AF$65,E1570=$AB$66,$AF$66,TRUE,"0")</f>
        <v>B4 match BACK FT +1.5 goals. X AFTER  GOAL</v>
      </c>
      <c r="D1570" s="270" t="str" cm="1">
        <f t="array" ref="D1570">_xlfn.IFS(E1570=$AB$42,$AD$42,E1570=$AB$43,$AD$43,E1570=$AB$44,$AD$44,E1570=$AB$45,$AD$45,E1570=$AB$46,$AD$46,E1570=$AB$47,$AD$47,E1570=$AB$48,$AD$48,E1570=$AB$49,$AD$49,E1570=$AB$50,$AD$50,E1570=$AB$51,$AD$51,E1570=$AB$52,$AD$52,E1570=$AB$53,$AD$53,E1570=$AB$54,$AD$54,E1570=$AB$55,$AD$55,E1570=$AB$56,$AD$56,E1570=$AB$57,$AD$57,E1570=$AB$58,$AD$58,E1570=$AB$59,$AD$59,E1570=$AB$60,$AD$60,E1570=$AB$61,$AD$61,E1570=$AB$62,$AD$62,E1570=$AB$63,$AD$63,E1570=$AB$64,$AD$64,E1570=$AB$65,$AD$65,E1570=$AB$66,$AD$66,TRUE,"0")</f>
        <v xml:space="preserve">BFM </v>
      </c>
      <c r="E1570" s="2" t="s">
        <v>531</v>
      </c>
      <c r="F1570" s="2" t="s">
        <v>145</v>
      </c>
      <c r="G1570" s="2" t="s">
        <v>268</v>
      </c>
      <c r="H1570" s="3">
        <v>45429.822916666664</v>
      </c>
      <c r="I1570" s="2" t="s">
        <v>848</v>
      </c>
      <c r="J1570" s="2" t="s">
        <v>849</v>
      </c>
      <c r="K1570" s="2">
        <v>5.3</v>
      </c>
      <c r="L1570" s="2">
        <v>36</v>
      </c>
      <c r="M1570" s="2">
        <v>2.39</v>
      </c>
      <c r="N1570" s="2">
        <v>35</v>
      </c>
      <c r="O1570" s="2">
        <v>2</v>
      </c>
      <c r="P1570" s="2">
        <v>18</v>
      </c>
      <c r="Q1570" s="2" t="s">
        <v>95</v>
      </c>
      <c r="R1570" s="10" t="s">
        <v>221</v>
      </c>
      <c r="S1570" s="10" t="s">
        <v>222</v>
      </c>
      <c r="T1570" s="188">
        <v>1000</v>
      </c>
      <c r="U1570" s="8">
        <f t="shared" si="171"/>
        <v>180</v>
      </c>
      <c r="V1570" s="234">
        <f t="shared" si="173"/>
        <v>165244.15524616028</v>
      </c>
      <c r="W1570" s="15">
        <v>25</v>
      </c>
      <c r="X1570" s="8">
        <f t="shared" si="174"/>
        <v>4.5</v>
      </c>
      <c r="Y1570" s="233">
        <f t="shared" si="168"/>
        <v>5997</v>
      </c>
    </row>
    <row r="1571" spans="1:25">
      <c r="A1571" s="156" t="e" cm="1">
        <f t="array" aca="1" ref="A1571" ca="1">_xlfn.IFS(E1571=$AB$42,$AC$42,E1571=$AB$43,$AC$43,E1571=$AB$44,$AC$44,E1571=$AB$45,$AC$45,E1571=$AB$46,$AC$46,E1571=$AB$47,$AC$47,E1571=$AB$48,$AC$48,E1571=$AB$49,$AC$49,E1571=$AB$50,$AC$50,E1571=$AB$51,$AC$51,E1571=$AB$52,$AC$52,E1571=$AB$53,$AC$53,E1571=$AB$54,$AC$54,E1571=$AB$55,$AC$55,E1571=$AB$56,$AC$56,E1571=$AB$57,$AC$57,E1571=$AB$58,$AC$58,E1571=$AB$59,$AC$59,E1571=$AB$60,$AC$60,E1571=$AB$61,$AC$61,E1571=$AB$62,$AC$62,E1571=$AB$63,$AC$63,E1571=$AB$64,$AC$64,E1571=$AB$65,$AC$65,E1571=$AB$66,$AC$66,TRUE,"0")</f>
        <v>#NAME?</v>
      </c>
      <c r="C1571" s="161" t="str" cm="1">
        <f t="array" ref="C1571">_xlfn.IFS(E1571=$AB$42,$AF$42,E1571=$AB$43,$AF$43,E1571=$AB$44,$AF$44,E1571=$AB$45,$AF$45,E1571=$AB$46,$AF$46,E1571=$AB$47,$AF$47,E1571=$AB$48,$AF$48,E1571=$AB$49,$AF$49,E1571=$AB$50,$AF$50,E1571=$AB$51,$AF$51,E1571=$AB$52,$AF$52,E1571=$AB$53,$AF$53,E1571=$AB$54,$AF$54,E1571=$AB$55,$AF$55,E1571=$AB$56,$AF$56,E1571=$AB$57,$AF$57,E1571=$AB$58,$AF$58,E1571=$AB$59,$AF$59,E1571=$AB$60,$AF$60,E1571=$AB$61,$AF$61,E1571=$AB$62,$AF$62,E1571=$AB$63,$AF$63,E1571=$AB$64,$AF$64,E1571=$AB$65,$AF$65,E1571=$AB$66,$AF$66,TRUE,"0")</f>
        <v>AT HT IF 0-0 BACK +0.5 GOALS</v>
      </c>
      <c r="D1571" s="270" t="str" cm="1">
        <f t="array" ref="D1571">_xlfn.IFS(E1571=$AB$42,$AD$42,E1571=$AB$43,$AD$43,E1571=$AB$44,$AD$44,E1571=$AB$45,$AD$45,E1571=$AB$46,$AD$46,E1571=$AB$47,$AD$47,E1571=$AB$48,$AD$48,E1571=$AB$49,$AD$49,E1571=$AB$50,$AD$50,E1571=$AB$51,$AD$51,E1571=$AB$52,$AD$52,E1571=$AB$53,$AD$53,E1571=$AB$54,$AD$54,E1571=$AB$55,$AD$55,E1571=$AB$56,$AD$56,E1571=$AB$57,$AD$57,E1571=$AB$58,$AD$58,E1571=$AB$59,$AD$59,E1571=$AB$60,$AD$60,E1571=$AB$61,$AD$61,E1571=$AB$62,$AD$62,E1571=$AB$63,$AD$63,E1571=$AB$64,$AD$64,E1571=$AB$65,$AD$65,E1571=$AB$66,$AD$66,TRUE,"0")</f>
        <v>IP</v>
      </c>
      <c r="E1571" s="2" t="s">
        <v>514</v>
      </c>
      <c r="F1571" s="2" t="s">
        <v>145</v>
      </c>
      <c r="G1571" s="2" t="s">
        <v>268</v>
      </c>
      <c r="H1571" s="3">
        <v>45429.822916666664</v>
      </c>
      <c r="I1571" s="2" t="s">
        <v>848</v>
      </c>
      <c r="J1571" s="2" t="s">
        <v>849</v>
      </c>
      <c r="K1571" s="2">
        <v>48</v>
      </c>
      <c r="L1571" s="2">
        <v>5.3</v>
      </c>
      <c r="M1571" s="2">
        <v>280</v>
      </c>
      <c r="N1571" s="2">
        <v>20</v>
      </c>
      <c r="O1571" s="2">
        <v>10</v>
      </c>
      <c r="P1571" s="2">
        <v>36</v>
      </c>
      <c r="Q1571" s="2" t="s">
        <v>95</v>
      </c>
      <c r="R1571" s="10" t="s">
        <v>221</v>
      </c>
      <c r="S1571" s="10" t="s">
        <v>222</v>
      </c>
      <c r="T1571" s="188">
        <v>1000</v>
      </c>
      <c r="U1571" s="8">
        <f t="shared" si="171"/>
        <v>180</v>
      </c>
      <c r="V1571" s="234">
        <f t="shared" ref="V1571:V1593" si="175">SUM(V1570,U1571)</f>
        <v>165424.15524616028</v>
      </c>
      <c r="W1571" s="15">
        <v>25</v>
      </c>
      <c r="X1571" s="8">
        <f t="shared" si="174"/>
        <v>4.5</v>
      </c>
      <c r="Y1571" s="233">
        <f t="shared" si="168"/>
        <v>6001.5</v>
      </c>
    </row>
    <row r="1572" spans="1:25">
      <c r="A1572" s="156" t="e" cm="1">
        <f t="array" aca="1" ref="A1572" ca="1">_xlfn.IFS(E1572=$AB$42,$AC$42,E1572=$AB$43,$AC$43,E1572=$AB$44,$AC$44,E1572=$AB$45,$AC$45,E1572=$AB$46,$AC$46,E1572=$AB$47,$AC$47,E1572=$AB$48,$AC$48,E1572=$AB$49,$AC$49,E1572=$AB$50,$AC$50,E1572=$AB$51,$AC$51,E1572=$AB$52,$AC$52,E1572=$AB$53,$AC$53,E1572=$AB$54,$AC$54,E1572=$AB$55,$AC$55,E1572=$AB$56,$AC$56,E1572=$AB$57,$AC$57,E1572=$AB$58,$AC$58,E1572=$AB$59,$AC$59,E1572=$AB$60,$AC$60,E1572=$AB$61,$AC$61,E1572=$AB$62,$AC$62,E1572=$AB$63,$AC$63,E1572=$AB$64,$AC$64,E1572=$AB$65,$AC$65,E1572=$AB$66,$AC$66,TRUE,"0")</f>
        <v>#NAME?</v>
      </c>
      <c r="C1572" s="161" t="str" cm="1">
        <f t="array" ref="C1572">_xlfn.IFS(E1572=$AB$42,$AF$42,E1572=$AB$43,$AF$43,E1572=$AB$44,$AF$44,E1572=$AB$45,$AF$45,E1572=$AB$46,$AF$46,E1572=$AB$47,$AF$47,E1572=$AB$48,$AF$48,E1572=$AB$49,$AF$49,E1572=$AB$50,$AF$50,E1572=$AB$51,$AF$51,E1572=$AB$52,$AF$52,E1572=$AB$53,$AF$53,E1572=$AB$54,$AF$54,E1572=$AB$55,$AF$55,E1572=$AB$56,$AF$56,E1572=$AB$57,$AF$57,E1572=$AB$58,$AF$58,E1572=$AB$59,$AF$59,E1572=$AB$60,$AF$60,E1572=$AB$61,$AF$61,E1572=$AB$62,$AF$62,E1572=$AB$63,$AF$63,E1572=$AB$64,$AF$64,E1572=$AB$65,$AF$65,E1572=$AB$66,$AF$66,TRUE,"0")</f>
        <v>B4 match BACK FT +1.5 goals. X AFTER  GOAL</v>
      </c>
      <c r="D1572" s="270" t="str" cm="1">
        <f t="array" ref="D1572">_xlfn.IFS(E1572=$AB$42,$AD$42,E1572=$AB$43,$AD$43,E1572=$AB$44,$AD$44,E1572=$AB$45,$AD$45,E1572=$AB$46,$AD$46,E1572=$AB$47,$AD$47,E1572=$AB$48,$AD$48,E1572=$AB$49,$AD$49,E1572=$AB$50,$AD$50,E1572=$AB$51,$AD$51,E1572=$AB$52,$AD$52,E1572=$AB$53,$AD$53,E1572=$AB$54,$AD$54,E1572=$AB$55,$AD$55,E1572=$AB$56,$AD$56,E1572=$AB$57,$AD$57,E1572=$AB$58,$AD$58,E1572=$AB$59,$AD$59,E1572=$AB$60,$AD$60,E1572=$AB$61,$AD$61,E1572=$AB$62,$AD$62,E1572=$AB$63,$AD$63,E1572=$AB$64,$AD$64,E1572=$AB$65,$AD$65,E1572=$AB$66,$AD$66,TRUE,"0")</f>
        <v xml:space="preserve">BFM </v>
      </c>
      <c r="E1572" s="2" t="s">
        <v>531</v>
      </c>
      <c r="F1572" s="2" t="s">
        <v>58</v>
      </c>
      <c r="G1572" s="2" t="s">
        <v>59</v>
      </c>
      <c r="H1572" s="3">
        <v>45429.864583333336</v>
      </c>
      <c r="I1572" s="2" t="s">
        <v>127</v>
      </c>
      <c r="J1572" s="2" t="s">
        <v>60</v>
      </c>
      <c r="K1572" s="2">
        <v>4.3</v>
      </c>
      <c r="L1572" s="2">
        <v>32</v>
      </c>
      <c r="M1572" s="2">
        <v>2.84</v>
      </c>
      <c r="N1572" s="2">
        <v>37</v>
      </c>
      <c r="O1572" s="2">
        <v>2</v>
      </c>
      <c r="P1572" s="2">
        <v>16</v>
      </c>
      <c r="Q1572" s="2" t="s">
        <v>95</v>
      </c>
      <c r="R1572" s="10" t="s">
        <v>193</v>
      </c>
      <c r="S1572" s="10" t="s">
        <v>216</v>
      </c>
      <c r="T1572" s="188">
        <v>1000</v>
      </c>
      <c r="U1572" s="8">
        <f t="shared" si="171"/>
        <v>180</v>
      </c>
      <c r="V1572" s="234">
        <f t="shared" si="175"/>
        <v>165604.15524616028</v>
      </c>
      <c r="W1572" s="15">
        <v>25</v>
      </c>
      <c r="X1572" s="8">
        <f t="shared" si="174"/>
        <v>4.5</v>
      </c>
      <c r="Y1572" s="233">
        <f t="shared" si="168"/>
        <v>6006</v>
      </c>
    </row>
    <row r="1573" spans="1:25">
      <c r="A1573" s="156" t="e" cm="1">
        <f t="array" aca="1" ref="A1573" ca="1">_xlfn.IFS(E1573=$AB$42,$AC$42,E1573=$AB$43,$AC$43,E1573=$AB$44,$AC$44,E1573=$AB$45,$AC$45,E1573=$AB$46,$AC$46,E1573=$AB$47,$AC$47,E1573=$AB$48,$AC$48,E1573=$AB$49,$AC$49,E1573=$AB$50,$AC$50,E1573=$AB$51,$AC$51,E1573=$AB$52,$AC$52,E1573=$AB$53,$AC$53,E1573=$AB$54,$AC$54,E1573=$AB$55,$AC$55,E1573=$AB$56,$AC$56,E1573=$AB$57,$AC$57,E1573=$AB$58,$AC$58,E1573=$AB$59,$AC$59,E1573=$AB$60,$AC$60,E1573=$AB$61,$AC$61,E1573=$AB$62,$AC$62,E1573=$AB$63,$AC$63,E1573=$AB$64,$AC$64,E1573=$AB$65,$AC$65,E1573=$AB$66,$AC$66,TRUE,"0")</f>
        <v>#NAME?</v>
      </c>
      <c r="C1573" s="161" t="str" cm="1">
        <f t="array" ref="C1573">_xlfn.IFS(E1573=$AB$42,$AF$42,E1573=$AB$43,$AF$43,E1573=$AB$44,$AF$44,E1573=$AB$45,$AF$45,E1573=$AB$46,$AF$46,E1573=$AB$47,$AF$47,E1573=$AB$48,$AF$48,E1573=$AB$49,$AF$49,E1573=$AB$50,$AF$50,E1573=$AB$51,$AF$51,E1573=$AB$52,$AF$52,E1573=$AB$53,$AF$53,E1573=$AB$54,$AF$54,E1573=$AB$55,$AF$55,E1573=$AB$56,$AF$56,E1573=$AB$57,$AF$57,E1573=$AB$58,$AF$58,E1573=$AB$59,$AF$59,E1573=$AB$60,$AF$60,E1573=$AB$61,$AF$61,E1573=$AB$62,$AF$62,E1573=$AB$63,$AF$63,E1573=$AB$64,$AF$64,E1573=$AB$65,$AF$65,E1573=$AB$66,$AF$66,TRUE,"0")</f>
        <v>40 mins Back ANother Goal</v>
      </c>
      <c r="D1573" s="270" t="str" cm="1">
        <f t="array" ref="D1573">_xlfn.IFS(E1573=$AB$42,$AD$42,E1573=$AB$43,$AD$43,E1573=$AB$44,$AD$44,E1573=$AB$45,$AD$45,E1573=$AB$46,$AD$46,E1573=$AB$47,$AD$47,E1573=$AB$48,$AD$48,E1573=$AB$49,$AD$49,E1573=$AB$50,$AD$50,E1573=$AB$51,$AD$51,E1573=$AB$52,$AD$52,E1573=$AB$53,$AD$53,E1573=$AB$54,$AD$54,E1573=$AB$55,$AD$55,E1573=$AB$56,$AD$56,E1573=$AB$57,$AD$57,E1573=$AB$58,$AD$58,E1573=$AB$59,$AD$59,E1573=$AB$60,$AD$60,E1573=$AB$61,$AD$61,E1573=$AB$62,$AD$62,E1573=$AB$63,$AD$63,E1573=$AB$64,$AD$64,E1573=$AB$65,$AD$65,E1573=$AB$66,$AD$66,TRUE,"0")</f>
        <v xml:space="preserve">  BANG</v>
      </c>
      <c r="E1573" s="2" t="s">
        <v>726</v>
      </c>
      <c r="F1573" s="2" t="s">
        <v>77</v>
      </c>
      <c r="G1573" s="2" t="s">
        <v>251</v>
      </c>
      <c r="H1573" s="3">
        <v>45430.520833333336</v>
      </c>
      <c r="I1573" s="2" t="s">
        <v>605</v>
      </c>
      <c r="J1573" s="2" t="s">
        <v>259</v>
      </c>
      <c r="K1573" s="2">
        <v>90</v>
      </c>
      <c r="L1573" s="2">
        <v>20</v>
      </c>
      <c r="M1573" s="2">
        <v>1.85</v>
      </c>
      <c r="N1573" s="2">
        <v>63</v>
      </c>
      <c r="O1573" s="2"/>
      <c r="P1573" s="2"/>
      <c r="Q1573" s="2" t="s">
        <v>95</v>
      </c>
      <c r="R1573" s="10" t="s">
        <v>214</v>
      </c>
      <c r="S1573" s="10" t="s">
        <v>220</v>
      </c>
      <c r="T1573" s="188">
        <v>1000</v>
      </c>
      <c r="U1573" s="8">
        <f t="shared" si="171"/>
        <v>180</v>
      </c>
      <c r="V1573" s="234">
        <f t="shared" si="175"/>
        <v>165784.15524616028</v>
      </c>
      <c r="W1573" s="15">
        <v>25</v>
      </c>
      <c r="X1573" s="8">
        <f t="shared" si="174"/>
        <v>4.5</v>
      </c>
      <c r="Y1573" s="233">
        <f t="shared" ref="Y1573:Y1636" si="176">SUM(Y1572,X1573)</f>
        <v>6010.5</v>
      </c>
    </row>
    <row r="1574" spans="1:25">
      <c r="A1574" s="156" t="e" cm="1">
        <f t="array" aca="1" ref="A1574" ca="1">_xlfn.IFS(E1574=$AB$42,$AC$42,E1574=$AB$43,$AC$43,E1574=$AB$44,$AC$44,E1574=$AB$45,$AC$45,E1574=$AB$46,$AC$46,E1574=$AB$47,$AC$47,E1574=$AB$48,$AC$48,E1574=$AB$49,$AC$49,E1574=$AB$50,$AC$50,E1574=$AB$51,$AC$51,E1574=$AB$52,$AC$52,E1574=$AB$53,$AC$53,E1574=$AB$54,$AC$54,E1574=$AB$55,$AC$55,E1574=$AB$56,$AC$56,E1574=$AB$57,$AC$57,E1574=$AB$58,$AC$58,E1574=$AB$59,$AC$59,E1574=$AB$60,$AC$60,E1574=$AB$61,$AC$61,E1574=$AB$62,$AC$62,E1574=$AB$63,$AC$63,E1574=$AB$64,$AC$64,E1574=$AB$65,$AC$65,E1574=$AB$66,$AC$66,TRUE,"0")</f>
        <v>#NAME?</v>
      </c>
      <c r="C1574" s="161" t="str" cm="1">
        <f t="array" ref="C1574">_xlfn.IFS(E1574=$AB$42,$AF$42,E1574=$AB$43,$AF$43,E1574=$AB$44,$AF$44,E1574=$AB$45,$AF$45,E1574=$AB$46,$AF$46,E1574=$AB$47,$AF$47,E1574=$AB$48,$AF$48,E1574=$AB$49,$AF$49,E1574=$AB$50,$AF$50,E1574=$AB$51,$AF$51,E1574=$AB$52,$AF$52,E1574=$AB$53,$AF$53,E1574=$AB$54,$AF$54,E1574=$AB$55,$AF$55,E1574=$AB$56,$AF$56,E1574=$AB$57,$AF$57,E1574=$AB$58,$AF$58,E1574=$AB$59,$AF$59,E1574=$AB$60,$AF$60,E1574=$AB$61,$AF$61,E1574=$AB$62,$AF$62,E1574=$AB$63,$AF$63,E1574=$AB$64,$AF$64,E1574=$AB$65,$AF$65,E1574=$AB$66,$AF$66,TRUE,"0")</f>
        <v>40 mins Back ANother Goal</v>
      </c>
      <c r="D1574" s="270" t="str" cm="1">
        <f t="array" ref="D1574">_xlfn.IFS(E1574=$AB$42,$AD$42,E1574=$AB$43,$AD$43,E1574=$AB$44,$AD$44,E1574=$AB$45,$AD$45,E1574=$AB$46,$AD$46,E1574=$AB$47,$AD$47,E1574=$AB$48,$AD$48,E1574=$AB$49,$AD$49,E1574=$AB$50,$AD$50,E1574=$AB$51,$AD$51,E1574=$AB$52,$AD$52,E1574=$AB$53,$AD$53,E1574=$AB$54,$AD$54,E1574=$AB$55,$AD$55,E1574=$AB$56,$AD$56,E1574=$AB$57,$AD$57,E1574=$AB$58,$AD$58,E1574=$AB$59,$AD$59,E1574=$AB$60,$AD$60,E1574=$AB$61,$AD$61,E1574=$AB$62,$AD$62,E1574=$AB$63,$AD$63,E1574=$AB$64,$AD$64,E1574=$AB$65,$AD$65,E1574=$AB$66,$AD$66,TRUE,"0")</f>
        <v xml:space="preserve">  BANG</v>
      </c>
      <c r="E1574" s="2" t="s">
        <v>519</v>
      </c>
      <c r="F1574" s="2" t="s">
        <v>77</v>
      </c>
      <c r="G1574" s="2" t="s">
        <v>251</v>
      </c>
      <c r="H1574" s="3">
        <v>45430.520833333336</v>
      </c>
      <c r="I1574" s="2" t="s">
        <v>605</v>
      </c>
      <c r="J1574" s="2" t="s">
        <v>259</v>
      </c>
      <c r="K1574" s="2">
        <v>20</v>
      </c>
      <c r="L1574" s="2">
        <v>90</v>
      </c>
      <c r="M1574" s="2">
        <v>90</v>
      </c>
      <c r="N1574" s="2"/>
      <c r="O1574" s="2"/>
      <c r="P1574" s="2"/>
      <c r="Q1574" s="2" t="s">
        <v>95</v>
      </c>
      <c r="R1574" s="10" t="s">
        <v>214</v>
      </c>
      <c r="S1574" s="10" t="s">
        <v>220</v>
      </c>
      <c r="T1574" s="188">
        <v>1000</v>
      </c>
      <c r="U1574" s="8">
        <f t="shared" si="171"/>
        <v>180</v>
      </c>
      <c r="V1574" s="234">
        <f t="shared" si="175"/>
        <v>165964.15524616028</v>
      </c>
      <c r="W1574" s="15">
        <v>25</v>
      </c>
      <c r="X1574" s="8">
        <f t="shared" si="174"/>
        <v>4.5</v>
      </c>
      <c r="Y1574" s="233">
        <f t="shared" si="176"/>
        <v>6015</v>
      </c>
    </row>
    <row r="1575" spans="1:25">
      <c r="A1575" s="156" t="e" cm="1">
        <f t="array" aca="1" ref="A1575" ca="1">_xlfn.IFS(E1575=$AB$42,$AC$42,E1575=$AB$43,$AC$43,E1575=$AB$44,$AC$44,E1575=$AB$45,$AC$45,E1575=$AB$46,$AC$46,E1575=$AB$47,$AC$47,E1575=$AB$48,$AC$48,E1575=$AB$49,$AC$49,E1575=$AB$50,$AC$50,E1575=$AB$51,$AC$51,E1575=$AB$52,$AC$52,E1575=$AB$53,$AC$53,E1575=$AB$54,$AC$54,E1575=$AB$55,$AC$55,E1575=$AB$56,$AC$56,E1575=$AB$57,$AC$57,E1575=$AB$58,$AC$58,E1575=$AB$59,$AC$59,E1575=$AB$60,$AC$60,E1575=$AB$61,$AC$61,E1575=$AB$62,$AC$62,E1575=$AB$63,$AC$63,E1575=$AB$64,$AC$64,E1575=$AB$65,$AC$65,E1575=$AB$66,$AC$66,TRUE,"0")</f>
        <v>#NAME?</v>
      </c>
      <c r="C1575" s="161" t="str" cm="1">
        <f t="array" ref="C1575">_xlfn.IFS(E1575=$AB$42,$AF$42,E1575=$AB$43,$AF$43,E1575=$AB$44,$AF$44,E1575=$AB$45,$AF$45,E1575=$AB$46,$AF$46,E1575=$AB$47,$AF$47,E1575=$AB$48,$AF$48,E1575=$AB$49,$AF$49,E1575=$AB$50,$AF$50,E1575=$AB$51,$AF$51,E1575=$AB$52,$AF$52,E1575=$AB$53,$AF$53,E1575=$AB$54,$AF$54,E1575=$AB$55,$AF$55,E1575=$AB$56,$AF$56,E1575=$AB$57,$AF$57,E1575=$AB$58,$AF$58,E1575=$AB$59,$AF$59,E1575=$AB$60,$AF$60,E1575=$AB$61,$AF$61,E1575=$AB$62,$AF$62,E1575=$AB$63,$AF$63,E1575=$AB$64,$AF$64,E1575=$AB$65,$AF$65,E1575=$AB$66,$AF$66,TRUE,"0")</f>
        <v>B4 match BACK FT +1.5 goals. X AFTER  GOAL</v>
      </c>
      <c r="D1575" s="270" t="str" cm="1">
        <f t="array" ref="D1575">_xlfn.IFS(E1575=$AB$42,$AD$42,E1575=$AB$43,$AD$43,E1575=$AB$44,$AD$44,E1575=$AB$45,$AD$45,E1575=$AB$46,$AD$46,E1575=$AB$47,$AD$47,E1575=$AB$48,$AD$48,E1575=$AB$49,$AD$49,E1575=$AB$50,$AD$50,E1575=$AB$51,$AD$51,E1575=$AB$52,$AD$52,E1575=$AB$53,$AD$53,E1575=$AB$54,$AD$54,E1575=$AB$55,$AD$55,E1575=$AB$56,$AD$56,E1575=$AB$57,$AD$57,E1575=$AB$58,$AD$58,E1575=$AB$59,$AD$59,E1575=$AB$60,$AD$60,E1575=$AB$61,$AD$61,E1575=$AB$62,$AD$62,E1575=$AB$63,$AD$63,E1575=$AB$64,$AD$64,E1575=$AB$65,$AD$65,E1575=$AB$66,$AD$66,TRUE,"0")</f>
        <v xml:space="preserve">BFM </v>
      </c>
      <c r="E1575" s="2" t="s">
        <v>623</v>
      </c>
      <c r="F1575" s="2" t="s">
        <v>13</v>
      </c>
      <c r="G1575" s="2" t="s">
        <v>37</v>
      </c>
      <c r="H1575" s="3">
        <v>45430.520833333336</v>
      </c>
      <c r="I1575" s="2" t="s">
        <v>99</v>
      </c>
      <c r="J1575" s="2" t="s">
        <v>351</v>
      </c>
      <c r="K1575" s="2">
        <v>2.8</v>
      </c>
      <c r="L1575" s="2">
        <v>20</v>
      </c>
      <c r="M1575" s="2">
        <v>2.95</v>
      </c>
      <c r="N1575" s="2">
        <v>29</v>
      </c>
      <c r="O1575" s="2">
        <v>1</v>
      </c>
      <c r="P1575" s="2">
        <v>10</v>
      </c>
      <c r="Q1575" s="2" t="s">
        <v>95</v>
      </c>
      <c r="R1575" s="10" t="s">
        <v>210</v>
      </c>
      <c r="S1575" s="10" t="s">
        <v>209</v>
      </c>
      <c r="T1575" s="188">
        <v>1000</v>
      </c>
      <c r="U1575" s="8">
        <f t="shared" si="171"/>
        <v>180</v>
      </c>
      <c r="V1575" s="234">
        <f t="shared" si="175"/>
        <v>166144.15524616028</v>
      </c>
      <c r="W1575" s="15">
        <v>25</v>
      </c>
      <c r="X1575" s="8">
        <f t="shared" si="174"/>
        <v>4.5</v>
      </c>
      <c r="Y1575" s="233">
        <f t="shared" si="176"/>
        <v>6019.5</v>
      </c>
    </row>
    <row r="1576" spans="1:25">
      <c r="A1576" s="156" t="e" cm="1">
        <f t="array" aca="1" ref="A1576" ca="1">_xlfn.IFS(E1576=$AB$42,$AC$42,E1576=$AB$43,$AC$43,E1576=$AB$44,$AC$44,E1576=$AB$45,$AC$45,E1576=$AB$46,$AC$46,E1576=$AB$47,$AC$47,E1576=$AB$48,$AC$48,E1576=$AB$49,$AC$49,E1576=$AB$50,$AC$50,E1576=$AB$51,$AC$51,E1576=$AB$52,$AC$52,E1576=$AB$53,$AC$53,E1576=$AB$54,$AC$54,E1576=$AB$55,$AC$55,E1576=$AB$56,$AC$56,E1576=$AB$57,$AC$57,E1576=$AB$58,$AC$58,E1576=$AB$59,$AC$59,E1576=$AB$60,$AC$60,E1576=$AB$61,$AC$61,E1576=$AB$62,$AC$62,E1576=$AB$63,$AC$63,E1576=$AB$64,$AC$64,E1576=$AB$65,$AC$65,E1576=$AB$66,$AC$66,TRUE,"0")</f>
        <v>#NAME?</v>
      </c>
      <c r="C1576" s="161" t="str" cm="1">
        <f t="array" ref="C1576">_xlfn.IFS(E1576=$AB$42,$AF$42,E1576=$AB$43,$AF$43,E1576=$AB$44,$AF$44,E1576=$AB$45,$AF$45,E1576=$AB$46,$AF$46,E1576=$AB$47,$AF$47,E1576=$AB$48,$AF$48,E1576=$AB$49,$AF$49,E1576=$AB$50,$AF$50,E1576=$AB$51,$AF$51,E1576=$AB$52,$AF$52,E1576=$AB$53,$AF$53,E1576=$AB$54,$AF$54,E1576=$AB$55,$AF$55,E1576=$AB$56,$AF$56,E1576=$AB$57,$AF$57,E1576=$AB$58,$AF$58,E1576=$AB$59,$AF$59,E1576=$AB$60,$AF$60,E1576=$AB$61,$AF$61,E1576=$AB$62,$AF$62,E1576=$AB$63,$AF$63,E1576=$AB$64,$AF$64,E1576=$AB$65,$AF$65,E1576=$AB$66,$AF$66,TRUE,"0")</f>
        <v>B4 match BACK FT +1.5 goals. X AFTER  GOAL</v>
      </c>
      <c r="D1576" s="270" t="str" cm="1">
        <f t="array" ref="D1576">_xlfn.IFS(E1576=$AB$42,$AD$42,E1576=$AB$43,$AD$43,E1576=$AB$44,$AD$44,E1576=$AB$45,$AD$45,E1576=$AB$46,$AD$46,E1576=$AB$47,$AD$47,E1576=$AB$48,$AD$48,E1576=$AB$49,$AD$49,E1576=$AB$50,$AD$50,E1576=$AB$51,$AD$51,E1576=$AB$52,$AD$52,E1576=$AB$53,$AD$53,E1576=$AB$54,$AD$54,E1576=$AB$55,$AD$55,E1576=$AB$56,$AD$56,E1576=$AB$57,$AD$57,E1576=$AB$58,$AD$58,E1576=$AB$59,$AD$59,E1576=$AB$60,$AD$60,E1576=$AB$61,$AD$61,E1576=$AB$62,$AD$62,E1576=$AB$63,$AD$63,E1576=$AB$64,$AD$64,E1576=$AB$65,$AD$65,E1576=$AB$66,$AD$66,TRUE,"0")</f>
        <v xml:space="preserve">BFM </v>
      </c>
      <c r="E1576" s="2" t="s">
        <v>531</v>
      </c>
      <c r="F1576" s="2" t="s">
        <v>13</v>
      </c>
      <c r="G1576" s="2" t="s">
        <v>37</v>
      </c>
      <c r="H1576" s="3">
        <v>45430.520833333336</v>
      </c>
      <c r="I1576" s="2" t="s">
        <v>305</v>
      </c>
      <c r="J1576" s="2" t="s">
        <v>79</v>
      </c>
      <c r="K1576" s="2">
        <v>5.3</v>
      </c>
      <c r="L1576" s="2">
        <v>36</v>
      </c>
      <c r="M1576" s="2">
        <v>2.4700000000000002</v>
      </c>
      <c r="N1576" s="2">
        <v>30</v>
      </c>
      <c r="O1576" s="2">
        <v>1</v>
      </c>
      <c r="P1576" s="2">
        <v>18</v>
      </c>
      <c r="Q1576" s="2" t="s">
        <v>95</v>
      </c>
      <c r="R1576" s="10" t="s">
        <v>214</v>
      </c>
      <c r="S1576" s="10" t="s">
        <v>279</v>
      </c>
      <c r="T1576" s="188">
        <v>1000</v>
      </c>
      <c r="U1576" s="8">
        <f t="shared" si="171"/>
        <v>180</v>
      </c>
      <c r="V1576" s="234">
        <f t="shared" si="175"/>
        <v>166324.15524616028</v>
      </c>
      <c r="W1576" s="15">
        <v>25</v>
      </c>
      <c r="X1576" s="8">
        <f t="shared" si="174"/>
        <v>4.5</v>
      </c>
      <c r="Y1576" s="233">
        <f t="shared" si="176"/>
        <v>6024</v>
      </c>
    </row>
    <row r="1577" spans="1:25">
      <c r="A1577" s="156" t="e" cm="1">
        <f t="array" aca="1" ref="A1577" ca="1">_xlfn.IFS(E1577=$AB$42,$AC$42,E1577=$AB$43,$AC$43,E1577=$AB$44,$AC$44,E1577=$AB$45,$AC$45,E1577=$AB$46,$AC$46,E1577=$AB$47,$AC$47,E1577=$AB$48,$AC$48,E1577=$AB$49,$AC$49,E1577=$AB$50,$AC$50,E1577=$AB$51,$AC$51,E1577=$AB$52,$AC$52,E1577=$AB$53,$AC$53,E1577=$AB$54,$AC$54,E1577=$AB$55,$AC$55,E1577=$AB$56,$AC$56,E1577=$AB$57,$AC$57,E1577=$AB$58,$AC$58,E1577=$AB$59,$AC$59,E1577=$AB$60,$AC$60,E1577=$AB$61,$AC$61,E1577=$AB$62,$AC$62,E1577=$AB$63,$AC$63,E1577=$AB$64,$AC$64,E1577=$AB$65,$AC$65,E1577=$AB$66,$AC$66,TRUE,"0")</f>
        <v>#NAME?</v>
      </c>
      <c r="C1577" s="161" t="str" cm="1">
        <f t="array" ref="C1577">_xlfn.IFS(E1577=$AB$42,$AF$42,E1577=$AB$43,$AF$43,E1577=$AB$44,$AF$44,E1577=$AB$45,$AF$45,E1577=$AB$46,$AF$46,E1577=$AB$47,$AF$47,E1577=$AB$48,$AF$48,E1577=$AB$49,$AF$49,E1577=$AB$50,$AF$50,E1577=$AB$51,$AF$51,E1577=$AB$52,$AF$52,E1577=$AB$53,$AF$53,E1577=$AB$54,$AF$54,E1577=$AB$55,$AF$55,E1577=$AB$56,$AF$56,E1577=$AB$57,$AF$57,E1577=$AB$58,$AF$58,E1577=$AB$59,$AF$59,E1577=$AB$60,$AF$60,E1577=$AB$61,$AF$61,E1577=$AB$62,$AF$62,E1577=$AB$63,$AF$63,E1577=$AB$64,$AF$64,E1577=$AB$65,$AF$65,E1577=$AB$66,$AF$66,TRUE,"0")</f>
        <v>10mins if  0-0, BACK over 1.5 goals X after goal OR LET RUN</v>
      </c>
      <c r="D1577" s="270" t="str" cm="1">
        <f t="array" ref="D1577">_xlfn.IFS(E1577=$AB$42,$AD$42,E1577=$AB$43,$AD$43,E1577=$AB$44,$AD$44,E1577=$AB$45,$AD$45,E1577=$AB$46,$AD$46,E1577=$AB$47,$AD$47,E1577=$AB$48,$AD$48,E1577=$AB$49,$AD$49,E1577=$AB$50,$AD$50,E1577=$AB$51,$AD$51,E1577=$AB$52,$AD$52,E1577=$AB$53,$AD$53,E1577=$AB$54,$AD$54,E1577=$AB$55,$AD$55,E1577=$AB$56,$AD$56,E1577=$AB$57,$AD$57,E1577=$AB$58,$AD$58,E1577=$AB$59,$AD$59,E1577=$AB$60,$AD$60,E1577=$AB$61,$AD$61,E1577=$AB$62,$AD$62,E1577=$AB$63,$AD$63,E1577=$AB$64,$AD$64,E1577=$AB$65,$AD$65,E1577=$AB$66,$AD$66,TRUE,"0")</f>
        <v>IP</v>
      </c>
      <c r="E1577" s="2" t="s">
        <v>498</v>
      </c>
      <c r="F1577" s="2" t="s">
        <v>13</v>
      </c>
      <c r="G1577" s="2" t="s">
        <v>37</v>
      </c>
      <c r="H1577" s="3">
        <v>45430.520833333336</v>
      </c>
      <c r="I1577" s="2" t="s">
        <v>305</v>
      </c>
      <c r="J1577" s="2" t="s">
        <v>79</v>
      </c>
      <c r="K1577" s="2">
        <v>65</v>
      </c>
      <c r="L1577" s="2">
        <v>90</v>
      </c>
      <c r="M1577" s="2">
        <v>1.4</v>
      </c>
      <c r="N1577" s="2">
        <v>20</v>
      </c>
      <c r="O1577" s="2"/>
      <c r="P1577" s="2"/>
      <c r="Q1577" s="2" t="s">
        <v>95</v>
      </c>
      <c r="R1577" s="10" t="s">
        <v>214</v>
      </c>
      <c r="S1577" s="10" t="s">
        <v>279</v>
      </c>
      <c r="T1577" s="188">
        <v>1000</v>
      </c>
      <c r="U1577" s="8">
        <f t="shared" si="171"/>
        <v>180</v>
      </c>
      <c r="V1577" s="234">
        <f t="shared" si="175"/>
        <v>166504.15524616028</v>
      </c>
      <c r="W1577" s="15">
        <v>25</v>
      </c>
      <c r="X1577" s="8">
        <f t="shared" si="174"/>
        <v>4.5</v>
      </c>
      <c r="Y1577" s="233">
        <f t="shared" si="176"/>
        <v>6028.5</v>
      </c>
    </row>
    <row r="1578" spans="1:25">
      <c r="A1578" s="156" t="e" cm="1">
        <f t="array" aca="1" ref="A1578" ca="1">_xlfn.IFS(E1578=$AB$42,$AC$42,E1578=$AB$43,$AC$43,E1578=$AB$44,$AC$44,E1578=$AB$45,$AC$45,E1578=$AB$46,$AC$46,E1578=$AB$47,$AC$47,E1578=$AB$48,$AC$48,E1578=$AB$49,$AC$49,E1578=$AB$50,$AC$50,E1578=$AB$51,$AC$51,E1578=$AB$52,$AC$52,E1578=$AB$53,$AC$53,E1578=$AB$54,$AC$54,E1578=$AB$55,$AC$55,E1578=$AB$56,$AC$56,E1578=$AB$57,$AC$57,E1578=$AB$58,$AC$58,E1578=$AB$59,$AC$59,E1578=$AB$60,$AC$60,E1578=$AB$61,$AC$61,E1578=$AB$62,$AC$62,E1578=$AB$63,$AC$63,E1578=$AB$64,$AC$64,E1578=$AB$65,$AC$65,E1578=$AB$66,$AC$66,TRUE,"0")</f>
        <v>#NAME?</v>
      </c>
      <c r="C1578" s="161" t="str" cm="1">
        <f t="array" ref="C1578">_xlfn.IFS(E1578=$AB$42,$AF$42,E1578=$AB$43,$AF$43,E1578=$AB$44,$AF$44,E1578=$AB$45,$AF$45,E1578=$AB$46,$AF$46,E1578=$AB$47,$AF$47,E1578=$AB$48,$AF$48,E1578=$AB$49,$AF$49,E1578=$AB$50,$AF$50,E1578=$AB$51,$AF$51,E1578=$AB$52,$AF$52,E1578=$AB$53,$AF$53,E1578=$AB$54,$AF$54,E1578=$AB$55,$AF$55,E1578=$AB$56,$AF$56,E1578=$AB$57,$AF$57,E1578=$AB$58,$AF$58,E1578=$AB$59,$AF$59,E1578=$AB$60,$AF$60,E1578=$AB$61,$AF$61,E1578=$AB$62,$AF$62,E1578=$AB$63,$AF$63,E1578=$AB$64,$AF$64,E1578=$AB$65,$AF$65,E1578=$AB$66,$AF$66,TRUE,"0")</f>
        <v>B4 match BACK FT +1.5 goals. X AFTER  GOAL</v>
      </c>
      <c r="D1578" s="270" t="str" cm="1">
        <f t="array" ref="D1578">_xlfn.IFS(E1578=$AB$42,$AD$42,E1578=$AB$43,$AD$43,E1578=$AB$44,$AD$44,E1578=$AB$45,$AD$45,E1578=$AB$46,$AD$46,E1578=$AB$47,$AD$47,E1578=$AB$48,$AD$48,E1578=$AB$49,$AD$49,E1578=$AB$50,$AD$50,E1578=$AB$51,$AD$51,E1578=$AB$52,$AD$52,E1578=$AB$53,$AD$53,E1578=$AB$54,$AD$54,E1578=$AB$55,$AD$55,E1578=$AB$56,$AD$56,E1578=$AB$57,$AD$57,E1578=$AB$58,$AD$58,E1578=$AB$59,$AD$59,E1578=$AB$60,$AD$60,E1578=$AB$61,$AD$61,E1578=$AB$62,$AD$62,E1578=$AB$63,$AD$63,E1578=$AB$64,$AD$64,E1578=$AB$65,$AD$65,E1578=$AB$66,$AD$66,TRUE,"0")</f>
        <v xml:space="preserve">BFM </v>
      </c>
      <c r="E1578" s="2" t="s">
        <v>623</v>
      </c>
      <c r="F1578" s="2" t="s">
        <v>77</v>
      </c>
      <c r="G1578" s="2" t="s">
        <v>251</v>
      </c>
      <c r="H1578" s="3">
        <v>45430.520833333336</v>
      </c>
      <c r="I1578" s="2" t="s">
        <v>252</v>
      </c>
      <c r="J1578" s="2" t="s">
        <v>814</v>
      </c>
      <c r="K1578" s="2">
        <v>3.35</v>
      </c>
      <c r="L1578" s="2">
        <v>20</v>
      </c>
      <c r="M1578" s="2">
        <v>2.95</v>
      </c>
      <c r="N1578" s="2">
        <v>30</v>
      </c>
      <c r="O1578" s="2">
        <v>1</v>
      </c>
      <c r="P1578" s="2">
        <v>10</v>
      </c>
      <c r="Q1578" s="2" t="s">
        <v>95</v>
      </c>
      <c r="R1578" s="10" t="s">
        <v>220</v>
      </c>
      <c r="S1578" s="10" t="s">
        <v>220</v>
      </c>
      <c r="T1578" s="188">
        <v>1000</v>
      </c>
      <c r="U1578" s="8">
        <f t="shared" si="171"/>
        <v>180</v>
      </c>
      <c r="V1578" s="234">
        <f t="shared" si="175"/>
        <v>166684.15524616028</v>
      </c>
      <c r="W1578" s="15">
        <v>25</v>
      </c>
      <c r="X1578" s="8">
        <f t="shared" si="174"/>
        <v>4.5</v>
      </c>
      <c r="Y1578" s="233">
        <f t="shared" si="176"/>
        <v>6033</v>
      </c>
    </row>
    <row r="1579" spans="1:25">
      <c r="A1579" s="156" t="e" cm="1">
        <f t="array" aca="1" ref="A1579" ca="1">_xlfn.IFS(E1579=$AB$42,$AC$42,E1579=$AB$43,$AC$43,E1579=$AB$44,$AC$44,E1579=$AB$45,$AC$45,E1579=$AB$46,$AC$46,E1579=$AB$47,$AC$47,E1579=$AB$48,$AC$48,E1579=$AB$49,$AC$49,E1579=$AB$50,$AC$50,E1579=$AB$51,$AC$51,E1579=$AB$52,$AC$52,E1579=$AB$53,$AC$53,E1579=$AB$54,$AC$54,E1579=$AB$55,$AC$55,E1579=$AB$56,$AC$56,E1579=$AB$57,$AC$57,E1579=$AB$58,$AC$58,E1579=$AB$59,$AC$59,E1579=$AB$60,$AC$60,E1579=$AB$61,$AC$61,E1579=$AB$62,$AC$62,E1579=$AB$63,$AC$63,E1579=$AB$64,$AC$64,E1579=$AB$65,$AC$65,E1579=$AB$66,$AC$66,TRUE,"0")</f>
        <v>#NAME?</v>
      </c>
      <c r="C1579" s="161" t="str" cm="1">
        <f t="array" ref="C1579">_xlfn.IFS(E1579=$AB$42,$AF$42,E1579=$AB$43,$AF$43,E1579=$AB$44,$AF$44,E1579=$AB$45,$AF$45,E1579=$AB$46,$AF$46,E1579=$AB$47,$AF$47,E1579=$AB$48,$AF$48,E1579=$AB$49,$AF$49,E1579=$AB$50,$AF$50,E1579=$AB$51,$AF$51,E1579=$AB$52,$AF$52,E1579=$AB$53,$AF$53,E1579=$AB$54,$AF$54,E1579=$AB$55,$AF$55,E1579=$AB$56,$AF$56,E1579=$AB$57,$AF$57,E1579=$AB$58,$AF$58,E1579=$AB$59,$AF$59,E1579=$AB$60,$AF$60,E1579=$AB$61,$AF$61,E1579=$AB$62,$AF$62,E1579=$AB$63,$AF$63,E1579=$AB$64,$AF$64,E1579=$AB$65,$AF$65,E1579=$AB$66,$AF$66,TRUE,"0")</f>
        <v>40 mins Back ANother Goal</v>
      </c>
      <c r="D1579" s="270" t="str" cm="1">
        <f t="array" ref="D1579">_xlfn.IFS(E1579=$AB$42,$AD$42,E1579=$AB$43,$AD$43,E1579=$AB$44,$AD$44,E1579=$AB$45,$AD$45,E1579=$AB$46,$AD$46,E1579=$AB$47,$AD$47,E1579=$AB$48,$AD$48,E1579=$AB$49,$AD$49,E1579=$AB$50,$AD$50,E1579=$AB$51,$AD$51,E1579=$AB$52,$AD$52,E1579=$AB$53,$AD$53,E1579=$AB$54,$AD$54,E1579=$AB$55,$AD$55,E1579=$AB$56,$AD$56,E1579=$AB$57,$AD$57,E1579=$AB$58,$AD$58,E1579=$AB$59,$AD$59,E1579=$AB$60,$AD$60,E1579=$AB$61,$AD$61,E1579=$AB$62,$AD$62,E1579=$AB$63,$AD$63,E1579=$AB$64,$AD$64,E1579=$AB$65,$AD$65,E1579=$AB$66,$AD$66,TRUE,"0")</f>
        <v xml:space="preserve">  BANG</v>
      </c>
      <c r="E1579" s="2" t="s">
        <v>726</v>
      </c>
      <c r="F1579" s="2" t="s">
        <v>77</v>
      </c>
      <c r="G1579" s="2" t="s">
        <v>251</v>
      </c>
      <c r="H1579" s="3">
        <v>45430.520833333336</v>
      </c>
      <c r="I1579" s="2" t="s">
        <v>815</v>
      </c>
      <c r="J1579" s="2" t="s">
        <v>707</v>
      </c>
      <c r="K1579" s="2">
        <v>80</v>
      </c>
      <c r="L1579" s="2">
        <v>20</v>
      </c>
      <c r="M1579" s="2">
        <v>1.9</v>
      </c>
      <c r="N1579" s="2">
        <v>61</v>
      </c>
      <c r="O1579" s="2"/>
      <c r="P1579" s="2"/>
      <c r="Q1579" s="2" t="s">
        <v>95</v>
      </c>
      <c r="R1579" s="10" t="s">
        <v>207</v>
      </c>
      <c r="S1579" s="10" t="s">
        <v>194</v>
      </c>
      <c r="T1579" s="188">
        <v>1000</v>
      </c>
      <c r="U1579" s="8">
        <f t="shared" si="171"/>
        <v>180</v>
      </c>
      <c r="V1579" s="234">
        <f t="shared" si="175"/>
        <v>166864.15524616028</v>
      </c>
      <c r="W1579" s="15">
        <v>25</v>
      </c>
      <c r="X1579" s="8">
        <f t="shared" si="174"/>
        <v>4.5</v>
      </c>
      <c r="Y1579" s="233">
        <f t="shared" si="176"/>
        <v>6037.5</v>
      </c>
    </row>
    <row r="1580" spans="1:25">
      <c r="A1580" s="156" t="e" cm="1">
        <f t="array" aca="1" ref="A1580" ca="1">_xlfn.IFS(E1580=$AB$42,$AC$42,E1580=$AB$43,$AC$43,E1580=$AB$44,$AC$44,E1580=$AB$45,$AC$45,E1580=$AB$46,$AC$46,E1580=$AB$47,$AC$47,E1580=$AB$48,$AC$48,E1580=$AB$49,$AC$49,E1580=$AB$50,$AC$50,E1580=$AB$51,$AC$51,E1580=$AB$52,$AC$52,E1580=$AB$53,$AC$53,E1580=$AB$54,$AC$54,E1580=$AB$55,$AC$55,E1580=$AB$56,$AC$56,E1580=$AB$57,$AC$57,E1580=$AB$58,$AC$58,E1580=$AB$59,$AC$59,E1580=$AB$60,$AC$60,E1580=$AB$61,$AC$61,E1580=$AB$62,$AC$62,E1580=$AB$63,$AC$63,E1580=$AB$64,$AC$64,E1580=$AB$65,$AC$65,E1580=$AB$66,$AC$66,TRUE,"0")</f>
        <v>#NAME?</v>
      </c>
      <c r="C1580" s="161" t="str" cm="1">
        <f t="array" ref="C1580">_xlfn.IFS(E1580=$AB$42,$AF$42,E1580=$AB$43,$AF$43,E1580=$AB$44,$AF$44,E1580=$AB$45,$AF$45,E1580=$AB$46,$AF$46,E1580=$AB$47,$AF$47,E1580=$AB$48,$AF$48,E1580=$AB$49,$AF$49,E1580=$AB$50,$AF$50,E1580=$AB$51,$AF$51,E1580=$AB$52,$AF$52,E1580=$AB$53,$AF$53,E1580=$AB$54,$AF$54,E1580=$AB$55,$AF$55,E1580=$AB$56,$AF$56,E1580=$AB$57,$AF$57,E1580=$AB$58,$AF$58,E1580=$AB$59,$AF$59,E1580=$AB$60,$AF$60,E1580=$AB$61,$AF$61,E1580=$AB$62,$AF$62,E1580=$AB$63,$AF$63,E1580=$AB$64,$AF$64,E1580=$AB$65,$AF$65,E1580=$AB$66,$AF$66,TRUE,"0")</f>
        <v>if 0-0, BACK+ 0.5 GOALS  @ 1.15+odds.  or @ 40 mins</v>
      </c>
      <c r="D1580" s="270" t="str" cm="1">
        <f t="array" ref="D1580">_xlfn.IFS(E1580=$AB$42,$AD$42,E1580=$AB$43,$AD$43,E1580=$AB$44,$AD$44,E1580=$AB$45,$AD$45,E1580=$AB$46,$AD$46,E1580=$AB$47,$AD$47,E1580=$AB$48,$AD$48,E1580=$AB$49,$AD$49,E1580=$AB$50,$AD$50,E1580=$AB$51,$AD$51,E1580=$AB$52,$AD$52,E1580=$AB$53,$AD$53,E1580=$AB$54,$AD$54,E1580=$AB$55,$AD$55,E1580=$AB$56,$AD$56,E1580=$AB$57,$AD$57,E1580=$AB$58,$AD$58,E1580=$AB$59,$AD$59,E1580=$AB$60,$AD$60,E1580=$AB$61,$AD$61,E1580=$AB$62,$AD$62,E1580=$AB$63,$AD$63,E1580=$AB$64,$AD$64,E1580=$AB$65,$AD$65,E1580=$AB$66,$AD$66,TRUE,"0")</f>
        <v>IP</v>
      </c>
      <c r="E1580" s="2" t="s">
        <v>270</v>
      </c>
      <c r="F1580" s="2" t="s">
        <v>119</v>
      </c>
      <c r="G1580" s="2" t="s">
        <v>166</v>
      </c>
      <c r="H1580" s="3">
        <v>45430.541666666664</v>
      </c>
      <c r="I1580" s="2" t="s">
        <v>603</v>
      </c>
      <c r="J1580" s="2" t="s">
        <v>841</v>
      </c>
      <c r="K1580" s="2">
        <v>69</v>
      </c>
      <c r="L1580" s="2">
        <v>0</v>
      </c>
      <c r="M1580" s="2">
        <v>20</v>
      </c>
      <c r="N1580" s="2">
        <v>46</v>
      </c>
      <c r="O1580" s="2">
        <v>1.9</v>
      </c>
      <c r="P1580" s="2"/>
      <c r="Q1580" s="2" t="s">
        <v>95</v>
      </c>
      <c r="R1580" s="10" t="s">
        <v>221</v>
      </c>
      <c r="S1580" s="10" t="s">
        <v>214</v>
      </c>
      <c r="T1580" s="188">
        <v>1000</v>
      </c>
      <c r="U1580" s="8">
        <f t="shared" si="171"/>
        <v>180</v>
      </c>
      <c r="V1580" s="234">
        <f t="shared" si="175"/>
        <v>167044.15524616028</v>
      </c>
      <c r="W1580" s="15">
        <v>25</v>
      </c>
      <c r="X1580" s="8">
        <f t="shared" si="174"/>
        <v>4.5</v>
      </c>
      <c r="Y1580" s="233">
        <f t="shared" si="176"/>
        <v>6042</v>
      </c>
    </row>
    <row r="1581" spans="1:25">
      <c r="A1581" s="156" t="e" cm="1">
        <f t="array" aca="1" ref="A1581" ca="1">_xlfn.IFS(E1581=$AB$42,$AC$42,E1581=$AB$43,$AC$43,E1581=$AB$44,$AC$44,E1581=$AB$45,$AC$45,E1581=$AB$46,$AC$46,E1581=$AB$47,$AC$47,E1581=$AB$48,$AC$48,E1581=$AB$49,$AC$49,E1581=$AB$50,$AC$50,E1581=$AB$51,$AC$51,E1581=$AB$52,$AC$52,E1581=$AB$53,$AC$53,E1581=$AB$54,$AC$54,E1581=$AB$55,$AC$55,E1581=$AB$56,$AC$56,E1581=$AB$57,$AC$57,E1581=$AB$58,$AC$58,E1581=$AB$59,$AC$59,E1581=$AB$60,$AC$60,E1581=$AB$61,$AC$61,E1581=$AB$62,$AC$62,E1581=$AB$63,$AC$63,E1581=$AB$64,$AC$64,E1581=$AB$65,$AC$65,E1581=$AB$66,$AC$66,TRUE,"0")</f>
        <v>#NAME?</v>
      </c>
      <c r="C1581" s="161" t="str" cm="1">
        <f t="array" ref="C1581">_xlfn.IFS(E1581=$AB$42,$AF$42,E1581=$AB$43,$AF$43,E1581=$AB$44,$AF$44,E1581=$AB$45,$AF$45,E1581=$AB$46,$AF$46,E1581=$AB$47,$AF$47,E1581=$AB$48,$AF$48,E1581=$AB$49,$AF$49,E1581=$AB$50,$AF$50,E1581=$AB$51,$AF$51,E1581=$AB$52,$AF$52,E1581=$AB$53,$AF$53,E1581=$AB$54,$AF$54,E1581=$AB$55,$AF$55,E1581=$AB$56,$AF$56,E1581=$AB$57,$AF$57,E1581=$AB$58,$AF$58,E1581=$AB$59,$AF$59,E1581=$AB$60,$AF$60,E1581=$AB$61,$AF$61,E1581=$AB$62,$AF$62,E1581=$AB$63,$AF$63,E1581=$AB$64,$AF$64,E1581=$AB$65,$AF$65,E1581=$AB$66,$AF$66,TRUE,"0")</f>
        <v>B4 match BACK FT +1.5 goals. X AFTER  GOAL</v>
      </c>
      <c r="D1581" s="270" t="str" cm="1">
        <f t="array" ref="D1581">_xlfn.IFS(E1581=$AB$42,$AD$42,E1581=$AB$43,$AD$43,E1581=$AB$44,$AD$44,E1581=$AB$45,$AD$45,E1581=$AB$46,$AD$46,E1581=$AB$47,$AD$47,E1581=$AB$48,$AD$48,E1581=$AB$49,$AD$49,E1581=$AB$50,$AD$50,E1581=$AB$51,$AD$51,E1581=$AB$52,$AD$52,E1581=$AB$53,$AD$53,E1581=$AB$54,$AD$54,E1581=$AB$55,$AD$55,E1581=$AB$56,$AD$56,E1581=$AB$57,$AD$57,E1581=$AB$58,$AD$58,E1581=$AB$59,$AD$59,E1581=$AB$60,$AD$60,E1581=$AB$61,$AD$61,E1581=$AB$62,$AD$62,E1581=$AB$63,$AD$63,E1581=$AB$64,$AD$64,E1581=$AB$65,$AD$65,E1581=$AB$66,$AD$66,TRUE,"0")</f>
        <v xml:space="preserve">BFM </v>
      </c>
      <c r="E1581" s="2" t="s">
        <v>406</v>
      </c>
      <c r="F1581" s="2" t="s">
        <v>77</v>
      </c>
      <c r="G1581" s="2" t="s">
        <v>156</v>
      </c>
      <c r="H1581" s="3">
        <v>45430.604166666664</v>
      </c>
      <c r="I1581" s="2" t="s">
        <v>325</v>
      </c>
      <c r="J1581" s="2" t="s">
        <v>284</v>
      </c>
      <c r="K1581" s="2">
        <v>1.29</v>
      </c>
      <c r="L1581" s="2">
        <v>13</v>
      </c>
      <c r="M1581" s="2">
        <v>3.2</v>
      </c>
      <c r="N1581" s="2">
        <v>2.78</v>
      </c>
      <c r="O1581" s="2">
        <v>3.42</v>
      </c>
      <c r="P1581" s="2"/>
      <c r="Q1581" s="2" t="s">
        <v>95</v>
      </c>
      <c r="R1581" s="10" t="s">
        <v>220</v>
      </c>
      <c r="S1581" s="10" t="s">
        <v>222</v>
      </c>
      <c r="T1581" s="188">
        <v>1000</v>
      </c>
      <c r="U1581" s="8">
        <f t="shared" si="171"/>
        <v>180</v>
      </c>
      <c r="V1581" s="234">
        <f t="shared" si="175"/>
        <v>167224.15524616028</v>
      </c>
      <c r="W1581" s="15">
        <v>25</v>
      </c>
      <c r="X1581" s="8">
        <f t="shared" si="174"/>
        <v>4.5</v>
      </c>
      <c r="Y1581" s="233">
        <f t="shared" si="176"/>
        <v>6046.5</v>
      </c>
    </row>
    <row r="1582" spans="1:25">
      <c r="A1582" s="156" t="e" cm="1">
        <f t="array" aca="1" ref="A1582" ca="1">_xlfn.IFS(E1582=$AB$42,$AC$42,E1582=$AB$43,$AC$43,E1582=$AB$44,$AC$44,E1582=$AB$45,$AC$45,E1582=$AB$46,$AC$46,E1582=$AB$47,$AC$47,E1582=$AB$48,$AC$48,E1582=$AB$49,$AC$49,E1582=$AB$50,$AC$50,E1582=$AB$51,$AC$51,E1582=$AB$52,$AC$52,E1582=$AB$53,$AC$53,E1582=$AB$54,$AC$54,E1582=$AB$55,$AC$55,E1582=$AB$56,$AC$56,E1582=$AB$57,$AC$57,E1582=$AB$58,$AC$58,E1582=$AB$59,$AC$59,E1582=$AB$60,$AC$60,E1582=$AB$61,$AC$61,E1582=$AB$62,$AC$62,E1582=$AB$63,$AC$63,E1582=$AB$64,$AC$64,E1582=$AB$65,$AC$65,E1582=$AB$66,$AC$66,TRUE,"0")</f>
        <v>#NAME?</v>
      </c>
      <c r="C1582" s="161" t="str" cm="1">
        <f t="array" ref="C1582">_xlfn.IFS(E1582=$AB$42,$AF$42,E1582=$AB$43,$AF$43,E1582=$AB$44,$AF$44,E1582=$AB$45,$AF$45,E1582=$AB$46,$AF$46,E1582=$AB$47,$AF$47,E1582=$AB$48,$AF$48,E1582=$AB$49,$AF$49,E1582=$AB$50,$AF$50,E1582=$AB$51,$AF$51,E1582=$AB$52,$AF$52,E1582=$AB$53,$AF$53,E1582=$AB$54,$AF$54,E1582=$AB$55,$AF$55,E1582=$AB$56,$AF$56,E1582=$AB$57,$AF$57,E1582=$AB$58,$AF$58,E1582=$AB$59,$AF$59,E1582=$AB$60,$AF$60,E1582=$AB$61,$AF$61,E1582=$AB$62,$AF$62,E1582=$AB$63,$AF$63,E1582=$AB$64,$AF$64,E1582=$AB$65,$AF$65,E1582=$AB$66,$AF$66,TRUE,"0")</f>
        <v>B4 match BACK FT +1.5 goals. X AFTER  GOAL</v>
      </c>
      <c r="D1582" s="270" t="str" cm="1">
        <f t="array" ref="D1582">_xlfn.IFS(E1582=$AB$42,$AD$42,E1582=$AB$43,$AD$43,E1582=$AB$44,$AD$44,E1582=$AB$45,$AD$45,E1582=$AB$46,$AD$46,E1582=$AB$47,$AD$47,E1582=$AB$48,$AD$48,E1582=$AB$49,$AD$49,E1582=$AB$50,$AD$50,E1582=$AB$51,$AD$51,E1582=$AB$52,$AD$52,E1582=$AB$53,$AD$53,E1582=$AB$54,$AD$54,E1582=$AB$55,$AD$55,E1582=$AB$56,$AD$56,E1582=$AB$57,$AD$57,E1582=$AB$58,$AD$58,E1582=$AB$59,$AD$59,E1582=$AB$60,$AD$60,E1582=$AB$61,$AD$61,E1582=$AB$62,$AD$62,E1582=$AB$63,$AD$63,E1582=$AB$64,$AD$64,E1582=$AB$65,$AD$65,E1582=$AB$66,$AD$66,TRUE,"0")</f>
        <v xml:space="preserve">BFM </v>
      </c>
      <c r="E1582" s="2" t="s">
        <v>623</v>
      </c>
      <c r="F1582" s="2" t="s">
        <v>77</v>
      </c>
      <c r="G1582" s="2" t="s">
        <v>156</v>
      </c>
      <c r="H1582" s="3">
        <v>45430.604166666664</v>
      </c>
      <c r="I1582" s="2" t="s">
        <v>325</v>
      </c>
      <c r="J1582" s="2" t="s">
        <v>284</v>
      </c>
      <c r="K1582" s="2">
        <v>2.78</v>
      </c>
      <c r="L1582" s="2">
        <v>20</v>
      </c>
      <c r="M1582" s="2">
        <v>3.2</v>
      </c>
      <c r="N1582" s="2">
        <v>22</v>
      </c>
      <c r="O1582" s="2">
        <v>2</v>
      </c>
      <c r="P1582" s="2">
        <v>10</v>
      </c>
      <c r="Q1582" s="2" t="s">
        <v>95</v>
      </c>
      <c r="R1582" s="10" t="s">
        <v>220</v>
      </c>
      <c r="S1582" s="10" t="s">
        <v>222</v>
      </c>
      <c r="T1582" s="188">
        <v>1000</v>
      </c>
      <c r="U1582" s="8">
        <f t="shared" si="171"/>
        <v>180</v>
      </c>
      <c r="V1582" s="234">
        <f t="shared" si="175"/>
        <v>167404.15524616028</v>
      </c>
      <c r="W1582" s="15">
        <v>25</v>
      </c>
      <c r="X1582" s="8">
        <f t="shared" si="174"/>
        <v>4.5</v>
      </c>
      <c r="Y1582" s="233">
        <f t="shared" si="176"/>
        <v>6051</v>
      </c>
    </row>
    <row r="1583" spans="1:25">
      <c r="A1583" s="156" t="e" cm="1">
        <f t="array" aca="1" ref="A1583" ca="1">_xlfn.IFS(E1583=$AB$42,$AC$42,E1583=$AB$43,$AC$43,E1583=$AB$44,$AC$44,E1583=$AB$45,$AC$45,E1583=$AB$46,$AC$46,E1583=$AB$47,$AC$47,E1583=$AB$48,$AC$48,E1583=$AB$49,$AC$49,E1583=$AB$50,$AC$50,E1583=$AB$51,$AC$51,E1583=$AB$52,$AC$52,E1583=$AB$53,$AC$53,E1583=$AB$54,$AC$54,E1583=$AB$55,$AC$55,E1583=$AB$56,$AC$56,E1583=$AB$57,$AC$57,E1583=$AB$58,$AC$58,E1583=$AB$59,$AC$59,E1583=$AB$60,$AC$60,E1583=$AB$61,$AC$61,E1583=$AB$62,$AC$62,E1583=$AB$63,$AC$63,E1583=$AB$64,$AC$64,E1583=$AB$65,$AC$65,E1583=$AB$66,$AC$66,TRUE,"0")</f>
        <v>#NAME?</v>
      </c>
      <c r="C1583" s="161" t="str" cm="1">
        <f t="array" ref="C1583">_xlfn.IFS(E1583=$AB$42,$AF$42,E1583=$AB$43,$AF$43,E1583=$AB$44,$AF$44,E1583=$AB$45,$AF$45,E1583=$AB$46,$AF$46,E1583=$AB$47,$AF$47,E1583=$AB$48,$AF$48,E1583=$AB$49,$AF$49,E1583=$AB$50,$AF$50,E1583=$AB$51,$AF$51,E1583=$AB$52,$AF$52,E1583=$AB$53,$AF$53,E1583=$AB$54,$AF$54,E1583=$AB$55,$AF$55,E1583=$AB$56,$AF$56,E1583=$AB$57,$AF$57,E1583=$AB$58,$AF$58,E1583=$AB$59,$AF$59,E1583=$AB$60,$AF$60,E1583=$AB$61,$AF$61,E1583=$AB$62,$AF$62,E1583=$AB$63,$AF$63,E1583=$AB$64,$AF$64,E1583=$AB$65,$AF$65,E1583=$AB$66,$AF$66,TRUE,"0")</f>
        <v>B4 Match, lay HT 0-0 or BACK H1 +0.5 GOALS</v>
      </c>
      <c r="D1583" s="270" t="str" cm="1">
        <f t="array" ref="D1583">_xlfn.IFS(E1583=$AB$42,$AD$42,E1583=$AB$43,$AD$43,E1583=$AB$44,$AD$44,E1583=$AB$45,$AD$45,E1583=$AB$46,$AD$46,E1583=$AB$47,$AD$47,E1583=$AB$48,$AD$48,E1583=$AB$49,$AD$49,E1583=$AB$50,$AD$50,E1583=$AB$51,$AD$51,E1583=$AB$52,$AD$52,E1583=$AB$53,$AD$53,E1583=$AB$54,$AD$54,E1583=$AB$55,$AD$55,E1583=$AB$56,$AD$56,E1583=$AB$57,$AD$57,E1583=$AB$58,$AD$58,E1583=$AB$59,$AD$59,E1583=$AB$60,$AD$60,E1583=$AB$61,$AD$61,E1583=$AB$62,$AD$62,E1583=$AB$63,$AD$63,E1583=$AB$64,$AD$64,E1583=$AB$65,$AD$65,E1583=$AB$66,$AD$66,TRUE,"0")</f>
        <v xml:space="preserve">BFM </v>
      </c>
      <c r="E1583" s="2" t="s">
        <v>448</v>
      </c>
      <c r="F1583" s="2" t="s">
        <v>77</v>
      </c>
      <c r="G1583" s="2" t="s">
        <v>156</v>
      </c>
      <c r="H1583" s="3">
        <v>45430.604166666664</v>
      </c>
      <c r="I1583" s="2" t="s">
        <v>325</v>
      </c>
      <c r="J1583" s="2" t="s">
        <v>284</v>
      </c>
      <c r="K1583" s="2">
        <v>20</v>
      </c>
      <c r="L1583" s="2">
        <v>10</v>
      </c>
      <c r="M1583" s="2">
        <v>32</v>
      </c>
      <c r="N1583" s="2">
        <v>6</v>
      </c>
      <c r="O1583" s="2">
        <v>22</v>
      </c>
      <c r="P1583" s="2">
        <v>50</v>
      </c>
      <c r="Q1583" s="2" t="s">
        <v>95</v>
      </c>
      <c r="R1583" s="10" t="s">
        <v>220</v>
      </c>
      <c r="S1583" s="10" t="s">
        <v>222</v>
      </c>
      <c r="T1583" s="188">
        <v>1000</v>
      </c>
      <c r="U1583" s="8">
        <f t="shared" si="171"/>
        <v>180</v>
      </c>
      <c r="V1583" s="234">
        <f t="shared" si="175"/>
        <v>167584.15524616028</v>
      </c>
      <c r="W1583" s="15">
        <v>25</v>
      </c>
      <c r="X1583" s="8">
        <f t="shared" si="174"/>
        <v>4.5</v>
      </c>
      <c r="Y1583" s="233">
        <f t="shared" si="176"/>
        <v>6055.5</v>
      </c>
    </row>
    <row r="1584" spans="1:25">
      <c r="A1584" s="156" t="e" cm="1">
        <f t="array" aca="1" ref="A1584" ca="1">_xlfn.IFS(E1584=$AB$42,$AC$42,E1584=$AB$43,$AC$43,E1584=$AB$44,$AC$44,E1584=$AB$45,$AC$45,E1584=$AB$46,$AC$46,E1584=$AB$47,$AC$47,E1584=$AB$48,$AC$48,E1584=$AB$49,$AC$49,E1584=$AB$50,$AC$50,E1584=$AB$51,$AC$51,E1584=$AB$52,$AC$52,E1584=$AB$53,$AC$53,E1584=$AB$54,$AC$54,E1584=$AB$55,$AC$55,E1584=$AB$56,$AC$56,E1584=$AB$57,$AC$57,E1584=$AB$58,$AC$58,E1584=$AB$59,$AC$59,E1584=$AB$60,$AC$60,E1584=$AB$61,$AC$61,E1584=$AB$62,$AC$62,E1584=$AB$63,$AC$63,E1584=$AB$64,$AC$64,E1584=$AB$65,$AC$65,E1584=$AB$66,$AC$66,TRUE,"0")</f>
        <v>#NAME?</v>
      </c>
      <c r="C1584" s="161" t="str" cm="1">
        <f t="array" ref="C1584">_xlfn.IFS(E1584=$AB$42,$AF$42,E1584=$AB$43,$AF$43,E1584=$AB$44,$AF$44,E1584=$AB$45,$AF$45,E1584=$AB$46,$AF$46,E1584=$AB$47,$AF$47,E1584=$AB$48,$AF$48,E1584=$AB$49,$AF$49,E1584=$AB$50,$AF$50,E1584=$AB$51,$AF$51,E1584=$AB$52,$AF$52,E1584=$AB$53,$AF$53,E1584=$AB$54,$AF$54,E1584=$AB$55,$AF$55,E1584=$AB$56,$AF$56,E1584=$AB$57,$AF$57,E1584=$AB$58,$AF$58,E1584=$AB$59,$AF$59,E1584=$AB$60,$AF$60,E1584=$AB$61,$AF$61,E1584=$AB$62,$AF$62,E1584=$AB$63,$AF$63,E1584=$AB$64,$AF$64,E1584=$AB$65,$AF$65,E1584=$AB$66,$AF$66,TRUE,"0")</f>
        <v>B4 match BACK FT +1.5 goals. X AFTER  GOAL</v>
      </c>
      <c r="D1584" s="270" t="str" cm="1">
        <f t="array" ref="D1584">_xlfn.IFS(E1584=$AB$42,$AD$42,E1584=$AB$43,$AD$43,E1584=$AB$44,$AD$44,E1584=$AB$45,$AD$45,E1584=$AB$46,$AD$46,E1584=$AB$47,$AD$47,E1584=$AB$48,$AD$48,E1584=$AB$49,$AD$49,E1584=$AB$50,$AD$50,E1584=$AB$51,$AD$51,E1584=$AB$52,$AD$52,E1584=$AB$53,$AD$53,E1584=$AB$54,$AD$54,E1584=$AB$55,$AD$55,E1584=$AB$56,$AD$56,E1584=$AB$57,$AD$57,E1584=$AB$58,$AD$58,E1584=$AB$59,$AD$59,E1584=$AB$60,$AD$60,E1584=$AB$61,$AD$61,E1584=$AB$62,$AD$62,E1584=$AB$63,$AD$63,E1584=$AB$64,$AD$64,E1584=$AB$65,$AD$65,E1584=$AB$66,$AD$66,TRUE,"0")</f>
        <v xml:space="preserve">BFM </v>
      </c>
      <c r="E1584" s="2" t="s">
        <v>623</v>
      </c>
      <c r="F1584" s="2" t="s">
        <v>77</v>
      </c>
      <c r="G1584" s="2" t="s">
        <v>156</v>
      </c>
      <c r="H1584" s="3">
        <v>45430.604166666664</v>
      </c>
      <c r="I1584" s="2" t="s">
        <v>552</v>
      </c>
      <c r="J1584" s="2" t="s">
        <v>345</v>
      </c>
      <c r="K1584" s="2">
        <v>2.2000000000000002</v>
      </c>
      <c r="L1584" s="2">
        <v>20</v>
      </c>
      <c r="M1584" s="2">
        <v>3.35</v>
      </c>
      <c r="N1584" s="2">
        <v>27</v>
      </c>
      <c r="O1584" s="2">
        <v>2</v>
      </c>
      <c r="P1584" s="2">
        <v>10</v>
      </c>
      <c r="Q1584" s="2" t="s">
        <v>95</v>
      </c>
      <c r="R1584" s="10" t="s">
        <v>220</v>
      </c>
      <c r="S1584" s="10" t="s">
        <v>194</v>
      </c>
      <c r="T1584" s="188">
        <v>1000</v>
      </c>
      <c r="U1584" s="8">
        <f t="shared" si="171"/>
        <v>180</v>
      </c>
      <c r="V1584" s="234">
        <f t="shared" si="175"/>
        <v>167764.15524616028</v>
      </c>
      <c r="W1584" s="15">
        <v>25</v>
      </c>
      <c r="X1584" s="8">
        <f t="shared" si="174"/>
        <v>4.5</v>
      </c>
      <c r="Y1584" s="233">
        <f t="shared" si="176"/>
        <v>6060</v>
      </c>
    </row>
    <row r="1585" spans="1:25">
      <c r="A1585" s="156" t="e" cm="1">
        <f t="array" aca="1" ref="A1585" ca="1">_xlfn.IFS(E1585=$AB$42,$AC$42,E1585=$AB$43,$AC$43,E1585=$AB$44,$AC$44,E1585=$AB$45,$AC$45,E1585=$AB$46,$AC$46,E1585=$AB$47,$AC$47,E1585=$AB$48,$AC$48,E1585=$AB$49,$AC$49,E1585=$AB$50,$AC$50,E1585=$AB$51,$AC$51,E1585=$AB$52,$AC$52,E1585=$AB$53,$AC$53,E1585=$AB$54,$AC$54,E1585=$AB$55,$AC$55,E1585=$AB$56,$AC$56,E1585=$AB$57,$AC$57,E1585=$AB$58,$AC$58,E1585=$AB$59,$AC$59,E1585=$AB$60,$AC$60,E1585=$AB$61,$AC$61,E1585=$AB$62,$AC$62,E1585=$AB$63,$AC$63,E1585=$AB$64,$AC$64,E1585=$AB$65,$AC$65,E1585=$AB$66,$AC$66,TRUE,"0")</f>
        <v>#NAME?</v>
      </c>
      <c r="C1585" s="161" t="str" cm="1">
        <f t="array" ref="C1585">_xlfn.IFS(E1585=$AB$42,$AF$42,E1585=$AB$43,$AF$43,E1585=$AB$44,$AF$44,E1585=$AB$45,$AF$45,E1585=$AB$46,$AF$46,E1585=$AB$47,$AF$47,E1585=$AB$48,$AF$48,E1585=$AB$49,$AF$49,E1585=$AB$50,$AF$50,E1585=$AB$51,$AF$51,E1585=$AB$52,$AF$52,E1585=$AB$53,$AF$53,E1585=$AB$54,$AF$54,E1585=$AB$55,$AF$55,E1585=$AB$56,$AF$56,E1585=$AB$57,$AF$57,E1585=$AB$58,$AF$58,E1585=$AB$59,$AF$59,E1585=$AB$60,$AF$60,E1585=$AB$61,$AF$61,E1585=$AB$62,$AF$62,E1585=$AB$63,$AF$63,E1585=$AB$64,$AF$64,E1585=$AB$65,$AF$65,E1585=$AB$66,$AF$66,TRUE,"0")</f>
        <v>40 mins Back ANother Goal</v>
      </c>
      <c r="D1585" s="270" t="str" cm="1">
        <f t="array" ref="D1585">_xlfn.IFS(E1585=$AB$42,$AD$42,E1585=$AB$43,$AD$43,E1585=$AB$44,$AD$44,E1585=$AB$45,$AD$45,E1585=$AB$46,$AD$46,E1585=$AB$47,$AD$47,E1585=$AB$48,$AD$48,E1585=$AB$49,$AD$49,E1585=$AB$50,$AD$50,E1585=$AB$51,$AD$51,E1585=$AB$52,$AD$52,E1585=$AB$53,$AD$53,E1585=$AB$54,$AD$54,E1585=$AB$55,$AD$55,E1585=$AB$56,$AD$56,E1585=$AB$57,$AD$57,E1585=$AB$58,$AD$58,E1585=$AB$59,$AD$59,E1585=$AB$60,$AD$60,E1585=$AB$61,$AD$61,E1585=$AB$62,$AD$62,E1585=$AB$63,$AD$63,E1585=$AB$64,$AD$64,E1585=$AB$65,$AD$65,E1585=$AB$66,$AD$66,TRUE,"0")</f>
        <v xml:space="preserve">  BANG</v>
      </c>
      <c r="E1585" s="2" t="s">
        <v>792</v>
      </c>
      <c r="F1585" s="2" t="s">
        <v>77</v>
      </c>
      <c r="G1585" s="2" t="s">
        <v>156</v>
      </c>
      <c r="H1585" s="3">
        <v>45430.604166666664</v>
      </c>
      <c r="I1585" s="2" t="s">
        <v>182</v>
      </c>
      <c r="J1585" s="2" t="s">
        <v>181</v>
      </c>
      <c r="K1585" s="2">
        <v>2.1</v>
      </c>
      <c r="L1585" s="2">
        <v>90</v>
      </c>
      <c r="M1585" s="2">
        <v>75</v>
      </c>
      <c r="N1585" s="2">
        <v>63</v>
      </c>
      <c r="O1585" s="2">
        <v>20</v>
      </c>
      <c r="P1585" s="2"/>
      <c r="Q1585" s="2" t="s">
        <v>95</v>
      </c>
      <c r="R1585" s="10" t="s">
        <v>193</v>
      </c>
      <c r="S1585" s="10" t="s">
        <v>210</v>
      </c>
      <c r="T1585" s="188">
        <v>1000</v>
      </c>
      <c r="U1585" s="8">
        <f t="shared" si="171"/>
        <v>180</v>
      </c>
      <c r="V1585" s="234">
        <f t="shared" si="175"/>
        <v>167944.15524616028</v>
      </c>
      <c r="W1585" s="15">
        <v>25</v>
      </c>
      <c r="X1585" s="8">
        <f t="shared" si="174"/>
        <v>4.5</v>
      </c>
      <c r="Y1585" s="233">
        <f t="shared" si="176"/>
        <v>6064.5</v>
      </c>
    </row>
    <row r="1586" spans="1:25">
      <c r="A1586" s="156" t="e" cm="1">
        <f t="array" aca="1" ref="A1586" ca="1">_xlfn.IFS(E1586=$AB$42,$AC$42,E1586=$AB$43,$AC$43,E1586=$AB$44,$AC$44,E1586=$AB$45,$AC$45,E1586=$AB$46,$AC$46,E1586=$AB$47,$AC$47,E1586=$AB$48,$AC$48,E1586=$AB$49,$AC$49,E1586=$AB$50,$AC$50,E1586=$AB$51,$AC$51,E1586=$AB$52,$AC$52,E1586=$AB$53,$AC$53,E1586=$AB$54,$AC$54,E1586=$AB$55,$AC$55,E1586=$AB$56,$AC$56,E1586=$AB$57,$AC$57,E1586=$AB$58,$AC$58,E1586=$AB$59,$AC$59,E1586=$AB$60,$AC$60,E1586=$AB$61,$AC$61,E1586=$AB$62,$AC$62,E1586=$AB$63,$AC$63,E1586=$AB$64,$AC$64,E1586=$AB$65,$AC$65,E1586=$AB$66,$AC$66,TRUE,"0")</f>
        <v>#NAME?</v>
      </c>
      <c r="C1586" s="161" t="str" cm="1">
        <f t="array" ref="C1586">_xlfn.IFS(E1586=$AB$42,$AF$42,E1586=$AB$43,$AF$43,E1586=$AB$44,$AF$44,E1586=$AB$45,$AF$45,E1586=$AB$46,$AF$46,E1586=$AB$47,$AF$47,E1586=$AB$48,$AF$48,E1586=$AB$49,$AF$49,E1586=$AB$50,$AF$50,E1586=$AB$51,$AF$51,E1586=$AB$52,$AF$52,E1586=$AB$53,$AF$53,E1586=$AB$54,$AF$54,E1586=$AB$55,$AF$55,E1586=$AB$56,$AF$56,E1586=$AB$57,$AF$57,E1586=$AB$58,$AF$58,E1586=$AB$59,$AF$59,E1586=$AB$60,$AF$60,E1586=$AB$61,$AF$61,E1586=$AB$62,$AF$62,E1586=$AB$63,$AF$63,E1586=$AB$64,$AF$64,E1586=$AB$65,$AF$65,E1586=$AB$66,$AF$66,TRUE,"0")</f>
        <v>20mins if  0-0, BACK over 1.5 goals X after goal OR LET RUN</v>
      </c>
      <c r="D1586" s="270" t="str" cm="1">
        <f t="array" ref="D1586">_xlfn.IFS(E1586=$AB$42,$AD$42,E1586=$AB$43,$AD$43,E1586=$AB$44,$AD$44,E1586=$AB$45,$AD$45,E1586=$AB$46,$AD$46,E1586=$AB$47,$AD$47,E1586=$AB$48,$AD$48,E1586=$AB$49,$AD$49,E1586=$AB$50,$AD$50,E1586=$AB$51,$AD$51,E1586=$AB$52,$AD$52,E1586=$AB$53,$AD$53,E1586=$AB$54,$AD$54,E1586=$AB$55,$AD$55,E1586=$AB$56,$AD$56,E1586=$AB$57,$AD$57,E1586=$AB$58,$AD$58,E1586=$AB$59,$AD$59,E1586=$AB$60,$AD$60,E1586=$AB$61,$AD$61,E1586=$AB$62,$AD$62,E1586=$AB$63,$AD$63,E1586=$AB$64,$AD$64,E1586=$AB$65,$AD$65,E1586=$AB$66,$AD$66,TRUE,"0")</f>
        <v>IP</v>
      </c>
      <c r="E1586" s="2" t="s">
        <v>474</v>
      </c>
      <c r="F1586" s="2" t="s">
        <v>77</v>
      </c>
      <c r="G1586" s="2" t="s">
        <v>156</v>
      </c>
      <c r="H1586" s="3">
        <v>45430.604166666664</v>
      </c>
      <c r="I1586" s="2" t="s">
        <v>182</v>
      </c>
      <c r="J1586" s="2" t="s">
        <v>181</v>
      </c>
      <c r="K1586" s="2">
        <v>52</v>
      </c>
      <c r="L1586" s="2">
        <v>3.7</v>
      </c>
      <c r="M1586" s="2">
        <v>20</v>
      </c>
      <c r="N1586" s="2">
        <v>70</v>
      </c>
      <c r="O1586" s="2">
        <v>90</v>
      </c>
      <c r="P1586" s="2"/>
      <c r="Q1586" s="2" t="s">
        <v>95</v>
      </c>
      <c r="R1586" s="10" t="s">
        <v>193</v>
      </c>
      <c r="S1586" s="10" t="s">
        <v>210</v>
      </c>
      <c r="T1586" s="188">
        <v>1000</v>
      </c>
      <c r="U1586" s="8">
        <f t="shared" si="171"/>
        <v>180</v>
      </c>
      <c r="V1586" s="234">
        <f t="shared" si="175"/>
        <v>168124.15524616028</v>
      </c>
      <c r="W1586" s="15">
        <v>25</v>
      </c>
      <c r="X1586" s="8">
        <f t="shared" si="174"/>
        <v>4.5</v>
      </c>
      <c r="Y1586" s="233">
        <f t="shared" si="176"/>
        <v>6069</v>
      </c>
    </row>
    <row r="1587" spans="1:25">
      <c r="A1587" s="156" t="e" cm="1">
        <f t="array" aca="1" ref="A1587" ca="1">_xlfn.IFS(E1587=$AB$42,$AC$42,E1587=$AB$43,$AC$43,E1587=$AB$44,$AC$44,E1587=$AB$45,$AC$45,E1587=$AB$46,$AC$46,E1587=$AB$47,$AC$47,E1587=$AB$48,$AC$48,E1587=$AB$49,$AC$49,E1587=$AB$50,$AC$50,E1587=$AB$51,$AC$51,E1587=$AB$52,$AC$52,E1587=$AB$53,$AC$53,E1587=$AB$54,$AC$54,E1587=$AB$55,$AC$55,E1587=$AB$56,$AC$56,E1587=$AB$57,$AC$57,E1587=$AB$58,$AC$58,E1587=$AB$59,$AC$59,E1587=$AB$60,$AC$60,E1587=$AB$61,$AC$61,E1587=$AB$62,$AC$62,E1587=$AB$63,$AC$63,E1587=$AB$64,$AC$64,E1587=$AB$65,$AC$65,E1587=$AB$66,$AC$66,TRUE,"0")</f>
        <v>#NAME?</v>
      </c>
      <c r="C1587" s="161" t="str" cm="1">
        <f t="array" ref="C1587">_xlfn.IFS(E1587=$AB$42,$AF$42,E1587=$AB$43,$AF$43,E1587=$AB$44,$AF$44,E1587=$AB$45,$AF$45,E1587=$AB$46,$AF$46,E1587=$AB$47,$AF$47,E1587=$AB$48,$AF$48,E1587=$AB$49,$AF$49,E1587=$AB$50,$AF$50,E1587=$AB$51,$AF$51,E1587=$AB$52,$AF$52,E1587=$AB$53,$AF$53,E1587=$AB$54,$AF$54,E1587=$AB$55,$AF$55,E1587=$AB$56,$AF$56,E1587=$AB$57,$AF$57,E1587=$AB$58,$AF$58,E1587=$AB$59,$AF$59,E1587=$AB$60,$AF$60,E1587=$AB$61,$AF$61,E1587=$AB$62,$AF$62,E1587=$AB$63,$AF$63,E1587=$AB$64,$AF$64,E1587=$AB$65,$AF$65,E1587=$AB$66,$AF$66,TRUE,"0")</f>
        <v>B4 MATCH back over 2.5 goals.X after goal OR let run</v>
      </c>
      <c r="D1587" s="270" t="str" cm="1">
        <f t="array" ref="D1587">_xlfn.IFS(E1587=$AB$42,$AD$42,E1587=$AB$43,$AD$43,E1587=$AB$44,$AD$44,E1587=$AB$45,$AD$45,E1587=$AB$46,$AD$46,E1587=$AB$47,$AD$47,E1587=$AB$48,$AD$48,E1587=$AB$49,$AD$49,E1587=$AB$50,$AD$50,E1587=$AB$51,$AD$51,E1587=$AB$52,$AD$52,E1587=$AB$53,$AD$53,E1587=$AB$54,$AD$54,E1587=$AB$55,$AD$55,E1587=$AB$56,$AD$56,E1587=$AB$57,$AD$57,E1587=$AB$58,$AD$58,E1587=$AB$59,$AD$59,E1587=$AB$60,$AD$60,E1587=$AB$61,$AD$61,E1587=$AB$62,$AD$62,E1587=$AB$63,$AD$63,E1587=$AB$64,$AD$64,E1587=$AB$65,$AD$65,E1587=$AB$66,$AD$66,TRUE,"0")</f>
        <v xml:space="preserve">BFM </v>
      </c>
      <c r="E1587" s="2" t="s">
        <v>177</v>
      </c>
      <c r="F1587" s="2" t="s">
        <v>77</v>
      </c>
      <c r="G1587" s="2" t="s">
        <v>156</v>
      </c>
      <c r="H1587" s="3">
        <v>45430.604166666664</v>
      </c>
      <c r="I1587" s="2" t="s">
        <v>158</v>
      </c>
      <c r="J1587" s="2" t="s">
        <v>157</v>
      </c>
      <c r="K1587" s="2">
        <v>4.0999999999999996</v>
      </c>
      <c r="L1587" s="2">
        <v>95</v>
      </c>
      <c r="M1587" s="2">
        <v>80</v>
      </c>
      <c r="N1587" s="2">
        <v>29</v>
      </c>
      <c r="O1587" s="2">
        <v>80</v>
      </c>
      <c r="P1587" s="2">
        <v>3.52</v>
      </c>
      <c r="Q1587" s="2" t="s">
        <v>95</v>
      </c>
      <c r="R1587" s="10" t="s">
        <v>223</v>
      </c>
      <c r="S1587" s="10" t="s">
        <v>277</v>
      </c>
      <c r="T1587" s="188">
        <v>1000</v>
      </c>
      <c r="U1587" s="8">
        <f t="shared" si="171"/>
        <v>180</v>
      </c>
      <c r="V1587" s="234">
        <f t="shared" si="175"/>
        <v>168304.15524616028</v>
      </c>
      <c r="W1587" s="15">
        <v>25</v>
      </c>
      <c r="X1587" s="8">
        <f t="shared" si="174"/>
        <v>4.5</v>
      </c>
      <c r="Y1587" s="233">
        <f t="shared" si="176"/>
        <v>6073.5</v>
      </c>
    </row>
    <row r="1588" spans="1:25">
      <c r="A1588" s="156" t="e" cm="1">
        <f t="array" aca="1" ref="A1588" ca="1">_xlfn.IFS(E1588=$AB$42,$AC$42,E1588=$AB$43,$AC$43,E1588=$AB$44,$AC$44,E1588=$AB$45,$AC$45,E1588=$AB$46,$AC$46,E1588=$AB$47,$AC$47,E1588=$AB$48,$AC$48,E1588=$AB$49,$AC$49,E1588=$AB$50,$AC$50,E1588=$AB$51,$AC$51,E1588=$AB$52,$AC$52,E1588=$AB$53,$AC$53,E1588=$AB$54,$AC$54,E1588=$AB$55,$AC$55,E1588=$AB$56,$AC$56,E1588=$AB$57,$AC$57,E1588=$AB$58,$AC$58,E1588=$AB$59,$AC$59,E1588=$AB$60,$AC$60,E1588=$AB$61,$AC$61,E1588=$AB$62,$AC$62,E1588=$AB$63,$AC$63,E1588=$AB$64,$AC$64,E1588=$AB$65,$AC$65,E1588=$AB$66,$AC$66,TRUE,"0")</f>
        <v>#NAME?</v>
      </c>
      <c r="C1588" s="161" t="str" cm="1">
        <f t="array" ref="C1588">_xlfn.IFS(E1588=$AB$42,$AF$42,E1588=$AB$43,$AF$43,E1588=$AB$44,$AF$44,E1588=$AB$45,$AF$45,E1588=$AB$46,$AF$46,E1588=$AB$47,$AF$47,E1588=$AB$48,$AF$48,E1588=$AB$49,$AF$49,E1588=$AB$50,$AF$50,E1588=$AB$51,$AF$51,E1588=$AB$52,$AF$52,E1588=$AB$53,$AF$53,E1588=$AB$54,$AF$54,E1588=$AB$55,$AF$55,E1588=$AB$56,$AF$56,E1588=$AB$57,$AF$57,E1588=$AB$58,$AF$58,E1588=$AB$59,$AF$59,E1588=$AB$60,$AF$60,E1588=$AB$61,$AF$61,E1588=$AB$62,$AF$62,E1588=$AB$63,$AF$63,E1588=$AB$64,$AF$64,E1588=$AB$65,$AF$65,E1588=$AB$66,$AF$66,TRUE,"0")</f>
        <v>40 mins Back ANother Goal</v>
      </c>
      <c r="D1588" s="270" t="str" cm="1">
        <f t="array" ref="D1588">_xlfn.IFS(E1588=$AB$42,$AD$42,E1588=$AB$43,$AD$43,E1588=$AB$44,$AD$44,E1588=$AB$45,$AD$45,E1588=$AB$46,$AD$46,E1588=$AB$47,$AD$47,E1588=$AB$48,$AD$48,E1588=$AB$49,$AD$49,E1588=$AB$50,$AD$50,E1588=$AB$51,$AD$51,E1588=$AB$52,$AD$52,E1588=$AB$53,$AD$53,E1588=$AB$54,$AD$54,E1588=$AB$55,$AD$55,E1588=$AB$56,$AD$56,E1588=$AB$57,$AD$57,E1588=$AB$58,$AD$58,E1588=$AB$59,$AD$59,E1588=$AB$60,$AD$60,E1588=$AB$61,$AD$61,E1588=$AB$62,$AD$62,E1588=$AB$63,$AD$63,E1588=$AB$64,$AD$64,E1588=$AB$65,$AD$65,E1588=$AB$66,$AD$66,TRUE,"0")</f>
        <v xml:space="preserve">  BANG</v>
      </c>
      <c r="E1588" s="2" t="s">
        <v>792</v>
      </c>
      <c r="F1588" s="2" t="s">
        <v>77</v>
      </c>
      <c r="G1588" s="2" t="s">
        <v>156</v>
      </c>
      <c r="H1588" s="3">
        <v>45430.604166666664</v>
      </c>
      <c r="I1588" s="2" t="s">
        <v>158</v>
      </c>
      <c r="J1588" s="2" t="s">
        <v>157</v>
      </c>
      <c r="K1588" s="2">
        <v>2.1</v>
      </c>
      <c r="L1588" s="2">
        <v>90</v>
      </c>
      <c r="M1588" s="2">
        <v>70</v>
      </c>
      <c r="N1588" s="2">
        <v>68</v>
      </c>
      <c r="O1588" s="2">
        <v>20</v>
      </c>
      <c r="P1588" s="2"/>
      <c r="Q1588" s="2" t="s">
        <v>95</v>
      </c>
      <c r="R1588" s="10" t="s">
        <v>223</v>
      </c>
      <c r="S1588" s="10" t="s">
        <v>277</v>
      </c>
      <c r="T1588" s="188">
        <v>1000</v>
      </c>
      <c r="U1588" s="8">
        <f t="shared" si="171"/>
        <v>180</v>
      </c>
      <c r="V1588" s="234">
        <f t="shared" si="175"/>
        <v>168484.15524616028</v>
      </c>
      <c r="W1588" s="15">
        <v>25</v>
      </c>
      <c r="X1588" s="8">
        <f t="shared" si="174"/>
        <v>4.5</v>
      </c>
      <c r="Y1588" s="233">
        <f t="shared" si="176"/>
        <v>6078</v>
      </c>
    </row>
    <row r="1589" spans="1:25">
      <c r="A1589" s="156" t="e" cm="1">
        <f t="array" aca="1" ref="A1589" ca="1">_xlfn.IFS(E1589=$AB$42,$AC$42,E1589=$AB$43,$AC$43,E1589=$AB$44,$AC$44,E1589=$AB$45,$AC$45,E1589=$AB$46,$AC$46,E1589=$AB$47,$AC$47,E1589=$AB$48,$AC$48,E1589=$AB$49,$AC$49,E1589=$AB$50,$AC$50,E1589=$AB$51,$AC$51,E1589=$AB$52,$AC$52,E1589=$AB$53,$AC$53,E1589=$AB$54,$AC$54,E1589=$AB$55,$AC$55,E1589=$AB$56,$AC$56,E1589=$AB$57,$AC$57,E1589=$AB$58,$AC$58,E1589=$AB$59,$AC$59,E1589=$AB$60,$AC$60,E1589=$AB$61,$AC$61,E1589=$AB$62,$AC$62,E1589=$AB$63,$AC$63,E1589=$AB$64,$AC$64,E1589=$AB$65,$AC$65,E1589=$AB$66,$AC$66,TRUE,"0")</f>
        <v>#NAME?</v>
      </c>
      <c r="C1589" s="161" t="str" cm="1">
        <f t="array" ref="C1589">_xlfn.IFS(E1589=$AB$42,$AF$42,E1589=$AB$43,$AF$43,E1589=$AB$44,$AF$44,E1589=$AB$45,$AF$45,E1589=$AB$46,$AF$46,E1589=$AB$47,$AF$47,E1589=$AB$48,$AF$48,E1589=$AB$49,$AF$49,E1589=$AB$50,$AF$50,E1589=$AB$51,$AF$51,E1589=$AB$52,$AF$52,E1589=$AB$53,$AF$53,E1589=$AB$54,$AF$54,E1589=$AB$55,$AF$55,E1589=$AB$56,$AF$56,E1589=$AB$57,$AF$57,E1589=$AB$58,$AF$58,E1589=$AB$59,$AF$59,E1589=$AB$60,$AF$60,E1589=$AB$61,$AF$61,E1589=$AB$62,$AF$62,E1589=$AB$63,$AF$63,E1589=$AB$64,$AF$64,E1589=$AB$65,$AF$65,E1589=$AB$66,$AF$66,TRUE,"0")</f>
        <v>B4 match BACK FT +1.5 goals. X AFTER  GOAL</v>
      </c>
      <c r="D1589" s="270" t="str" cm="1">
        <f t="array" ref="D1589">_xlfn.IFS(E1589=$AB$42,$AD$42,E1589=$AB$43,$AD$43,E1589=$AB$44,$AD$44,E1589=$AB$45,$AD$45,E1589=$AB$46,$AD$46,E1589=$AB$47,$AD$47,E1589=$AB$48,$AD$48,E1589=$AB$49,$AD$49,E1589=$AB$50,$AD$50,E1589=$AB$51,$AD$51,E1589=$AB$52,$AD$52,E1589=$AB$53,$AD$53,E1589=$AB$54,$AD$54,E1589=$AB$55,$AD$55,E1589=$AB$56,$AD$56,E1589=$AB$57,$AD$57,E1589=$AB$58,$AD$58,E1589=$AB$59,$AD$59,E1589=$AB$60,$AD$60,E1589=$AB$61,$AD$61,E1589=$AB$62,$AD$62,E1589=$AB$63,$AD$63,E1589=$AB$64,$AD$64,E1589=$AB$65,$AD$65,E1589=$AB$66,$AD$66,TRUE,"0")</f>
        <v xml:space="preserve">BFM </v>
      </c>
      <c r="E1589" s="2" t="s">
        <v>531</v>
      </c>
      <c r="F1589" s="2" t="s">
        <v>77</v>
      </c>
      <c r="G1589" s="2" t="s">
        <v>156</v>
      </c>
      <c r="H1589" s="3">
        <v>45430.604166666664</v>
      </c>
      <c r="I1589" s="2" t="s">
        <v>158</v>
      </c>
      <c r="J1589" s="2" t="s">
        <v>157</v>
      </c>
      <c r="K1589" s="2">
        <v>6</v>
      </c>
      <c r="L1589" s="2">
        <v>32</v>
      </c>
      <c r="M1589" s="2">
        <v>3.88</v>
      </c>
      <c r="N1589" s="2">
        <v>26</v>
      </c>
      <c r="O1589" s="2">
        <v>5</v>
      </c>
      <c r="P1589" s="2">
        <v>16</v>
      </c>
      <c r="Q1589" s="2" t="s">
        <v>95</v>
      </c>
      <c r="R1589" s="10" t="s">
        <v>223</v>
      </c>
      <c r="S1589" s="10" t="s">
        <v>277</v>
      </c>
      <c r="T1589" s="188">
        <v>1000</v>
      </c>
      <c r="U1589" s="8">
        <f t="shared" si="171"/>
        <v>180</v>
      </c>
      <c r="V1589" s="234">
        <f t="shared" si="175"/>
        <v>168664.15524616028</v>
      </c>
      <c r="W1589" s="15">
        <v>25</v>
      </c>
      <c r="X1589" s="8">
        <f t="shared" si="174"/>
        <v>4.5</v>
      </c>
      <c r="Y1589" s="233">
        <f t="shared" si="176"/>
        <v>6082.5</v>
      </c>
    </row>
    <row r="1590" spans="1:25">
      <c r="A1590" s="156" t="e" cm="1">
        <f t="array" aca="1" ref="A1590" ca="1">_xlfn.IFS(E1590=$AB$42,$AC$42,E1590=$AB$43,$AC$43,E1590=$AB$44,$AC$44,E1590=$AB$45,$AC$45,E1590=$AB$46,$AC$46,E1590=$AB$47,$AC$47,E1590=$AB$48,$AC$48,E1590=$AB$49,$AC$49,E1590=$AB$50,$AC$50,E1590=$AB$51,$AC$51,E1590=$AB$52,$AC$52,E1590=$AB$53,$AC$53,E1590=$AB$54,$AC$54,E1590=$AB$55,$AC$55,E1590=$AB$56,$AC$56,E1590=$AB$57,$AC$57,E1590=$AB$58,$AC$58,E1590=$AB$59,$AC$59,E1590=$AB$60,$AC$60,E1590=$AB$61,$AC$61,E1590=$AB$62,$AC$62,E1590=$AB$63,$AC$63,E1590=$AB$64,$AC$64,E1590=$AB$65,$AC$65,E1590=$AB$66,$AC$66,TRUE,"0")</f>
        <v>#NAME?</v>
      </c>
      <c r="C1590" s="161" t="str" cm="1">
        <f t="array" ref="C1590">_xlfn.IFS(E1590=$AB$42,$AF$42,E1590=$AB$43,$AF$43,E1590=$AB$44,$AF$44,E1590=$AB$45,$AF$45,E1590=$AB$46,$AF$46,E1590=$AB$47,$AF$47,E1590=$AB$48,$AF$48,E1590=$AB$49,$AF$49,E1590=$AB$50,$AF$50,E1590=$AB$51,$AF$51,E1590=$AB$52,$AF$52,E1590=$AB$53,$AF$53,E1590=$AB$54,$AF$54,E1590=$AB$55,$AF$55,E1590=$AB$56,$AF$56,E1590=$AB$57,$AF$57,E1590=$AB$58,$AF$58,E1590=$AB$59,$AF$59,E1590=$AB$60,$AF$60,E1590=$AB$61,$AF$61,E1590=$AB$62,$AF$62,E1590=$AB$63,$AF$63,E1590=$AB$64,$AF$64,E1590=$AB$65,$AF$65,E1590=$AB$66,$AF$66,TRUE,"0")</f>
        <v>B4 match BACK FT +1.5 goals. X AFTER  GOAL</v>
      </c>
      <c r="D1590" s="270" t="str" cm="1">
        <f t="array" ref="D1590">_xlfn.IFS(E1590=$AB$42,$AD$42,E1590=$AB$43,$AD$43,E1590=$AB$44,$AD$44,E1590=$AB$45,$AD$45,E1590=$AB$46,$AD$46,E1590=$AB$47,$AD$47,E1590=$AB$48,$AD$48,E1590=$AB$49,$AD$49,E1590=$AB$50,$AD$50,E1590=$AB$51,$AD$51,E1590=$AB$52,$AD$52,E1590=$AB$53,$AD$53,E1590=$AB$54,$AD$54,E1590=$AB$55,$AD$55,E1590=$AB$56,$AD$56,E1590=$AB$57,$AD$57,E1590=$AB$58,$AD$58,E1590=$AB$59,$AD$59,E1590=$AB$60,$AD$60,E1590=$AB$61,$AD$61,E1590=$AB$62,$AD$62,E1590=$AB$63,$AD$63,E1590=$AB$64,$AD$64,E1590=$AB$65,$AD$65,E1590=$AB$66,$AD$66,TRUE,"0")</f>
        <v xml:space="preserve">BFM </v>
      </c>
      <c r="E1590" s="2" t="s">
        <v>406</v>
      </c>
      <c r="F1590" s="2" t="s">
        <v>77</v>
      </c>
      <c r="G1590" s="2" t="s">
        <v>156</v>
      </c>
      <c r="H1590" s="3">
        <v>45430.604166666664</v>
      </c>
      <c r="I1590" s="2" t="s">
        <v>168</v>
      </c>
      <c r="J1590" s="2" t="s">
        <v>167</v>
      </c>
      <c r="K1590" s="2">
        <v>1.28</v>
      </c>
      <c r="L1590" s="2">
        <v>11.5</v>
      </c>
      <c r="M1590" s="2">
        <v>3.35</v>
      </c>
      <c r="N1590" s="2">
        <v>2.6</v>
      </c>
      <c r="O1590" s="2">
        <v>3.26</v>
      </c>
      <c r="P1590" s="2"/>
      <c r="Q1590" s="2" t="s">
        <v>95</v>
      </c>
      <c r="R1590" s="10" t="s">
        <v>220</v>
      </c>
      <c r="S1590" s="10" t="s">
        <v>194</v>
      </c>
      <c r="T1590" s="188">
        <v>1000</v>
      </c>
      <c r="U1590" s="8">
        <f t="shared" si="171"/>
        <v>180</v>
      </c>
      <c r="V1590" s="234">
        <f t="shared" si="175"/>
        <v>168844.15524616028</v>
      </c>
      <c r="W1590" s="15">
        <v>25</v>
      </c>
      <c r="X1590" s="8">
        <f t="shared" si="174"/>
        <v>4.5</v>
      </c>
      <c r="Y1590" s="233">
        <f t="shared" si="176"/>
        <v>6087</v>
      </c>
    </row>
    <row r="1591" spans="1:25">
      <c r="A1591" s="156" t="e" cm="1">
        <f t="array" aca="1" ref="A1591" ca="1">_xlfn.IFS(E1591=$AB$42,$AC$42,E1591=$AB$43,$AC$43,E1591=$AB$44,$AC$44,E1591=$AB$45,$AC$45,E1591=$AB$46,$AC$46,E1591=$AB$47,$AC$47,E1591=$AB$48,$AC$48,E1591=$AB$49,$AC$49,E1591=$AB$50,$AC$50,E1591=$AB$51,$AC$51,E1591=$AB$52,$AC$52,E1591=$AB$53,$AC$53,E1591=$AB$54,$AC$54,E1591=$AB$55,$AC$55,E1591=$AB$56,$AC$56,E1591=$AB$57,$AC$57,E1591=$AB$58,$AC$58,E1591=$AB$59,$AC$59,E1591=$AB$60,$AC$60,E1591=$AB$61,$AC$61,E1591=$AB$62,$AC$62,E1591=$AB$63,$AC$63,E1591=$AB$64,$AC$64,E1591=$AB$65,$AC$65,E1591=$AB$66,$AC$66,TRUE,"0")</f>
        <v>#NAME?</v>
      </c>
      <c r="C1591" s="161" t="str" cm="1">
        <f t="array" ref="C1591">_xlfn.IFS(E1591=$AB$42,$AF$42,E1591=$AB$43,$AF$43,E1591=$AB$44,$AF$44,E1591=$AB$45,$AF$45,E1591=$AB$46,$AF$46,E1591=$AB$47,$AF$47,E1591=$AB$48,$AF$48,E1591=$AB$49,$AF$49,E1591=$AB$50,$AF$50,E1591=$AB$51,$AF$51,E1591=$AB$52,$AF$52,E1591=$AB$53,$AF$53,E1591=$AB$54,$AF$54,E1591=$AB$55,$AF$55,E1591=$AB$56,$AF$56,E1591=$AB$57,$AF$57,E1591=$AB$58,$AF$58,E1591=$AB$59,$AF$59,E1591=$AB$60,$AF$60,E1591=$AB$61,$AF$61,E1591=$AB$62,$AF$62,E1591=$AB$63,$AF$63,E1591=$AB$64,$AF$64,E1591=$AB$65,$AF$65,E1591=$AB$66,$AF$66,TRUE,"0")</f>
        <v>B4 match BACK FT +1.5 goals. X AFTER  GOAL</v>
      </c>
      <c r="D1591" s="270" t="str" cm="1">
        <f t="array" ref="D1591">_xlfn.IFS(E1591=$AB$42,$AD$42,E1591=$AB$43,$AD$43,E1591=$AB$44,$AD$44,E1591=$AB$45,$AD$45,E1591=$AB$46,$AD$46,E1591=$AB$47,$AD$47,E1591=$AB$48,$AD$48,E1591=$AB$49,$AD$49,E1591=$AB$50,$AD$50,E1591=$AB$51,$AD$51,E1591=$AB$52,$AD$52,E1591=$AB$53,$AD$53,E1591=$AB$54,$AD$54,E1591=$AB$55,$AD$55,E1591=$AB$56,$AD$56,E1591=$AB$57,$AD$57,E1591=$AB$58,$AD$58,E1591=$AB$59,$AD$59,E1591=$AB$60,$AD$60,E1591=$AB$61,$AD$61,E1591=$AB$62,$AD$62,E1591=$AB$63,$AD$63,E1591=$AB$64,$AD$64,E1591=$AB$65,$AD$65,E1591=$AB$66,$AD$66,TRUE,"0")</f>
        <v xml:space="preserve">BFM </v>
      </c>
      <c r="E1591" s="2" t="s">
        <v>623</v>
      </c>
      <c r="F1591" s="2" t="s">
        <v>77</v>
      </c>
      <c r="G1591" s="2" t="s">
        <v>156</v>
      </c>
      <c r="H1591" s="3">
        <v>45430.604166666664</v>
      </c>
      <c r="I1591" s="2" t="s">
        <v>168</v>
      </c>
      <c r="J1591" s="2" t="s">
        <v>167</v>
      </c>
      <c r="K1591" s="2">
        <v>2.6</v>
      </c>
      <c r="L1591" s="2">
        <v>20</v>
      </c>
      <c r="M1591" s="2">
        <v>3.35</v>
      </c>
      <c r="N1591" s="2">
        <v>25</v>
      </c>
      <c r="O1591" s="2">
        <v>1</v>
      </c>
      <c r="P1591" s="2">
        <v>10</v>
      </c>
      <c r="Q1591" s="2" t="s">
        <v>95</v>
      </c>
      <c r="R1591" s="10" t="s">
        <v>220</v>
      </c>
      <c r="S1591" s="10" t="s">
        <v>194</v>
      </c>
      <c r="T1591" s="188">
        <v>1000</v>
      </c>
      <c r="U1591" s="8">
        <f t="shared" si="171"/>
        <v>180</v>
      </c>
      <c r="V1591" s="234">
        <f t="shared" si="175"/>
        <v>169024.15524616028</v>
      </c>
      <c r="W1591" s="15">
        <v>25</v>
      </c>
      <c r="X1591" s="8">
        <f t="shared" si="174"/>
        <v>4.5</v>
      </c>
      <c r="Y1591" s="233">
        <f t="shared" si="176"/>
        <v>6091.5</v>
      </c>
    </row>
    <row r="1592" spans="1:25">
      <c r="A1592" s="156" t="e" cm="1">
        <f t="array" aca="1" ref="A1592" ca="1">_xlfn.IFS(E1592=$AB$42,$AC$42,E1592=$AB$43,$AC$43,E1592=$AB$44,$AC$44,E1592=$AB$45,$AC$45,E1592=$AB$46,$AC$46,E1592=$AB$47,$AC$47,E1592=$AB$48,$AC$48,E1592=$AB$49,$AC$49,E1592=$AB$50,$AC$50,E1592=$AB$51,$AC$51,E1592=$AB$52,$AC$52,E1592=$AB$53,$AC$53,E1592=$AB$54,$AC$54,E1592=$AB$55,$AC$55,E1592=$AB$56,$AC$56,E1592=$AB$57,$AC$57,E1592=$AB$58,$AC$58,E1592=$AB$59,$AC$59,E1592=$AB$60,$AC$60,E1592=$AB$61,$AC$61,E1592=$AB$62,$AC$62,E1592=$AB$63,$AC$63,E1592=$AB$64,$AC$64,E1592=$AB$65,$AC$65,E1592=$AB$66,$AC$66,TRUE,"0")</f>
        <v>#NAME?</v>
      </c>
      <c r="C1592" s="161" t="str" cm="1">
        <f t="array" ref="C1592">_xlfn.IFS(E1592=$AB$42,$AF$42,E1592=$AB$43,$AF$43,E1592=$AB$44,$AF$44,E1592=$AB$45,$AF$45,E1592=$AB$46,$AF$46,E1592=$AB$47,$AF$47,E1592=$AB$48,$AF$48,E1592=$AB$49,$AF$49,E1592=$AB$50,$AF$50,E1592=$AB$51,$AF$51,E1592=$AB$52,$AF$52,E1592=$AB$53,$AF$53,E1592=$AB$54,$AF$54,E1592=$AB$55,$AF$55,E1592=$AB$56,$AF$56,E1592=$AB$57,$AF$57,E1592=$AB$58,$AF$58,E1592=$AB$59,$AF$59,E1592=$AB$60,$AF$60,E1592=$AB$61,$AF$61,E1592=$AB$62,$AF$62,E1592=$AB$63,$AF$63,E1592=$AB$64,$AF$64,E1592=$AB$65,$AF$65,E1592=$AB$66,$AF$66,TRUE,"0")</f>
        <v>B4 match BACK FT +1.5 goals. X AFTER  GOAL</v>
      </c>
      <c r="D1592" s="270" t="str" cm="1">
        <f t="array" ref="D1592">_xlfn.IFS(E1592=$AB$42,$AD$42,E1592=$AB$43,$AD$43,E1592=$AB$44,$AD$44,E1592=$AB$45,$AD$45,E1592=$AB$46,$AD$46,E1592=$AB$47,$AD$47,E1592=$AB$48,$AD$48,E1592=$AB$49,$AD$49,E1592=$AB$50,$AD$50,E1592=$AB$51,$AD$51,E1592=$AB$52,$AD$52,E1592=$AB$53,$AD$53,E1592=$AB$54,$AD$54,E1592=$AB$55,$AD$55,E1592=$AB$56,$AD$56,E1592=$AB$57,$AD$57,E1592=$AB$58,$AD$58,E1592=$AB$59,$AD$59,E1592=$AB$60,$AD$60,E1592=$AB$61,$AD$61,E1592=$AB$62,$AD$62,E1592=$AB$63,$AD$63,E1592=$AB$64,$AD$64,E1592=$AB$65,$AD$65,E1592=$AB$66,$AD$66,TRUE,"0")</f>
        <v xml:space="preserve">BFM </v>
      </c>
      <c r="E1592" s="2" t="s">
        <v>623</v>
      </c>
      <c r="F1592" s="2" t="s">
        <v>80</v>
      </c>
      <c r="G1592" s="2" t="s">
        <v>81</v>
      </c>
      <c r="H1592" s="3">
        <v>45430.708333333336</v>
      </c>
      <c r="I1592" s="2" t="s">
        <v>129</v>
      </c>
      <c r="J1592" s="2" t="s">
        <v>292</v>
      </c>
      <c r="K1592" s="2">
        <v>5.7</v>
      </c>
      <c r="L1592" s="2">
        <v>20</v>
      </c>
      <c r="M1592" s="2">
        <v>2.1</v>
      </c>
      <c r="N1592" s="2">
        <v>30</v>
      </c>
      <c r="O1592" s="2">
        <v>0</v>
      </c>
      <c r="P1592" s="2">
        <v>10</v>
      </c>
      <c r="Q1592" s="2" t="s">
        <v>95</v>
      </c>
      <c r="R1592" s="10" t="s">
        <v>193</v>
      </c>
      <c r="S1592" s="10" t="s">
        <v>210</v>
      </c>
      <c r="T1592" s="188">
        <v>1000</v>
      </c>
      <c r="U1592" s="8">
        <f t="shared" si="171"/>
        <v>180</v>
      </c>
      <c r="V1592" s="234">
        <f t="shared" si="175"/>
        <v>169204.15524616028</v>
      </c>
      <c r="W1592" s="15">
        <v>25</v>
      </c>
      <c r="X1592" s="8">
        <f t="shared" si="174"/>
        <v>4.5</v>
      </c>
      <c r="Y1592" s="233">
        <f t="shared" si="176"/>
        <v>6096</v>
      </c>
    </row>
    <row r="1593" spans="1:25">
      <c r="A1593" s="156" t="e" cm="1">
        <f t="array" aca="1" ref="A1593" ca="1">_xlfn.IFS(E1593=$AB$42,$AC$42,E1593=$AB$43,$AC$43,E1593=$AB$44,$AC$44,E1593=$AB$45,$AC$45,E1593=$AB$46,$AC$46,E1593=$AB$47,$AC$47,E1593=$AB$48,$AC$48,E1593=$AB$49,$AC$49,E1593=$AB$50,$AC$50,E1593=$AB$51,$AC$51,E1593=$AB$52,$AC$52,E1593=$AB$53,$AC$53,E1593=$AB$54,$AC$54,E1593=$AB$55,$AC$55,E1593=$AB$56,$AC$56,E1593=$AB$57,$AC$57,E1593=$AB$58,$AC$58,E1593=$AB$59,$AC$59,E1593=$AB$60,$AC$60,E1593=$AB$61,$AC$61,E1593=$AB$62,$AC$62,E1593=$AB$63,$AC$63,E1593=$AB$64,$AC$64,E1593=$AB$65,$AC$65,E1593=$AB$66,$AC$66,TRUE,"0")</f>
        <v>#NAME?</v>
      </c>
      <c r="C1593" s="161" t="str" cm="1">
        <f t="array" ref="C1593">_xlfn.IFS(E1593=$AB$42,$AF$42,E1593=$AB$43,$AF$43,E1593=$AB$44,$AF$44,E1593=$AB$45,$AF$45,E1593=$AB$46,$AF$46,E1593=$AB$47,$AF$47,E1593=$AB$48,$AF$48,E1593=$AB$49,$AF$49,E1593=$AB$50,$AF$50,E1593=$AB$51,$AF$51,E1593=$AB$52,$AF$52,E1593=$AB$53,$AF$53,E1593=$AB$54,$AF$54,E1593=$AB$55,$AF$55,E1593=$AB$56,$AF$56,E1593=$AB$57,$AF$57,E1593=$AB$58,$AF$58,E1593=$AB$59,$AF$59,E1593=$AB$60,$AF$60,E1593=$AB$61,$AF$61,E1593=$AB$62,$AF$62,E1593=$AB$63,$AF$63,E1593=$AB$64,$AF$64,E1593=$AB$65,$AF$65,E1593=$AB$66,$AF$66,TRUE,"0")</f>
        <v>if 0-0, BACK+ 0.5 GOALS  @ 1.15+odds.  or @ 40 mins</v>
      </c>
      <c r="D1593" s="270" t="str" cm="1">
        <f t="array" ref="D1593">_xlfn.IFS(E1593=$AB$42,$AD$42,E1593=$AB$43,$AD$43,E1593=$AB$44,$AD$44,E1593=$AB$45,$AD$45,E1593=$AB$46,$AD$46,E1593=$AB$47,$AD$47,E1593=$AB$48,$AD$48,E1593=$AB$49,$AD$49,E1593=$AB$50,$AD$50,E1593=$AB$51,$AD$51,E1593=$AB$52,$AD$52,E1593=$AB$53,$AD$53,E1593=$AB$54,$AD$54,E1593=$AB$55,$AD$55,E1593=$AB$56,$AD$56,E1593=$AB$57,$AD$57,E1593=$AB$58,$AD$58,E1593=$AB$59,$AD$59,E1593=$AB$60,$AD$60,E1593=$AB$61,$AD$61,E1593=$AB$62,$AD$62,E1593=$AB$63,$AD$63,E1593=$AB$64,$AD$64,E1593=$AB$65,$AD$65,E1593=$AB$66,$AD$66,TRUE,"0")</f>
        <v>IP</v>
      </c>
      <c r="E1593" s="2" t="s">
        <v>270</v>
      </c>
      <c r="F1593" s="2" t="s">
        <v>80</v>
      </c>
      <c r="G1593" s="2" t="s">
        <v>81</v>
      </c>
      <c r="H1593" s="3">
        <v>45430.708333333336</v>
      </c>
      <c r="I1593" s="2" t="s">
        <v>312</v>
      </c>
      <c r="J1593" s="2" t="s">
        <v>551</v>
      </c>
      <c r="K1593" s="2">
        <v>61</v>
      </c>
      <c r="L1593" s="2">
        <v>0</v>
      </c>
      <c r="M1593" s="2">
        <v>20</v>
      </c>
      <c r="N1593" s="2">
        <v>38</v>
      </c>
      <c r="O1593" s="2">
        <v>2.46</v>
      </c>
      <c r="P1593" s="2"/>
      <c r="Q1593" s="2" t="s">
        <v>95</v>
      </c>
      <c r="R1593" s="10" t="s">
        <v>221</v>
      </c>
      <c r="S1593" s="10" t="s">
        <v>215</v>
      </c>
      <c r="T1593" s="188">
        <v>1000</v>
      </c>
      <c r="U1593" s="8">
        <f t="shared" si="171"/>
        <v>180</v>
      </c>
      <c r="V1593" s="234">
        <f t="shared" si="175"/>
        <v>169384.15524616028</v>
      </c>
      <c r="W1593" s="15">
        <v>25</v>
      </c>
      <c r="X1593" s="8">
        <f t="shared" si="174"/>
        <v>4.5</v>
      </c>
      <c r="Y1593" s="233">
        <f t="shared" si="176"/>
        <v>6100.5</v>
      </c>
    </row>
    <row r="1594" spans="1:25">
      <c r="A1594" s="156" t="e" cm="1">
        <f t="array" aca="1" ref="A1594" ca="1">_xlfn.IFS(E1594=$AB$42,$AC$42,E1594=$AB$43,$AC$43,E1594=$AB$44,$AC$44,E1594=$AB$45,$AC$45,E1594=$AB$46,$AC$46,E1594=$AB$47,$AC$47,E1594=$AB$48,$AC$48,E1594=$AB$49,$AC$49,E1594=$AB$50,$AC$50,E1594=$AB$51,$AC$51,E1594=$AB$52,$AC$52,E1594=$AB$53,$AC$53,E1594=$AB$54,$AC$54,E1594=$AB$55,$AC$55,E1594=$AB$56,$AC$56,E1594=$AB$57,$AC$57,E1594=$AB$58,$AC$58,E1594=$AB$59,$AC$59,E1594=$AB$60,$AC$60,E1594=$AB$61,$AC$61,E1594=$AB$62,$AC$62,E1594=$AB$63,$AC$63,E1594=$AB$64,$AC$64,E1594=$AB$65,$AC$65,E1594=$AB$66,$AC$66,TRUE,"0")</f>
        <v>#NAME?</v>
      </c>
      <c r="C1594" s="161" t="str" cm="1">
        <f t="array" ref="C1594">_xlfn.IFS(E1594=$AB$42,$AF$42,E1594=$AB$43,$AF$43,E1594=$AB$44,$AF$44,E1594=$AB$45,$AF$45,E1594=$AB$46,$AF$46,E1594=$AB$47,$AF$47,E1594=$AB$48,$AF$48,E1594=$AB$49,$AF$49,E1594=$AB$50,$AF$50,E1594=$AB$51,$AF$51,E1594=$AB$52,$AF$52,E1594=$AB$53,$AF$53,E1594=$AB$54,$AF$54,E1594=$AB$55,$AF$55,E1594=$AB$56,$AF$56,E1594=$AB$57,$AF$57,E1594=$AB$58,$AF$58,E1594=$AB$59,$AF$59,E1594=$AB$60,$AF$60,E1594=$AB$61,$AF$61,E1594=$AB$62,$AF$62,E1594=$AB$63,$AF$63,E1594=$AB$64,$AF$64,E1594=$AB$65,$AF$65,E1594=$AB$66,$AF$66,TRUE,"0")</f>
        <v>40 mins Back ANother Goal</v>
      </c>
      <c r="D1594" s="270" t="str" cm="1">
        <f t="array" ref="D1594">_xlfn.IFS(E1594=$AB$42,$AD$42,E1594=$AB$43,$AD$43,E1594=$AB$44,$AD$44,E1594=$AB$45,$AD$45,E1594=$AB$46,$AD$46,E1594=$AB$47,$AD$47,E1594=$AB$48,$AD$48,E1594=$AB$49,$AD$49,E1594=$AB$50,$AD$50,E1594=$AB$51,$AD$51,E1594=$AB$52,$AD$52,E1594=$AB$53,$AD$53,E1594=$AB$54,$AD$54,E1594=$AB$55,$AD$55,E1594=$AB$56,$AD$56,E1594=$AB$57,$AD$57,E1594=$AB$58,$AD$58,E1594=$AB$59,$AD$59,E1594=$AB$60,$AD$60,E1594=$AB$61,$AD$61,E1594=$AB$62,$AD$62,E1594=$AB$63,$AD$63,E1594=$AB$64,$AD$64,E1594=$AB$65,$AD$65,E1594=$AB$66,$AD$66,TRUE,"0")</f>
        <v xml:space="preserve">  BANG</v>
      </c>
      <c r="E1594" s="2" t="s">
        <v>43</v>
      </c>
      <c r="F1594" s="2" t="s">
        <v>20</v>
      </c>
      <c r="G1594" s="2" t="s">
        <v>21</v>
      </c>
      <c r="H1594" s="3">
        <v>45430.822916666664</v>
      </c>
      <c r="I1594" s="2" t="s">
        <v>336</v>
      </c>
      <c r="J1594" s="2" t="s">
        <v>109</v>
      </c>
      <c r="K1594" s="2">
        <v>86</v>
      </c>
      <c r="L1594" s="2">
        <v>68</v>
      </c>
      <c r="M1594" s="2">
        <v>63</v>
      </c>
      <c r="N1594" s="2">
        <v>1.6</v>
      </c>
      <c r="O1594" s="2">
        <v>1.4</v>
      </c>
      <c r="P1594" s="2"/>
      <c r="Q1594" s="2" t="s">
        <v>95</v>
      </c>
      <c r="R1594" s="10" t="s">
        <v>220</v>
      </c>
      <c r="S1594" s="10" t="s">
        <v>215</v>
      </c>
      <c r="T1594" s="188">
        <v>1000</v>
      </c>
      <c r="U1594" s="8">
        <f t="shared" si="171"/>
        <v>180</v>
      </c>
      <c r="V1594" s="234">
        <f t="shared" ref="V1594:V1595" si="177">SUM(V1593,U1594)</f>
        <v>169564.15524616028</v>
      </c>
      <c r="W1594" s="15">
        <v>25</v>
      </c>
      <c r="X1594" s="8">
        <f t="shared" si="174"/>
        <v>4.5</v>
      </c>
      <c r="Y1594" s="233">
        <f t="shared" si="176"/>
        <v>6105</v>
      </c>
    </row>
    <row r="1595" spans="1:25">
      <c r="A1595" s="156" t="e" cm="1">
        <f t="array" aca="1" ref="A1595" ca="1">_xlfn.IFS(E1595=$AB$42,$AC$42,E1595=$AB$43,$AC$43,E1595=$AB$44,$AC$44,E1595=$AB$45,$AC$45,E1595=$AB$46,$AC$46,E1595=$AB$47,$AC$47,E1595=$AB$48,$AC$48,E1595=$AB$49,$AC$49,E1595=$AB$50,$AC$50,E1595=$AB$51,$AC$51,E1595=$AB$52,$AC$52,E1595=$AB$53,$AC$53,E1595=$AB$54,$AC$54,E1595=$AB$55,$AC$55,E1595=$AB$56,$AC$56,E1595=$AB$57,$AC$57,E1595=$AB$58,$AC$58,E1595=$AB$59,$AC$59,E1595=$AB$60,$AC$60,E1595=$AB$61,$AC$61,E1595=$AB$62,$AC$62,E1595=$AB$63,$AC$63,E1595=$AB$64,$AC$64,E1595=$AB$65,$AC$65,E1595=$AB$66,$AC$66,TRUE,"0")</f>
        <v>#NAME?</v>
      </c>
      <c r="C1595" s="161" t="str" cm="1">
        <f t="array" ref="C1595">_xlfn.IFS(E1595=$AB$42,$AF$42,E1595=$AB$43,$AF$43,E1595=$AB$44,$AF$44,E1595=$AB$45,$AF$45,E1595=$AB$46,$AF$46,E1595=$AB$47,$AF$47,E1595=$AB$48,$AF$48,E1595=$AB$49,$AF$49,E1595=$AB$50,$AF$50,E1595=$AB$51,$AF$51,E1595=$AB$52,$AF$52,E1595=$AB$53,$AF$53,E1595=$AB$54,$AF$54,E1595=$AB$55,$AF$55,E1595=$AB$56,$AF$56,E1595=$AB$57,$AF$57,E1595=$AB$58,$AF$58,E1595=$AB$59,$AF$59,E1595=$AB$60,$AF$60,E1595=$AB$61,$AF$61,E1595=$AB$62,$AF$62,E1595=$AB$63,$AF$63,E1595=$AB$64,$AF$64,E1595=$AB$65,$AF$65,E1595=$AB$66,$AF$66,TRUE,"0")</f>
        <v>if 0-0, BACK+ 0.5 GOALS  @ 1.15+odds.  or @ 40 mins</v>
      </c>
      <c r="D1595" s="270" t="str" cm="1">
        <f t="array" ref="D1595">_xlfn.IFS(E1595=$AB$42,$AD$42,E1595=$AB$43,$AD$43,E1595=$AB$44,$AD$44,E1595=$AB$45,$AD$45,E1595=$AB$46,$AD$46,E1595=$AB$47,$AD$47,E1595=$AB$48,$AD$48,E1595=$AB$49,$AD$49,E1595=$AB$50,$AD$50,E1595=$AB$51,$AD$51,E1595=$AB$52,$AD$52,E1595=$AB$53,$AD$53,E1595=$AB$54,$AD$54,E1595=$AB$55,$AD$55,E1595=$AB$56,$AD$56,E1595=$AB$57,$AD$57,E1595=$AB$58,$AD$58,E1595=$AB$59,$AD$59,E1595=$AB$60,$AD$60,E1595=$AB$61,$AD$61,E1595=$AB$62,$AD$62,E1595=$AB$63,$AD$63,E1595=$AB$64,$AD$64,E1595=$AB$65,$AD$65,E1595=$AB$66,$AD$66,TRUE,"0")</f>
        <v>IP</v>
      </c>
      <c r="E1595" s="2" t="s">
        <v>270</v>
      </c>
      <c r="F1595" s="2" t="s">
        <v>58</v>
      </c>
      <c r="G1595" s="2" t="s">
        <v>59</v>
      </c>
      <c r="H1595" s="3">
        <v>45430.854166666664</v>
      </c>
      <c r="I1595" s="2" t="s">
        <v>112</v>
      </c>
      <c r="J1595" s="2" t="s">
        <v>172</v>
      </c>
      <c r="K1595" s="2">
        <v>61</v>
      </c>
      <c r="L1595" s="2">
        <v>0</v>
      </c>
      <c r="M1595" s="2">
        <v>20</v>
      </c>
      <c r="N1595" s="2">
        <v>32</v>
      </c>
      <c r="O1595" s="2">
        <v>2.86</v>
      </c>
      <c r="P1595" s="2"/>
      <c r="Q1595" s="2" t="s">
        <v>95</v>
      </c>
      <c r="R1595" s="10" t="s">
        <v>221</v>
      </c>
      <c r="S1595" s="10" t="s">
        <v>193</v>
      </c>
      <c r="T1595" s="188">
        <v>1000</v>
      </c>
      <c r="U1595" s="8">
        <f t="shared" si="171"/>
        <v>180</v>
      </c>
      <c r="V1595" s="234">
        <f t="shared" si="177"/>
        <v>169744.15524616028</v>
      </c>
      <c r="W1595" s="15">
        <v>25</v>
      </c>
      <c r="X1595" s="8">
        <f t="shared" si="174"/>
        <v>4.5</v>
      </c>
      <c r="Y1595" s="233">
        <f t="shared" si="176"/>
        <v>6109.5</v>
      </c>
    </row>
    <row r="1596" spans="1:25">
      <c r="A1596" s="156" t="e" cm="1">
        <f t="array" aca="1" ref="A1596" ca="1">_xlfn.IFS(E1596=$AB$42,$AC$42,E1596=$AB$43,$AC$43,E1596=$AB$44,$AC$44,E1596=$AB$45,$AC$45,E1596=$AB$46,$AC$46,E1596=$AB$47,$AC$47,E1596=$AB$48,$AC$48,E1596=$AB$49,$AC$49,E1596=$AB$50,$AC$50,E1596=$AB$51,$AC$51,E1596=$AB$52,$AC$52,E1596=$AB$53,$AC$53,E1596=$AB$54,$AC$54,E1596=$AB$55,$AC$55,E1596=$AB$56,$AC$56,E1596=$AB$57,$AC$57,E1596=$AB$58,$AC$58,E1596=$AB$59,$AC$59,E1596=$AB$60,$AC$60,E1596=$AB$61,$AC$61,E1596=$AB$62,$AC$62,E1596=$AB$63,$AC$63,E1596=$AB$64,$AC$64,E1596=$AB$65,$AC$65,E1596=$AB$66,$AC$66,TRUE,"0")</f>
        <v>#NAME?</v>
      </c>
      <c r="C1596" s="161" t="str" cm="1">
        <f t="array" ref="C1596">_xlfn.IFS(E1596=$AB$42,$AF$42,E1596=$AB$43,$AF$43,E1596=$AB$44,$AF$44,E1596=$AB$45,$AF$45,E1596=$AB$46,$AF$46,E1596=$AB$47,$AF$47,E1596=$AB$48,$AF$48,E1596=$AB$49,$AF$49,E1596=$AB$50,$AF$50,E1596=$AB$51,$AF$51,E1596=$AB$52,$AF$52,E1596=$AB$53,$AF$53,E1596=$AB$54,$AF$54,E1596=$AB$55,$AF$55,E1596=$AB$56,$AF$56,E1596=$AB$57,$AF$57,E1596=$AB$58,$AF$58,E1596=$AB$59,$AF$59,E1596=$AB$60,$AF$60,E1596=$AB$61,$AF$61,E1596=$AB$62,$AF$62,E1596=$AB$63,$AF$63,E1596=$AB$64,$AF$64,E1596=$AB$65,$AF$65,E1596=$AB$66,$AF$66,TRUE,"0")</f>
        <v>40 mins Back ANother Goal</v>
      </c>
      <c r="D1596" s="270" t="str" cm="1">
        <f t="array" ref="D1596">_xlfn.IFS(E1596=$AB$42,$AD$42,E1596=$AB$43,$AD$43,E1596=$AB$44,$AD$44,E1596=$AB$45,$AD$45,E1596=$AB$46,$AD$46,E1596=$AB$47,$AD$47,E1596=$AB$48,$AD$48,E1596=$AB$49,$AD$49,E1596=$AB$50,$AD$50,E1596=$AB$51,$AD$51,E1596=$AB$52,$AD$52,E1596=$AB$53,$AD$53,E1596=$AB$54,$AD$54,E1596=$AB$55,$AD$55,E1596=$AB$56,$AD$56,E1596=$AB$57,$AD$57,E1596=$AB$58,$AD$58,E1596=$AB$59,$AD$59,E1596=$AB$60,$AD$60,E1596=$AB$61,$AD$61,E1596=$AB$62,$AD$62,E1596=$AB$63,$AD$63,E1596=$AB$64,$AD$64,E1596=$AB$65,$AD$65,E1596=$AB$66,$AD$66,TRUE,"0")</f>
        <v xml:space="preserve">  BANG</v>
      </c>
      <c r="E1596" s="2" t="s">
        <v>515</v>
      </c>
      <c r="F1596" s="2" t="s">
        <v>572</v>
      </c>
      <c r="G1596" s="2" t="s">
        <v>670</v>
      </c>
      <c r="H1596" s="3">
        <v>45431.291666666664</v>
      </c>
      <c r="I1596" s="2" t="s">
        <v>842</v>
      </c>
      <c r="J1596" s="2" t="s">
        <v>843</v>
      </c>
      <c r="K1596" s="2">
        <v>20</v>
      </c>
      <c r="L1596" s="2">
        <v>70</v>
      </c>
      <c r="M1596" s="2">
        <v>1.65</v>
      </c>
      <c r="N1596" s="2"/>
      <c r="O1596" s="2"/>
      <c r="P1596" s="2"/>
      <c r="Q1596" s="2" t="s">
        <v>95</v>
      </c>
      <c r="R1596" s="10" t="s">
        <v>221</v>
      </c>
      <c r="S1596" s="10" t="s">
        <v>214</v>
      </c>
      <c r="T1596" s="188">
        <v>1000</v>
      </c>
      <c r="U1596" s="8">
        <f t="shared" si="171"/>
        <v>180</v>
      </c>
      <c r="V1596" s="234">
        <f t="shared" ref="V1596" si="178">SUM(V1595,U1596)</f>
        <v>169924.15524616028</v>
      </c>
      <c r="W1596" s="15">
        <v>25</v>
      </c>
      <c r="X1596" s="8">
        <f t="shared" si="174"/>
        <v>4.5</v>
      </c>
      <c r="Y1596" s="233">
        <f t="shared" si="176"/>
        <v>6114</v>
      </c>
    </row>
    <row r="1597" spans="1:25">
      <c r="A1597" s="156" t="e" cm="1">
        <f t="array" aca="1" ref="A1597" ca="1">_xlfn.IFS(E1597=$AB$42,$AC$42,E1597=$AB$43,$AC$43,E1597=$AB$44,$AC$44,E1597=$AB$45,$AC$45,E1597=$AB$46,$AC$46,E1597=$AB$47,$AC$47,E1597=$AB$48,$AC$48,E1597=$AB$49,$AC$49,E1597=$AB$50,$AC$50,E1597=$AB$51,$AC$51,E1597=$AB$52,$AC$52,E1597=$AB$53,$AC$53,E1597=$AB$54,$AC$54,E1597=$AB$55,$AC$55,E1597=$AB$56,$AC$56,E1597=$AB$57,$AC$57,E1597=$AB$58,$AC$58,E1597=$AB$59,$AC$59,E1597=$AB$60,$AC$60,E1597=$AB$61,$AC$61,E1597=$AB$62,$AC$62,E1597=$AB$63,$AC$63,E1597=$AB$64,$AC$64,E1597=$AB$65,$AC$65,E1597=$AB$66,$AC$66,TRUE,"0")</f>
        <v>#NAME?</v>
      </c>
      <c r="C1597" s="161" t="str" cm="1">
        <f t="array" ref="C1597">_xlfn.IFS(E1597=$AB$42,$AF$42,E1597=$AB$43,$AF$43,E1597=$AB$44,$AF$44,E1597=$AB$45,$AF$45,E1597=$AB$46,$AF$46,E1597=$AB$47,$AF$47,E1597=$AB$48,$AF$48,E1597=$AB$49,$AF$49,E1597=$AB$50,$AF$50,E1597=$AB$51,$AF$51,E1597=$AB$52,$AF$52,E1597=$AB$53,$AF$53,E1597=$AB$54,$AF$54,E1597=$AB$55,$AF$55,E1597=$AB$56,$AF$56,E1597=$AB$57,$AF$57,E1597=$AB$58,$AF$58,E1597=$AB$59,$AF$59,E1597=$AB$60,$AF$60,E1597=$AB$61,$AF$61,E1597=$AB$62,$AF$62,E1597=$AB$63,$AF$63,E1597=$AB$64,$AF$64,E1597=$AB$65,$AF$65,E1597=$AB$66,$AF$66,TRUE,"0")</f>
        <v>40 mins Back ANother Goal</v>
      </c>
      <c r="D1597" s="270" t="str" cm="1">
        <f t="array" ref="D1597">_xlfn.IFS(E1597=$AB$42,$AD$42,E1597=$AB$43,$AD$43,E1597=$AB$44,$AD$44,E1597=$AB$45,$AD$45,E1597=$AB$46,$AD$46,E1597=$AB$47,$AD$47,E1597=$AB$48,$AD$48,E1597=$AB$49,$AD$49,E1597=$AB$50,$AD$50,E1597=$AB$51,$AD$51,E1597=$AB$52,$AD$52,E1597=$AB$53,$AD$53,E1597=$AB$54,$AD$54,E1597=$AB$55,$AD$55,E1597=$AB$56,$AD$56,E1597=$AB$57,$AD$57,E1597=$AB$58,$AD$58,E1597=$AB$59,$AD$59,E1597=$AB$60,$AD$60,E1597=$AB$61,$AD$61,E1597=$AB$62,$AD$62,E1597=$AB$63,$AD$63,E1597=$AB$64,$AD$64,E1597=$AB$65,$AD$65,E1597=$AB$66,$AD$66,TRUE,"0")</f>
        <v xml:space="preserve">  BANG</v>
      </c>
      <c r="E1597" s="2" t="s">
        <v>515</v>
      </c>
      <c r="F1597" s="2" t="s">
        <v>534</v>
      </c>
      <c r="G1597" s="2" t="s">
        <v>535</v>
      </c>
      <c r="H1597" s="3">
        <v>45431.458333333336</v>
      </c>
      <c r="I1597" s="2" t="s">
        <v>536</v>
      </c>
      <c r="J1597" s="2" t="s">
        <v>828</v>
      </c>
      <c r="K1597" s="2">
        <v>20</v>
      </c>
      <c r="L1597" s="2">
        <v>76</v>
      </c>
      <c r="M1597" s="2">
        <v>2.2000000000000002</v>
      </c>
      <c r="N1597" s="2"/>
      <c r="O1597" s="2"/>
      <c r="P1597" s="2"/>
      <c r="Q1597" s="2" t="s">
        <v>95</v>
      </c>
      <c r="R1597" s="10" t="s">
        <v>221</v>
      </c>
      <c r="S1597" s="10" t="s">
        <v>214</v>
      </c>
      <c r="T1597" s="188">
        <v>1000</v>
      </c>
      <c r="U1597" s="8">
        <f t="shared" ref="U1597:U1660" si="179">IF(Q1597="won",T1597*0.18,-T1597)</f>
        <v>180</v>
      </c>
      <c r="V1597" s="234">
        <f t="shared" ref="V1597:V1660" si="180">SUM(V1596,U1597)</f>
        <v>170104.15524616028</v>
      </c>
      <c r="W1597" s="15">
        <v>25</v>
      </c>
      <c r="X1597" s="8">
        <f t="shared" si="174"/>
        <v>4.5</v>
      </c>
      <c r="Y1597" s="233">
        <f t="shared" si="176"/>
        <v>6118.5</v>
      </c>
    </row>
    <row r="1598" spans="1:25">
      <c r="A1598" s="156" t="e" cm="1">
        <f t="array" aca="1" ref="A1598" ca="1">_xlfn.IFS(E1598=$AB$42,$AC$42,E1598=$AB$43,$AC$43,E1598=$AB$44,$AC$44,E1598=$AB$45,$AC$45,E1598=$AB$46,$AC$46,E1598=$AB$47,$AC$47,E1598=$AB$48,$AC$48,E1598=$AB$49,$AC$49,E1598=$AB$50,$AC$50,E1598=$AB$51,$AC$51,E1598=$AB$52,$AC$52,E1598=$AB$53,$AC$53,E1598=$AB$54,$AC$54,E1598=$AB$55,$AC$55,E1598=$AB$56,$AC$56,E1598=$AB$57,$AC$57,E1598=$AB$58,$AC$58,E1598=$AB$59,$AC$59,E1598=$AB$60,$AC$60,E1598=$AB$61,$AC$61,E1598=$AB$62,$AC$62,E1598=$AB$63,$AC$63,E1598=$AB$64,$AC$64,E1598=$AB$65,$AC$65,E1598=$AB$66,$AC$66,TRUE,"0")</f>
        <v>#NAME?</v>
      </c>
      <c r="C1598" s="161" t="str" cm="1">
        <f t="array" ref="C1598">_xlfn.IFS(E1598=$AB$42,$AF$42,E1598=$AB$43,$AF$43,E1598=$AB$44,$AF$44,E1598=$AB$45,$AF$45,E1598=$AB$46,$AF$46,E1598=$AB$47,$AF$47,E1598=$AB$48,$AF$48,E1598=$AB$49,$AF$49,E1598=$AB$50,$AF$50,E1598=$AB$51,$AF$51,E1598=$AB$52,$AF$52,E1598=$AB$53,$AF$53,E1598=$AB$54,$AF$54,E1598=$AB$55,$AF$55,E1598=$AB$56,$AF$56,E1598=$AB$57,$AF$57,E1598=$AB$58,$AF$58,E1598=$AB$59,$AF$59,E1598=$AB$60,$AF$60,E1598=$AB$61,$AF$61,E1598=$AB$62,$AF$62,E1598=$AB$63,$AF$63,E1598=$AB$64,$AF$64,E1598=$AB$65,$AF$65,E1598=$AB$66,$AF$66,TRUE,"0")</f>
        <v>B4 match BACK FT +1.5 goals. X AFTER  GOAL</v>
      </c>
      <c r="D1598" s="270" t="str" cm="1">
        <f t="array" ref="D1598">_xlfn.IFS(E1598=$AB$42,$AD$42,E1598=$AB$43,$AD$43,E1598=$AB$44,$AD$44,E1598=$AB$45,$AD$45,E1598=$AB$46,$AD$46,E1598=$AB$47,$AD$47,E1598=$AB$48,$AD$48,E1598=$AB$49,$AD$49,E1598=$AB$50,$AD$50,E1598=$AB$51,$AD$51,E1598=$AB$52,$AD$52,E1598=$AB$53,$AD$53,E1598=$AB$54,$AD$54,E1598=$AB$55,$AD$55,E1598=$AB$56,$AD$56,E1598=$AB$57,$AD$57,E1598=$AB$58,$AD$58,E1598=$AB$59,$AD$59,E1598=$AB$60,$AD$60,E1598=$AB$61,$AD$61,E1598=$AB$62,$AD$62,E1598=$AB$63,$AD$63,E1598=$AB$64,$AD$64,E1598=$AB$65,$AD$65,E1598=$AB$66,$AD$66,TRUE,"0")</f>
        <v xml:space="preserve">BFM </v>
      </c>
      <c r="E1598" s="2" t="s">
        <v>623</v>
      </c>
      <c r="F1598" s="2" t="s">
        <v>119</v>
      </c>
      <c r="G1598" s="2" t="s">
        <v>166</v>
      </c>
      <c r="H1598" s="3">
        <v>45431.541666666664</v>
      </c>
      <c r="I1598" s="2" t="s">
        <v>719</v>
      </c>
      <c r="J1598" s="2" t="s">
        <v>851</v>
      </c>
      <c r="K1598" s="2">
        <v>6</v>
      </c>
      <c r="L1598" s="2">
        <v>20</v>
      </c>
      <c r="M1598" s="2">
        <v>2.25</v>
      </c>
      <c r="N1598" s="2">
        <v>31</v>
      </c>
      <c r="O1598" s="2">
        <v>2</v>
      </c>
      <c r="P1598" s="2">
        <v>10</v>
      </c>
      <c r="Q1598" s="2" t="s">
        <v>95</v>
      </c>
      <c r="R1598" s="10" t="s">
        <v>214</v>
      </c>
      <c r="S1598" s="10" t="s">
        <v>214</v>
      </c>
      <c r="T1598" s="188">
        <v>1000</v>
      </c>
      <c r="U1598" s="8">
        <f t="shared" si="179"/>
        <v>180</v>
      </c>
      <c r="V1598" s="234">
        <f t="shared" si="180"/>
        <v>170284.15524616028</v>
      </c>
      <c r="W1598" s="15">
        <v>25</v>
      </c>
      <c r="X1598" s="8">
        <f t="shared" si="174"/>
        <v>4.5</v>
      </c>
      <c r="Y1598" s="233">
        <f t="shared" si="176"/>
        <v>6123</v>
      </c>
    </row>
    <row r="1599" spans="1:25">
      <c r="A1599" s="156" t="e" cm="1">
        <f t="array" aca="1" ref="A1599" ca="1">_xlfn.IFS(E1599=$AB$42,$AC$42,E1599=$AB$43,$AC$43,E1599=$AB$44,$AC$44,E1599=$AB$45,$AC$45,E1599=$AB$46,$AC$46,E1599=$AB$47,$AC$47,E1599=$AB$48,$AC$48,E1599=$AB$49,$AC$49,E1599=$AB$50,$AC$50,E1599=$AB$51,$AC$51,E1599=$AB$52,$AC$52,E1599=$AB$53,$AC$53,E1599=$AB$54,$AC$54,E1599=$AB$55,$AC$55,E1599=$AB$56,$AC$56,E1599=$AB$57,$AC$57,E1599=$AB$58,$AC$58,E1599=$AB$59,$AC$59,E1599=$AB$60,$AC$60,E1599=$AB$61,$AC$61,E1599=$AB$62,$AC$62,E1599=$AB$63,$AC$63,E1599=$AB$64,$AC$64,E1599=$AB$65,$AC$65,E1599=$AB$66,$AC$66,TRUE,"0")</f>
        <v>#NAME?</v>
      </c>
      <c r="C1599" s="161" t="str" cm="1">
        <f t="array" ref="C1599">_xlfn.IFS(E1599=$AB$42,$AF$42,E1599=$AB$43,$AF$43,E1599=$AB$44,$AF$44,E1599=$AB$45,$AF$45,E1599=$AB$46,$AF$46,E1599=$AB$47,$AF$47,E1599=$AB$48,$AF$48,E1599=$AB$49,$AF$49,E1599=$AB$50,$AF$50,E1599=$AB$51,$AF$51,E1599=$AB$52,$AF$52,E1599=$AB$53,$AF$53,E1599=$AB$54,$AF$54,E1599=$AB$55,$AF$55,E1599=$AB$56,$AF$56,E1599=$AB$57,$AF$57,E1599=$AB$58,$AF$58,E1599=$AB$59,$AF$59,E1599=$AB$60,$AF$60,E1599=$AB$61,$AF$61,E1599=$AB$62,$AF$62,E1599=$AB$63,$AF$63,E1599=$AB$64,$AF$64,E1599=$AB$65,$AF$65,E1599=$AB$66,$AF$66,TRUE,"0")</f>
        <v>40 mins Back ANother Goal</v>
      </c>
      <c r="D1599" s="270" t="str" cm="1">
        <f t="array" ref="D1599">_xlfn.IFS(E1599=$AB$42,$AD$42,E1599=$AB$43,$AD$43,E1599=$AB$44,$AD$44,E1599=$AB$45,$AD$45,E1599=$AB$46,$AD$46,E1599=$AB$47,$AD$47,E1599=$AB$48,$AD$48,E1599=$AB$49,$AD$49,E1599=$AB$50,$AD$50,E1599=$AB$51,$AD$51,E1599=$AB$52,$AD$52,E1599=$AB$53,$AD$53,E1599=$AB$54,$AD$54,E1599=$AB$55,$AD$55,E1599=$AB$56,$AD$56,E1599=$AB$57,$AD$57,E1599=$AB$58,$AD$58,E1599=$AB$59,$AD$59,E1599=$AB$60,$AD$60,E1599=$AB$61,$AD$61,E1599=$AB$62,$AD$62,E1599=$AB$63,$AD$63,E1599=$AB$64,$AD$64,E1599=$AB$65,$AD$65,E1599=$AB$66,$AD$66,TRUE,"0")</f>
        <v xml:space="preserve">  BANG</v>
      </c>
      <c r="E1599" s="2" t="s">
        <v>726</v>
      </c>
      <c r="F1599" s="2" t="s">
        <v>149</v>
      </c>
      <c r="G1599" s="2" t="s">
        <v>153</v>
      </c>
      <c r="H1599" s="3">
        <v>45431.5625</v>
      </c>
      <c r="I1599" s="2" t="s">
        <v>248</v>
      </c>
      <c r="J1599" s="2" t="s">
        <v>241</v>
      </c>
      <c r="K1599" s="2">
        <v>80</v>
      </c>
      <c r="L1599" s="2">
        <v>20</v>
      </c>
      <c r="M1599" s="2">
        <v>1.95</v>
      </c>
      <c r="N1599" s="2">
        <v>64</v>
      </c>
      <c r="O1599" s="2"/>
      <c r="P1599" s="2"/>
      <c r="Q1599" s="2" t="s">
        <v>95</v>
      </c>
      <c r="R1599" s="10" t="s">
        <v>223</v>
      </c>
      <c r="S1599" s="10" t="s">
        <v>225</v>
      </c>
      <c r="T1599" s="188">
        <v>1000</v>
      </c>
      <c r="U1599" s="8">
        <f t="shared" si="179"/>
        <v>180</v>
      </c>
      <c r="V1599" s="234">
        <f t="shared" si="180"/>
        <v>170464.15524616028</v>
      </c>
      <c r="W1599" s="15">
        <v>25</v>
      </c>
      <c r="X1599" s="8">
        <f t="shared" si="174"/>
        <v>4.5</v>
      </c>
      <c r="Y1599" s="233">
        <f t="shared" si="176"/>
        <v>6127.5</v>
      </c>
    </row>
    <row r="1600" spans="1:25">
      <c r="A1600" s="156" t="e" cm="1">
        <f t="array" aca="1" ref="A1600" ca="1">_xlfn.IFS(E1600=$AB$42,$AC$42,E1600=$AB$43,$AC$43,E1600=$AB$44,$AC$44,E1600=$AB$45,$AC$45,E1600=$AB$46,$AC$46,E1600=$AB$47,$AC$47,E1600=$AB$48,$AC$48,E1600=$AB$49,$AC$49,E1600=$AB$50,$AC$50,E1600=$AB$51,$AC$51,E1600=$AB$52,$AC$52,E1600=$AB$53,$AC$53,E1600=$AB$54,$AC$54,E1600=$AB$55,$AC$55,E1600=$AB$56,$AC$56,E1600=$AB$57,$AC$57,E1600=$AB$58,$AC$58,E1600=$AB$59,$AC$59,E1600=$AB$60,$AC$60,E1600=$AB$61,$AC$61,E1600=$AB$62,$AC$62,E1600=$AB$63,$AC$63,E1600=$AB$64,$AC$64,E1600=$AB$65,$AC$65,E1600=$AB$66,$AC$66,TRUE,"0")</f>
        <v>#NAME?</v>
      </c>
      <c r="C1600" s="161" t="str" cm="1">
        <f t="array" ref="C1600">_xlfn.IFS(E1600=$AB$42,$AF$42,E1600=$AB$43,$AF$43,E1600=$AB$44,$AF$44,E1600=$AB$45,$AF$45,E1600=$AB$46,$AF$46,E1600=$AB$47,$AF$47,E1600=$AB$48,$AF$48,E1600=$AB$49,$AF$49,E1600=$AB$50,$AF$50,E1600=$AB$51,$AF$51,E1600=$AB$52,$AF$52,E1600=$AB$53,$AF$53,E1600=$AB$54,$AF$54,E1600=$AB$55,$AF$55,E1600=$AB$56,$AF$56,E1600=$AB$57,$AF$57,E1600=$AB$58,$AF$58,E1600=$AB$59,$AF$59,E1600=$AB$60,$AF$60,E1600=$AB$61,$AF$61,E1600=$AB$62,$AF$62,E1600=$AB$63,$AF$63,E1600=$AB$64,$AF$64,E1600=$AB$65,$AF$65,E1600=$AB$66,$AF$66,TRUE,"0")</f>
        <v>B4 match BACK FT +1.5 goals. X AFTER  GOAL</v>
      </c>
      <c r="D1600" s="270" t="str" cm="1">
        <f t="array" ref="D1600">_xlfn.IFS(E1600=$AB$42,$AD$42,E1600=$AB$43,$AD$43,E1600=$AB$44,$AD$44,E1600=$AB$45,$AD$45,E1600=$AB$46,$AD$46,E1600=$AB$47,$AD$47,E1600=$AB$48,$AD$48,E1600=$AB$49,$AD$49,E1600=$AB$50,$AD$50,E1600=$AB$51,$AD$51,E1600=$AB$52,$AD$52,E1600=$AB$53,$AD$53,E1600=$AB$54,$AD$54,E1600=$AB$55,$AD$55,E1600=$AB$56,$AD$56,E1600=$AB$57,$AD$57,E1600=$AB$58,$AD$58,E1600=$AB$59,$AD$59,E1600=$AB$60,$AD$60,E1600=$AB$61,$AD$61,E1600=$AB$62,$AD$62,E1600=$AB$63,$AD$63,E1600=$AB$64,$AD$64,E1600=$AB$65,$AD$65,E1600=$AB$66,$AD$66,TRUE,"0")</f>
        <v xml:space="preserve">BFM </v>
      </c>
      <c r="E1600" s="2" t="s">
        <v>623</v>
      </c>
      <c r="F1600" s="2" t="s">
        <v>149</v>
      </c>
      <c r="G1600" s="2" t="s">
        <v>153</v>
      </c>
      <c r="H1600" s="3">
        <v>45431.5625</v>
      </c>
      <c r="I1600" s="2" t="s">
        <v>245</v>
      </c>
      <c r="J1600" s="2" t="s">
        <v>250</v>
      </c>
      <c r="K1600" s="2">
        <v>4.5</v>
      </c>
      <c r="L1600" s="2">
        <v>20</v>
      </c>
      <c r="M1600" s="2">
        <v>3</v>
      </c>
      <c r="N1600" s="2">
        <v>20</v>
      </c>
      <c r="O1600" s="2">
        <v>3</v>
      </c>
      <c r="P1600" s="2">
        <v>10</v>
      </c>
      <c r="Q1600" s="2" t="s">
        <v>95</v>
      </c>
      <c r="R1600" s="10" t="s">
        <v>207</v>
      </c>
      <c r="S1600" s="10" t="s">
        <v>279</v>
      </c>
      <c r="T1600" s="188">
        <v>1000</v>
      </c>
      <c r="U1600" s="8">
        <f t="shared" si="179"/>
        <v>180</v>
      </c>
      <c r="V1600" s="234">
        <f t="shared" si="180"/>
        <v>170644.15524616028</v>
      </c>
      <c r="W1600" s="15">
        <v>25</v>
      </c>
      <c r="X1600" s="8">
        <f t="shared" si="174"/>
        <v>4.5</v>
      </c>
      <c r="Y1600" s="233">
        <f t="shared" si="176"/>
        <v>6132</v>
      </c>
    </row>
    <row r="1601" spans="1:25">
      <c r="A1601" s="156" t="e" cm="1">
        <f t="array" aca="1" ref="A1601" ca="1">_xlfn.IFS(E1601=$AB$42,$AC$42,E1601=$AB$43,$AC$43,E1601=$AB$44,$AC$44,E1601=$AB$45,$AC$45,E1601=$AB$46,$AC$46,E1601=$AB$47,$AC$47,E1601=$AB$48,$AC$48,E1601=$AB$49,$AC$49,E1601=$AB$50,$AC$50,E1601=$AB$51,$AC$51,E1601=$AB$52,$AC$52,E1601=$AB$53,$AC$53,E1601=$AB$54,$AC$54,E1601=$AB$55,$AC$55,E1601=$AB$56,$AC$56,E1601=$AB$57,$AC$57,E1601=$AB$58,$AC$58,E1601=$AB$59,$AC$59,E1601=$AB$60,$AC$60,E1601=$AB$61,$AC$61,E1601=$AB$62,$AC$62,E1601=$AB$63,$AC$63,E1601=$AB$64,$AC$64,E1601=$AB$65,$AC$65,E1601=$AB$66,$AC$66,TRUE,"0")</f>
        <v>#NAME?</v>
      </c>
      <c r="C1601" s="161" t="str" cm="1">
        <f t="array" ref="C1601">_xlfn.IFS(E1601=$AB$42,$AF$42,E1601=$AB$43,$AF$43,E1601=$AB$44,$AF$44,E1601=$AB$45,$AF$45,E1601=$AB$46,$AF$46,E1601=$AB$47,$AF$47,E1601=$AB$48,$AF$48,E1601=$AB$49,$AF$49,E1601=$AB$50,$AF$50,E1601=$AB$51,$AF$51,E1601=$AB$52,$AF$52,E1601=$AB$53,$AF$53,E1601=$AB$54,$AF$54,E1601=$AB$55,$AF$55,E1601=$AB$56,$AF$56,E1601=$AB$57,$AF$57,E1601=$AB$58,$AF$58,E1601=$AB$59,$AF$59,E1601=$AB$60,$AF$60,E1601=$AB$61,$AF$61,E1601=$AB$62,$AF$62,E1601=$AB$63,$AF$63,E1601=$AB$64,$AF$64,E1601=$AB$65,$AF$65,E1601=$AB$66,$AF$66,TRUE,"0")</f>
        <v>40 mins Back ANother Goal</v>
      </c>
      <c r="D1601" s="270" t="str" cm="1">
        <f t="array" ref="D1601">_xlfn.IFS(E1601=$AB$42,$AD$42,E1601=$AB$43,$AD$43,E1601=$AB$44,$AD$44,E1601=$AB$45,$AD$45,E1601=$AB$46,$AD$46,E1601=$AB$47,$AD$47,E1601=$AB$48,$AD$48,E1601=$AB$49,$AD$49,E1601=$AB$50,$AD$50,E1601=$AB$51,$AD$51,E1601=$AB$52,$AD$52,E1601=$AB$53,$AD$53,E1601=$AB$54,$AD$54,E1601=$AB$55,$AD$55,E1601=$AB$56,$AD$56,E1601=$AB$57,$AD$57,E1601=$AB$58,$AD$58,E1601=$AB$59,$AD$59,E1601=$AB$60,$AD$60,E1601=$AB$61,$AD$61,E1601=$AB$62,$AD$62,E1601=$AB$63,$AD$63,E1601=$AB$64,$AD$64,E1601=$AB$65,$AD$65,E1601=$AB$66,$AD$66,TRUE,"0")</f>
        <v xml:space="preserve">  BANG</v>
      </c>
      <c r="E1601" s="2" t="s">
        <v>792</v>
      </c>
      <c r="F1601" s="2" t="s">
        <v>149</v>
      </c>
      <c r="G1601" s="2" t="s">
        <v>153</v>
      </c>
      <c r="H1601" s="3">
        <v>45431.5625</v>
      </c>
      <c r="I1601" s="2" t="s">
        <v>282</v>
      </c>
      <c r="J1601" s="2" t="s">
        <v>647</v>
      </c>
      <c r="K1601" s="2">
        <v>2</v>
      </c>
      <c r="L1601" s="2">
        <v>95</v>
      </c>
      <c r="M1601" s="2">
        <v>70</v>
      </c>
      <c r="N1601" s="2">
        <v>67</v>
      </c>
      <c r="O1601" s="2">
        <v>20</v>
      </c>
      <c r="P1601" s="2"/>
      <c r="Q1601" s="2" t="s">
        <v>95</v>
      </c>
      <c r="R1601" s="10" t="s">
        <v>221</v>
      </c>
      <c r="S1601" s="10" t="s">
        <v>194</v>
      </c>
      <c r="T1601" s="188">
        <v>1000</v>
      </c>
      <c r="U1601" s="8">
        <f t="shared" si="179"/>
        <v>180</v>
      </c>
      <c r="V1601" s="234">
        <f t="shared" si="180"/>
        <v>170824.15524616028</v>
      </c>
      <c r="W1601" s="15">
        <v>25</v>
      </c>
      <c r="X1601" s="8">
        <f t="shared" si="174"/>
        <v>4.5</v>
      </c>
      <c r="Y1601" s="233">
        <f t="shared" si="176"/>
        <v>6136.5</v>
      </c>
    </row>
    <row r="1602" spans="1:25">
      <c r="A1602" s="156" t="e" cm="1">
        <f t="array" aca="1" ref="A1602" ca="1">_xlfn.IFS(E1602=$AB$42,$AC$42,E1602=$AB$43,$AC$43,E1602=$AB$44,$AC$44,E1602=$AB$45,$AC$45,E1602=$AB$46,$AC$46,E1602=$AB$47,$AC$47,E1602=$AB$48,$AC$48,E1602=$AB$49,$AC$49,E1602=$AB$50,$AC$50,E1602=$AB$51,$AC$51,E1602=$AB$52,$AC$52,E1602=$AB$53,$AC$53,E1602=$AB$54,$AC$54,E1602=$AB$55,$AC$55,E1602=$AB$56,$AC$56,E1602=$AB$57,$AC$57,E1602=$AB$58,$AC$58,E1602=$AB$59,$AC$59,E1602=$AB$60,$AC$60,E1602=$AB$61,$AC$61,E1602=$AB$62,$AC$62,E1602=$AB$63,$AC$63,E1602=$AB$64,$AC$64,E1602=$AB$65,$AC$65,E1602=$AB$66,$AC$66,TRUE,"0")</f>
        <v>#NAME?</v>
      </c>
      <c r="C1602" s="161" t="str" cm="1">
        <f t="array" ref="C1602">_xlfn.IFS(E1602=$AB$42,$AF$42,E1602=$AB$43,$AF$43,E1602=$AB$44,$AF$44,E1602=$AB$45,$AF$45,E1602=$AB$46,$AF$46,E1602=$AB$47,$AF$47,E1602=$AB$48,$AF$48,E1602=$AB$49,$AF$49,E1602=$AB$50,$AF$50,E1602=$AB$51,$AF$51,E1602=$AB$52,$AF$52,E1602=$AB$53,$AF$53,E1602=$AB$54,$AF$54,E1602=$AB$55,$AF$55,E1602=$AB$56,$AF$56,E1602=$AB$57,$AF$57,E1602=$AB$58,$AF$58,E1602=$AB$59,$AF$59,E1602=$AB$60,$AF$60,E1602=$AB$61,$AF$61,E1602=$AB$62,$AF$62,E1602=$AB$63,$AF$63,E1602=$AB$64,$AF$64,E1602=$AB$65,$AF$65,E1602=$AB$66,$AF$66,TRUE,"0")</f>
        <v>AT HT IF 0-0 BACK +0.5 GOALS</v>
      </c>
      <c r="D1602" s="270" t="str" cm="1">
        <f t="array" ref="D1602">_xlfn.IFS(E1602=$AB$42,$AD$42,E1602=$AB$43,$AD$43,E1602=$AB$44,$AD$44,E1602=$AB$45,$AD$45,E1602=$AB$46,$AD$46,E1602=$AB$47,$AD$47,E1602=$AB$48,$AD$48,E1602=$AB$49,$AD$49,E1602=$AB$50,$AD$50,E1602=$AB$51,$AD$51,E1602=$AB$52,$AD$52,E1602=$AB$53,$AD$53,E1602=$AB$54,$AD$54,E1602=$AB$55,$AD$55,E1602=$AB$56,$AD$56,E1602=$AB$57,$AD$57,E1602=$AB$58,$AD$58,E1602=$AB$59,$AD$59,E1602=$AB$60,$AD$60,E1602=$AB$61,$AD$61,E1602=$AB$62,$AD$62,E1602=$AB$63,$AD$63,E1602=$AB$64,$AD$64,E1602=$AB$65,$AD$65,E1602=$AB$66,$AD$66,TRUE,"0")</f>
        <v>IP</v>
      </c>
      <c r="E1602" s="2" t="s">
        <v>514</v>
      </c>
      <c r="F1602" s="2" t="s">
        <v>149</v>
      </c>
      <c r="G1602" s="2" t="s">
        <v>153</v>
      </c>
      <c r="H1602" s="3">
        <v>45431.5625</v>
      </c>
      <c r="I1602" s="2" t="s">
        <v>282</v>
      </c>
      <c r="J1602" s="2" t="s">
        <v>647</v>
      </c>
      <c r="K1602" s="2">
        <v>2.62</v>
      </c>
      <c r="L1602" s="2">
        <v>44</v>
      </c>
      <c r="M1602" s="2">
        <v>150</v>
      </c>
      <c r="N1602" s="2">
        <v>20</v>
      </c>
      <c r="O1602" s="2">
        <v>35</v>
      </c>
      <c r="P1602" s="2">
        <v>28</v>
      </c>
      <c r="Q1602" s="2" t="s">
        <v>95</v>
      </c>
      <c r="R1602" s="10" t="s">
        <v>221</v>
      </c>
      <c r="S1602" s="10" t="s">
        <v>194</v>
      </c>
      <c r="T1602" s="188">
        <v>1000</v>
      </c>
      <c r="U1602" s="8">
        <f t="shared" si="179"/>
        <v>180</v>
      </c>
      <c r="V1602" s="234">
        <f t="shared" si="180"/>
        <v>171004.15524616028</v>
      </c>
      <c r="W1602" s="15">
        <v>25</v>
      </c>
      <c r="X1602" s="8">
        <f t="shared" si="174"/>
        <v>4.5</v>
      </c>
      <c r="Y1602" s="233">
        <f t="shared" si="176"/>
        <v>6141</v>
      </c>
    </row>
    <row r="1603" spans="1:25">
      <c r="A1603" s="156" t="e" cm="1">
        <f t="array" aca="1" ref="A1603" ca="1">_xlfn.IFS(E1603=$AB$42,$AC$42,E1603=$AB$43,$AC$43,E1603=$AB$44,$AC$44,E1603=$AB$45,$AC$45,E1603=$AB$46,$AC$46,E1603=$AB$47,$AC$47,E1603=$AB$48,$AC$48,E1603=$AB$49,$AC$49,E1603=$AB$50,$AC$50,E1603=$AB$51,$AC$51,E1603=$AB$52,$AC$52,E1603=$AB$53,$AC$53,E1603=$AB$54,$AC$54,E1603=$AB$55,$AC$55,E1603=$AB$56,$AC$56,E1603=$AB$57,$AC$57,E1603=$AB$58,$AC$58,E1603=$AB$59,$AC$59,E1603=$AB$60,$AC$60,E1603=$AB$61,$AC$61,E1603=$AB$62,$AC$62,E1603=$AB$63,$AC$63,E1603=$AB$64,$AC$64,E1603=$AB$65,$AC$65,E1603=$AB$66,$AC$66,TRUE,"0")</f>
        <v>#NAME?</v>
      </c>
      <c r="C1603" s="161" t="str" cm="1">
        <f t="array" ref="C1603">_xlfn.IFS(E1603=$AB$42,$AF$42,E1603=$AB$43,$AF$43,E1603=$AB$44,$AF$44,E1603=$AB$45,$AF$45,E1603=$AB$46,$AF$46,E1603=$AB$47,$AF$47,E1603=$AB$48,$AF$48,E1603=$AB$49,$AF$49,E1603=$AB$50,$AF$50,E1603=$AB$51,$AF$51,E1603=$AB$52,$AF$52,E1603=$AB$53,$AF$53,E1603=$AB$54,$AF$54,E1603=$AB$55,$AF$55,E1603=$AB$56,$AF$56,E1603=$AB$57,$AF$57,E1603=$AB$58,$AF$58,E1603=$AB$59,$AF$59,E1603=$AB$60,$AF$60,E1603=$AB$61,$AF$61,E1603=$AB$62,$AF$62,E1603=$AB$63,$AF$63,E1603=$AB$64,$AF$64,E1603=$AB$65,$AF$65,E1603=$AB$66,$AF$66,TRUE,"0")</f>
        <v>40 mins Back ANother Goal</v>
      </c>
      <c r="D1603" s="270" t="str" cm="1">
        <f t="array" ref="D1603">_xlfn.IFS(E1603=$AB$42,$AD$42,E1603=$AB$43,$AD$43,E1603=$AB$44,$AD$44,E1603=$AB$45,$AD$45,E1603=$AB$46,$AD$46,E1603=$AB$47,$AD$47,E1603=$AB$48,$AD$48,E1603=$AB$49,$AD$49,E1603=$AB$50,$AD$50,E1603=$AB$51,$AD$51,E1603=$AB$52,$AD$52,E1603=$AB$53,$AD$53,E1603=$AB$54,$AD$54,E1603=$AB$55,$AD$55,E1603=$AB$56,$AD$56,E1603=$AB$57,$AD$57,E1603=$AB$58,$AD$58,E1603=$AB$59,$AD$59,E1603=$AB$60,$AD$60,E1603=$AB$61,$AD$61,E1603=$AB$62,$AD$62,E1603=$AB$63,$AD$63,E1603=$AB$64,$AD$64,E1603=$AB$65,$AD$65,E1603=$AB$66,$AD$66,TRUE,"0")</f>
        <v xml:space="preserve">  BANG</v>
      </c>
      <c r="E1603" s="2" t="s">
        <v>10</v>
      </c>
      <c r="F1603" s="2" t="s">
        <v>149</v>
      </c>
      <c r="G1603" s="2" t="s">
        <v>153</v>
      </c>
      <c r="H1603" s="3">
        <v>45431.5625</v>
      </c>
      <c r="I1603" s="2" t="s">
        <v>155</v>
      </c>
      <c r="J1603" s="2" t="s">
        <v>249</v>
      </c>
      <c r="K1603" s="2">
        <v>2.0499999999999998</v>
      </c>
      <c r="L1603" s="2">
        <v>95</v>
      </c>
      <c r="M1603" s="2">
        <v>70</v>
      </c>
      <c r="N1603" s="2">
        <v>62</v>
      </c>
      <c r="O1603" s="2">
        <v>20</v>
      </c>
      <c r="P1603" s="2"/>
      <c r="Q1603" s="2" t="s">
        <v>96</v>
      </c>
      <c r="R1603" s="10" t="s">
        <v>221</v>
      </c>
      <c r="S1603" s="10" t="s">
        <v>221</v>
      </c>
      <c r="T1603" s="188">
        <v>1000</v>
      </c>
      <c r="U1603" s="8">
        <f t="shared" si="179"/>
        <v>-1000</v>
      </c>
      <c r="V1603" s="234">
        <f t="shared" si="180"/>
        <v>170004.15524616028</v>
      </c>
      <c r="W1603" s="15">
        <v>25</v>
      </c>
      <c r="X1603" s="8">
        <f t="shared" si="174"/>
        <v>-25</v>
      </c>
      <c r="Y1603" s="233">
        <f t="shared" si="176"/>
        <v>6116</v>
      </c>
    </row>
    <row r="1604" spans="1:25">
      <c r="A1604" s="156" t="e" cm="1">
        <f t="array" aca="1" ref="A1604" ca="1">_xlfn.IFS(E1604=$AB$42,$AC$42,E1604=$AB$43,$AC$43,E1604=$AB$44,$AC$44,E1604=$AB$45,$AC$45,E1604=$AB$46,$AC$46,E1604=$AB$47,$AC$47,E1604=$AB$48,$AC$48,E1604=$AB$49,$AC$49,E1604=$AB$50,$AC$50,E1604=$AB$51,$AC$51,E1604=$AB$52,$AC$52,E1604=$AB$53,$AC$53,E1604=$AB$54,$AC$54,E1604=$AB$55,$AC$55,E1604=$AB$56,$AC$56,E1604=$AB$57,$AC$57,E1604=$AB$58,$AC$58,E1604=$AB$59,$AC$59,E1604=$AB$60,$AC$60,E1604=$AB$61,$AC$61,E1604=$AB$62,$AC$62,E1604=$AB$63,$AC$63,E1604=$AB$64,$AC$64,E1604=$AB$65,$AC$65,E1604=$AB$66,$AC$66,TRUE,"0")</f>
        <v>#NAME?</v>
      </c>
      <c r="C1604" s="161" t="str" cm="1">
        <f t="array" ref="C1604">_xlfn.IFS(E1604=$AB$42,$AF$42,E1604=$AB$43,$AF$43,E1604=$AB$44,$AF$44,E1604=$AB$45,$AF$45,E1604=$AB$46,$AF$46,E1604=$AB$47,$AF$47,E1604=$AB$48,$AF$48,E1604=$AB$49,$AF$49,E1604=$AB$50,$AF$50,E1604=$AB$51,$AF$51,E1604=$AB$52,$AF$52,E1604=$AB$53,$AF$53,E1604=$AB$54,$AF$54,E1604=$AB$55,$AF$55,E1604=$AB$56,$AF$56,E1604=$AB$57,$AF$57,E1604=$AB$58,$AF$58,E1604=$AB$59,$AF$59,E1604=$AB$60,$AF$60,E1604=$AB$61,$AF$61,E1604=$AB$62,$AF$62,E1604=$AB$63,$AF$63,E1604=$AB$64,$AF$64,E1604=$AB$65,$AF$65,E1604=$AB$66,$AF$66,TRUE,"0")</f>
        <v>40 mins Back ANother Goal</v>
      </c>
      <c r="D1604" s="270" t="str" cm="1">
        <f t="array" ref="D1604">_xlfn.IFS(E1604=$AB$42,$AD$42,E1604=$AB$43,$AD$43,E1604=$AB$44,$AD$44,E1604=$AB$45,$AD$45,E1604=$AB$46,$AD$46,E1604=$AB$47,$AD$47,E1604=$AB$48,$AD$48,E1604=$AB$49,$AD$49,E1604=$AB$50,$AD$50,E1604=$AB$51,$AD$51,E1604=$AB$52,$AD$52,E1604=$AB$53,$AD$53,E1604=$AB$54,$AD$54,E1604=$AB$55,$AD$55,E1604=$AB$56,$AD$56,E1604=$AB$57,$AD$57,E1604=$AB$58,$AD$58,E1604=$AB$59,$AD$59,E1604=$AB$60,$AD$60,E1604=$AB$61,$AD$61,E1604=$AB$62,$AD$62,E1604=$AB$63,$AD$63,E1604=$AB$64,$AD$64,E1604=$AB$65,$AD$65,E1604=$AB$66,$AD$66,TRUE,"0")</f>
        <v xml:space="preserve">  BANG</v>
      </c>
      <c r="E1604" s="2" t="s">
        <v>726</v>
      </c>
      <c r="F1604" s="2" t="s">
        <v>149</v>
      </c>
      <c r="G1604" s="2" t="s">
        <v>153</v>
      </c>
      <c r="H1604" s="3">
        <v>45431.5625</v>
      </c>
      <c r="I1604" s="2" t="s">
        <v>155</v>
      </c>
      <c r="J1604" s="2" t="s">
        <v>249</v>
      </c>
      <c r="K1604" s="2">
        <v>95</v>
      </c>
      <c r="L1604" s="2">
        <v>20</v>
      </c>
      <c r="M1604" s="2">
        <v>2.0499999999999998</v>
      </c>
      <c r="N1604" s="2">
        <v>62</v>
      </c>
      <c r="O1604" s="2"/>
      <c r="P1604" s="2"/>
      <c r="Q1604" s="2" t="s">
        <v>96</v>
      </c>
      <c r="R1604" s="10" t="s">
        <v>221</v>
      </c>
      <c r="S1604" s="10" t="s">
        <v>221</v>
      </c>
      <c r="T1604" s="188">
        <v>1000</v>
      </c>
      <c r="U1604" s="8">
        <f t="shared" si="179"/>
        <v>-1000</v>
      </c>
      <c r="V1604" s="234">
        <f t="shared" si="180"/>
        <v>169004.15524616028</v>
      </c>
      <c r="W1604" s="15">
        <v>25</v>
      </c>
      <c r="X1604" s="8">
        <f t="shared" si="174"/>
        <v>-25</v>
      </c>
      <c r="Y1604" s="233">
        <f t="shared" si="176"/>
        <v>6091</v>
      </c>
    </row>
    <row r="1605" spans="1:25">
      <c r="A1605" s="156" t="e" cm="1">
        <f t="array" aca="1" ref="A1605" ca="1">_xlfn.IFS(E1605=$AB$42,$AC$42,E1605=$AB$43,$AC$43,E1605=$AB$44,$AC$44,E1605=$AB$45,$AC$45,E1605=$AB$46,$AC$46,E1605=$AB$47,$AC$47,E1605=$AB$48,$AC$48,E1605=$AB$49,$AC$49,E1605=$AB$50,$AC$50,E1605=$AB$51,$AC$51,E1605=$AB$52,$AC$52,E1605=$AB$53,$AC$53,E1605=$AB$54,$AC$54,E1605=$AB$55,$AC$55,E1605=$AB$56,$AC$56,E1605=$AB$57,$AC$57,E1605=$AB$58,$AC$58,E1605=$AB$59,$AC$59,E1605=$AB$60,$AC$60,E1605=$AB$61,$AC$61,E1605=$AB$62,$AC$62,E1605=$AB$63,$AC$63,E1605=$AB$64,$AC$64,E1605=$AB$65,$AC$65,E1605=$AB$66,$AC$66,TRUE,"0")</f>
        <v>#NAME?</v>
      </c>
      <c r="C1605" s="161" t="str" cm="1">
        <f t="array" ref="C1605">_xlfn.IFS(E1605=$AB$42,$AF$42,E1605=$AB$43,$AF$43,E1605=$AB$44,$AF$44,E1605=$AB$45,$AF$45,E1605=$AB$46,$AF$46,E1605=$AB$47,$AF$47,E1605=$AB$48,$AF$48,E1605=$AB$49,$AF$49,E1605=$AB$50,$AF$50,E1605=$AB$51,$AF$51,E1605=$AB$52,$AF$52,E1605=$AB$53,$AF$53,E1605=$AB$54,$AF$54,E1605=$AB$55,$AF$55,E1605=$AB$56,$AF$56,E1605=$AB$57,$AF$57,E1605=$AB$58,$AF$58,E1605=$AB$59,$AF$59,E1605=$AB$60,$AF$60,E1605=$AB$61,$AF$61,E1605=$AB$62,$AF$62,E1605=$AB$63,$AF$63,E1605=$AB$64,$AF$64,E1605=$AB$65,$AF$65,E1605=$AB$66,$AF$66,TRUE,"0")</f>
        <v>B4 match BACK FT +1.5 goals. X AFTER  GOAL</v>
      </c>
      <c r="D1605" s="270" t="str" cm="1">
        <f t="array" ref="D1605">_xlfn.IFS(E1605=$AB$42,$AD$42,E1605=$AB$43,$AD$43,E1605=$AB$44,$AD$44,E1605=$AB$45,$AD$45,E1605=$AB$46,$AD$46,E1605=$AB$47,$AD$47,E1605=$AB$48,$AD$48,E1605=$AB$49,$AD$49,E1605=$AB$50,$AD$50,E1605=$AB$51,$AD$51,E1605=$AB$52,$AD$52,E1605=$AB$53,$AD$53,E1605=$AB$54,$AD$54,E1605=$AB$55,$AD$55,E1605=$AB$56,$AD$56,E1605=$AB$57,$AD$57,E1605=$AB$58,$AD$58,E1605=$AB$59,$AD$59,E1605=$AB$60,$AD$60,E1605=$AB$61,$AD$61,E1605=$AB$62,$AD$62,E1605=$AB$63,$AD$63,E1605=$AB$64,$AD$64,E1605=$AB$65,$AD$65,E1605=$AB$66,$AD$66,TRUE,"0")</f>
        <v xml:space="preserve">BFM </v>
      </c>
      <c r="E1605" s="2" t="s">
        <v>623</v>
      </c>
      <c r="F1605" s="2" t="s">
        <v>149</v>
      </c>
      <c r="G1605" s="2" t="s">
        <v>153</v>
      </c>
      <c r="H1605" s="3">
        <v>45431.5625</v>
      </c>
      <c r="I1605" s="2" t="s">
        <v>188</v>
      </c>
      <c r="J1605" s="2" t="s">
        <v>154</v>
      </c>
      <c r="K1605" s="2">
        <v>2.2000000000000002</v>
      </c>
      <c r="L1605" s="2">
        <v>20</v>
      </c>
      <c r="M1605" s="2">
        <v>3.35</v>
      </c>
      <c r="N1605" s="2">
        <v>30</v>
      </c>
      <c r="O1605" s="2">
        <v>4</v>
      </c>
      <c r="P1605" s="2">
        <v>10</v>
      </c>
      <c r="Q1605" s="2" t="s">
        <v>95</v>
      </c>
      <c r="R1605" s="10" t="s">
        <v>216</v>
      </c>
      <c r="S1605" s="10" t="s">
        <v>215</v>
      </c>
      <c r="T1605" s="188">
        <v>1000</v>
      </c>
      <c r="U1605" s="8">
        <f t="shared" si="179"/>
        <v>180</v>
      </c>
      <c r="V1605" s="234">
        <f t="shared" si="180"/>
        <v>169184.15524616028</v>
      </c>
      <c r="W1605" s="15">
        <v>25</v>
      </c>
      <c r="X1605" s="8">
        <f t="shared" si="174"/>
        <v>4.5</v>
      </c>
      <c r="Y1605" s="233">
        <f t="shared" si="176"/>
        <v>6095.5</v>
      </c>
    </row>
    <row r="1606" spans="1:25">
      <c r="A1606" s="156" t="e" cm="1">
        <f t="array" aca="1" ref="A1606" ca="1">_xlfn.IFS(E1606=$AB$42,$AC$42,E1606=$AB$43,$AC$43,E1606=$AB$44,$AC$44,E1606=$AB$45,$AC$45,E1606=$AB$46,$AC$46,E1606=$AB$47,$AC$47,E1606=$AB$48,$AC$48,E1606=$AB$49,$AC$49,E1606=$AB$50,$AC$50,E1606=$AB$51,$AC$51,E1606=$AB$52,$AC$52,E1606=$AB$53,$AC$53,E1606=$AB$54,$AC$54,E1606=$AB$55,$AC$55,E1606=$AB$56,$AC$56,E1606=$AB$57,$AC$57,E1606=$AB$58,$AC$58,E1606=$AB$59,$AC$59,E1606=$AB$60,$AC$60,E1606=$AB$61,$AC$61,E1606=$AB$62,$AC$62,E1606=$AB$63,$AC$63,E1606=$AB$64,$AC$64,E1606=$AB$65,$AC$65,E1606=$AB$66,$AC$66,TRUE,"0")</f>
        <v>#NAME?</v>
      </c>
      <c r="C1606" s="161" t="str" cm="1">
        <f t="array" ref="C1606">_xlfn.IFS(E1606=$AB$42,$AF$42,E1606=$AB$43,$AF$43,E1606=$AB$44,$AF$44,E1606=$AB$45,$AF$45,E1606=$AB$46,$AF$46,E1606=$AB$47,$AF$47,E1606=$AB$48,$AF$48,E1606=$AB$49,$AF$49,E1606=$AB$50,$AF$50,E1606=$AB$51,$AF$51,E1606=$AB$52,$AF$52,E1606=$AB$53,$AF$53,E1606=$AB$54,$AF$54,E1606=$AB$55,$AF$55,E1606=$AB$56,$AF$56,E1606=$AB$57,$AF$57,E1606=$AB$58,$AF$58,E1606=$AB$59,$AF$59,E1606=$AB$60,$AF$60,E1606=$AB$61,$AF$61,E1606=$AB$62,$AF$62,E1606=$AB$63,$AF$63,E1606=$AB$64,$AF$64,E1606=$AB$65,$AF$65,E1606=$AB$66,$AF$66,TRUE,"0")</f>
        <v>40 mins Back ANother Goal</v>
      </c>
      <c r="D1606" s="270" t="str" cm="1">
        <f t="array" ref="D1606">_xlfn.IFS(E1606=$AB$42,$AD$42,E1606=$AB$43,$AD$43,E1606=$AB$44,$AD$44,E1606=$AB$45,$AD$45,E1606=$AB$46,$AD$46,E1606=$AB$47,$AD$47,E1606=$AB$48,$AD$48,E1606=$AB$49,$AD$49,E1606=$AB$50,$AD$50,E1606=$AB$51,$AD$51,E1606=$AB$52,$AD$52,E1606=$AB$53,$AD$53,E1606=$AB$54,$AD$54,E1606=$AB$55,$AD$55,E1606=$AB$56,$AD$56,E1606=$AB$57,$AD$57,E1606=$AB$58,$AD$58,E1606=$AB$59,$AD$59,E1606=$AB$60,$AD$60,E1606=$AB$61,$AD$61,E1606=$AB$62,$AD$62,E1606=$AB$63,$AD$63,E1606=$AB$64,$AD$64,E1606=$AB$65,$AD$65,E1606=$AB$66,$AD$66,TRUE,"0")</f>
        <v xml:space="preserve">  BANG</v>
      </c>
      <c r="E1606" s="2" t="s">
        <v>726</v>
      </c>
      <c r="F1606" s="2" t="s">
        <v>149</v>
      </c>
      <c r="G1606" s="2" t="s">
        <v>153</v>
      </c>
      <c r="H1606" s="3">
        <v>45431.5625</v>
      </c>
      <c r="I1606" s="2" t="s">
        <v>395</v>
      </c>
      <c r="J1606" s="2" t="s">
        <v>206</v>
      </c>
      <c r="K1606" s="2">
        <v>100</v>
      </c>
      <c r="L1606" s="2">
        <v>20</v>
      </c>
      <c r="M1606" s="2">
        <v>1.95</v>
      </c>
      <c r="N1606" s="2">
        <v>63</v>
      </c>
      <c r="O1606" s="2"/>
      <c r="P1606" s="2"/>
      <c r="Q1606" s="2" t="s">
        <v>95</v>
      </c>
      <c r="R1606" s="10" t="s">
        <v>221</v>
      </c>
      <c r="S1606" s="10" t="s">
        <v>222</v>
      </c>
      <c r="T1606" s="188">
        <v>1000</v>
      </c>
      <c r="U1606" s="8">
        <f t="shared" si="179"/>
        <v>180</v>
      </c>
      <c r="V1606" s="234">
        <f t="shared" si="180"/>
        <v>169364.15524616028</v>
      </c>
      <c r="W1606" s="15">
        <v>25</v>
      </c>
      <c r="X1606" s="8">
        <f t="shared" si="174"/>
        <v>4.5</v>
      </c>
      <c r="Y1606" s="233">
        <f t="shared" si="176"/>
        <v>6100</v>
      </c>
    </row>
    <row r="1607" spans="1:25">
      <c r="A1607" s="156" t="e" cm="1">
        <f t="array" aca="1" ref="A1607" ca="1">_xlfn.IFS(E1607=$AB$42,$AC$42,E1607=$AB$43,$AC$43,E1607=$AB$44,$AC$44,E1607=$AB$45,$AC$45,E1607=$AB$46,$AC$46,E1607=$AB$47,$AC$47,E1607=$AB$48,$AC$48,E1607=$AB$49,$AC$49,E1607=$AB$50,$AC$50,E1607=$AB$51,$AC$51,E1607=$AB$52,$AC$52,E1607=$AB$53,$AC$53,E1607=$AB$54,$AC$54,E1607=$AB$55,$AC$55,E1607=$AB$56,$AC$56,E1607=$AB$57,$AC$57,E1607=$AB$58,$AC$58,E1607=$AB$59,$AC$59,E1607=$AB$60,$AC$60,E1607=$AB$61,$AC$61,E1607=$AB$62,$AC$62,E1607=$AB$63,$AC$63,E1607=$AB$64,$AC$64,E1607=$AB$65,$AC$65,E1607=$AB$66,$AC$66,TRUE,"0")</f>
        <v>#NAME?</v>
      </c>
      <c r="C1607" s="161" t="str" cm="1">
        <f t="array" ref="C1607">_xlfn.IFS(E1607=$AB$42,$AF$42,E1607=$AB$43,$AF$43,E1607=$AB$44,$AF$44,E1607=$AB$45,$AF$45,E1607=$AB$46,$AF$46,E1607=$AB$47,$AF$47,E1607=$AB$48,$AF$48,E1607=$AB$49,$AF$49,E1607=$AB$50,$AF$50,E1607=$AB$51,$AF$51,E1607=$AB$52,$AF$52,E1607=$AB$53,$AF$53,E1607=$AB$54,$AF$54,E1607=$AB$55,$AF$55,E1607=$AB$56,$AF$56,E1607=$AB$57,$AF$57,E1607=$AB$58,$AF$58,E1607=$AB$59,$AF$59,E1607=$AB$60,$AF$60,E1607=$AB$61,$AF$61,E1607=$AB$62,$AF$62,E1607=$AB$63,$AF$63,E1607=$AB$64,$AF$64,E1607=$AB$65,$AF$65,E1607=$AB$66,$AF$66,TRUE,"0")</f>
        <v>B4 match BACK FT +1.5 goals. X AFTER  GOAL</v>
      </c>
      <c r="D1607" s="270" t="str" cm="1">
        <f t="array" ref="D1607">_xlfn.IFS(E1607=$AB$42,$AD$42,E1607=$AB$43,$AD$43,E1607=$AB$44,$AD$44,E1607=$AB$45,$AD$45,E1607=$AB$46,$AD$46,E1607=$AB$47,$AD$47,E1607=$AB$48,$AD$48,E1607=$AB$49,$AD$49,E1607=$AB$50,$AD$50,E1607=$AB$51,$AD$51,E1607=$AB$52,$AD$52,E1607=$AB$53,$AD$53,E1607=$AB$54,$AD$54,E1607=$AB$55,$AD$55,E1607=$AB$56,$AD$56,E1607=$AB$57,$AD$57,E1607=$AB$58,$AD$58,E1607=$AB$59,$AD$59,E1607=$AB$60,$AD$60,E1607=$AB$61,$AD$61,E1607=$AB$62,$AD$62,E1607=$AB$63,$AD$63,E1607=$AB$64,$AD$64,E1607=$AB$65,$AD$65,E1607=$AB$66,$AD$66,TRUE,"0")</f>
        <v xml:space="preserve">BFM </v>
      </c>
      <c r="E1607" s="2" t="s">
        <v>623</v>
      </c>
      <c r="F1607" s="2" t="s">
        <v>149</v>
      </c>
      <c r="G1607" s="2" t="s">
        <v>153</v>
      </c>
      <c r="H1607" s="3">
        <v>45431.5625</v>
      </c>
      <c r="I1607" s="2" t="s">
        <v>395</v>
      </c>
      <c r="J1607" s="2" t="s">
        <v>206</v>
      </c>
      <c r="K1607" s="2">
        <v>6.4</v>
      </c>
      <c r="L1607" s="2">
        <v>20</v>
      </c>
      <c r="M1607" s="2">
        <v>3.1</v>
      </c>
      <c r="N1607" s="2">
        <v>28</v>
      </c>
      <c r="O1607" s="2">
        <v>2</v>
      </c>
      <c r="P1607" s="2">
        <v>10</v>
      </c>
      <c r="Q1607" s="2" t="s">
        <v>95</v>
      </c>
      <c r="R1607" s="10" t="s">
        <v>221</v>
      </c>
      <c r="S1607" s="10" t="s">
        <v>222</v>
      </c>
      <c r="T1607" s="188">
        <v>1000</v>
      </c>
      <c r="U1607" s="8">
        <f t="shared" si="179"/>
        <v>180</v>
      </c>
      <c r="V1607" s="234">
        <f t="shared" si="180"/>
        <v>169544.15524616028</v>
      </c>
      <c r="W1607" s="15">
        <v>25</v>
      </c>
      <c r="X1607" s="8">
        <f t="shared" si="174"/>
        <v>4.5</v>
      </c>
      <c r="Y1607" s="233">
        <f t="shared" si="176"/>
        <v>6104.5</v>
      </c>
    </row>
    <row r="1608" spans="1:25">
      <c r="A1608" s="156" t="e" cm="1">
        <f t="array" aca="1" ref="A1608" ca="1">_xlfn.IFS(E1608=$AB$42,$AC$42,E1608=$AB$43,$AC$43,E1608=$AB$44,$AC$44,E1608=$AB$45,$AC$45,E1608=$AB$46,$AC$46,E1608=$AB$47,$AC$47,E1608=$AB$48,$AC$48,E1608=$AB$49,$AC$49,E1608=$AB$50,$AC$50,E1608=$AB$51,$AC$51,E1608=$AB$52,$AC$52,E1608=$AB$53,$AC$53,E1608=$AB$54,$AC$54,E1608=$AB$55,$AC$55,E1608=$AB$56,$AC$56,E1608=$AB$57,$AC$57,E1608=$AB$58,$AC$58,E1608=$AB$59,$AC$59,E1608=$AB$60,$AC$60,E1608=$AB$61,$AC$61,E1608=$AB$62,$AC$62,E1608=$AB$63,$AC$63,E1608=$AB$64,$AC$64,E1608=$AB$65,$AC$65,E1608=$AB$66,$AC$66,TRUE,"0")</f>
        <v>#NAME?</v>
      </c>
      <c r="C1608" s="161" t="str" cm="1">
        <f t="array" ref="C1608">_xlfn.IFS(E1608=$AB$42,$AF$42,E1608=$AB$43,$AF$43,E1608=$AB$44,$AF$44,E1608=$AB$45,$AF$45,E1608=$AB$46,$AF$46,E1608=$AB$47,$AF$47,E1608=$AB$48,$AF$48,E1608=$AB$49,$AF$49,E1608=$AB$50,$AF$50,E1608=$AB$51,$AF$51,E1608=$AB$52,$AF$52,E1608=$AB$53,$AF$53,E1608=$AB$54,$AF$54,E1608=$AB$55,$AF$55,E1608=$AB$56,$AF$56,E1608=$AB$57,$AF$57,E1608=$AB$58,$AF$58,E1608=$AB$59,$AF$59,E1608=$AB$60,$AF$60,E1608=$AB$61,$AF$61,E1608=$AB$62,$AF$62,E1608=$AB$63,$AF$63,E1608=$AB$64,$AF$64,E1608=$AB$65,$AF$65,E1608=$AB$66,$AF$66,TRUE,"0")</f>
        <v>AT HT IF 0-0 BACK +0.5 GOALS</v>
      </c>
      <c r="D1608" s="270" t="str" cm="1">
        <f t="array" ref="D1608">_xlfn.IFS(E1608=$AB$42,$AD$42,E1608=$AB$43,$AD$43,E1608=$AB$44,$AD$44,E1608=$AB$45,$AD$45,E1608=$AB$46,$AD$46,E1608=$AB$47,$AD$47,E1608=$AB$48,$AD$48,E1608=$AB$49,$AD$49,E1608=$AB$50,$AD$50,E1608=$AB$51,$AD$51,E1608=$AB$52,$AD$52,E1608=$AB$53,$AD$53,E1608=$AB$54,$AD$54,E1608=$AB$55,$AD$55,E1608=$AB$56,$AD$56,E1608=$AB$57,$AD$57,E1608=$AB$58,$AD$58,E1608=$AB$59,$AD$59,E1608=$AB$60,$AD$60,E1608=$AB$61,$AD$61,E1608=$AB$62,$AD$62,E1608=$AB$63,$AD$63,E1608=$AB$64,$AD$64,E1608=$AB$65,$AD$65,E1608=$AB$66,$AD$66,TRUE,"0")</f>
        <v>IP</v>
      </c>
      <c r="E1608" s="2" t="s">
        <v>514</v>
      </c>
      <c r="F1608" s="2" t="s">
        <v>149</v>
      </c>
      <c r="G1608" s="2" t="s">
        <v>153</v>
      </c>
      <c r="H1608" s="3">
        <v>45431.5625</v>
      </c>
      <c r="I1608" s="2" t="s">
        <v>395</v>
      </c>
      <c r="J1608" s="2" t="s">
        <v>206</v>
      </c>
      <c r="K1608" s="2">
        <v>6.4</v>
      </c>
      <c r="L1608" s="2">
        <v>26</v>
      </c>
      <c r="M1608" s="2">
        <v>0</v>
      </c>
      <c r="N1608" s="2">
        <v>20</v>
      </c>
      <c r="O1608" s="2">
        <v>15</v>
      </c>
      <c r="P1608" s="2">
        <v>28</v>
      </c>
      <c r="Q1608" s="2" t="s">
        <v>95</v>
      </c>
      <c r="R1608" s="10" t="s">
        <v>221</v>
      </c>
      <c r="S1608" s="10" t="s">
        <v>222</v>
      </c>
      <c r="T1608" s="188">
        <v>1000</v>
      </c>
      <c r="U1608" s="8">
        <f t="shared" si="179"/>
        <v>180</v>
      </c>
      <c r="V1608" s="234">
        <f t="shared" si="180"/>
        <v>169724.15524616028</v>
      </c>
      <c r="W1608" s="15">
        <v>25</v>
      </c>
      <c r="X1608" s="8">
        <f t="shared" si="174"/>
        <v>4.5</v>
      </c>
      <c r="Y1608" s="233">
        <f t="shared" si="176"/>
        <v>6109</v>
      </c>
    </row>
    <row r="1609" spans="1:25">
      <c r="A1609" s="156" t="e" cm="1">
        <f t="array" aca="1" ref="A1609" ca="1">_xlfn.IFS(E1609=$AB$42,$AC$42,E1609=$AB$43,$AC$43,E1609=$AB$44,$AC$44,E1609=$AB$45,$AC$45,E1609=$AB$46,$AC$46,E1609=$AB$47,$AC$47,E1609=$AB$48,$AC$48,E1609=$AB$49,$AC$49,E1609=$AB$50,$AC$50,E1609=$AB$51,$AC$51,E1609=$AB$52,$AC$52,E1609=$AB$53,$AC$53,E1609=$AB$54,$AC$54,E1609=$AB$55,$AC$55,E1609=$AB$56,$AC$56,E1609=$AB$57,$AC$57,E1609=$AB$58,$AC$58,E1609=$AB$59,$AC$59,E1609=$AB$60,$AC$60,E1609=$AB$61,$AC$61,E1609=$AB$62,$AC$62,E1609=$AB$63,$AC$63,E1609=$AB$64,$AC$64,E1609=$AB$65,$AC$65,E1609=$AB$66,$AC$66,TRUE,"0")</f>
        <v>#NAME?</v>
      </c>
      <c r="C1609" s="161" t="str" cm="1">
        <f t="array" ref="C1609">_xlfn.IFS(E1609=$AB$42,$AF$42,E1609=$AB$43,$AF$43,E1609=$AB$44,$AF$44,E1609=$AB$45,$AF$45,E1609=$AB$46,$AF$46,E1609=$AB$47,$AF$47,E1609=$AB$48,$AF$48,E1609=$AB$49,$AF$49,E1609=$AB$50,$AF$50,E1609=$AB$51,$AF$51,E1609=$AB$52,$AF$52,E1609=$AB$53,$AF$53,E1609=$AB$54,$AF$54,E1609=$AB$55,$AF$55,E1609=$AB$56,$AF$56,E1609=$AB$57,$AF$57,E1609=$AB$58,$AF$58,E1609=$AB$59,$AF$59,E1609=$AB$60,$AF$60,E1609=$AB$61,$AF$61,E1609=$AB$62,$AF$62,E1609=$AB$63,$AF$63,E1609=$AB$64,$AF$64,E1609=$AB$65,$AF$65,E1609=$AB$66,$AF$66,TRUE,"0")</f>
        <v>40 mins Back ANother Goal</v>
      </c>
      <c r="D1609" s="270" t="str" cm="1">
        <f t="array" ref="D1609">_xlfn.IFS(E1609=$AB$42,$AD$42,E1609=$AB$43,$AD$43,E1609=$AB$44,$AD$44,E1609=$AB$45,$AD$45,E1609=$AB$46,$AD$46,E1609=$AB$47,$AD$47,E1609=$AB$48,$AD$48,E1609=$AB$49,$AD$49,E1609=$AB$50,$AD$50,E1609=$AB$51,$AD$51,E1609=$AB$52,$AD$52,E1609=$AB$53,$AD$53,E1609=$AB$54,$AD$54,E1609=$AB$55,$AD$55,E1609=$AB$56,$AD$56,E1609=$AB$57,$AD$57,E1609=$AB$58,$AD$58,E1609=$AB$59,$AD$59,E1609=$AB$60,$AD$60,E1609=$AB$61,$AD$61,E1609=$AB$62,$AD$62,E1609=$AB$63,$AD$63,E1609=$AB$64,$AD$64,E1609=$AB$65,$AD$65,E1609=$AB$66,$AD$66,TRUE,"0")</f>
        <v xml:space="preserve">  BANG</v>
      </c>
      <c r="E1609" s="2" t="s">
        <v>726</v>
      </c>
      <c r="F1609" s="2" t="s">
        <v>149</v>
      </c>
      <c r="G1609" s="2" t="s">
        <v>153</v>
      </c>
      <c r="H1609" s="3">
        <v>45431.5625</v>
      </c>
      <c r="I1609" s="2" t="s">
        <v>281</v>
      </c>
      <c r="J1609" s="2" t="s">
        <v>363</v>
      </c>
      <c r="K1609" s="2">
        <v>90</v>
      </c>
      <c r="L1609" s="2">
        <v>20</v>
      </c>
      <c r="M1609" s="2">
        <v>2</v>
      </c>
      <c r="N1609" s="2">
        <v>64</v>
      </c>
      <c r="O1609" s="2"/>
      <c r="P1609" s="2"/>
      <c r="Q1609" s="2" t="s">
        <v>95</v>
      </c>
      <c r="R1609" s="10" t="s">
        <v>216</v>
      </c>
      <c r="S1609" s="10" t="s">
        <v>210</v>
      </c>
      <c r="T1609" s="188">
        <v>1000</v>
      </c>
      <c r="U1609" s="8">
        <f t="shared" si="179"/>
        <v>180</v>
      </c>
      <c r="V1609" s="234">
        <f t="shared" si="180"/>
        <v>169904.15524616028</v>
      </c>
      <c r="W1609" s="15">
        <v>25</v>
      </c>
      <c r="X1609" s="8">
        <f t="shared" si="174"/>
        <v>4.5</v>
      </c>
      <c r="Y1609" s="233">
        <f t="shared" si="176"/>
        <v>6113.5</v>
      </c>
    </row>
    <row r="1610" spans="1:25">
      <c r="A1610" s="156" t="e" cm="1">
        <f t="array" aca="1" ref="A1610" ca="1">_xlfn.IFS(E1610=$AB$42,$AC$42,E1610=$AB$43,$AC$43,E1610=$AB$44,$AC$44,E1610=$AB$45,$AC$45,E1610=$AB$46,$AC$46,E1610=$AB$47,$AC$47,E1610=$AB$48,$AC$48,E1610=$AB$49,$AC$49,E1610=$AB$50,$AC$50,E1610=$AB$51,$AC$51,E1610=$AB$52,$AC$52,E1610=$AB$53,$AC$53,E1610=$AB$54,$AC$54,E1610=$AB$55,$AC$55,E1610=$AB$56,$AC$56,E1610=$AB$57,$AC$57,E1610=$AB$58,$AC$58,E1610=$AB$59,$AC$59,E1610=$AB$60,$AC$60,E1610=$AB$61,$AC$61,E1610=$AB$62,$AC$62,E1610=$AB$63,$AC$63,E1610=$AB$64,$AC$64,E1610=$AB$65,$AC$65,E1610=$AB$66,$AC$66,TRUE,"0")</f>
        <v>#NAME?</v>
      </c>
      <c r="C1610" s="161" t="str" cm="1">
        <f t="array" ref="C1610">_xlfn.IFS(E1610=$AB$42,$AF$42,E1610=$AB$43,$AF$43,E1610=$AB$44,$AF$44,E1610=$AB$45,$AF$45,E1610=$AB$46,$AF$46,E1610=$AB$47,$AF$47,E1610=$AB$48,$AF$48,E1610=$AB$49,$AF$49,E1610=$AB$50,$AF$50,E1610=$AB$51,$AF$51,E1610=$AB$52,$AF$52,E1610=$AB$53,$AF$53,E1610=$AB$54,$AF$54,E1610=$AB$55,$AF$55,E1610=$AB$56,$AF$56,E1610=$AB$57,$AF$57,E1610=$AB$58,$AF$58,E1610=$AB$59,$AF$59,E1610=$AB$60,$AF$60,E1610=$AB$61,$AF$61,E1610=$AB$62,$AF$62,E1610=$AB$63,$AF$63,E1610=$AB$64,$AF$64,E1610=$AB$65,$AF$65,E1610=$AB$66,$AF$66,TRUE,"0")</f>
        <v>B4 match BACK FT +1.5 goals. X AFTER  GOAL</v>
      </c>
      <c r="D1610" s="270" t="str" cm="1">
        <f t="array" ref="D1610">_xlfn.IFS(E1610=$AB$42,$AD$42,E1610=$AB$43,$AD$43,E1610=$AB$44,$AD$44,E1610=$AB$45,$AD$45,E1610=$AB$46,$AD$46,E1610=$AB$47,$AD$47,E1610=$AB$48,$AD$48,E1610=$AB$49,$AD$49,E1610=$AB$50,$AD$50,E1610=$AB$51,$AD$51,E1610=$AB$52,$AD$52,E1610=$AB$53,$AD$53,E1610=$AB$54,$AD$54,E1610=$AB$55,$AD$55,E1610=$AB$56,$AD$56,E1610=$AB$57,$AD$57,E1610=$AB$58,$AD$58,E1610=$AB$59,$AD$59,E1610=$AB$60,$AD$60,E1610=$AB$61,$AD$61,E1610=$AB$62,$AD$62,E1610=$AB$63,$AD$63,E1610=$AB$64,$AD$64,E1610=$AB$65,$AD$65,E1610=$AB$66,$AD$66,TRUE,"0")</f>
        <v xml:space="preserve">BFM </v>
      </c>
      <c r="E1610" s="2" t="s">
        <v>531</v>
      </c>
      <c r="F1610" s="2" t="s">
        <v>149</v>
      </c>
      <c r="G1610" s="2" t="s">
        <v>153</v>
      </c>
      <c r="H1610" s="3">
        <v>45431.5625</v>
      </c>
      <c r="I1610" s="2" t="s">
        <v>281</v>
      </c>
      <c r="J1610" s="2" t="s">
        <v>363</v>
      </c>
      <c r="K1610" s="2">
        <v>4.7</v>
      </c>
      <c r="L1610" s="2">
        <v>32</v>
      </c>
      <c r="M1610" s="2">
        <v>3.5</v>
      </c>
      <c r="N1610" s="2">
        <v>25</v>
      </c>
      <c r="O1610" s="2">
        <v>5</v>
      </c>
      <c r="P1610" s="2">
        <v>16</v>
      </c>
      <c r="Q1610" s="2" t="s">
        <v>95</v>
      </c>
      <c r="R1610" s="10" t="s">
        <v>216</v>
      </c>
      <c r="S1610" s="10" t="s">
        <v>210</v>
      </c>
      <c r="T1610" s="188">
        <v>1000</v>
      </c>
      <c r="U1610" s="8">
        <f t="shared" si="179"/>
        <v>180</v>
      </c>
      <c r="V1610" s="234">
        <f t="shared" si="180"/>
        <v>170084.15524616028</v>
      </c>
      <c r="W1610" s="15">
        <v>25</v>
      </c>
      <c r="X1610" s="8">
        <f t="shared" si="174"/>
        <v>4.5</v>
      </c>
      <c r="Y1610" s="233">
        <f t="shared" si="176"/>
        <v>6118</v>
      </c>
    </row>
    <row r="1611" spans="1:25">
      <c r="A1611" s="156" t="e" cm="1">
        <f t="array" aca="1" ref="A1611" ca="1">_xlfn.IFS(E1611=$AB$42,$AC$42,E1611=$AB$43,$AC$43,E1611=$AB$44,$AC$44,E1611=$AB$45,$AC$45,E1611=$AB$46,$AC$46,E1611=$AB$47,$AC$47,E1611=$AB$48,$AC$48,E1611=$AB$49,$AC$49,E1611=$AB$50,$AC$50,E1611=$AB$51,$AC$51,E1611=$AB$52,$AC$52,E1611=$AB$53,$AC$53,E1611=$AB$54,$AC$54,E1611=$AB$55,$AC$55,E1611=$AB$56,$AC$56,E1611=$AB$57,$AC$57,E1611=$AB$58,$AC$58,E1611=$AB$59,$AC$59,E1611=$AB$60,$AC$60,E1611=$AB$61,$AC$61,E1611=$AB$62,$AC$62,E1611=$AB$63,$AC$63,E1611=$AB$64,$AC$64,E1611=$AB$65,$AC$65,E1611=$AB$66,$AC$66,TRUE,"0")</f>
        <v>#NAME?</v>
      </c>
      <c r="C1611" s="161" t="str" cm="1">
        <f t="array" ref="C1611">_xlfn.IFS(E1611=$AB$42,$AF$42,E1611=$AB$43,$AF$43,E1611=$AB$44,$AF$44,E1611=$AB$45,$AF$45,E1611=$AB$46,$AF$46,E1611=$AB$47,$AF$47,E1611=$AB$48,$AF$48,E1611=$AB$49,$AF$49,E1611=$AB$50,$AF$50,E1611=$AB$51,$AF$51,E1611=$AB$52,$AF$52,E1611=$AB$53,$AF$53,E1611=$AB$54,$AF$54,E1611=$AB$55,$AF$55,E1611=$AB$56,$AF$56,E1611=$AB$57,$AF$57,E1611=$AB$58,$AF$58,E1611=$AB$59,$AF$59,E1611=$AB$60,$AF$60,E1611=$AB$61,$AF$61,E1611=$AB$62,$AF$62,E1611=$AB$63,$AF$63,E1611=$AB$64,$AF$64,E1611=$AB$65,$AF$65,E1611=$AB$66,$AF$66,TRUE,"0")</f>
        <v>40 mins Back ANother Goal</v>
      </c>
      <c r="D1611" s="270" t="str" cm="1">
        <f t="array" ref="D1611">_xlfn.IFS(E1611=$AB$42,$AD$42,E1611=$AB$43,$AD$43,E1611=$AB$44,$AD$44,E1611=$AB$45,$AD$45,E1611=$AB$46,$AD$46,E1611=$AB$47,$AD$47,E1611=$AB$48,$AD$48,E1611=$AB$49,$AD$49,E1611=$AB$50,$AD$50,E1611=$AB$51,$AD$51,E1611=$AB$52,$AD$52,E1611=$AB$53,$AD$53,E1611=$AB$54,$AD$54,E1611=$AB$55,$AD$55,E1611=$AB$56,$AD$56,E1611=$AB$57,$AD$57,E1611=$AB$58,$AD$58,E1611=$AB$59,$AD$59,E1611=$AB$60,$AD$60,E1611=$AB$61,$AD$61,E1611=$AB$62,$AD$62,E1611=$AB$63,$AD$63,E1611=$AB$64,$AD$64,E1611=$AB$65,$AD$65,E1611=$AB$66,$AD$66,TRUE,"0")</f>
        <v xml:space="preserve">  BANG</v>
      </c>
      <c r="E1611" s="2" t="s">
        <v>726</v>
      </c>
      <c r="F1611" s="2" t="s">
        <v>149</v>
      </c>
      <c r="G1611" s="2" t="s">
        <v>153</v>
      </c>
      <c r="H1611" s="3">
        <v>45431.5625</v>
      </c>
      <c r="I1611" s="2" t="s">
        <v>244</v>
      </c>
      <c r="J1611" s="2" t="s">
        <v>369</v>
      </c>
      <c r="K1611" s="2">
        <v>85</v>
      </c>
      <c r="L1611" s="2">
        <v>20</v>
      </c>
      <c r="M1611" s="2">
        <v>1.95</v>
      </c>
      <c r="N1611" s="2">
        <v>59</v>
      </c>
      <c r="O1611" s="2"/>
      <c r="P1611" s="2"/>
      <c r="Q1611" s="2" t="s">
        <v>95</v>
      </c>
      <c r="R1611" s="10" t="s">
        <v>216</v>
      </c>
      <c r="S1611" s="10" t="s">
        <v>223</v>
      </c>
      <c r="T1611" s="188">
        <v>1000</v>
      </c>
      <c r="U1611" s="8">
        <f t="shared" si="179"/>
        <v>180</v>
      </c>
      <c r="V1611" s="234">
        <f t="shared" si="180"/>
        <v>170264.15524616028</v>
      </c>
      <c r="W1611" s="15">
        <v>25</v>
      </c>
      <c r="X1611" s="8">
        <f t="shared" si="174"/>
        <v>4.5</v>
      </c>
      <c r="Y1611" s="233">
        <f t="shared" si="176"/>
        <v>6122.5</v>
      </c>
    </row>
    <row r="1612" spans="1:25">
      <c r="A1612" s="156" t="e" cm="1">
        <f t="array" aca="1" ref="A1612" ca="1">_xlfn.IFS(E1612=$AB$42,$AC$42,E1612=$AB$43,$AC$43,E1612=$AB$44,$AC$44,E1612=$AB$45,$AC$45,E1612=$AB$46,$AC$46,E1612=$AB$47,$AC$47,E1612=$AB$48,$AC$48,E1612=$AB$49,$AC$49,E1612=$AB$50,$AC$50,E1612=$AB$51,$AC$51,E1612=$AB$52,$AC$52,E1612=$AB$53,$AC$53,E1612=$AB$54,$AC$54,E1612=$AB$55,$AC$55,E1612=$AB$56,$AC$56,E1612=$AB$57,$AC$57,E1612=$AB$58,$AC$58,E1612=$AB$59,$AC$59,E1612=$AB$60,$AC$60,E1612=$AB$61,$AC$61,E1612=$AB$62,$AC$62,E1612=$AB$63,$AC$63,E1612=$AB$64,$AC$64,E1612=$AB$65,$AC$65,E1612=$AB$66,$AC$66,TRUE,"0")</f>
        <v>#NAME?</v>
      </c>
      <c r="C1612" s="161" t="str" cm="1">
        <f t="array" ref="C1612">_xlfn.IFS(E1612=$AB$42,$AF$42,E1612=$AB$43,$AF$43,E1612=$AB$44,$AF$44,E1612=$AB$45,$AF$45,E1612=$AB$46,$AF$46,E1612=$AB$47,$AF$47,E1612=$AB$48,$AF$48,E1612=$AB$49,$AF$49,E1612=$AB$50,$AF$50,E1612=$AB$51,$AF$51,E1612=$AB$52,$AF$52,E1612=$AB$53,$AF$53,E1612=$AB$54,$AF$54,E1612=$AB$55,$AF$55,E1612=$AB$56,$AF$56,E1612=$AB$57,$AF$57,E1612=$AB$58,$AF$58,E1612=$AB$59,$AF$59,E1612=$AB$60,$AF$60,E1612=$AB$61,$AF$61,E1612=$AB$62,$AF$62,E1612=$AB$63,$AF$63,E1612=$AB$64,$AF$64,E1612=$AB$65,$AF$65,E1612=$AB$66,$AF$66,TRUE,"0")</f>
        <v>B4 match BACK FT +1.5 goals. X AFTER  GOAL</v>
      </c>
      <c r="D1612" s="270" t="str" cm="1">
        <f t="array" ref="D1612">_xlfn.IFS(E1612=$AB$42,$AD$42,E1612=$AB$43,$AD$43,E1612=$AB$44,$AD$44,E1612=$AB$45,$AD$45,E1612=$AB$46,$AD$46,E1612=$AB$47,$AD$47,E1612=$AB$48,$AD$48,E1612=$AB$49,$AD$49,E1612=$AB$50,$AD$50,E1612=$AB$51,$AD$51,E1612=$AB$52,$AD$52,E1612=$AB$53,$AD$53,E1612=$AB$54,$AD$54,E1612=$AB$55,$AD$55,E1612=$AB$56,$AD$56,E1612=$AB$57,$AD$57,E1612=$AB$58,$AD$58,E1612=$AB$59,$AD$59,E1612=$AB$60,$AD$60,E1612=$AB$61,$AD$61,E1612=$AB$62,$AD$62,E1612=$AB$63,$AD$63,E1612=$AB$64,$AD$64,E1612=$AB$65,$AD$65,E1612=$AB$66,$AD$66,TRUE,"0")</f>
        <v xml:space="preserve">BFM </v>
      </c>
      <c r="E1612" s="2" t="s">
        <v>531</v>
      </c>
      <c r="F1612" s="2" t="s">
        <v>149</v>
      </c>
      <c r="G1612" s="2" t="s">
        <v>153</v>
      </c>
      <c r="H1612" s="3">
        <v>45431.5625</v>
      </c>
      <c r="I1612" s="2" t="s">
        <v>244</v>
      </c>
      <c r="J1612" s="2" t="s">
        <v>369</v>
      </c>
      <c r="K1612" s="2">
        <v>3.95</v>
      </c>
      <c r="L1612" s="2">
        <v>32</v>
      </c>
      <c r="M1612" s="2">
        <v>2.91</v>
      </c>
      <c r="N1612" s="2">
        <v>28</v>
      </c>
      <c r="O1612" s="2">
        <v>1</v>
      </c>
      <c r="P1612" s="2">
        <v>16</v>
      </c>
      <c r="Q1612" s="2" t="s">
        <v>95</v>
      </c>
      <c r="R1612" s="10" t="s">
        <v>216</v>
      </c>
      <c r="S1612" s="10" t="s">
        <v>223</v>
      </c>
      <c r="T1612" s="188">
        <v>1000</v>
      </c>
      <c r="U1612" s="8">
        <f t="shared" si="179"/>
        <v>180</v>
      </c>
      <c r="V1612" s="234">
        <f t="shared" si="180"/>
        <v>170444.15524616028</v>
      </c>
      <c r="W1612" s="15">
        <v>25</v>
      </c>
      <c r="X1612" s="8">
        <f t="shared" si="174"/>
        <v>4.5</v>
      </c>
      <c r="Y1612" s="233">
        <f t="shared" si="176"/>
        <v>6127</v>
      </c>
    </row>
    <row r="1613" spans="1:25">
      <c r="A1613" s="156" t="e" cm="1">
        <f t="array" aca="1" ref="A1613" ca="1">_xlfn.IFS(E1613=$AB$42,$AC$42,E1613=$AB$43,$AC$43,E1613=$AB$44,$AC$44,E1613=$AB$45,$AC$45,E1613=$AB$46,$AC$46,E1613=$AB$47,$AC$47,E1613=$AB$48,$AC$48,E1613=$AB$49,$AC$49,E1613=$AB$50,$AC$50,E1613=$AB$51,$AC$51,E1613=$AB$52,$AC$52,E1613=$AB$53,$AC$53,E1613=$AB$54,$AC$54,E1613=$AB$55,$AC$55,E1613=$AB$56,$AC$56,E1613=$AB$57,$AC$57,E1613=$AB$58,$AC$58,E1613=$AB$59,$AC$59,E1613=$AB$60,$AC$60,E1613=$AB$61,$AC$61,E1613=$AB$62,$AC$62,E1613=$AB$63,$AC$63,E1613=$AB$64,$AC$64,E1613=$AB$65,$AC$65,E1613=$AB$66,$AC$66,TRUE,"0")</f>
        <v>#NAME?</v>
      </c>
      <c r="C1613" s="161" t="str" cm="1">
        <f t="array" ref="C1613">_xlfn.IFS(E1613=$AB$42,$AF$42,E1613=$AB$43,$AF$43,E1613=$AB$44,$AF$44,E1613=$AB$45,$AF$45,E1613=$AB$46,$AF$46,E1613=$AB$47,$AF$47,E1613=$AB$48,$AF$48,E1613=$AB$49,$AF$49,E1613=$AB$50,$AF$50,E1613=$AB$51,$AF$51,E1613=$AB$52,$AF$52,E1613=$AB$53,$AF$53,E1613=$AB$54,$AF$54,E1613=$AB$55,$AF$55,E1613=$AB$56,$AF$56,E1613=$AB$57,$AF$57,E1613=$AB$58,$AF$58,E1613=$AB$59,$AF$59,E1613=$AB$60,$AF$60,E1613=$AB$61,$AF$61,E1613=$AB$62,$AF$62,E1613=$AB$63,$AF$63,E1613=$AB$64,$AF$64,E1613=$AB$65,$AF$65,E1613=$AB$66,$AF$66,TRUE,"0")</f>
        <v>B4 match BACK FT +1.5 goals. X AFTER  GOAL</v>
      </c>
      <c r="D1613" s="270" t="str" cm="1">
        <f t="array" ref="D1613">_xlfn.IFS(E1613=$AB$42,$AD$42,E1613=$AB$43,$AD$43,E1613=$AB$44,$AD$44,E1613=$AB$45,$AD$45,E1613=$AB$46,$AD$46,E1613=$AB$47,$AD$47,E1613=$AB$48,$AD$48,E1613=$AB$49,$AD$49,E1613=$AB$50,$AD$50,E1613=$AB$51,$AD$51,E1613=$AB$52,$AD$52,E1613=$AB$53,$AD$53,E1613=$AB$54,$AD$54,E1613=$AB$55,$AD$55,E1613=$AB$56,$AD$56,E1613=$AB$57,$AD$57,E1613=$AB$58,$AD$58,E1613=$AB$59,$AD$59,E1613=$AB$60,$AD$60,E1613=$AB$61,$AD$61,E1613=$AB$62,$AD$62,E1613=$AB$63,$AD$63,E1613=$AB$64,$AD$64,E1613=$AB$65,$AD$65,E1613=$AB$66,$AD$66,TRUE,"0")</f>
        <v xml:space="preserve">BFM </v>
      </c>
      <c r="E1613" s="2" t="s">
        <v>531</v>
      </c>
      <c r="F1613" s="2" t="s">
        <v>149</v>
      </c>
      <c r="G1613" s="2" t="s">
        <v>153</v>
      </c>
      <c r="H1613" s="3">
        <v>45431.5625</v>
      </c>
      <c r="I1613" s="2" t="s">
        <v>205</v>
      </c>
      <c r="J1613" s="2" t="s">
        <v>242</v>
      </c>
      <c r="K1613" s="2">
        <v>3.35</v>
      </c>
      <c r="L1613" s="2">
        <v>32</v>
      </c>
      <c r="M1613" s="2">
        <v>2.88</v>
      </c>
      <c r="N1613" s="2">
        <v>31</v>
      </c>
      <c r="O1613" s="2">
        <v>1</v>
      </c>
      <c r="P1613" s="2">
        <v>16</v>
      </c>
      <c r="Q1613" s="2" t="s">
        <v>95</v>
      </c>
      <c r="R1613" s="10" t="s">
        <v>221</v>
      </c>
      <c r="S1613" s="10" t="s">
        <v>223</v>
      </c>
      <c r="T1613" s="188">
        <v>1000</v>
      </c>
      <c r="U1613" s="8">
        <f t="shared" si="179"/>
        <v>180</v>
      </c>
      <c r="V1613" s="234">
        <f t="shared" si="180"/>
        <v>170624.15524616028</v>
      </c>
      <c r="W1613" s="15">
        <v>25</v>
      </c>
      <c r="X1613" s="8">
        <f t="shared" si="174"/>
        <v>4.5</v>
      </c>
      <c r="Y1613" s="233">
        <f t="shared" si="176"/>
        <v>6131.5</v>
      </c>
    </row>
    <row r="1614" spans="1:25">
      <c r="A1614" s="156" t="e" cm="1">
        <f t="array" aca="1" ref="A1614" ca="1">_xlfn.IFS(E1614=$AB$42,$AC$42,E1614=$AB$43,$AC$43,E1614=$AB$44,$AC$44,E1614=$AB$45,$AC$45,E1614=$AB$46,$AC$46,E1614=$AB$47,$AC$47,E1614=$AB$48,$AC$48,E1614=$AB$49,$AC$49,E1614=$AB$50,$AC$50,E1614=$AB$51,$AC$51,E1614=$AB$52,$AC$52,E1614=$AB$53,$AC$53,E1614=$AB$54,$AC$54,E1614=$AB$55,$AC$55,E1614=$AB$56,$AC$56,E1614=$AB$57,$AC$57,E1614=$AB$58,$AC$58,E1614=$AB$59,$AC$59,E1614=$AB$60,$AC$60,E1614=$AB$61,$AC$61,E1614=$AB$62,$AC$62,E1614=$AB$63,$AC$63,E1614=$AB$64,$AC$64,E1614=$AB$65,$AC$65,E1614=$AB$66,$AC$66,TRUE,"0")</f>
        <v>#NAME?</v>
      </c>
      <c r="C1614" s="161" t="str" cm="1">
        <f t="array" ref="C1614">_xlfn.IFS(E1614=$AB$42,$AF$42,E1614=$AB$43,$AF$43,E1614=$AB$44,$AF$44,E1614=$AB$45,$AF$45,E1614=$AB$46,$AF$46,E1614=$AB$47,$AF$47,E1614=$AB$48,$AF$48,E1614=$AB$49,$AF$49,E1614=$AB$50,$AF$50,E1614=$AB$51,$AF$51,E1614=$AB$52,$AF$52,E1614=$AB$53,$AF$53,E1614=$AB$54,$AF$54,E1614=$AB$55,$AF$55,E1614=$AB$56,$AF$56,E1614=$AB$57,$AF$57,E1614=$AB$58,$AF$58,E1614=$AB$59,$AF$59,E1614=$AB$60,$AF$60,E1614=$AB$61,$AF$61,E1614=$AB$62,$AF$62,E1614=$AB$63,$AF$63,E1614=$AB$64,$AF$64,E1614=$AB$65,$AF$65,E1614=$AB$66,$AF$66,TRUE,"0")</f>
        <v>AT HT IF 0-0 BACK +0.5 GOALS</v>
      </c>
      <c r="D1614" s="270" t="str" cm="1">
        <f t="array" ref="D1614">_xlfn.IFS(E1614=$AB$42,$AD$42,E1614=$AB$43,$AD$43,E1614=$AB$44,$AD$44,E1614=$AB$45,$AD$45,E1614=$AB$46,$AD$46,E1614=$AB$47,$AD$47,E1614=$AB$48,$AD$48,E1614=$AB$49,$AD$49,E1614=$AB$50,$AD$50,E1614=$AB$51,$AD$51,E1614=$AB$52,$AD$52,E1614=$AB$53,$AD$53,E1614=$AB$54,$AD$54,E1614=$AB$55,$AD$55,E1614=$AB$56,$AD$56,E1614=$AB$57,$AD$57,E1614=$AB$58,$AD$58,E1614=$AB$59,$AD$59,E1614=$AB$60,$AD$60,E1614=$AB$61,$AD$61,E1614=$AB$62,$AD$62,E1614=$AB$63,$AD$63,E1614=$AB$64,$AD$64,E1614=$AB$65,$AD$65,E1614=$AB$66,$AD$66,TRUE,"0")</f>
        <v>IP</v>
      </c>
      <c r="E1614" s="2" t="s">
        <v>514</v>
      </c>
      <c r="F1614" s="2" t="s">
        <v>149</v>
      </c>
      <c r="G1614" s="2" t="s">
        <v>153</v>
      </c>
      <c r="H1614" s="3">
        <v>45431.5625</v>
      </c>
      <c r="I1614" s="2" t="s">
        <v>205</v>
      </c>
      <c r="J1614" s="2" t="s">
        <v>242</v>
      </c>
      <c r="K1614" s="2">
        <v>120</v>
      </c>
      <c r="L1614" s="2">
        <v>3.35</v>
      </c>
      <c r="M1614" s="2">
        <v>0</v>
      </c>
      <c r="N1614" s="2">
        <v>20</v>
      </c>
      <c r="O1614" s="2">
        <v>5</v>
      </c>
      <c r="P1614" s="2">
        <v>27</v>
      </c>
      <c r="Q1614" s="2" t="s">
        <v>95</v>
      </c>
      <c r="R1614" s="10" t="s">
        <v>221</v>
      </c>
      <c r="S1614" s="10" t="s">
        <v>223</v>
      </c>
      <c r="T1614" s="188">
        <v>1000</v>
      </c>
      <c r="U1614" s="8">
        <f t="shared" si="179"/>
        <v>180</v>
      </c>
      <c r="V1614" s="234">
        <f t="shared" si="180"/>
        <v>170804.15524616028</v>
      </c>
      <c r="W1614" s="15">
        <v>25</v>
      </c>
      <c r="X1614" s="8">
        <f t="shared" si="174"/>
        <v>4.5</v>
      </c>
      <c r="Y1614" s="233">
        <f t="shared" si="176"/>
        <v>6136</v>
      </c>
    </row>
    <row r="1615" spans="1:25">
      <c r="A1615" s="156" t="e" cm="1">
        <f t="array" aca="1" ref="A1615" ca="1">_xlfn.IFS(E1615=$AB$42,$AC$42,E1615=$AB$43,$AC$43,E1615=$AB$44,$AC$44,E1615=$AB$45,$AC$45,E1615=$AB$46,$AC$46,E1615=$AB$47,$AC$47,E1615=$AB$48,$AC$48,E1615=$AB$49,$AC$49,E1615=$AB$50,$AC$50,E1615=$AB$51,$AC$51,E1615=$AB$52,$AC$52,E1615=$AB$53,$AC$53,E1615=$AB$54,$AC$54,E1615=$AB$55,$AC$55,E1615=$AB$56,$AC$56,E1615=$AB$57,$AC$57,E1615=$AB$58,$AC$58,E1615=$AB$59,$AC$59,E1615=$AB$60,$AC$60,E1615=$AB$61,$AC$61,E1615=$AB$62,$AC$62,E1615=$AB$63,$AC$63,E1615=$AB$64,$AC$64,E1615=$AB$65,$AC$65,E1615=$AB$66,$AC$66,TRUE,"0")</f>
        <v>#NAME?</v>
      </c>
      <c r="C1615" s="161" t="str" cm="1">
        <f t="array" ref="C1615">_xlfn.IFS(E1615=$AB$42,$AF$42,E1615=$AB$43,$AF$43,E1615=$AB$44,$AF$44,E1615=$AB$45,$AF$45,E1615=$AB$46,$AF$46,E1615=$AB$47,$AF$47,E1615=$AB$48,$AF$48,E1615=$AB$49,$AF$49,E1615=$AB$50,$AF$50,E1615=$AB$51,$AF$51,E1615=$AB$52,$AF$52,E1615=$AB$53,$AF$53,E1615=$AB$54,$AF$54,E1615=$AB$55,$AF$55,E1615=$AB$56,$AF$56,E1615=$AB$57,$AF$57,E1615=$AB$58,$AF$58,E1615=$AB$59,$AF$59,E1615=$AB$60,$AF$60,E1615=$AB$61,$AF$61,E1615=$AB$62,$AF$62,E1615=$AB$63,$AF$63,E1615=$AB$64,$AF$64,E1615=$AB$65,$AF$65,E1615=$AB$66,$AF$66,TRUE,"0")</f>
        <v>B4 match BACK FT +1.5 goals. X AFTER  GOAL</v>
      </c>
      <c r="D1615" s="270" t="str" cm="1">
        <f t="array" ref="D1615">_xlfn.IFS(E1615=$AB$42,$AD$42,E1615=$AB$43,$AD$43,E1615=$AB$44,$AD$44,E1615=$AB$45,$AD$45,E1615=$AB$46,$AD$46,E1615=$AB$47,$AD$47,E1615=$AB$48,$AD$48,E1615=$AB$49,$AD$49,E1615=$AB$50,$AD$50,E1615=$AB$51,$AD$51,E1615=$AB$52,$AD$52,E1615=$AB$53,$AD$53,E1615=$AB$54,$AD$54,E1615=$AB$55,$AD$55,E1615=$AB$56,$AD$56,E1615=$AB$57,$AD$57,E1615=$AB$58,$AD$58,E1615=$AB$59,$AD$59,E1615=$AB$60,$AD$60,E1615=$AB$61,$AD$61,E1615=$AB$62,$AD$62,E1615=$AB$63,$AD$63,E1615=$AB$64,$AD$64,E1615=$AB$65,$AD$65,E1615=$AB$66,$AD$66,TRUE,"0")</f>
        <v xml:space="preserve">BFM </v>
      </c>
      <c r="E1615" s="2" t="s">
        <v>623</v>
      </c>
      <c r="F1615" s="2" t="s">
        <v>77</v>
      </c>
      <c r="G1615" s="2" t="s">
        <v>234</v>
      </c>
      <c r="H1615" s="3">
        <v>45431.604166666664</v>
      </c>
      <c r="I1615" s="2" t="s">
        <v>632</v>
      </c>
      <c r="J1615" s="2" t="s">
        <v>413</v>
      </c>
      <c r="K1615" s="2">
        <v>6</v>
      </c>
      <c r="L1615" s="2">
        <v>20</v>
      </c>
      <c r="M1615" s="2">
        <v>2.75</v>
      </c>
      <c r="N1615" s="2">
        <v>25</v>
      </c>
      <c r="O1615" s="2">
        <v>1</v>
      </c>
      <c r="P1615" s="2">
        <v>10</v>
      </c>
      <c r="Q1615" s="2" t="s">
        <v>95</v>
      </c>
      <c r="R1615" s="10" t="s">
        <v>222</v>
      </c>
      <c r="S1615" s="10" t="s">
        <v>209</v>
      </c>
      <c r="T1615" s="188">
        <v>1000</v>
      </c>
      <c r="U1615" s="8">
        <f t="shared" si="179"/>
        <v>180</v>
      </c>
      <c r="V1615" s="234">
        <f t="shared" si="180"/>
        <v>170984.15524616028</v>
      </c>
      <c r="W1615" s="15">
        <v>25</v>
      </c>
      <c r="X1615" s="8">
        <f t="shared" si="174"/>
        <v>4.5</v>
      </c>
      <c r="Y1615" s="233">
        <f t="shared" si="176"/>
        <v>6140.5</v>
      </c>
    </row>
    <row r="1616" spans="1:25">
      <c r="A1616" s="156" t="e" cm="1">
        <f t="array" aca="1" ref="A1616" ca="1">_xlfn.IFS(E1616=$AB$42,$AC$42,E1616=$AB$43,$AC$43,E1616=$AB$44,$AC$44,E1616=$AB$45,$AC$45,E1616=$AB$46,$AC$46,E1616=$AB$47,$AC$47,E1616=$AB$48,$AC$48,E1616=$AB$49,$AC$49,E1616=$AB$50,$AC$50,E1616=$AB$51,$AC$51,E1616=$AB$52,$AC$52,E1616=$AB$53,$AC$53,E1616=$AB$54,$AC$54,E1616=$AB$55,$AC$55,E1616=$AB$56,$AC$56,E1616=$AB$57,$AC$57,E1616=$AB$58,$AC$58,E1616=$AB$59,$AC$59,E1616=$AB$60,$AC$60,E1616=$AB$61,$AC$61,E1616=$AB$62,$AC$62,E1616=$AB$63,$AC$63,E1616=$AB$64,$AC$64,E1616=$AB$65,$AC$65,E1616=$AB$66,$AC$66,TRUE,"0")</f>
        <v>#NAME?</v>
      </c>
      <c r="C1616" s="161" t="str" cm="1">
        <f t="array" ref="C1616">_xlfn.IFS(E1616=$AB$42,$AF$42,E1616=$AB$43,$AF$43,E1616=$AB$44,$AF$44,E1616=$AB$45,$AF$45,E1616=$AB$46,$AF$46,E1616=$AB$47,$AF$47,E1616=$AB$48,$AF$48,E1616=$AB$49,$AF$49,E1616=$AB$50,$AF$50,E1616=$AB$51,$AF$51,E1616=$AB$52,$AF$52,E1616=$AB$53,$AF$53,E1616=$AB$54,$AF$54,E1616=$AB$55,$AF$55,E1616=$AB$56,$AF$56,E1616=$AB$57,$AF$57,E1616=$AB$58,$AF$58,E1616=$AB$59,$AF$59,E1616=$AB$60,$AF$60,E1616=$AB$61,$AF$61,E1616=$AB$62,$AF$62,E1616=$AB$63,$AF$63,E1616=$AB$64,$AF$64,E1616=$AB$65,$AF$65,E1616=$AB$66,$AF$66,TRUE,"0")</f>
        <v>40 mins Back ANother Goal</v>
      </c>
      <c r="D1616" s="270" t="str" cm="1">
        <f t="array" ref="D1616">_xlfn.IFS(E1616=$AB$42,$AD$42,E1616=$AB$43,$AD$43,E1616=$AB$44,$AD$44,E1616=$AB$45,$AD$45,E1616=$AB$46,$AD$46,E1616=$AB$47,$AD$47,E1616=$AB$48,$AD$48,E1616=$AB$49,$AD$49,E1616=$AB$50,$AD$50,E1616=$AB$51,$AD$51,E1616=$AB$52,$AD$52,E1616=$AB$53,$AD$53,E1616=$AB$54,$AD$54,E1616=$AB$55,$AD$55,E1616=$AB$56,$AD$56,E1616=$AB$57,$AD$57,E1616=$AB$58,$AD$58,E1616=$AB$59,$AD$59,E1616=$AB$60,$AD$60,E1616=$AB$61,$AD$61,E1616=$AB$62,$AD$62,E1616=$AB$63,$AD$63,E1616=$AB$64,$AD$64,E1616=$AB$65,$AD$65,E1616=$AB$66,$AD$66,TRUE,"0")</f>
        <v xml:space="preserve">  BANG</v>
      </c>
      <c r="E1616" s="2" t="s">
        <v>792</v>
      </c>
      <c r="F1616" s="2" t="s">
        <v>77</v>
      </c>
      <c r="G1616" s="2" t="s">
        <v>234</v>
      </c>
      <c r="H1616" s="3">
        <v>45431.604166666664</v>
      </c>
      <c r="I1616" s="2" t="s">
        <v>633</v>
      </c>
      <c r="J1616" s="2" t="s">
        <v>246</v>
      </c>
      <c r="K1616" s="2">
        <v>2.0499999999999998</v>
      </c>
      <c r="L1616" s="2">
        <v>95</v>
      </c>
      <c r="M1616" s="2">
        <v>65</v>
      </c>
      <c r="N1616" s="2">
        <v>60</v>
      </c>
      <c r="O1616" s="2">
        <v>20</v>
      </c>
      <c r="P1616" s="2"/>
      <c r="Q1616" s="2" t="s">
        <v>95</v>
      </c>
      <c r="R1616" s="10" t="s">
        <v>221</v>
      </c>
      <c r="S1616" s="10" t="s">
        <v>220</v>
      </c>
      <c r="T1616" s="188">
        <v>1000</v>
      </c>
      <c r="U1616" s="8">
        <f t="shared" si="179"/>
        <v>180</v>
      </c>
      <c r="V1616" s="234">
        <f t="shared" si="180"/>
        <v>171164.15524616028</v>
      </c>
      <c r="W1616" s="15">
        <v>25</v>
      </c>
      <c r="X1616" s="8">
        <f t="shared" si="174"/>
        <v>4.5</v>
      </c>
      <c r="Y1616" s="233">
        <f t="shared" si="176"/>
        <v>6145</v>
      </c>
    </row>
    <row r="1617" spans="1:25">
      <c r="A1617" s="156" t="e" cm="1">
        <f t="array" aca="1" ref="A1617" ca="1">_xlfn.IFS(E1617=$AB$42,$AC$42,E1617=$AB$43,$AC$43,E1617=$AB$44,$AC$44,E1617=$AB$45,$AC$45,E1617=$AB$46,$AC$46,E1617=$AB$47,$AC$47,E1617=$AB$48,$AC$48,E1617=$AB$49,$AC$49,E1617=$AB$50,$AC$50,E1617=$AB$51,$AC$51,E1617=$AB$52,$AC$52,E1617=$AB$53,$AC$53,E1617=$AB$54,$AC$54,E1617=$AB$55,$AC$55,E1617=$AB$56,$AC$56,E1617=$AB$57,$AC$57,E1617=$AB$58,$AC$58,E1617=$AB$59,$AC$59,E1617=$AB$60,$AC$60,E1617=$AB$61,$AC$61,E1617=$AB$62,$AC$62,E1617=$AB$63,$AC$63,E1617=$AB$64,$AC$64,E1617=$AB$65,$AC$65,E1617=$AB$66,$AC$66,TRUE,"0")</f>
        <v>#NAME?</v>
      </c>
      <c r="C1617" s="161" t="str" cm="1">
        <f t="array" ref="C1617">_xlfn.IFS(E1617=$AB$42,$AF$42,E1617=$AB$43,$AF$43,E1617=$AB$44,$AF$44,E1617=$AB$45,$AF$45,E1617=$AB$46,$AF$46,E1617=$AB$47,$AF$47,E1617=$AB$48,$AF$48,E1617=$AB$49,$AF$49,E1617=$AB$50,$AF$50,E1617=$AB$51,$AF$51,E1617=$AB$52,$AF$52,E1617=$AB$53,$AF$53,E1617=$AB$54,$AF$54,E1617=$AB$55,$AF$55,E1617=$AB$56,$AF$56,E1617=$AB$57,$AF$57,E1617=$AB$58,$AF$58,E1617=$AB$59,$AF$59,E1617=$AB$60,$AF$60,E1617=$AB$61,$AF$61,E1617=$AB$62,$AF$62,E1617=$AB$63,$AF$63,E1617=$AB$64,$AF$64,E1617=$AB$65,$AF$65,E1617=$AB$66,$AF$66,TRUE,"0")</f>
        <v>40 mins Back ANother Goal</v>
      </c>
      <c r="D1617" s="270" t="str" cm="1">
        <f t="array" ref="D1617">_xlfn.IFS(E1617=$AB$42,$AD$42,E1617=$AB$43,$AD$43,E1617=$AB$44,$AD$44,E1617=$AB$45,$AD$45,E1617=$AB$46,$AD$46,E1617=$AB$47,$AD$47,E1617=$AB$48,$AD$48,E1617=$AB$49,$AD$49,E1617=$AB$50,$AD$50,E1617=$AB$51,$AD$51,E1617=$AB$52,$AD$52,E1617=$AB$53,$AD$53,E1617=$AB$54,$AD$54,E1617=$AB$55,$AD$55,E1617=$AB$56,$AD$56,E1617=$AB$57,$AD$57,E1617=$AB$58,$AD$58,E1617=$AB$59,$AD$59,E1617=$AB$60,$AD$60,E1617=$AB$61,$AD$61,E1617=$AB$62,$AD$62,E1617=$AB$63,$AD$63,E1617=$AB$64,$AD$64,E1617=$AB$65,$AD$65,E1617=$AB$66,$AD$66,TRUE,"0")</f>
        <v xml:space="preserve">  BANG</v>
      </c>
      <c r="E1617" s="2" t="s">
        <v>726</v>
      </c>
      <c r="F1617" s="2" t="s">
        <v>77</v>
      </c>
      <c r="G1617" s="2" t="s">
        <v>234</v>
      </c>
      <c r="H1617" s="3">
        <v>45431.604166666664</v>
      </c>
      <c r="I1617" s="2" t="s">
        <v>633</v>
      </c>
      <c r="J1617" s="2" t="s">
        <v>246</v>
      </c>
      <c r="K1617" s="2">
        <v>95</v>
      </c>
      <c r="L1617" s="2">
        <v>20</v>
      </c>
      <c r="M1617" s="2">
        <v>2.0499999999999998</v>
      </c>
      <c r="N1617" s="2">
        <v>60</v>
      </c>
      <c r="O1617" s="2"/>
      <c r="P1617" s="2"/>
      <c r="Q1617" s="2" t="s">
        <v>95</v>
      </c>
      <c r="R1617" s="10" t="s">
        <v>221</v>
      </c>
      <c r="S1617" s="10" t="s">
        <v>220</v>
      </c>
      <c r="T1617" s="188">
        <v>1000</v>
      </c>
      <c r="U1617" s="8">
        <f t="shared" si="179"/>
        <v>180</v>
      </c>
      <c r="V1617" s="234">
        <f t="shared" si="180"/>
        <v>171344.15524616028</v>
      </c>
      <c r="W1617" s="15">
        <v>25</v>
      </c>
      <c r="X1617" s="8">
        <f t="shared" si="174"/>
        <v>4.5</v>
      </c>
      <c r="Y1617" s="233">
        <f t="shared" si="176"/>
        <v>6149.5</v>
      </c>
    </row>
    <row r="1618" spans="1:25">
      <c r="A1618" s="156" t="e" cm="1">
        <f t="array" aca="1" ref="A1618" ca="1">_xlfn.IFS(E1618=$AB$42,$AC$42,E1618=$AB$43,$AC$43,E1618=$AB$44,$AC$44,E1618=$AB$45,$AC$45,E1618=$AB$46,$AC$46,E1618=$AB$47,$AC$47,E1618=$AB$48,$AC$48,E1618=$AB$49,$AC$49,E1618=$AB$50,$AC$50,E1618=$AB$51,$AC$51,E1618=$AB$52,$AC$52,E1618=$AB$53,$AC$53,E1618=$AB$54,$AC$54,E1618=$AB$55,$AC$55,E1618=$AB$56,$AC$56,E1618=$AB$57,$AC$57,E1618=$AB$58,$AC$58,E1618=$AB$59,$AC$59,E1618=$AB$60,$AC$60,E1618=$AB$61,$AC$61,E1618=$AB$62,$AC$62,E1618=$AB$63,$AC$63,E1618=$AB$64,$AC$64,E1618=$AB$65,$AC$65,E1618=$AB$66,$AC$66,TRUE,"0")</f>
        <v>#NAME?</v>
      </c>
      <c r="C1618" s="161" t="str" cm="1">
        <f t="array" ref="C1618">_xlfn.IFS(E1618=$AB$42,$AF$42,E1618=$AB$43,$AF$43,E1618=$AB$44,$AF$44,E1618=$AB$45,$AF$45,E1618=$AB$46,$AF$46,E1618=$AB$47,$AF$47,E1618=$AB$48,$AF$48,E1618=$AB$49,$AF$49,E1618=$AB$50,$AF$50,E1618=$AB$51,$AF$51,E1618=$AB$52,$AF$52,E1618=$AB$53,$AF$53,E1618=$AB$54,$AF$54,E1618=$AB$55,$AF$55,E1618=$AB$56,$AF$56,E1618=$AB$57,$AF$57,E1618=$AB$58,$AF$58,E1618=$AB$59,$AF$59,E1618=$AB$60,$AF$60,E1618=$AB$61,$AF$61,E1618=$AB$62,$AF$62,E1618=$AB$63,$AF$63,E1618=$AB$64,$AF$64,E1618=$AB$65,$AF$65,E1618=$AB$66,$AF$66,TRUE,"0")</f>
        <v>if 0-0, BACK+ 0.5 GOALS  @ 1.15+odds.  or @ 40 mins</v>
      </c>
      <c r="D1618" s="270" t="str" cm="1">
        <f t="array" ref="D1618">_xlfn.IFS(E1618=$AB$42,$AD$42,E1618=$AB$43,$AD$43,E1618=$AB$44,$AD$44,E1618=$AB$45,$AD$45,E1618=$AB$46,$AD$46,E1618=$AB$47,$AD$47,E1618=$AB$48,$AD$48,E1618=$AB$49,$AD$49,E1618=$AB$50,$AD$50,E1618=$AB$51,$AD$51,E1618=$AB$52,$AD$52,E1618=$AB$53,$AD$53,E1618=$AB$54,$AD$54,E1618=$AB$55,$AD$55,E1618=$AB$56,$AD$56,E1618=$AB$57,$AD$57,E1618=$AB$58,$AD$58,E1618=$AB$59,$AD$59,E1618=$AB$60,$AD$60,E1618=$AB$61,$AD$61,E1618=$AB$62,$AD$62,E1618=$AB$63,$AD$63,E1618=$AB$64,$AD$64,E1618=$AB$65,$AD$65,E1618=$AB$66,$AD$66,TRUE,"0")</f>
        <v>IP</v>
      </c>
      <c r="E1618" s="2" t="s">
        <v>270</v>
      </c>
      <c r="F1618" s="2" t="s">
        <v>77</v>
      </c>
      <c r="G1618" s="2" t="s">
        <v>234</v>
      </c>
      <c r="H1618" s="3">
        <v>45431.604166666664</v>
      </c>
      <c r="I1618" s="2" t="s">
        <v>633</v>
      </c>
      <c r="J1618" s="2" t="s">
        <v>246</v>
      </c>
      <c r="K1618" s="2">
        <v>61</v>
      </c>
      <c r="L1618" s="2">
        <v>0</v>
      </c>
      <c r="M1618" s="2">
        <v>20</v>
      </c>
      <c r="N1618" s="2">
        <v>29</v>
      </c>
      <c r="O1618" s="2">
        <v>2.93</v>
      </c>
      <c r="P1618" s="2"/>
      <c r="Q1618" s="2" t="s">
        <v>95</v>
      </c>
      <c r="R1618" s="10" t="s">
        <v>221</v>
      </c>
      <c r="S1618" s="10" t="s">
        <v>220</v>
      </c>
      <c r="T1618" s="188">
        <v>1000</v>
      </c>
      <c r="U1618" s="8">
        <f t="shared" si="179"/>
        <v>180</v>
      </c>
      <c r="V1618" s="234">
        <f t="shared" si="180"/>
        <v>171524.15524616028</v>
      </c>
      <c r="W1618" s="15">
        <v>25</v>
      </c>
      <c r="X1618" s="8">
        <f t="shared" si="174"/>
        <v>4.5</v>
      </c>
      <c r="Y1618" s="233">
        <f t="shared" si="176"/>
        <v>6154</v>
      </c>
    </row>
    <row r="1619" spans="1:25">
      <c r="A1619" s="156" t="e" cm="1">
        <f t="array" aca="1" ref="A1619" ca="1">_xlfn.IFS(E1619=$AB$42,$AC$42,E1619=$AB$43,$AC$43,E1619=$AB$44,$AC$44,E1619=$AB$45,$AC$45,E1619=$AB$46,$AC$46,E1619=$AB$47,$AC$47,E1619=$AB$48,$AC$48,E1619=$AB$49,$AC$49,E1619=$AB$50,$AC$50,E1619=$AB$51,$AC$51,E1619=$AB$52,$AC$52,E1619=$AB$53,$AC$53,E1619=$AB$54,$AC$54,E1619=$AB$55,$AC$55,E1619=$AB$56,$AC$56,E1619=$AB$57,$AC$57,E1619=$AB$58,$AC$58,E1619=$AB$59,$AC$59,E1619=$AB$60,$AC$60,E1619=$AB$61,$AC$61,E1619=$AB$62,$AC$62,E1619=$AB$63,$AC$63,E1619=$AB$64,$AC$64,E1619=$AB$65,$AC$65,E1619=$AB$66,$AC$66,TRUE,"0")</f>
        <v>#NAME?</v>
      </c>
      <c r="C1619" s="161" t="str" cm="1">
        <f t="array" ref="C1619">_xlfn.IFS(E1619=$AB$42,$AF$42,E1619=$AB$43,$AF$43,E1619=$AB$44,$AF$44,E1619=$AB$45,$AF$45,E1619=$AB$46,$AF$46,E1619=$AB$47,$AF$47,E1619=$AB$48,$AF$48,E1619=$AB$49,$AF$49,E1619=$AB$50,$AF$50,E1619=$AB$51,$AF$51,E1619=$AB$52,$AF$52,E1619=$AB$53,$AF$53,E1619=$AB$54,$AF$54,E1619=$AB$55,$AF$55,E1619=$AB$56,$AF$56,E1619=$AB$57,$AF$57,E1619=$AB$58,$AF$58,E1619=$AB$59,$AF$59,E1619=$AB$60,$AF$60,E1619=$AB$61,$AF$61,E1619=$AB$62,$AF$62,E1619=$AB$63,$AF$63,E1619=$AB$64,$AF$64,E1619=$AB$65,$AF$65,E1619=$AB$66,$AF$66,TRUE,"0")</f>
        <v>40 mins Back ANother Goal</v>
      </c>
      <c r="D1619" s="270" t="str" cm="1">
        <f t="array" ref="D1619">_xlfn.IFS(E1619=$AB$42,$AD$42,E1619=$AB$43,$AD$43,E1619=$AB$44,$AD$44,E1619=$AB$45,$AD$45,E1619=$AB$46,$AD$46,E1619=$AB$47,$AD$47,E1619=$AB$48,$AD$48,E1619=$AB$49,$AD$49,E1619=$AB$50,$AD$50,E1619=$AB$51,$AD$51,E1619=$AB$52,$AD$52,E1619=$AB$53,$AD$53,E1619=$AB$54,$AD$54,E1619=$AB$55,$AD$55,E1619=$AB$56,$AD$56,E1619=$AB$57,$AD$57,E1619=$AB$58,$AD$58,E1619=$AB$59,$AD$59,E1619=$AB$60,$AD$60,E1619=$AB$61,$AD$61,E1619=$AB$62,$AD$62,E1619=$AB$63,$AD$63,E1619=$AB$64,$AD$64,E1619=$AB$65,$AD$65,E1619=$AB$66,$AD$66,TRUE,"0")</f>
        <v xml:space="preserve">  BANG</v>
      </c>
      <c r="E1619" s="2" t="s">
        <v>726</v>
      </c>
      <c r="F1619" s="2" t="s">
        <v>77</v>
      </c>
      <c r="G1619" s="2" t="s">
        <v>234</v>
      </c>
      <c r="H1619" s="3">
        <v>45431.604166666664</v>
      </c>
      <c r="I1619" s="2" t="s">
        <v>631</v>
      </c>
      <c r="J1619" s="2" t="s">
        <v>687</v>
      </c>
      <c r="K1619" s="2">
        <v>95</v>
      </c>
      <c r="L1619" s="2">
        <v>20</v>
      </c>
      <c r="M1619" s="2">
        <v>2.0499999999999998</v>
      </c>
      <c r="N1619" s="2">
        <v>58</v>
      </c>
      <c r="O1619" s="2"/>
      <c r="P1619" s="2"/>
      <c r="Q1619" s="2" t="s">
        <v>95</v>
      </c>
      <c r="R1619" s="10" t="s">
        <v>214</v>
      </c>
      <c r="S1619" s="10" t="s">
        <v>195</v>
      </c>
      <c r="T1619" s="188">
        <v>1000</v>
      </c>
      <c r="U1619" s="8">
        <f t="shared" si="179"/>
        <v>180</v>
      </c>
      <c r="V1619" s="234">
        <f t="shared" si="180"/>
        <v>171704.15524616028</v>
      </c>
      <c r="W1619" s="15">
        <v>25</v>
      </c>
      <c r="X1619" s="8">
        <f t="shared" si="174"/>
        <v>4.5</v>
      </c>
      <c r="Y1619" s="233">
        <f t="shared" si="176"/>
        <v>6158.5</v>
      </c>
    </row>
    <row r="1620" spans="1:25">
      <c r="A1620" s="156" t="e" cm="1">
        <f t="array" aca="1" ref="A1620" ca="1">_xlfn.IFS(E1620=$AB$42,$AC$42,E1620=$AB$43,$AC$43,E1620=$AB$44,$AC$44,E1620=$AB$45,$AC$45,E1620=$AB$46,$AC$46,E1620=$AB$47,$AC$47,E1620=$AB$48,$AC$48,E1620=$AB$49,$AC$49,E1620=$AB$50,$AC$50,E1620=$AB$51,$AC$51,E1620=$AB$52,$AC$52,E1620=$AB$53,$AC$53,E1620=$AB$54,$AC$54,E1620=$AB$55,$AC$55,E1620=$AB$56,$AC$56,E1620=$AB$57,$AC$57,E1620=$AB$58,$AC$58,E1620=$AB$59,$AC$59,E1620=$AB$60,$AC$60,E1620=$AB$61,$AC$61,E1620=$AB$62,$AC$62,E1620=$AB$63,$AC$63,E1620=$AB$64,$AC$64,E1620=$AB$65,$AC$65,E1620=$AB$66,$AC$66,TRUE,"0")</f>
        <v>#NAME?</v>
      </c>
      <c r="C1620" s="161" t="str" cm="1">
        <f t="array" ref="C1620">_xlfn.IFS(E1620=$AB$42,$AF$42,E1620=$AB$43,$AF$43,E1620=$AB$44,$AF$44,E1620=$AB$45,$AF$45,E1620=$AB$46,$AF$46,E1620=$AB$47,$AF$47,E1620=$AB$48,$AF$48,E1620=$AB$49,$AF$49,E1620=$AB$50,$AF$50,E1620=$AB$51,$AF$51,E1620=$AB$52,$AF$52,E1620=$AB$53,$AF$53,E1620=$AB$54,$AF$54,E1620=$AB$55,$AF$55,E1620=$AB$56,$AF$56,E1620=$AB$57,$AF$57,E1620=$AB$58,$AF$58,E1620=$AB$59,$AF$59,E1620=$AB$60,$AF$60,E1620=$AB$61,$AF$61,E1620=$AB$62,$AF$62,E1620=$AB$63,$AF$63,E1620=$AB$64,$AF$64,E1620=$AB$65,$AF$65,E1620=$AB$66,$AF$66,TRUE,"0")</f>
        <v>if 0-0, BACK+ 0.5 GOALS  @ 1.15+odds.  or @ 40 mins</v>
      </c>
      <c r="D1620" s="270" t="str" cm="1">
        <f t="array" ref="D1620">_xlfn.IFS(E1620=$AB$42,$AD$42,E1620=$AB$43,$AD$43,E1620=$AB$44,$AD$44,E1620=$AB$45,$AD$45,E1620=$AB$46,$AD$46,E1620=$AB$47,$AD$47,E1620=$AB$48,$AD$48,E1620=$AB$49,$AD$49,E1620=$AB$50,$AD$50,E1620=$AB$51,$AD$51,E1620=$AB$52,$AD$52,E1620=$AB$53,$AD$53,E1620=$AB$54,$AD$54,E1620=$AB$55,$AD$55,E1620=$AB$56,$AD$56,E1620=$AB$57,$AD$57,E1620=$AB$58,$AD$58,E1620=$AB$59,$AD$59,E1620=$AB$60,$AD$60,E1620=$AB$61,$AD$61,E1620=$AB$62,$AD$62,E1620=$AB$63,$AD$63,E1620=$AB$64,$AD$64,E1620=$AB$65,$AD$65,E1620=$AB$66,$AD$66,TRUE,"0")</f>
        <v>IP</v>
      </c>
      <c r="E1620" s="2" t="s">
        <v>270</v>
      </c>
      <c r="F1620" s="2" t="s">
        <v>77</v>
      </c>
      <c r="G1620" s="2" t="s">
        <v>234</v>
      </c>
      <c r="H1620" s="3">
        <v>45431.604166666664</v>
      </c>
      <c r="I1620" s="2" t="s">
        <v>631</v>
      </c>
      <c r="J1620" s="2" t="s">
        <v>687</v>
      </c>
      <c r="K1620" s="2">
        <v>63</v>
      </c>
      <c r="L1620" s="2">
        <v>0</v>
      </c>
      <c r="M1620" s="2">
        <v>20</v>
      </c>
      <c r="N1620" s="2">
        <v>26</v>
      </c>
      <c r="O1620" s="2">
        <v>2.83</v>
      </c>
      <c r="P1620" s="2"/>
      <c r="Q1620" s="2" t="s">
        <v>95</v>
      </c>
      <c r="R1620" s="10" t="s">
        <v>214</v>
      </c>
      <c r="S1620" s="10" t="s">
        <v>195</v>
      </c>
      <c r="T1620" s="188">
        <v>1000</v>
      </c>
      <c r="U1620" s="8">
        <f t="shared" si="179"/>
        <v>180</v>
      </c>
      <c r="V1620" s="234">
        <f t="shared" si="180"/>
        <v>171884.15524616028</v>
      </c>
      <c r="W1620" s="15">
        <v>25</v>
      </c>
      <c r="X1620" s="8">
        <f t="shared" si="174"/>
        <v>4.5</v>
      </c>
      <c r="Y1620" s="233">
        <f t="shared" si="176"/>
        <v>6163</v>
      </c>
    </row>
    <row r="1621" spans="1:25">
      <c r="A1621" s="156" t="e" cm="1">
        <f t="array" aca="1" ref="A1621" ca="1">_xlfn.IFS(E1621=$AB$42,$AC$42,E1621=$AB$43,$AC$43,E1621=$AB$44,$AC$44,E1621=$AB$45,$AC$45,E1621=$AB$46,$AC$46,E1621=$AB$47,$AC$47,E1621=$AB$48,$AC$48,E1621=$AB$49,$AC$49,E1621=$AB$50,$AC$50,E1621=$AB$51,$AC$51,E1621=$AB$52,$AC$52,E1621=$AB$53,$AC$53,E1621=$AB$54,$AC$54,E1621=$AB$55,$AC$55,E1621=$AB$56,$AC$56,E1621=$AB$57,$AC$57,E1621=$AB$58,$AC$58,E1621=$AB$59,$AC$59,E1621=$AB$60,$AC$60,E1621=$AB$61,$AC$61,E1621=$AB$62,$AC$62,E1621=$AB$63,$AC$63,E1621=$AB$64,$AC$64,E1621=$AB$65,$AC$65,E1621=$AB$66,$AC$66,TRUE,"0")</f>
        <v>#NAME?</v>
      </c>
      <c r="C1621" s="161" t="str" cm="1">
        <f t="array" ref="C1621">_xlfn.IFS(E1621=$AB$42,$AF$42,E1621=$AB$43,$AF$43,E1621=$AB$44,$AF$44,E1621=$AB$45,$AF$45,E1621=$AB$46,$AF$46,E1621=$AB$47,$AF$47,E1621=$AB$48,$AF$48,E1621=$AB$49,$AF$49,E1621=$AB$50,$AF$50,E1621=$AB$51,$AF$51,E1621=$AB$52,$AF$52,E1621=$AB$53,$AF$53,E1621=$AB$54,$AF$54,E1621=$AB$55,$AF$55,E1621=$AB$56,$AF$56,E1621=$AB$57,$AF$57,E1621=$AB$58,$AF$58,E1621=$AB$59,$AF$59,E1621=$AB$60,$AF$60,E1621=$AB$61,$AF$61,E1621=$AB$62,$AF$62,E1621=$AB$63,$AF$63,E1621=$AB$64,$AF$64,E1621=$AB$65,$AF$65,E1621=$AB$66,$AF$66,TRUE,"0")</f>
        <v>20mins if  0-0, BACK over 1.5 goals X after goal OR LET RUN</v>
      </c>
      <c r="D1621" s="270" t="str" cm="1">
        <f t="array" ref="D1621">_xlfn.IFS(E1621=$AB$42,$AD$42,E1621=$AB$43,$AD$43,E1621=$AB$44,$AD$44,E1621=$AB$45,$AD$45,E1621=$AB$46,$AD$46,E1621=$AB$47,$AD$47,E1621=$AB$48,$AD$48,E1621=$AB$49,$AD$49,E1621=$AB$50,$AD$50,E1621=$AB$51,$AD$51,E1621=$AB$52,$AD$52,E1621=$AB$53,$AD$53,E1621=$AB$54,$AD$54,E1621=$AB$55,$AD$55,E1621=$AB$56,$AD$56,E1621=$AB$57,$AD$57,E1621=$AB$58,$AD$58,E1621=$AB$59,$AD$59,E1621=$AB$60,$AD$60,E1621=$AB$61,$AD$61,E1621=$AB$62,$AD$62,E1621=$AB$63,$AD$63,E1621=$AB$64,$AD$64,E1621=$AB$65,$AD$65,E1621=$AB$66,$AD$66,TRUE,"0")</f>
        <v>IP</v>
      </c>
      <c r="E1621" s="2" t="s">
        <v>474</v>
      </c>
      <c r="F1621" s="2" t="s">
        <v>77</v>
      </c>
      <c r="G1621" s="2" t="s">
        <v>234</v>
      </c>
      <c r="H1621" s="3">
        <v>45431.604166666664</v>
      </c>
      <c r="I1621" s="2" t="s">
        <v>631</v>
      </c>
      <c r="J1621" s="2" t="s">
        <v>687</v>
      </c>
      <c r="K1621" s="2">
        <v>50</v>
      </c>
      <c r="L1621" s="2">
        <v>3.25</v>
      </c>
      <c r="M1621" s="2">
        <v>20</v>
      </c>
      <c r="N1621" s="2">
        <v>75</v>
      </c>
      <c r="O1621" s="2">
        <v>90</v>
      </c>
      <c r="P1621" s="2"/>
      <c r="Q1621" s="2" t="s">
        <v>95</v>
      </c>
      <c r="R1621" s="10" t="s">
        <v>214</v>
      </c>
      <c r="S1621" s="10" t="s">
        <v>195</v>
      </c>
      <c r="T1621" s="188">
        <v>1000</v>
      </c>
      <c r="U1621" s="8">
        <f t="shared" si="179"/>
        <v>180</v>
      </c>
      <c r="V1621" s="234">
        <f t="shared" si="180"/>
        <v>172064.15524616028</v>
      </c>
      <c r="W1621" s="15">
        <v>25</v>
      </c>
      <c r="X1621" s="8">
        <f t="shared" si="174"/>
        <v>4.5</v>
      </c>
      <c r="Y1621" s="233">
        <f t="shared" si="176"/>
        <v>6167.5</v>
      </c>
    </row>
    <row r="1622" spans="1:25">
      <c r="A1622" s="156" t="e" cm="1">
        <f t="array" aca="1" ref="A1622" ca="1">_xlfn.IFS(E1622=$AB$42,$AC$42,E1622=$AB$43,$AC$43,E1622=$AB$44,$AC$44,E1622=$AB$45,$AC$45,E1622=$AB$46,$AC$46,E1622=$AB$47,$AC$47,E1622=$AB$48,$AC$48,E1622=$AB$49,$AC$49,E1622=$AB$50,$AC$50,E1622=$AB$51,$AC$51,E1622=$AB$52,$AC$52,E1622=$AB$53,$AC$53,E1622=$AB$54,$AC$54,E1622=$AB$55,$AC$55,E1622=$AB$56,$AC$56,E1622=$AB$57,$AC$57,E1622=$AB$58,$AC$58,E1622=$AB$59,$AC$59,E1622=$AB$60,$AC$60,E1622=$AB$61,$AC$61,E1622=$AB$62,$AC$62,E1622=$AB$63,$AC$63,E1622=$AB$64,$AC$64,E1622=$AB$65,$AC$65,E1622=$AB$66,$AC$66,TRUE,"0")</f>
        <v>#NAME?</v>
      </c>
      <c r="C1622" s="161" t="str" cm="1">
        <f t="array" ref="C1622">_xlfn.IFS(E1622=$AB$42,$AF$42,E1622=$AB$43,$AF$43,E1622=$AB$44,$AF$44,E1622=$AB$45,$AF$45,E1622=$AB$46,$AF$46,E1622=$AB$47,$AF$47,E1622=$AB$48,$AF$48,E1622=$AB$49,$AF$49,E1622=$AB$50,$AF$50,E1622=$AB$51,$AF$51,E1622=$AB$52,$AF$52,E1622=$AB$53,$AF$53,E1622=$AB$54,$AF$54,E1622=$AB$55,$AF$55,E1622=$AB$56,$AF$56,E1622=$AB$57,$AF$57,E1622=$AB$58,$AF$58,E1622=$AB$59,$AF$59,E1622=$AB$60,$AF$60,E1622=$AB$61,$AF$61,E1622=$AB$62,$AF$62,E1622=$AB$63,$AF$63,E1622=$AB$64,$AF$64,E1622=$AB$65,$AF$65,E1622=$AB$66,$AF$66,TRUE,"0")</f>
        <v>B4 MATCH bet H1 'under 2.5goals'- X at 40 minutes</v>
      </c>
      <c r="D1622" s="270" t="str" cm="1">
        <f t="array" ref="D1622">_xlfn.IFS(E1622=$AB$42,$AD$42,E1622=$AB$43,$AD$43,E1622=$AB$44,$AD$44,E1622=$AB$45,$AD$45,E1622=$AB$46,$AD$46,E1622=$AB$47,$AD$47,E1622=$AB$48,$AD$48,E1622=$AB$49,$AD$49,E1622=$AB$50,$AD$50,E1622=$AB$51,$AD$51,E1622=$AB$52,$AD$52,E1622=$AB$53,$AD$53,E1622=$AB$54,$AD$54,E1622=$AB$55,$AD$55,E1622=$AB$56,$AD$56,E1622=$AB$57,$AD$57,E1622=$AB$58,$AD$58,E1622=$AB$59,$AD$59,E1622=$AB$60,$AD$60,E1622=$AB$61,$AD$61,E1622=$AB$62,$AD$62,E1622=$AB$63,$AD$63,E1622=$AB$64,$AD$64,E1622=$AB$65,$AD$65,E1622=$AB$66,$AD$66,TRUE,"0")</f>
        <v xml:space="preserve">BFM </v>
      </c>
      <c r="E1622" s="160" t="s">
        <v>458</v>
      </c>
      <c r="F1622" s="2" t="s">
        <v>119</v>
      </c>
      <c r="G1622" s="2" t="s">
        <v>166</v>
      </c>
      <c r="H1622" s="3">
        <v>45431.635416666664</v>
      </c>
      <c r="I1622" s="2" t="s">
        <v>651</v>
      </c>
      <c r="J1622" s="2" t="s">
        <v>850</v>
      </c>
      <c r="K1622" s="2">
        <v>20</v>
      </c>
      <c r="L1622" s="2">
        <v>90</v>
      </c>
      <c r="M1622" s="2">
        <v>100</v>
      </c>
      <c r="N1622" s="2">
        <v>31</v>
      </c>
      <c r="O1622" s="2">
        <v>1.25</v>
      </c>
      <c r="P1622" s="2"/>
      <c r="Q1622" s="2" t="s">
        <v>95</v>
      </c>
      <c r="R1622" s="10" t="s">
        <v>214</v>
      </c>
      <c r="S1622" s="10" t="s">
        <v>216</v>
      </c>
      <c r="T1622" s="188">
        <v>1000</v>
      </c>
      <c r="U1622" s="8">
        <f t="shared" si="179"/>
        <v>180</v>
      </c>
      <c r="V1622" s="234">
        <f t="shared" si="180"/>
        <v>172244.15524616028</v>
      </c>
      <c r="W1622" s="15">
        <v>25</v>
      </c>
      <c r="X1622" s="8">
        <f t="shared" si="174"/>
        <v>4.5</v>
      </c>
      <c r="Y1622" s="233">
        <f t="shared" si="176"/>
        <v>6172</v>
      </c>
    </row>
    <row r="1623" spans="1:25">
      <c r="A1623" s="156" t="e" cm="1">
        <f t="array" aca="1" ref="A1623" ca="1">_xlfn.IFS(E1623=$AB$42,$AC$42,E1623=$AB$43,$AC$43,E1623=$AB$44,$AC$44,E1623=$AB$45,$AC$45,E1623=$AB$46,$AC$46,E1623=$AB$47,$AC$47,E1623=$AB$48,$AC$48,E1623=$AB$49,$AC$49,E1623=$AB$50,$AC$50,E1623=$AB$51,$AC$51,E1623=$AB$52,$AC$52,E1623=$AB$53,$AC$53,E1623=$AB$54,$AC$54,E1623=$AB$55,$AC$55,E1623=$AB$56,$AC$56,E1623=$AB$57,$AC$57,E1623=$AB$58,$AC$58,E1623=$AB$59,$AC$59,E1623=$AB$60,$AC$60,E1623=$AB$61,$AC$61,E1623=$AB$62,$AC$62,E1623=$AB$63,$AC$63,E1623=$AB$64,$AC$64,E1623=$AB$65,$AC$65,E1623=$AB$66,$AC$66,TRUE,"0")</f>
        <v>#NAME?</v>
      </c>
      <c r="C1623" s="161" t="str" cm="1">
        <f t="array" ref="C1623">_xlfn.IFS(E1623=$AB$42,$AF$42,E1623=$AB$43,$AF$43,E1623=$AB$44,$AF$44,E1623=$AB$45,$AF$45,E1623=$AB$46,$AF$46,E1623=$AB$47,$AF$47,E1623=$AB$48,$AF$48,E1623=$AB$49,$AF$49,E1623=$AB$50,$AF$50,E1623=$AB$51,$AF$51,E1623=$AB$52,$AF$52,E1623=$AB$53,$AF$53,E1623=$AB$54,$AF$54,E1623=$AB$55,$AF$55,E1623=$AB$56,$AF$56,E1623=$AB$57,$AF$57,E1623=$AB$58,$AF$58,E1623=$AB$59,$AF$59,E1623=$AB$60,$AF$60,E1623=$AB$61,$AF$61,E1623=$AB$62,$AF$62,E1623=$AB$63,$AF$63,E1623=$AB$64,$AF$64,E1623=$AB$65,$AF$65,E1623=$AB$66,$AF$66,TRUE,"0")</f>
        <v>B4 match BACK FT +1.5 goals. X AFTER  GOAL</v>
      </c>
      <c r="D1623" s="270" t="str" cm="1">
        <f t="array" ref="D1623">_xlfn.IFS(E1623=$AB$42,$AD$42,E1623=$AB$43,$AD$43,E1623=$AB$44,$AD$44,E1623=$AB$45,$AD$45,E1623=$AB$46,$AD$46,E1623=$AB$47,$AD$47,E1623=$AB$48,$AD$48,E1623=$AB$49,$AD$49,E1623=$AB$50,$AD$50,E1623=$AB$51,$AD$51,E1623=$AB$52,$AD$52,E1623=$AB$53,$AD$53,E1623=$AB$54,$AD$54,E1623=$AB$55,$AD$55,E1623=$AB$56,$AD$56,E1623=$AB$57,$AD$57,E1623=$AB$58,$AD$58,E1623=$AB$59,$AD$59,E1623=$AB$60,$AD$60,E1623=$AB$61,$AD$61,E1623=$AB$62,$AD$62,E1623=$AB$63,$AD$63,E1623=$AB$64,$AD$64,E1623=$AB$65,$AD$65,E1623=$AB$66,$AD$66,TRUE,"0")</f>
        <v xml:space="preserve">BFM </v>
      </c>
      <c r="E1623" s="2" t="s">
        <v>623</v>
      </c>
      <c r="F1623" s="2" t="s">
        <v>6</v>
      </c>
      <c r="G1623" s="2" t="s">
        <v>62</v>
      </c>
      <c r="H1623" s="3">
        <v>45431.666666666664</v>
      </c>
      <c r="I1623" s="2" t="s">
        <v>73</v>
      </c>
      <c r="J1623" s="2" t="s">
        <v>71</v>
      </c>
      <c r="K1623" s="2">
        <v>2.74</v>
      </c>
      <c r="L1623" s="2">
        <v>20</v>
      </c>
      <c r="M1623" s="2">
        <v>2.9</v>
      </c>
      <c r="N1623" s="2">
        <v>31</v>
      </c>
      <c r="O1623" s="2">
        <v>3</v>
      </c>
      <c r="P1623" s="2">
        <v>10</v>
      </c>
      <c r="Q1623" s="2" t="s">
        <v>95</v>
      </c>
      <c r="R1623" s="10" t="s">
        <v>216</v>
      </c>
      <c r="S1623" s="10" t="s">
        <v>222</v>
      </c>
      <c r="T1623" s="188">
        <v>1000</v>
      </c>
      <c r="U1623" s="8">
        <f t="shared" si="179"/>
        <v>180</v>
      </c>
      <c r="V1623" s="234">
        <f t="shared" si="180"/>
        <v>172424.15524616028</v>
      </c>
      <c r="W1623" s="15">
        <v>25</v>
      </c>
      <c r="X1623" s="8">
        <f t="shared" si="174"/>
        <v>4.5</v>
      </c>
      <c r="Y1623" s="233">
        <f t="shared" si="176"/>
        <v>6176.5</v>
      </c>
    </row>
    <row r="1624" spans="1:25">
      <c r="A1624" s="156" t="e" cm="1">
        <f t="array" aca="1" ref="A1624" ca="1">_xlfn.IFS(E1624=$AB$42,$AC$42,E1624=$AB$43,$AC$43,E1624=$AB$44,$AC$44,E1624=$AB$45,$AC$45,E1624=$AB$46,$AC$46,E1624=$AB$47,$AC$47,E1624=$AB$48,$AC$48,E1624=$AB$49,$AC$49,E1624=$AB$50,$AC$50,E1624=$AB$51,$AC$51,E1624=$AB$52,$AC$52,E1624=$AB$53,$AC$53,E1624=$AB$54,$AC$54,E1624=$AB$55,$AC$55,E1624=$AB$56,$AC$56,E1624=$AB$57,$AC$57,E1624=$AB$58,$AC$58,E1624=$AB$59,$AC$59,E1624=$AB$60,$AC$60,E1624=$AB$61,$AC$61,E1624=$AB$62,$AC$62,E1624=$AB$63,$AC$63,E1624=$AB$64,$AC$64,E1624=$AB$65,$AC$65,E1624=$AB$66,$AC$66,TRUE,"0")</f>
        <v>#NAME?</v>
      </c>
      <c r="C1624" s="161" t="str" cm="1">
        <f t="array" ref="C1624">_xlfn.IFS(E1624=$AB$42,$AF$42,E1624=$AB$43,$AF$43,E1624=$AB$44,$AF$44,E1624=$AB$45,$AF$45,E1624=$AB$46,$AF$46,E1624=$AB$47,$AF$47,E1624=$AB$48,$AF$48,E1624=$AB$49,$AF$49,E1624=$AB$50,$AF$50,E1624=$AB$51,$AF$51,E1624=$AB$52,$AF$52,E1624=$AB$53,$AF$53,E1624=$AB$54,$AF$54,E1624=$AB$55,$AF$55,E1624=$AB$56,$AF$56,E1624=$AB$57,$AF$57,E1624=$AB$58,$AF$58,E1624=$AB$59,$AF$59,E1624=$AB$60,$AF$60,E1624=$AB$61,$AF$61,E1624=$AB$62,$AF$62,E1624=$AB$63,$AF$63,E1624=$AB$64,$AF$64,E1624=$AB$65,$AF$65,E1624=$AB$66,$AF$66,TRUE,"0")</f>
        <v>40 mins Back ANother Goal</v>
      </c>
      <c r="D1624" s="270" t="str" cm="1">
        <f t="array" ref="D1624">_xlfn.IFS(E1624=$AB$42,$AD$42,E1624=$AB$43,$AD$43,E1624=$AB$44,$AD$44,E1624=$AB$45,$AD$45,E1624=$AB$46,$AD$46,E1624=$AB$47,$AD$47,E1624=$AB$48,$AD$48,E1624=$AB$49,$AD$49,E1624=$AB$50,$AD$50,E1624=$AB$51,$AD$51,E1624=$AB$52,$AD$52,E1624=$AB$53,$AD$53,E1624=$AB$54,$AD$54,E1624=$AB$55,$AD$55,E1624=$AB$56,$AD$56,E1624=$AB$57,$AD$57,E1624=$AB$58,$AD$58,E1624=$AB$59,$AD$59,E1624=$AB$60,$AD$60,E1624=$AB$61,$AD$61,E1624=$AB$62,$AD$62,E1624=$AB$63,$AD$63,E1624=$AB$64,$AD$64,E1624=$AB$65,$AD$65,E1624=$AB$66,$AD$66,TRUE,"0")</f>
        <v xml:space="preserve">  BANG</v>
      </c>
      <c r="E1624" s="2" t="s">
        <v>792</v>
      </c>
      <c r="F1624" s="2" t="s">
        <v>6</v>
      </c>
      <c r="G1624" s="2" t="s">
        <v>62</v>
      </c>
      <c r="H1624" s="3">
        <v>45431.666666666664</v>
      </c>
      <c r="I1624" s="2" t="s">
        <v>63</v>
      </c>
      <c r="J1624" s="2" t="s">
        <v>164</v>
      </c>
      <c r="K1624" s="2">
        <v>2.15</v>
      </c>
      <c r="L1624" s="2">
        <v>85</v>
      </c>
      <c r="M1624" s="2">
        <v>70</v>
      </c>
      <c r="N1624" s="2">
        <v>57</v>
      </c>
      <c r="O1624" s="2">
        <v>20</v>
      </c>
      <c r="P1624" s="2"/>
      <c r="Q1624" s="2" t="s">
        <v>95</v>
      </c>
      <c r="R1624" s="10" t="s">
        <v>218</v>
      </c>
      <c r="S1624" s="10" t="s">
        <v>365</v>
      </c>
      <c r="T1624" s="188">
        <v>1000</v>
      </c>
      <c r="U1624" s="8">
        <f t="shared" si="179"/>
        <v>180</v>
      </c>
      <c r="V1624" s="234">
        <f t="shared" si="180"/>
        <v>172604.15524616028</v>
      </c>
      <c r="W1624" s="15">
        <v>25</v>
      </c>
      <c r="X1624" s="8">
        <f t="shared" si="174"/>
        <v>4.5</v>
      </c>
      <c r="Y1624" s="233">
        <f t="shared" si="176"/>
        <v>6181</v>
      </c>
    </row>
    <row r="1625" spans="1:25">
      <c r="A1625" s="156" t="e" cm="1">
        <f t="array" aca="1" ref="A1625" ca="1">_xlfn.IFS(E1625=$AB$42,$AC$42,E1625=$AB$43,$AC$43,E1625=$AB$44,$AC$44,E1625=$AB$45,$AC$45,E1625=$AB$46,$AC$46,E1625=$AB$47,$AC$47,E1625=$AB$48,$AC$48,E1625=$AB$49,$AC$49,E1625=$AB$50,$AC$50,E1625=$AB$51,$AC$51,E1625=$AB$52,$AC$52,E1625=$AB$53,$AC$53,E1625=$AB$54,$AC$54,E1625=$AB$55,$AC$55,E1625=$AB$56,$AC$56,E1625=$AB$57,$AC$57,E1625=$AB$58,$AC$58,E1625=$AB$59,$AC$59,E1625=$AB$60,$AC$60,E1625=$AB$61,$AC$61,E1625=$AB$62,$AC$62,E1625=$AB$63,$AC$63,E1625=$AB$64,$AC$64,E1625=$AB$65,$AC$65,E1625=$AB$66,$AC$66,TRUE,"0")</f>
        <v>#NAME?</v>
      </c>
      <c r="C1625" s="161" t="str" cm="1">
        <f t="array" ref="C1625">_xlfn.IFS(E1625=$AB$42,$AF$42,E1625=$AB$43,$AF$43,E1625=$AB$44,$AF$44,E1625=$AB$45,$AF$45,E1625=$AB$46,$AF$46,E1625=$AB$47,$AF$47,E1625=$AB$48,$AF$48,E1625=$AB$49,$AF$49,E1625=$AB$50,$AF$50,E1625=$AB$51,$AF$51,E1625=$AB$52,$AF$52,E1625=$AB$53,$AF$53,E1625=$AB$54,$AF$54,E1625=$AB$55,$AF$55,E1625=$AB$56,$AF$56,E1625=$AB$57,$AF$57,E1625=$AB$58,$AF$58,E1625=$AB$59,$AF$59,E1625=$AB$60,$AF$60,E1625=$AB$61,$AF$61,E1625=$AB$62,$AF$62,E1625=$AB$63,$AF$63,E1625=$AB$64,$AF$64,E1625=$AB$65,$AF$65,E1625=$AB$66,$AF$66,TRUE,"0")</f>
        <v>40 mins Back ANother Goal</v>
      </c>
      <c r="D1625" s="270" t="str" cm="1">
        <f t="array" ref="D1625">_xlfn.IFS(E1625=$AB$42,$AD$42,E1625=$AB$43,$AD$43,E1625=$AB$44,$AD$44,E1625=$AB$45,$AD$45,E1625=$AB$46,$AD$46,E1625=$AB$47,$AD$47,E1625=$AB$48,$AD$48,E1625=$AB$49,$AD$49,E1625=$AB$50,$AD$50,E1625=$AB$51,$AD$51,E1625=$AB$52,$AD$52,E1625=$AB$53,$AD$53,E1625=$AB$54,$AD$54,E1625=$AB$55,$AD$55,E1625=$AB$56,$AD$56,E1625=$AB$57,$AD$57,E1625=$AB$58,$AD$58,E1625=$AB$59,$AD$59,E1625=$AB$60,$AD$60,E1625=$AB$61,$AD$61,E1625=$AB$62,$AD$62,E1625=$AB$63,$AD$63,E1625=$AB$64,$AD$64,E1625=$AB$65,$AD$65,E1625=$AB$66,$AD$66,TRUE,"0")</f>
        <v xml:space="preserve">  BANG</v>
      </c>
      <c r="E1625" s="2" t="s">
        <v>726</v>
      </c>
      <c r="F1625" s="2" t="s">
        <v>6</v>
      </c>
      <c r="G1625" s="2" t="s">
        <v>62</v>
      </c>
      <c r="H1625" s="3">
        <v>45431.666666666664</v>
      </c>
      <c r="I1625" s="2" t="s">
        <v>63</v>
      </c>
      <c r="J1625" s="2" t="s">
        <v>164</v>
      </c>
      <c r="K1625" s="2">
        <v>85</v>
      </c>
      <c r="L1625" s="2">
        <v>20</v>
      </c>
      <c r="M1625" s="2">
        <v>2.15</v>
      </c>
      <c r="N1625" s="2">
        <v>57</v>
      </c>
      <c r="O1625" s="2"/>
      <c r="P1625" s="2"/>
      <c r="Q1625" s="2" t="s">
        <v>95</v>
      </c>
      <c r="R1625" s="10" t="s">
        <v>218</v>
      </c>
      <c r="S1625" s="10" t="s">
        <v>365</v>
      </c>
      <c r="T1625" s="188">
        <v>1000</v>
      </c>
      <c r="U1625" s="8">
        <f t="shared" si="179"/>
        <v>180</v>
      </c>
      <c r="V1625" s="234">
        <f t="shared" si="180"/>
        <v>172784.15524616028</v>
      </c>
      <c r="W1625" s="15">
        <v>25</v>
      </c>
      <c r="X1625" s="8">
        <f t="shared" si="174"/>
        <v>4.5</v>
      </c>
      <c r="Y1625" s="233">
        <f t="shared" si="176"/>
        <v>6185.5</v>
      </c>
    </row>
    <row r="1626" spans="1:25">
      <c r="A1626" s="156" t="e" cm="1">
        <f t="array" aca="1" ref="A1626" ca="1">_xlfn.IFS(E1626=$AB$42,$AC$42,E1626=$AB$43,$AC$43,E1626=$AB$44,$AC$44,E1626=$AB$45,$AC$45,E1626=$AB$46,$AC$46,E1626=$AB$47,$AC$47,E1626=$AB$48,$AC$48,E1626=$AB$49,$AC$49,E1626=$AB$50,$AC$50,E1626=$AB$51,$AC$51,E1626=$AB$52,$AC$52,E1626=$AB$53,$AC$53,E1626=$AB$54,$AC$54,E1626=$AB$55,$AC$55,E1626=$AB$56,$AC$56,E1626=$AB$57,$AC$57,E1626=$AB$58,$AC$58,E1626=$AB$59,$AC$59,E1626=$AB$60,$AC$60,E1626=$AB$61,$AC$61,E1626=$AB$62,$AC$62,E1626=$AB$63,$AC$63,E1626=$AB$64,$AC$64,E1626=$AB$65,$AC$65,E1626=$AB$66,$AC$66,TRUE,"0")</f>
        <v>#NAME?</v>
      </c>
      <c r="C1626" s="161" t="str" cm="1">
        <f t="array" ref="C1626">_xlfn.IFS(E1626=$AB$42,$AF$42,E1626=$AB$43,$AF$43,E1626=$AB$44,$AF$44,E1626=$AB$45,$AF$45,E1626=$AB$46,$AF$46,E1626=$AB$47,$AF$47,E1626=$AB$48,$AF$48,E1626=$AB$49,$AF$49,E1626=$AB$50,$AF$50,E1626=$AB$51,$AF$51,E1626=$AB$52,$AF$52,E1626=$AB$53,$AF$53,E1626=$AB$54,$AF$54,E1626=$AB$55,$AF$55,E1626=$AB$56,$AF$56,E1626=$AB$57,$AF$57,E1626=$AB$58,$AF$58,E1626=$AB$59,$AF$59,E1626=$AB$60,$AF$60,E1626=$AB$61,$AF$61,E1626=$AB$62,$AF$62,E1626=$AB$63,$AF$63,E1626=$AB$64,$AF$64,E1626=$AB$65,$AF$65,E1626=$AB$66,$AF$66,TRUE,"0")</f>
        <v>40 mins Back ANother Goal</v>
      </c>
      <c r="D1626" s="270" t="str" cm="1">
        <f t="array" ref="D1626">_xlfn.IFS(E1626=$AB$42,$AD$42,E1626=$AB$43,$AD$43,E1626=$AB$44,$AD$44,E1626=$AB$45,$AD$45,E1626=$AB$46,$AD$46,E1626=$AB$47,$AD$47,E1626=$AB$48,$AD$48,E1626=$AB$49,$AD$49,E1626=$AB$50,$AD$50,E1626=$AB$51,$AD$51,E1626=$AB$52,$AD$52,E1626=$AB$53,$AD$53,E1626=$AB$54,$AD$54,E1626=$AB$55,$AD$55,E1626=$AB$56,$AD$56,E1626=$AB$57,$AD$57,E1626=$AB$58,$AD$58,E1626=$AB$59,$AD$59,E1626=$AB$60,$AD$60,E1626=$AB$61,$AD$61,E1626=$AB$62,$AD$62,E1626=$AB$63,$AD$63,E1626=$AB$64,$AD$64,E1626=$AB$65,$AD$65,E1626=$AB$66,$AD$66,TRUE,"0")</f>
        <v xml:space="preserve">  BANG</v>
      </c>
      <c r="E1626" s="2" t="s">
        <v>792</v>
      </c>
      <c r="F1626" s="2" t="s">
        <v>6</v>
      </c>
      <c r="G1626" s="2" t="s">
        <v>62</v>
      </c>
      <c r="H1626" s="3">
        <v>45431.666666666664</v>
      </c>
      <c r="I1626" s="2" t="s">
        <v>267</v>
      </c>
      <c r="J1626" s="2" t="s">
        <v>383</v>
      </c>
      <c r="K1626" s="2">
        <v>1.9</v>
      </c>
      <c r="L1626" s="2">
        <v>85</v>
      </c>
      <c r="M1626" s="2">
        <v>65</v>
      </c>
      <c r="N1626" s="2">
        <v>63</v>
      </c>
      <c r="O1626" s="2">
        <v>20</v>
      </c>
      <c r="P1626" s="2"/>
      <c r="Q1626" s="2" t="s">
        <v>95</v>
      </c>
      <c r="R1626" s="9" t="s">
        <v>221</v>
      </c>
      <c r="S1626" s="9" t="s">
        <v>217</v>
      </c>
      <c r="T1626" s="188">
        <v>1000</v>
      </c>
      <c r="U1626" s="8">
        <f t="shared" si="179"/>
        <v>180</v>
      </c>
      <c r="V1626" s="234">
        <f t="shared" si="180"/>
        <v>172964.15524616028</v>
      </c>
      <c r="W1626" s="15">
        <v>25</v>
      </c>
      <c r="X1626" s="8">
        <f t="shared" si="174"/>
        <v>4.5</v>
      </c>
      <c r="Y1626" s="233">
        <f t="shared" si="176"/>
        <v>6190</v>
      </c>
    </row>
    <row r="1627" spans="1:25">
      <c r="A1627" s="156" t="e" cm="1">
        <f t="array" aca="1" ref="A1627" ca="1">_xlfn.IFS(E1627=$AB$42,$AC$42,E1627=$AB$43,$AC$43,E1627=$AB$44,$AC$44,E1627=$AB$45,$AC$45,E1627=$AB$46,$AC$46,E1627=$AB$47,$AC$47,E1627=$AB$48,$AC$48,E1627=$AB$49,$AC$49,E1627=$AB$50,$AC$50,E1627=$AB$51,$AC$51,E1627=$AB$52,$AC$52,E1627=$AB$53,$AC$53,E1627=$AB$54,$AC$54,E1627=$AB$55,$AC$55,E1627=$AB$56,$AC$56,E1627=$AB$57,$AC$57,E1627=$AB$58,$AC$58,E1627=$AB$59,$AC$59,E1627=$AB$60,$AC$60,E1627=$AB$61,$AC$61,E1627=$AB$62,$AC$62,E1627=$AB$63,$AC$63,E1627=$AB$64,$AC$64,E1627=$AB$65,$AC$65,E1627=$AB$66,$AC$66,TRUE,"0")</f>
        <v>#NAME?</v>
      </c>
      <c r="C1627" s="161" t="str" cm="1">
        <f t="array" ref="C1627">_xlfn.IFS(E1627=$AB$42,$AF$42,E1627=$AB$43,$AF$43,E1627=$AB$44,$AF$44,E1627=$AB$45,$AF$45,E1627=$AB$46,$AF$46,E1627=$AB$47,$AF$47,E1627=$AB$48,$AF$48,E1627=$AB$49,$AF$49,E1627=$AB$50,$AF$50,E1627=$AB$51,$AF$51,E1627=$AB$52,$AF$52,E1627=$AB$53,$AF$53,E1627=$AB$54,$AF$54,E1627=$AB$55,$AF$55,E1627=$AB$56,$AF$56,E1627=$AB$57,$AF$57,E1627=$AB$58,$AF$58,E1627=$AB$59,$AF$59,E1627=$AB$60,$AF$60,E1627=$AB$61,$AF$61,E1627=$AB$62,$AF$62,E1627=$AB$63,$AF$63,E1627=$AB$64,$AF$64,E1627=$AB$65,$AF$65,E1627=$AB$66,$AF$66,TRUE,"0")</f>
        <v>40 mins Back ANother Goal</v>
      </c>
      <c r="D1627" s="270" t="str" cm="1">
        <f t="array" ref="D1627">_xlfn.IFS(E1627=$AB$42,$AD$42,E1627=$AB$43,$AD$43,E1627=$AB$44,$AD$44,E1627=$AB$45,$AD$45,E1627=$AB$46,$AD$46,E1627=$AB$47,$AD$47,E1627=$AB$48,$AD$48,E1627=$AB$49,$AD$49,E1627=$AB$50,$AD$50,E1627=$AB$51,$AD$51,E1627=$AB$52,$AD$52,E1627=$AB$53,$AD$53,E1627=$AB$54,$AD$54,E1627=$AB$55,$AD$55,E1627=$AB$56,$AD$56,E1627=$AB$57,$AD$57,E1627=$AB$58,$AD$58,E1627=$AB$59,$AD$59,E1627=$AB$60,$AD$60,E1627=$AB$61,$AD$61,E1627=$AB$62,$AD$62,E1627=$AB$63,$AD$63,E1627=$AB$64,$AD$64,E1627=$AB$65,$AD$65,E1627=$AB$66,$AD$66,TRUE,"0")</f>
        <v xml:space="preserve">  BANG</v>
      </c>
      <c r="E1627" s="2" t="s">
        <v>726</v>
      </c>
      <c r="F1627" s="2" t="s">
        <v>6</v>
      </c>
      <c r="G1627" s="2" t="s">
        <v>62</v>
      </c>
      <c r="H1627" s="3">
        <v>45431.666666666664</v>
      </c>
      <c r="I1627" s="2" t="s">
        <v>267</v>
      </c>
      <c r="J1627" s="2" t="s">
        <v>383</v>
      </c>
      <c r="K1627" s="2">
        <v>85</v>
      </c>
      <c r="L1627" s="2">
        <v>20</v>
      </c>
      <c r="M1627" s="2">
        <v>1.9</v>
      </c>
      <c r="N1627" s="2">
        <v>63</v>
      </c>
      <c r="O1627" s="2"/>
      <c r="P1627" s="2"/>
      <c r="Q1627" s="2" t="s">
        <v>95</v>
      </c>
      <c r="R1627" s="10" t="s">
        <v>221</v>
      </c>
      <c r="S1627" s="10" t="s">
        <v>217</v>
      </c>
      <c r="T1627" s="188">
        <v>1000</v>
      </c>
      <c r="U1627" s="8">
        <f t="shared" si="179"/>
        <v>180</v>
      </c>
      <c r="V1627" s="234">
        <f t="shared" si="180"/>
        <v>173144.15524616028</v>
      </c>
      <c r="W1627" s="15">
        <v>25</v>
      </c>
      <c r="X1627" s="8">
        <f t="shared" si="174"/>
        <v>4.5</v>
      </c>
      <c r="Y1627" s="233">
        <f t="shared" si="176"/>
        <v>6194.5</v>
      </c>
    </row>
    <row r="1628" spans="1:25">
      <c r="A1628" s="156" t="e" cm="1">
        <f t="array" aca="1" ref="A1628" ca="1">_xlfn.IFS(E1628=$AB$42,$AC$42,E1628=$AB$43,$AC$43,E1628=$AB$44,$AC$44,E1628=$AB$45,$AC$45,E1628=$AB$46,$AC$46,E1628=$AB$47,$AC$47,E1628=$AB$48,$AC$48,E1628=$AB$49,$AC$49,E1628=$AB$50,$AC$50,E1628=$AB$51,$AC$51,E1628=$AB$52,$AC$52,E1628=$AB$53,$AC$53,E1628=$AB$54,$AC$54,E1628=$AB$55,$AC$55,E1628=$AB$56,$AC$56,E1628=$AB$57,$AC$57,E1628=$AB$58,$AC$58,E1628=$AB$59,$AC$59,E1628=$AB$60,$AC$60,E1628=$AB$61,$AC$61,E1628=$AB$62,$AC$62,E1628=$AB$63,$AC$63,E1628=$AB$64,$AC$64,E1628=$AB$65,$AC$65,E1628=$AB$66,$AC$66,TRUE,"0")</f>
        <v>#NAME?</v>
      </c>
      <c r="C1628" s="161" t="str" cm="1">
        <f t="array" ref="C1628">_xlfn.IFS(E1628=$AB$42,$AF$42,E1628=$AB$43,$AF$43,E1628=$AB$44,$AF$44,E1628=$AB$45,$AF$45,E1628=$AB$46,$AF$46,E1628=$AB$47,$AF$47,E1628=$AB$48,$AF$48,E1628=$AB$49,$AF$49,E1628=$AB$50,$AF$50,E1628=$AB$51,$AF$51,E1628=$AB$52,$AF$52,E1628=$AB$53,$AF$53,E1628=$AB$54,$AF$54,E1628=$AB$55,$AF$55,E1628=$AB$56,$AF$56,E1628=$AB$57,$AF$57,E1628=$AB$58,$AF$58,E1628=$AB$59,$AF$59,E1628=$AB$60,$AF$60,E1628=$AB$61,$AF$61,E1628=$AB$62,$AF$62,E1628=$AB$63,$AF$63,E1628=$AB$64,$AF$64,E1628=$AB$65,$AF$65,E1628=$AB$66,$AF$66,TRUE,"0")</f>
        <v>B4 Match, lay HT 0-0 or BACK H1 +0.5 GOALS</v>
      </c>
      <c r="D1628" s="270" t="str" cm="1">
        <f t="array" ref="D1628">_xlfn.IFS(E1628=$AB$42,$AD$42,E1628=$AB$43,$AD$43,E1628=$AB$44,$AD$44,E1628=$AB$45,$AD$45,E1628=$AB$46,$AD$46,E1628=$AB$47,$AD$47,E1628=$AB$48,$AD$48,E1628=$AB$49,$AD$49,E1628=$AB$50,$AD$50,E1628=$AB$51,$AD$51,E1628=$AB$52,$AD$52,E1628=$AB$53,$AD$53,E1628=$AB$54,$AD$54,E1628=$AB$55,$AD$55,E1628=$AB$56,$AD$56,E1628=$AB$57,$AD$57,E1628=$AB$58,$AD$58,E1628=$AB$59,$AD$59,E1628=$AB$60,$AD$60,E1628=$AB$61,$AD$61,E1628=$AB$62,$AD$62,E1628=$AB$63,$AD$63,E1628=$AB$64,$AD$64,E1628=$AB$65,$AD$65,E1628=$AB$66,$AD$66,TRUE,"0")</f>
        <v xml:space="preserve">BFM </v>
      </c>
      <c r="E1628" s="2" t="s">
        <v>432</v>
      </c>
      <c r="F1628" s="2" t="s">
        <v>6</v>
      </c>
      <c r="G1628" s="2" t="s">
        <v>62</v>
      </c>
      <c r="H1628" s="3">
        <v>45431.666666666664</v>
      </c>
      <c r="I1628" s="2" t="s">
        <v>103</v>
      </c>
      <c r="J1628" s="2" t="s">
        <v>264</v>
      </c>
      <c r="K1628" s="2">
        <v>5</v>
      </c>
      <c r="L1628" s="2">
        <v>20</v>
      </c>
      <c r="M1628" s="2">
        <v>10</v>
      </c>
      <c r="N1628" s="2">
        <v>19</v>
      </c>
      <c r="O1628" s="2">
        <v>20</v>
      </c>
      <c r="P1628" s="2">
        <v>1.7</v>
      </c>
      <c r="Q1628" s="2" t="s">
        <v>95</v>
      </c>
      <c r="R1628" s="9" t="s">
        <v>217</v>
      </c>
      <c r="S1628" s="10" t="s">
        <v>223</v>
      </c>
      <c r="T1628" s="188">
        <v>1000</v>
      </c>
      <c r="U1628" s="8">
        <f t="shared" si="179"/>
        <v>180</v>
      </c>
      <c r="V1628" s="234">
        <f t="shared" si="180"/>
        <v>173324.15524616028</v>
      </c>
      <c r="W1628" s="15">
        <v>25</v>
      </c>
      <c r="X1628" s="8">
        <f t="shared" si="174"/>
        <v>4.5</v>
      </c>
      <c r="Y1628" s="233">
        <f t="shared" si="176"/>
        <v>6199</v>
      </c>
    </row>
    <row r="1629" spans="1:25">
      <c r="A1629" s="156" t="e" cm="1">
        <f t="array" aca="1" ref="A1629" ca="1">_xlfn.IFS(E1629=$AB$42,$AC$42,E1629=$AB$43,$AC$43,E1629=$AB$44,$AC$44,E1629=$AB$45,$AC$45,E1629=$AB$46,$AC$46,E1629=$AB$47,$AC$47,E1629=$AB$48,$AC$48,E1629=$AB$49,$AC$49,E1629=$AB$50,$AC$50,E1629=$AB$51,$AC$51,E1629=$AB$52,$AC$52,E1629=$AB$53,$AC$53,E1629=$AB$54,$AC$54,E1629=$AB$55,$AC$55,E1629=$AB$56,$AC$56,E1629=$AB$57,$AC$57,E1629=$AB$58,$AC$58,E1629=$AB$59,$AC$59,E1629=$AB$60,$AC$60,E1629=$AB$61,$AC$61,E1629=$AB$62,$AC$62,E1629=$AB$63,$AC$63,E1629=$AB$64,$AC$64,E1629=$AB$65,$AC$65,E1629=$AB$66,$AC$66,TRUE,"0")</f>
        <v>#NAME?</v>
      </c>
      <c r="C1629" s="161" t="str" cm="1">
        <f t="array" ref="C1629">_xlfn.IFS(E1629=$AB$42,$AF$42,E1629=$AB$43,$AF$43,E1629=$AB$44,$AF$44,E1629=$AB$45,$AF$45,E1629=$AB$46,$AF$46,E1629=$AB$47,$AF$47,E1629=$AB$48,$AF$48,E1629=$AB$49,$AF$49,E1629=$AB$50,$AF$50,E1629=$AB$51,$AF$51,E1629=$AB$52,$AF$52,E1629=$AB$53,$AF$53,E1629=$AB$54,$AF$54,E1629=$AB$55,$AF$55,E1629=$AB$56,$AF$56,E1629=$AB$57,$AF$57,E1629=$AB$58,$AF$58,E1629=$AB$59,$AF$59,E1629=$AB$60,$AF$60,E1629=$AB$61,$AF$61,E1629=$AB$62,$AF$62,E1629=$AB$63,$AF$63,E1629=$AB$64,$AF$64,E1629=$AB$65,$AF$65,E1629=$AB$66,$AF$66,TRUE,"0")</f>
        <v>B4 Match, lay HT 0-0 or BACK H1 +0.5 GOALS</v>
      </c>
      <c r="D1629" s="270" t="str" cm="1">
        <f t="array" ref="D1629">_xlfn.IFS(E1629=$AB$42,$AD$42,E1629=$AB$43,$AD$43,E1629=$AB$44,$AD$44,E1629=$AB$45,$AD$45,E1629=$AB$46,$AD$46,E1629=$AB$47,$AD$47,E1629=$AB$48,$AD$48,E1629=$AB$49,$AD$49,E1629=$AB$50,$AD$50,E1629=$AB$51,$AD$51,E1629=$AB$52,$AD$52,E1629=$AB$53,$AD$53,E1629=$AB$54,$AD$54,E1629=$AB$55,$AD$55,E1629=$AB$56,$AD$56,E1629=$AB$57,$AD$57,E1629=$AB$58,$AD$58,E1629=$AB$59,$AD$59,E1629=$AB$60,$AD$60,E1629=$AB$61,$AD$61,E1629=$AB$62,$AD$62,E1629=$AB$63,$AD$63,E1629=$AB$64,$AD$64,E1629=$AB$65,$AD$65,E1629=$AB$66,$AD$66,TRUE,"0")</f>
        <v xml:space="preserve">BFM </v>
      </c>
      <c r="E1629" s="2" t="s">
        <v>448</v>
      </c>
      <c r="F1629" s="2" t="s">
        <v>6</v>
      </c>
      <c r="G1629" s="2" t="s">
        <v>62</v>
      </c>
      <c r="H1629" s="3">
        <v>45431.666666666664</v>
      </c>
      <c r="I1629" s="2" t="s">
        <v>103</v>
      </c>
      <c r="J1629" s="2" t="s">
        <v>264</v>
      </c>
      <c r="K1629" s="2">
        <v>20</v>
      </c>
      <c r="L1629" s="2">
        <v>5</v>
      </c>
      <c r="M1629" s="2">
        <v>34</v>
      </c>
      <c r="N1629" s="2">
        <v>6</v>
      </c>
      <c r="O1629" s="2">
        <v>20</v>
      </c>
      <c r="P1629" s="2">
        <v>56</v>
      </c>
      <c r="Q1629" s="2" t="s">
        <v>95</v>
      </c>
      <c r="R1629" s="10" t="s">
        <v>217</v>
      </c>
      <c r="S1629" s="10" t="s">
        <v>223</v>
      </c>
      <c r="T1629" s="188">
        <v>1000</v>
      </c>
      <c r="U1629" s="8">
        <f t="shared" si="179"/>
        <v>180</v>
      </c>
      <c r="V1629" s="234">
        <f t="shared" si="180"/>
        <v>173504.15524616028</v>
      </c>
      <c r="W1629" s="15">
        <v>25</v>
      </c>
      <c r="X1629" s="8">
        <f t="shared" si="174"/>
        <v>4.5</v>
      </c>
      <c r="Y1629" s="233">
        <f t="shared" si="176"/>
        <v>6203.5</v>
      </c>
    </row>
    <row r="1630" spans="1:25">
      <c r="A1630" s="156" t="e" cm="1">
        <f t="array" aca="1" ref="A1630" ca="1">_xlfn.IFS(E1630=$AB$42,$AC$42,E1630=$AB$43,$AC$43,E1630=$AB$44,$AC$44,E1630=$AB$45,$AC$45,E1630=$AB$46,$AC$46,E1630=$AB$47,$AC$47,E1630=$AB$48,$AC$48,E1630=$AB$49,$AC$49,E1630=$AB$50,$AC$50,E1630=$AB$51,$AC$51,E1630=$AB$52,$AC$52,E1630=$AB$53,$AC$53,E1630=$AB$54,$AC$54,E1630=$AB$55,$AC$55,E1630=$AB$56,$AC$56,E1630=$AB$57,$AC$57,E1630=$AB$58,$AC$58,E1630=$AB$59,$AC$59,E1630=$AB$60,$AC$60,E1630=$AB$61,$AC$61,E1630=$AB$62,$AC$62,E1630=$AB$63,$AC$63,E1630=$AB$64,$AC$64,E1630=$AB$65,$AC$65,E1630=$AB$66,$AC$66,TRUE,"0")</f>
        <v>#NAME?</v>
      </c>
      <c r="C1630" s="161" t="str" cm="1">
        <f t="array" ref="C1630">_xlfn.IFS(E1630=$AB$42,$AF$42,E1630=$AB$43,$AF$43,E1630=$AB$44,$AF$44,E1630=$AB$45,$AF$45,E1630=$AB$46,$AF$46,E1630=$AB$47,$AF$47,E1630=$AB$48,$AF$48,E1630=$AB$49,$AF$49,E1630=$AB$50,$AF$50,E1630=$AB$51,$AF$51,E1630=$AB$52,$AF$52,E1630=$AB$53,$AF$53,E1630=$AB$54,$AF$54,E1630=$AB$55,$AF$55,E1630=$AB$56,$AF$56,E1630=$AB$57,$AF$57,E1630=$AB$58,$AF$58,E1630=$AB$59,$AF$59,E1630=$AB$60,$AF$60,E1630=$AB$61,$AF$61,E1630=$AB$62,$AF$62,E1630=$AB$63,$AF$63,E1630=$AB$64,$AF$64,E1630=$AB$65,$AF$65,E1630=$AB$66,$AF$66,TRUE,"0")</f>
        <v>40 mins Back ANother Goal</v>
      </c>
      <c r="D1630" s="270" t="str" cm="1">
        <f t="array" ref="D1630">_xlfn.IFS(E1630=$AB$42,$AD$42,E1630=$AB$43,$AD$43,E1630=$AB$44,$AD$44,E1630=$AB$45,$AD$45,E1630=$AB$46,$AD$46,E1630=$AB$47,$AD$47,E1630=$AB$48,$AD$48,E1630=$AB$49,$AD$49,E1630=$AB$50,$AD$50,E1630=$AB$51,$AD$51,E1630=$AB$52,$AD$52,E1630=$AB$53,$AD$53,E1630=$AB$54,$AD$54,E1630=$AB$55,$AD$55,E1630=$AB$56,$AD$56,E1630=$AB$57,$AD$57,E1630=$AB$58,$AD$58,E1630=$AB$59,$AD$59,E1630=$AB$60,$AD$60,E1630=$AB$61,$AD$61,E1630=$AB$62,$AD$62,E1630=$AB$63,$AD$63,E1630=$AB$64,$AD$64,E1630=$AB$65,$AD$65,E1630=$AB$66,$AD$66,TRUE,"0")</f>
        <v xml:space="preserve">  BANG</v>
      </c>
      <c r="E1630" s="2" t="s">
        <v>792</v>
      </c>
      <c r="F1630" s="2" t="s">
        <v>6</v>
      </c>
      <c r="G1630" s="2" t="s">
        <v>62</v>
      </c>
      <c r="H1630" s="3">
        <v>45431.666666666664</v>
      </c>
      <c r="I1630" s="2" t="s">
        <v>65</v>
      </c>
      <c r="J1630" s="2" t="s">
        <v>117</v>
      </c>
      <c r="K1630" s="2">
        <v>2.15</v>
      </c>
      <c r="L1630" s="2">
        <v>90</v>
      </c>
      <c r="M1630" s="2">
        <v>70</v>
      </c>
      <c r="N1630" s="2">
        <v>62</v>
      </c>
      <c r="O1630" s="2">
        <v>20</v>
      </c>
      <c r="P1630" s="2"/>
      <c r="Q1630" s="2" t="s">
        <v>95</v>
      </c>
      <c r="R1630" s="10" t="s">
        <v>214</v>
      </c>
      <c r="S1630" s="10" t="s">
        <v>222</v>
      </c>
      <c r="T1630" s="188">
        <v>1000</v>
      </c>
      <c r="U1630" s="8">
        <f t="shared" si="179"/>
        <v>180</v>
      </c>
      <c r="V1630" s="234">
        <f t="shared" si="180"/>
        <v>173684.15524616028</v>
      </c>
      <c r="W1630" s="15">
        <v>25</v>
      </c>
      <c r="X1630" s="8">
        <f t="shared" si="174"/>
        <v>4.5</v>
      </c>
      <c r="Y1630" s="233">
        <f t="shared" si="176"/>
        <v>6208</v>
      </c>
    </row>
    <row r="1631" spans="1:25">
      <c r="A1631" s="156" t="e" cm="1">
        <f t="array" aca="1" ref="A1631" ca="1">_xlfn.IFS(E1631=$AB$42,$AC$42,E1631=$AB$43,$AC$43,E1631=$AB$44,$AC$44,E1631=$AB$45,$AC$45,E1631=$AB$46,$AC$46,E1631=$AB$47,$AC$47,E1631=$AB$48,$AC$48,E1631=$AB$49,$AC$49,E1631=$AB$50,$AC$50,E1631=$AB$51,$AC$51,E1631=$AB$52,$AC$52,E1631=$AB$53,$AC$53,E1631=$AB$54,$AC$54,E1631=$AB$55,$AC$55,E1631=$AB$56,$AC$56,E1631=$AB$57,$AC$57,E1631=$AB$58,$AC$58,E1631=$AB$59,$AC$59,E1631=$AB$60,$AC$60,E1631=$AB$61,$AC$61,E1631=$AB$62,$AC$62,E1631=$AB$63,$AC$63,E1631=$AB$64,$AC$64,E1631=$AB$65,$AC$65,E1631=$AB$66,$AC$66,TRUE,"0")</f>
        <v>#NAME?</v>
      </c>
      <c r="C1631" s="161" t="str" cm="1">
        <f t="array" ref="C1631">_xlfn.IFS(E1631=$AB$42,$AF$42,E1631=$AB$43,$AF$43,E1631=$AB$44,$AF$44,E1631=$AB$45,$AF$45,E1631=$AB$46,$AF$46,E1631=$AB$47,$AF$47,E1631=$AB$48,$AF$48,E1631=$AB$49,$AF$49,E1631=$AB$50,$AF$50,E1631=$AB$51,$AF$51,E1631=$AB$52,$AF$52,E1631=$AB$53,$AF$53,E1631=$AB$54,$AF$54,E1631=$AB$55,$AF$55,E1631=$AB$56,$AF$56,E1631=$AB$57,$AF$57,E1631=$AB$58,$AF$58,E1631=$AB$59,$AF$59,E1631=$AB$60,$AF$60,E1631=$AB$61,$AF$61,E1631=$AB$62,$AF$62,E1631=$AB$63,$AF$63,E1631=$AB$64,$AF$64,E1631=$AB$65,$AF$65,E1631=$AB$66,$AF$66,TRUE,"0")</f>
        <v>40 mins Back ANother Goal</v>
      </c>
      <c r="D1631" s="270" t="str" cm="1">
        <f t="array" ref="D1631">_xlfn.IFS(E1631=$AB$42,$AD$42,E1631=$AB$43,$AD$43,E1631=$AB$44,$AD$44,E1631=$AB$45,$AD$45,E1631=$AB$46,$AD$46,E1631=$AB$47,$AD$47,E1631=$AB$48,$AD$48,E1631=$AB$49,$AD$49,E1631=$AB$50,$AD$50,E1631=$AB$51,$AD$51,E1631=$AB$52,$AD$52,E1631=$AB$53,$AD$53,E1631=$AB$54,$AD$54,E1631=$AB$55,$AD$55,E1631=$AB$56,$AD$56,E1631=$AB$57,$AD$57,E1631=$AB$58,$AD$58,E1631=$AB$59,$AD$59,E1631=$AB$60,$AD$60,E1631=$AB$61,$AD$61,E1631=$AB$62,$AD$62,E1631=$AB$63,$AD$63,E1631=$AB$64,$AD$64,E1631=$AB$65,$AD$65,E1631=$AB$66,$AD$66,TRUE,"0")</f>
        <v xml:space="preserve">  BANG</v>
      </c>
      <c r="E1631" s="2" t="s">
        <v>726</v>
      </c>
      <c r="F1631" s="2" t="s">
        <v>6</v>
      </c>
      <c r="G1631" s="2" t="s">
        <v>62</v>
      </c>
      <c r="H1631" s="3">
        <v>45431.666666666664</v>
      </c>
      <c r="I1631" s="2" t="s">
        <v>65</v>
      </c>
      <c r="J1631" s="2" t="s">
        <v>117</v>
      </c>
      <c r="K1631" s="2">
        <v>90</v>
      </c>
      <c r="L1631" s="2">
        <v>20</v>
      </c>
      <c r="M1631" s="2">
        <v>2.15</v>
      </c>
      <c r="N1631" s="2">
        <v>62</v>
      </c>
      <c r="O1631" s="2"/>
      <c r="P1631" s="2"/>
      <c r="Q1631" s="2" t="s">
        <v>95</v>
      </c>
      <c r="R1631" s="10" t="s">
        <v>214</v>
      </c>
      <c r="S1631" s="10" t="s">
        <v>222</v>
      </c>
      <c r="T1631" s="188">
        <v>1000</v>
      </c>
      <c r="U1631" s="8">
        <f t="shared" si="179"/>
        <v>180</v>
      </c>
      <c r="V1631" s="234">
        <f t="shared" si="180"/>
        <v>173864.15524616028</v>
      </c>
      <c r="W1631" s="15">
        <v>25</v>
      </c>
      <c r="X1631" s="8">
        <f t="shared" si="174"/>
        <v>4.5</v>
      </c>
      <c r="Y1631" s="233">
        <f t="shared" si="176"/>
        <v>6212.5</v>
      </c>
    </row>
    <row r="1632" spans="1:25">
      <c r="A1632" s="156" t="e" cm="1">
        <f t="array" aca="1" ref="A1632" ca="1">_xlfn.IFS(E1632=$AB$42,$AC$42,E1632=$AB$43,$AC$43,E1632=$AB$44,$AC$44,E1632=$AB$45,$AC$45,E1632=$AB$46,$AC$46,E1632=$AB$47,$AC$47,E1632=$AB$48,$AC$48,E1632=$AB$49,$AC$49,E1632=$AB$50,$AC$50,E1632=$AB$51,$AC$51,E1632=$AB$52,$AC$52,E1632=$AB$53,$AC$53,E1632=$AB$54,$AC$54,E1632=$AB$55,$AC$55,E1632=$AB$56,$AC$56,E1632=$AB$57,$AC$57,E1632=$AB$58,$AC$58,E1632=$AB$59,$AC$59,E1632=$AB$60,$AC$60,E1632=$AB$61,$AC$61,E1632=$AB$62,$AC$62,E1632=$AB$63,$AC$63,E1632=$AB$64,$AC$64,E1632=$AB$65,$AC$65,E1632=$AB$66,$AC$66,TRUE,"0")</f>
        <v>#NAME?</v>
      </c>
      <c r="C1632" s="161" t="str" cm="1">
        <f t="array" ref="C1632">_xlfn.IFS(E1632=$AB$42,$AF$42,E1632=$AB$43,$AF$43,E1632=$AB$44,$AF$44,E1632=$AB$45,$AF$45,E1632=$AB$46,$AF$46,E1632=$AB$47,$AF$47,E1632=$AB$48,$AF$48,E1632=$AB$49,$AF$49,E1632=$AB$50,$AF$50,E1632=$AB$51,$AF$51,E1632=$AB$52,$AF$52,E1632=$AB$53,$AF$53,E1632=$AB$54,$AF$54,E1632=$AB$55,$AF$55,E1632=$AB$56,$AF$56,E1632=$AB$57,$AF$57,E1632=$AB$58,$AF$58,E1632=$AB$59,$AF$59,E1632=$AB$60,$AF$60,E1632=$AB$61,$AF$61,E1632=$AB$62,$AF$62,E1632=$AB$63,$AF$63,E1632=$AB$64,$AF$64,E1632=$AB$65,$AF$65,E1632=$AB$66,$AF$66,TRUE,"0")</f>
        <v>if 0-0, BACK+ 0.5 GOALS  @ 1.15+odds.  or @ 40 mins</v>
      </c>
      <c r="D1632" s="270" t="str" cm="1">
        <f t="array" ref="D1632">_xlfn.IFS(E1632=$AB$42,$AD$42,E1632=$AB$43,$AD$43,E1632=$AB$44,$AD$44,E1632=$AB$45,$AD$45,E1632=$AB$46,$AD$46,E1632=$AB$47,$AD$47,E1632=$AB$48,$AD$48,E1632=$AB$49,$AD$49,E1632=$AB$50,$AD$50,E1632=$AB$51,$AD$51,E1632=$AB$52,$AD$52,E1632=$AB$53,$AD$53,E1632=$AB$54,$AD$54,E1632=$AB$55,$AD$55,E1632=$AB$56,$AD$56,E1632=$AB$57,$AD$57,E1632=$AB$58,$AD$58,E1632=$AB$59,$AD$59,E1632=$AB$60,$AD$60,E1632=$AB$61,$AD$61,E1632=$AB$62,$AD$62,E1632=$AB$63,$AD$63,E1632=$AB$64,$AD$64,E1632=$AB$65,$AD$65,E1632=$AB$66,$AD$66,TRUE,"0")</f>
        <v>IP</v>
      </c>
      <c r="E1632" s="2" t="s">
        <v>270</v>
      </c>
      <c r="F1632" s="2" t="s">
        <v>6</v>
      </c>
      <c r="G1632" s="2" t="s">
        <v>62</v>
      </c>
      <c r="H1632" s="3">
        <v>45431.666666666664</v>
      </c>
      <c r="I1632" s="2" t="s">
        <v>65</v>
      </c>
      <c r="J1632" s="2" t="s">
        <v>117</v>
      </c>
      <c r="K1632" s="2">
        <v>59</v>
      </c>
      <c r="L1632" s="2">
        <v>0</v>
      </c>
      <c r="M1632" s="2">
        <v>20</v>
      </c>
      <c r="N1632" s="2">
        <v>27</v>
      </c>
      <c r="O1632" s="2">
        <v>3.51</v>
      </c>
      <c r="P1632" s="2"/>
      <c r="Q1632" s="2" t="s">
        <v>95</v>
      </c>
      <c r="R1632" s="10" t="s">
        <v>214</v>
      </c>
      <c r="S1632" s="10" t="s">
        <v>222</v>
      </c>
      <c r="T1632" s="188">
        <v>1000</v>
      </c>
      <c r="U1632" s="8">
        <f t="shared" si="179"/>
        <v>180</v>
      </c>
      <c r="V1632" s="234">
        <f t="shared" si="180"/>
        <v>174044.15524616028</v>
      </c>
      <c r="W1632" s="15">
        <v>25</v>
      </c>
      <c r="X1632" s="8">
        <f t="shared" si="174"/>
        <v>4.5</v>
      </c>
      <c r="Y1632" s="233">
        <f t="shared" si="176"/>
        <v>6217</v>
      </c>
    </row>
    <row r="1633" spans="1:25">
      <c r="A1633" s="156" t="e" cm="1">
        <f t="array" aca="1" ref="A1633" ca="1">_xlfn.IFS(E1633=$AB$42,$AC$42,E1633=$AB$43,$AC$43,E1633=$AB$44,$AC$44,E1633=$AB$45,$AC$45,E1633=$AB$46,$AC$46,E1633=$AB$47,$AC$47,E1633=$AB$48,$AC$48,E1633=$AB$49,$AC$49,E1633=$AB$50,$AC$50,E1633=$AB$51,$AC$51,E1633=$AB$52,$AC$52,E1633=$AB$53,$AC$53,E1633=$AB$54,$AC$54,E1633=$AB$55,$AC$55,E1633=$AB$56,$AC$56,E1633=$AB$57,$AC$57,E1633=$AB$58,$AC$58,E1633=$AB$59,$AC$59,E1633=$AB$60,$AC$60,E1633=$AB$61,$AC$61,E1633=$AB$62,$AC$62,E1633=$AB$63,$AC$63,E1633=$AB$64,$AC$64,E1633=$AB$65,$AC$65,E1633=$AB$66,$AC$66,TRUE,"0")</f>
        <v>#NAME?</v>
      </c>
      <c r="C1633" s="161" t="str" cm="1">
        <f t="array" ref="C1633">_xlfn.IFS(E1633=$AB$42,$AF$42,E1633=$AB$43,$AF$43,E1633=$AB$44,$AF$44,E1633=$AB$45,$AF$45,E1633=$AB$46,$AF$46,E1633=$AB$47,$AF$47,E1633=$AB$48,$AF$48,E1633=$AB$49,$AF$49,E1633=$AB$50,$AF$50,E1633=$AB$51,$AF$51,E1633=$AB$52,$AF$52,E1633=$AB$53,$AF$53,E1633=$AB$54,$AF$54,E1633=$AB$55,$AF$55,E1633=$AB$56,$AF$56,E1633=$AB$57,$AF$57,E1633=$AB$58,$AF$58,E1633=$AB$59,$AF$59,E1633=$AB$60,$AF$60,E1633=$AB$61,$AF$61,E1633=$AB$62,$AF$62,E1633=$AB$63,$AF$63,E1633=$AB$64,$AF$64,E1633=$AB$65,$AF$65,E1633=$AB$66,$AF$66,TRUE,"0")</f>
        <v>B4 match BACK FT +1.5 goals. X AFTER  GOAL</v>
      </c>
      <c r="D1633" s="270" t="str" cm="1">
        <f t="array" ref="D1633">_xlfn.IFS(E1633=$AB$42,$AD$42,E1633=$AB$43,$AD$43,E1633=$AB$44,$AD$44,E1633=$AB$45,$AD$45,E1633=$AB$46,$AD$46,E1633=$AB$47,$AD$47,E1633=$AB$48,$AD$48,E1633=$AB$49,$AD$49,E1633=$AB$50,$AD$50,E1633=$AB$51,$AD$51,E1633=$AB$52,$AD$52,E1633=$AB$53,$AD$53,E1633=$AB$54,$AD$54,E1633=$AB$55,$AD$55,E1633=$AB$56,$AD$56,E1633=$AB$57,$AD$57,E1633=$AB$58,$AD$58,E1633=$AB$59,$AD$59,E1633=$AB$60,$AD$60,E1633=$AB$61,$AD$61,E1633=$AB$62,$AD$62,E1633=$AB$63,$AD$63,E1633=$AB$64,$AD$64,E1633=$AB$65,$AD$65,E1633=$AB$66,$AD$66,TRUE,"0")</f>
        <v xml:space="preserve">BFM </v>
      </c>
      <c r="E1633" s="2" t="s">
        <v>623</v>
      </c>
      <c r="F1633" s="2" t="s">
        <v>6</v>
      </c>
      <c r="G1633" s="2" t="s">
        <v>62</v>
      </c>
      <c r="H1633" s="3">
        <v>45431.666666666664</v>
      </c>
      <c r="I1633" s="2" t="s">
        <v>66</v>
      </c>
      <c r="J1633" s="2" t="s">
        <v>102</v>
      </c>
      <c r="K1633" s="2">
        <v>6.4</v>
      </c>
      <c r="L1633" s="2">
        <v>20</v>
      </c>
      <c r="M1633" s="2">
        <v>3.5</v>
      </c>
      <c r="N1633" s="2">
        <v>30</v>
      </c>
      <c r="O1633" s="2">
        <v>3</v>
      </c>
      <c r="P1633" s="2">
        <v>10</v>
      </c>
      <c r="Q1633" s="2" t="s">
        <v>95</v>
      </c>
      <c r="R1633" s="10" t="s">
        <v>220</v>
      </c>
      <c r="S1633" s="10" t="s">
        <v>195</v>
      </c>
      <c r="T1633" s="188">
        <v>1000</v>
      </c>
      <c r="U1633" s="8">
        <f t="shared" si="179"/>
        <v>180</v>
      </c>
      <c r="V1633" s="234">
        <f t="shared" si="180"/>
        <v>174224.15524616028</v>
      </c>
      <c r="W1633" s="15">
        <v>25</v>
      </c>
      <c r="X1633" s="8">
        <f t="shared" ref="X1633:X1667" si="181">IF(Q1633="won",W1633*0.18,-W1633)</f>
        <v>4.5</v>
      </c>
      <c r="Y1633" s="233">
        <f t="shared" si="176"/>
        <v>6221.5</v>
      </c>
    </row>
    <row r="1634" spans="1:25">
      <c r="A1634" s="156" t="e" cm="1">
        <f t="array" aca="1" ref="A1634" ca="1">_xlfn.IFS(E1634=$AB$42,$AC$42,E1634=$AB$43,$AC$43,E1634=$AB$44,$AC$44,E1634=$AB$45,$AC$45,E1634=$AB$46,$AC$46,E1634=$AB$47,$AC$47,E1634=$AB$48,$AC$48,E1634=$AB$49,$AC$49,E1634=$AB$50,$AC$50,E1634=$AB$51,$AC$51,E1634=$AB$52,$AC$52,E1634=$AB$53,$AC$53,E1634=$AB$54,$AC$54,E1634=$AB$55,$AC$55,E1634=$AB$56,$AC$56,E1634=$AB$57,$AC$57,E1634=$AB$58,$AC$58,E1634=$AB$59,$AC$59,E1634=$AB$60,$AC$60,E1634=$AB$61,$AC$61,E1634=$AB$62,$AC$62,E1634=$AB$63,$AC$63,E1634=$AB$64,$AC$64,E1634=$AB$65,$AC$65,E1634=$AB$66,$AC$66,TRUE,"0")</f>
        <v>#NAME?</v>
      </c>
      <c r="C1634" s="161" t="str" cm="1">
        <f t="array" ref="C1634">_xlfn.IFS(E1634=$AB$42,$AF$42,E1634=$AB$43,$AF$43,E1634=$AB$44,$AF$44,E1634=$AB$45,$AF$45,E1634=$AB$46,$AF$46,E1634=$AB$47,$AF$47,E1634=$AB$48,$AF$48,E1634=$AB$49,$AF$49,E1634=$AB$50,$AF$50,E1634=$AB$51,$AF$51,E1634=$AB$52,$AF$52,E1634=$AB$53,$AF$53,E1634=$AB$54,$AF$54,E1634=$AB$55,$AF$55,E1634=$AB$56,$AF$56,E1634=$AB$57,$AF$57,E1634=$AB$58,$AF$58,E1634=$AB$59,$AF$59,E1634=$AB$60,$AF$60,E1634=$AB$61,$AF$61,E1634=$AB$62,$AF$62,E1634=$AB$63,$AF$63,E1634=$AB$64,$AF$64,E1634=$AB$65,$AF$65,E1634=$AB$66,$AF$66,TRUE,"0")</f>
        <v>40 mins Back ANother Goal</v>
      </c>
      <c r="D1634" s="270" t="str" cm="1">
        <f t="array" ref="D1634">_xlfn.IFS(E1634=$AB$42,$AD$42,E1634=$AB$43,$AD$43,E1634=$AB$44,$AD$44,E1634=$AB$45,$AD$45,E1634=$AB$46,$AD$46,E1634=$AB$47,$AD$47,E1634=$AB$48,$AD$48,E1634=$AB$49,$AD$49,E1634=$AB$50,$AD$50,E1634=$AB$51,$AD$51,E1634=$AB$52,$AD$52,E1634=$AB$53,$AD$53,E1634=$AB$54,$AD$54,E1634=$AB$55,$AD$55,E1634=$AB$56,$AD$56,E1634=$AB$57,$AD$57,E1634=$AB$58,$AD$58,E1634=$AB$59,$AD$59,E1634=$AB$60,$AD$60,E1634=$AB$61,$AD$61,E1634=$AB$62,$AD$62,E1634=$AB$63,$AD$63,E1634=$AB$64,$AD$64,E1634=$AB$65,$AD$65,E1634=$AB$66,$AD$66,TRUE,"0")</f>
        <v xml:space="preserve">  BANG</v>
      </c>
      <c r="E1634" s="2" t="s">
        <v>726</v>
      </c>
      <c r="F1634" s="2" t="s">
        <v>6</v>
      </c>
      <c r="G1634" s="2" t="s">
        <v>62</v>
      </c>
      <c r="H1634" s="3">
        <v>45431.666666666664</v>
      </c>
      <c r="I1634" s="2" t="s">
        <v>285</v>
      </c>
      <c r="J1634" s="2" t="s">
        <v>64</v>
      </c>
      <c r="K1634" s="2">
        <v>80</v>
      </c>
      <c r="L1634" s="2">
        <v>20</v>
      </c>
      <c r="M1634" s="2">
        <v>1.9</v>
      </c>
      <c r="N1634" s="2">
        <v>61</v>
      </c>
      <c r="O1634" s="2"/>
      <c r="P1634" s="2"/>
      <c r="Q1634" s="2" t="s">
        <v>96</v>
      </c>
      <c r="R1634" s="10" t="s">
        <v>220</v>
      </c>
      <c r="S1634" s="10" t="s">
        <v>220</v>
      </c>
      <c r="T1634" s="188">
        <v>1000</v>
      </c>
      <c r="U1634" s="8">
        <f t="shared" si="179"/>
        <v>-1000</v>
      </c>
      <c r="V1634" s="234">
        <f t="shared" si="180"/>
        <v>173224.15524616028</v>
      </c>
      <c r="W1634" s="15">
        <v>25</v>
      </c>
      <c r="X1634" s="8">
        <f t="shared" si="181"/>
        <v>-25</v>
      </c>
      <c r="Y1634" s="233">
        <f t="shared" si="176"/>
        <v>6196.5</v>
      </c>
    </row>
    <row r="1635" spans="1:25">
      <c r="A1635" s="156" t="e" cm="1">
        <f t="array" aca="1" ref="A1635" ca="1">_xlfn.IFS(E1635=$AB$42,$AC$42,E1635=$AB$43,$AC$43,E1635=$AB$44,$AC$44,E1635=$AB$45,$AC$45,E1635=$AB$46,$AC$46,E1635=$AB$47,$AC$47,E1635=$AB$48,$AC$48,E1635=$AB$49,$AC$49,E1635=$AB$50,$AC$50,E1635=$AB$51,$AC$51,E1635=$AB$52,$AC$52,E1635=$AB$53,$AC$53,E1635=$AB$54,$AC$54,E1635=$AB$55,$AC$55,E1635=$AB$56,$AC$56,E1635=$AB$57,$AC$57,E1635=$AB$58,$AC$58,E1635=$AB$59,$AC$59,E1635=$AB$60,$AC$60,E1635=$AB$61,$AC$61,E1635=$AB$62,$AC$62,E1635=$AB$63,$AC$63,E1635=$AB$64,$AC$64,E1635=$AB$65,$AC$65,E1635=$AB$66,$AC$66,TRUE,"0")</f>
        <v>#NAME?</v>
      </c>
      <c r="C1635" s="161" t="str" cm="1">
        <f t="array" ref="C1635">_xlfn.IFS(E1635=$AB$42,$AF$42,E1635=$AB$43,$AF$43,E1635=$AB$44,$AF$44,E1635=$AB$45,$AF$45,E1635=$AB$46,$AF$46,E1635=$AB$47,$AF$47,E1635=$AB$48,$AF$48,E1635=$AB$49,$AF$49,E1635=$AB$50,$AF$50,E1635=$AB$51,$AF$51,E1635=$AB$52,$AF$52,E1635=$AB$53,$AF$53,E1635=$AB$54,$AF$54,E1635=$AB$55,$AF$55,E1635=$AB$56,$AF$56,E1635=$AB$57,$AF$57,E1635=$AB$58,$AF$58,E1635=$AB$59,$AF$59,E1635=$AB$60,$AF$60,E1635=$AB$61,$AF$61,E1635=$AB$62,$AF$62,E1635=$AB$63,$AF$63,E1635=$AB$64,$AF$64,E1635=$AB$65,$AF$65,E1635=$AB$66,$AF$66,TRUE,"0")</f>
        <v>B4 match BACK FT +1.5 goals. X AFTER  GOAL</v>
      </c>
      <c r="D1635" s="270" t="str" cm="1">
        <f t="array" ref="D1635">_xlfn.IFS(E1635=$AB$42,$AD$42,E1635=$AB$43,$AD$43,E1635=$AB$44,$AD$44,E1635=$AB$45,$AD$45,E1635=$AB$46,$AD$46,E1635=$AB$47,$AD$47,E1635=$AB$48,$AD$48,E1635=$AB$49,$AD$49,E1635=$AB$50,$AD$50,E1635=$AB$51,$AD$51,E1635=$AB$52,$AD$52,E1635=$AB$53,$AD$53,E1635=$AB$54,$AD$54,E1635=$AB$55,$AD$55,E1635=$AB$56,$AD$56,E1635=$AB$57,$AD$57,E1635=$AB$58,$AD$58,E1635=$AB$59,$AD$59,E1635=$AB$60,$AD$60,E1635=$AB$61,$AD$61,E1635=$AB$62,$AD$62,E1635=$AB$63,$AD$63,E1635=$AB$64,$AD$64,E1635=$AB$65,$AD$65,E1635=$AB$66,$AD$66,TRUE,"0")</f>
        <v xml:space="preserve">BFM </v>
      </c>
      <c r="E1635" s="2" t="s">
        <v>623</v>
      </c>
      <c r="F1635" s="2" t="s">
        <v>6</v>
      </c>
      <c r="G1635" s="2" t="s">
        <v>62</v>
      </c>
      <c r="H1635" s="3">
        <v>45431.666666666664</v>
      </c>
      <c r="I1635" s="2" t="s">
        <v>285</v>
      </c>
      <c r="J1635" s="2" t="s">
        <v>64</v>
      </c>
      <c r="K1635" s="2">
        <v>2.12</v>
      </c>
      <c r="L1635" s="2">
        <v>20</v>
      </c>
      <c r="M1635" s="2">
        <v>3.6</v>
      </c>
      <c r="N1635" s="2">
        <v>22</v>
      </c>
      <c r="O1635" s="2">
        <v>4</v>
      </c>
      <c r="P1635" s="2">
        <v>10</v>
      </c>
      <c r="Q1635" s="2" t="s">
        <v>95</v>
      </c>
      <c r="R1635" s="10" t="s">
        <v>220</v>
      </c>
      <c r="S1635" s="10" t="s">
        <v>220</v>
      </c>
      <c r="T1635" s="188">
        <v>1000</v>
      </c>
      <c r="U1635" s="8">
        <f t="shared" si="179"/>
        <v>180</v>
      </c>
      <c r="V1635" s="234">
        <f t="shared" si="180"/>
        <v>173404.15524616028</v>
      </c>
      <c r="W1635" s="15">
        <v>25</v>
      </c>
      <c r="X1635" s="8">
        <f t="shared" si="181"/>
        <v>4.5</v>
      </c>
      <c r="Y1635" s="233">
        <f t="shared" si="176"/>
        <v>6201</v>
      </c>
    </row>
    <row r="1636" spans="1:25">
      <c r="A1636" s="156" t="e" cm="1">
        <f t="array" aca="1" ref="A1636" ca="1">_xlfn.IFS(E1636=$AB$42,$AC$42,E1636=$AB$43,$AC$43,E1636=$AB$44,$AC$44,E1636=$AB$45,$AC$45,E1636=$AB$46,$AC$46,E1636=$AB$47,$AC$47,E1636=$AB$48,$AC$48,E1636=$AB$49,$AC$49,E1636=$AB$50,$AC$50,E1636=$AB$51,$AC$51,E1636=$AB$52,$AC$52,E1636=$AB$53,$AC$53,E1636=$AB$54,$AC$54,E1636=$AB$55,$AC$55,E1636=$AB$56,$AC$56,E1636=$AB$57,$AC$57,E1636=$AB$58,$AC$58,E1636=$AB$59,$AC$59,E1636=$AB$60,$AC$60,E1636=$AB$61,$AC$61,E1636=$AB$62,$AC$62,E1636=$AB$63,$AC$63,E1636=$AB$64,$AC$64,E1636=$AB$65,$AC$65,E1636=$AB$66,$AC$66,TRUE,"0")</f>
        <v>#NAME?</v>
      </c>
      <c r="C1636" s="161" t="str" cm="1">
        <f t="array" ref="C1636">_xlfn.IFS(E1636=$AB$42,$AF$42,E1636=$AB$43,$AF$43,E1636=$AB$44,$AF$44,E1636=$AB$45,$AF$45,E1636=$AB$46,$AF$46,E1636=$AB$47,$AF$47,E1636=$AB$48,$AF$48,E1636=$AB$49,$AF$49,E1636=$AB$50,$AF$50,E1636=$AB$51,$AF$51,E1636=$AB$52,$AF$52,E1636=$AB$53,$AF$53,E1636=$AB$54,$AF$54,E1636=$AB$55,$AF$55,E1636=$AB$56,$AF$56,E1636=$AB$57,$AF$57,E1636=$AB$58,$AF$58,E1636=$AB$59,$AF$59,E1636=$AB$60,$AF$60,E1636=$AB$61,$AF$61,E1636=$AB$62,$AF$62,E1636=$AB$63,$AF$63,E1636=$AB$64,$AF$64,E1636=$AB$65,$AF$65,E1636=$AB$66,$AF$66,TRUE,"0")</f>
        <v>10mins if  0-0, BACK over 1.5 goals X after goal OR LET RUN</v>
      </c>
      <c r="D1636" s="270" t="str" cm="1">
        <f t="array" ref="D1636">_xlfn.IFS(E1636=$AB$42,$AD$42,E1636=$AB$43,$AD$43,E1636=$AB$44,$AD$44,E1636=$AB$45,$AD$45,E1636=$AB$46,$AD$46,E1636=$AB$47,$AD$47,E1636=$AB$48,$AD$48,E1636=$AB$49,$AD$49,E1636=$AB$50,$AD$50,E1636=$AB$51,$AD$51,E1636=$AB$52,$AD$52,E1636=$AB$53,$AD$53,E1636=$AB$54,$AD$54,E1636=$AB$55,$AD$55,E1636=$AB$56,$AD$56,E1636=$AB$57,$AD$57,E1636=$AB$58,$AD$58,E1636=$AB$59,$AD$59,E1636=$AB$60,$AD$60,E1636=$AB$61,$AD$61,E1636=$AB$62,$AD$62,E1636=$AB$63,$AD$63,E1636=$AB$64,$AD$64,E1636=$AB$65,$AD$65,E1636=$AB$66,$AD$66,TRUE,"0")</f>
        <v>IP</v>
      </c>
      <c r="E1636" s="2" t="s">
        <v>498</v>
      </c>
      <c r="F1636" s="2" t="s">
        <v>6</v>
      </c>
      <c r="G1636" s="2" t="s">
        <v>62</v>
      </c>
      <c r="H1636" s="3">
        <v>45431.666666666664</v>
      </c>
      <c r="I1636" s="2" t="s">
        <v>285</v>
      </c>
      <c r="J1636" s="2" t="s">
        <v>64</v>
      </c>
      <c r="K1636" s="2">
        <v>64</v>
      </c>
      <c r="L1636" s="2">
        <v>90</v>
      </c>
      <c r="M1636" s="2">
        <v>1.7</v>
      </c>
      <c r="N1636" s="2">
        <v>20</v>
      </c>
      <c r="O1636" s="2"/>
      <c r="P1636" s="2"/>
      <c r="Q1636" s="2" t="s">
        <v>95</v>
      </c>
      <c r="R1636" s="10" t="s">
        <v>220</v>
      </c>
      <c r="S1636" s="10" t="s">
        <v>220</v>
      </c>
      <c r="T1636" s="188">
        <v>1000</v>
      </c>
      <c r="U1636" s="8">
        <f t="shared" si="179"/>
        <v>180</v>
      </c>
      <c r="V1636" s="234">
        <f t="shared" si="180"/>
        <v>173584.15524616028</v>
      </c>
      <c r="W1636" s="15">
        <v>25</v>
      </c>
      <c r="X1636" s="8">
        <f t="shared" si="181"/>
        <v>4.5</v>
      </c>
      <c r="Y1636" s="233">
        <f t="shared" si="176"/>
        <v>6205.5</v>
      </c>
    </row>
    <row r="1637" spans="1:25">
      <c r="A1637" s="156" t="e" cm="1">
        <f t="array" aca="1" ref="A1637" ca="1">_xlfn.IFS(E1637=$AB$42,$AC$42,E1637=$AB$43,$AC$43,E1637=$AB$44,$AC$44,E1637=$AB$45,$AC$45,E1637=$AB$46,$AC$46,E1637=$AB$47,$AC$47,E1637=$AB$48,$AC$48,E1637=$AB$49,$AC$49,E1637=$AB$50,$AC$50,E1637=$AB$51,$AC$51,E1637=$AB$52,$AC$52,E1637=$AB$53,$AC$53,E1637=$AB$54,$AC$54,E1637=$AB$55,$AC$55,E1637=$AB$56,$AC$56,E1637=$AB$57,$AC$57,E1637=$AB$58,$AC$58,E1637=$AB$59,$AC$59,E1637=$AB$60,$AC$60,E1637=$AB$61,$AC$61,E1637=$AB$62,$AC$62,E1637=$AB$63,$AC$63,E1637=$AB$64,$AC$64,E1637=$AB$65,$AC$65,E1637=$AB$66,$AC$66,TRUE,"0")</f>
        <v>#NAME?</v>
      </c>
      <c r="C1637" s="161" t="str" cm="1">
        <f t="array" ref="C1637">_xlfn.IFS(E1637=$AB$42,$AF$42,E1637=$AB$43,$AF$43,E1637=$AB$44,$AF$44,E1637=$AB$45,$AF$45,E1637=$AB$46,$AF$46,E1637=$AB$47,$AF$47,E1637=$AB$48,$AF$48,E1637=$AB$49,$AF$49,E1637=$AB$50,$AF$50,E1637=$AB$51,$AF$51,E1637=$AB$52,$AF$52,E1637=$AB$53,$AF$53,E1637=$AB$54,$AF$54,E1637=$AB$55,$AF$55,E1637=$AB$56,$AF$56,E1637=$AB$57,$AF$57,E1637=$AB$58,$AF$58,E1637=$AB$59,$AF$59,E1637=$AB$60,$AF$60,E1637=$AB$61,$AF$61,E1637=$AB$62,$AF$62,E1637=$AB$63,$AF$63,E1637=$AB$64,$AF$64,E1637=$AB$65,$AF$65,E1637=$AB$66,$AF$66,TRUE,"0")</f>
        <v>40 mins Back ANother Goal</v>
      </c>
      <c r="D1637" s="270" t="str" cm="1">
        <f t="array" ref="D1637">_xlfn.IFS(E1637=$AB$42,$AD$42,E1637=$AB$43,$AD$43,E1637=$AB$44,$AD$44,E1637=$AB$45,$AD$45,E1637=$AB$46,$AD$46,E1637=$AB$47,$AD$47,E1637=$AB$48,$AD$48,E1637=$AB$49,$AD$49,E1637=$AB$50,$AD$50,E1637=$AB$51,$AD$51,E1637=$AB$52,$AD$52,E1637=$AB$53,$AD$53,E1637=$AB$54,$AD$54,E1637=$AB$55,$AD$55,E1637=$AB$56,$AD$56,E1637=$AB$57,$AD$57,E1637=$AB$58,$AD$58,E1637=$AB$59,$AD$59,E1637=$AB$60,$AD$60,E1637=$AB$61,$AD$61,E1637=$AB$62,$AD$62,E1637=$AB$63,$AD$63,E1637=$AB$64,$AD$64,E1637=$AB$65,$AD$65,E1637=$AB$66,$AD$66,TRUE,"0")</f>
        <v xml:space="preserve">  BANG</v>
      </c>
      <c r="E1637" s="2" t="s">
        <v>792</v>
      </c>
      <c r="F1637" s="2" t="s">
        <v>6</v>
      </c>
      <c r="G1637" s="2" t="s">
        <v>62</v>
      </c>
      <c r="H1637" s="3">
        <v>45431.666666666664</v>
      </c>
      <c r="I1637" s="2" t="s">
        <v>72</v>
      </c>
      <c r="J1637" s="2" t="s">
        <v>74</v>
      </c>
      <c r="K1637" s="2">
        <v>2.1</v>
      </c>
      <c r="L1637" s="2">
        <v>95</v>
      </c>
      <c r="M1637" s="2">
        <v>70</v>
      </c>
      <c r="N1637" s="2">
        <v>63</v>
      </c>
      <c r="O1637" s="2">
        <v>20</v>
      </c>
      <c r="P1637" s="2"/>
      <c r="Q1637" s="2" t="s">
        <v>95</v>
      </c>
      <c r="R1637" s="10" t="s">
        <v>222</v>
      </c>
      <c r="S1637" s="10" t="s">
        <v>215</v>
      </c>
      <c r="T1637" s="188">
        <v>1000</v>
      </c>
      <c r="U1637" s="8">
        <f t="shared" si="179"/>
        <v>180</v>
      </c>
      <c r="V1637" s="234">
        <f t="shared" si="180"/>
        <v>173764.15524616028</v>
      </c>
      <c r="W1637" s="15">
        <v>25</v>
      </c>
      <c r="X1637" s="8">
        <f t="shared" si="181"/>
        <v>4.5</v>
      </c>
      <c r="Y1637" s="233">
        <f t="shared" ref="Y1637:Y1700" si="182">SUM(Y1636,X1637)</f>
        <v>6210</v>
      </c>
    </row>
    <row r="1638" spans="1:25">
      <c r="A1638" s="156" t="e" cm="1">
        <f t="array" aca="1" ref="A1638" ca="1">_xlfn.IFS(E1638=$AB$42,$AC$42,E1638=$AB$43,$AC$43,E1638=$AB$44,$AC$44,E1638=$AB$45,$AC$45,E1638=$AB$46,$AC$46,E1638=$AB$47,$AC$47,E1638=$AB$48,$AC$48,E1638=$AB$49,$AC$49,E1638=$AB$50,$AC$50,E1638=$AB$51,$AC$51,E1638=$AB$52,$AC$52,E1638=$AB$53,$AC$53,E1638=$AB$54,$AC$54,E1638=$AB$55,$AC$55,E1638=$AB$56,$AC$56,E1638=$AB$57,$AC$57,E1638=$AB$58,$AC$58,E1638=$AB$59,$AC$59,E1638=$AB$60,$AC$60,E1638=$AB$61,$AC$61,E1638=$AB$62,$AC$62,E1638=$AB$63,$AC$63,E1638=$AB$64,$AC$64,E1638=$AB$65,$AC$65,E1638=$AB$66,$AC$66,TRUE,"0")</f>
        <v>#NAME?</v>
      </c>
      <c r="C1638" s="161" t="str" cm="1">
        <f t="array" ref="C1638">_xlfn.IFS(E1638=$AB$42,$AF$42,E1638=$AB$43,$AF$43,E1638=$AB$44,$AF$44,E1638=$AB$45,$AF$45,E1638=$AB$46,$AF$46,E1638=$AB$47,$AF$47,E1638=$AB$48,$AF$48,E1638=$AB$49,$AF$49,E1638=$AB$50,$AF$50,E1638=$AB$51,$AF$51,E1638=$AB$52,$AF$52,E1638=$AB$53,$AF$53,E1638=$AB$54,$AF$54,E1638=$AB$55,$AF$55,E1638=$AB$56,$AF$56,E1638=$AB$57,$AF$57,E1638=$AB$58,$AF$58,E1638=$AB$59,$AF$59,E1638=$AB$60,$AF$60,E1638=$AB$61,$AF$61,E1638=$AB$62,$AF$62,E1638=$AB$63,$AF$63,E1638=$AB$64,$AF$64,E1638=$AB$65,$AF$65,E1638=$AB$66,$AF$66,TRUE,"0")</f>
        <v>40 mins Back ANother Goal</v>
      </c>
      <c r="D1638" s="270" t="str" cm="1">
        <f t="array" ref="D1638">_xlfn.IFS(E1638=$AB$42,$AD$42,E1638=$AB$43,$AD$43,E1638=$AB$44,$AD$44,E1638=$AB$45,$AD$45,E1638=$AB$46,$AD$46,E1638=$AB$47,$AD$47,E1638=$AB$48,$AD$48,E1638=$AB$49,$AD$49,E1638=$AB$50,$AD$50,E1638=$AB$51,$AD$51,E1638=$AB$52,$AD$52,E1638=$AB$53,$AD$53,E1638=$AB$54,$AD$54,E1638=$AB$55,$AD$55,E1638=$AB$56,$AD$56,E1638=$AB$57,$AD$57,E1638=$AB$58,$AD$58,E1638=$AB$59,$AD$59,E1638=$AB$60,$AD$60,E1638=$AB$61,$AD$61,E1638=$AB$62,$AD$62,E1638=$AB$63,$AD$63,E1638=$AB$64,$AD$64,E1638=$AB$65,$AD$65,E1638=$AB$66,$AD$66,TRUE,"0")</f>
        <v xml:space="preserve">  BANG</v>
      </c>
      <c r="E1638" s="2" t="s">
        <v>726</v>
      </c>
      <c r="F1638" s="2" t="s">
        <v>6</v>
      </c>
      <c r="G1638" s="2" t="s">
        <v>62</v>
      </c>
      <c r="H1638" s="3">
        <v>45431.666666666664</v>
      </c>
      <c r="I1638" s="2" t="s">
        <v>72</v>
      </c>
      <c r="J1638" s="2" t="s">
        <v>74</v>
      </c>
      <c r="K1638" s="2">
        <v>95</v>
      </c>
      <c r="L1638" s="2">
        <v>20</v>
      </c>
      <c r="M1638" s="2">
        <v>2.1</v>
      </c>
      <c r="N1638" s="2">
        <v>63</v>
      </c>
      <c r="O1638" s="2"/>
      <c r="P1638" s="2"/>
      <c r="Q1638" s="2" t="s">
        <v>95</v>
      </c>
      <c r="R1638" s="10" t="s">
        <v>222</v>
      </c>
      <c r="S1638" s="10" t="s">
        <v>215</v>
      </c>
      <c r="T1638" s="188">
        <v>1000</v>
      </c>
      <c r="U1638" s="8">
        <f t="shared" si="179"/>
        <v>180</v>
      </c>
      <c r="V1638" s="234">
        <f t="shared" si="180"/>
        <v>173944.15524616028</v>
      </c>
      <c r="W1638" s="15">
        <v>25</v>
      </c>
      <c r="X1638" s="8">
        <f t="shared" si="181"/>
        <v>4.5</v>
      </c>
      <c r="Y1638" s="233">
        <f t="shared" si="182"/>
        <v>6214.5</v>
      </c>
    </row>
    <row r="1639" spans="1:25">
      <c r="A1639" s="156" t="e" cm="1">
        <f t="array" aca="1" ref="A1639" ca="1">_xlfn.IFS(E1639=$AB$42,$AC$42,E1639=$AB$43,$AC$43,E1639=$AB$44,$AC$44,E1639=$AB$45,$AC$45,E1639=$AB$46,$AC$46,E1639=$AB$47,$AC$47,E1639=$AB$48,$AC$48,E1639=$AB$49,$AC$49,E1639=$AB$50,$AC$50,E1639=$AB$51,$AC$51,E1639=$AB$52,$AC$52,E1639=$AB$53,$AC$53,E1639=$AB$54,$AC$54,E1639=$AB$55,$AC$55,E1639=$AB$56,$AC$56,E1639=$AB$57,$AC$57,E1639=$AB$58,$AC$58,E1639=$AB$59,$AC$59,E1639=$AB$60,$AC$60,E1639=$AB$61,$AC$61,E1639=$AB$62,$AC$62,E1639=$AB$63,$AC$63,E1639=$AB$64,$AC$64,E1639=$AB$65,$AC$65,E1639=$AB$66,$AC$66,TRUE,"0")</f>
        <v>#NAME?</v>
      </c>
      <c r="C1639" s="161" t="str" cm="1">
        <f t="array" ref="C1639">_xlfn.IFS(E1639=$AB$42,$AF$42,E1639=$AB$43,$AF$43,E1639=$AB$44,$AF$44,E1639=$AB$45,$AF$45,E1639=$AB$46,$AF$46,E1639=$AB$47,$AF$47,E1639=$AB$48,$AF$48,E1639=$AB$49,$AF$49,E1639=$AB$50,$AF$50,E1639=$AB$51,$AF$51,E1639=$AB$52,$AF$52,E1639=$AB$53,$AF$53,E1639=$AB$54,$AF$54,E1639=$AB$55,$AF$55,E1639=$AB$56,$AF$56,E1639=$AB$57,$AF$57,E1639=$AB$58,$AF$58,E1639=$AB$59,$AF$59,E1639=$AB$60,$AF$60,E1639=$AB$61,$AF$61,E1639=$AB$62,$AF$62,E1639=$AB$63,$AF$63,E1639=$AB$64,$AF$64,E1639=$AB$65,$AF$65,E1639=$AB$66,$AF$66,TRUE,"0")</f>
        <v>B4 MATCH back over 2.5 goals.X after goal OR let run</v>
      </c>
      <c r="D1639" s="270" t="str" cm="1">
        <f t="array" ref="D1639">_xlfn.IFS(E1639=$AB$42,$AD$42,E1639=$AB$43,$AD$43,E1639=$AB$44,$AD$44,E1639=$AB$45,$AD$45,E1639=$AB$46,$AD$46,E1639=$AB$47,$AD$47,E1639=$AB$48,$AD$48,E1639=$AB$49,$AD$49,E1639=$AB$50,$AD$50,E1639=$AB$51,$AD$51,E1639=$AB$52,$AD$52,E1639=$AB$53,$AD$53,E1639=$AB$54,$AD$54,E1639=$AB$55,$AD$55,E1639=$AB$56,$AD$56,E1639=$AB$57,$AD$57,E1639=$AB$58,$AD$58,E1639=$AB$59,$AD$59,E1639=$AB$60,$AD$60,E1639=$AB$61,$AD$61,E1639=$AB$62,$AD$62,E1639=$AB$63,$AD$63,E1639=$AB$64,$AD$64,E1639=$AB$65,$AD$65,E1639=$AB$66,$AD$66,TRUE,"0")</f>
        <v xml:space="preserve">BFM </v>
      </c>
      <c r="E1639" s="2" t="s">
        <v>177</v>
      </c>
      <c r="F1639" s="2" t="s">
        <v>6</v>
      </c>
      <c r="G1639" s="2" t="s">
        <v>62</v>
      </c>
      <c r="H1639" s="3">
        <v>45431.666666666664</v>
      </c>
      <c r="I1639" s="2" t="s">
        <v>85</v>
      </c>
      <c r="J1639" s="2" t="s">
        <v>116</v>
      </c>
      <c r="K1639" s="2">
        <v>4.0999999999999996</v>
      </c>
      <c r="L1639" s="2">
        <v>95</v>
      </c>
      <c r="M1639" s="2">
        <v>80</v>
      </c>
      <c r="N1639" s="2">
        <v>24</v>
      </c>
      <c r="O1639" s="2">
        <v>65</v>
      </c>
      <c r="P1639" s="2">
        <v>3.4</v>
      </c>
      <c r="Q1639" s="2" t="s">
        <v>95</v>
      </c>
      <c r="R1639" s="10" t="s">
        <v>193</v>
      </c>
      <c r="S1639" s="10" t="s">
        <v>218</v>
      </c>
      <c r="T1639" s="188">
        <v>1000</v>
      </c>
      <c r="U1639" s="8">
        <f t="shared" si="179"/>
        <v>180</v>
      </c>
      <c r="V1639" s="234">
        <f t="shared" si="180"/>
        <v>174124.15524616028</v>
      </c>
      <c r="W1639" s="15">
        <v>25</v>
      </c>
      <c r="X1639" s="8">
        <f t="shared" si="181"/>
        <v>4.5</v>
      </c>
      <c r="Y1639" s="233">
        <f t="shared" si="182"/>
        <v>6219</v>
      </c>
    </row>
    <row r="1640" spans="1:25">
      <c r="A1640" s="156" t="e" cm="1">
        <f t="array" aca="1" ref="A1640" ca="1">_xlfn.IFS(E1640=$AB$42,$AC$42,E1640=$AB$43,$AC$43,E1640=$AB$44,$AC$44,E1640=$AB$45,$AC$45,E1640=$AB$46,$AC$46,E1640=$AB$47,$AC$47,E1640=$AB$48,$AC$48,E1640=$AB$49,$AC$49,E1640=$AB$50,$AC$50,E1640=$AB$51,$AC$51,E1640=$AB$52,$AC$52,E1640=$AB$53,$AC$53,E1640=$AB$54,$AC$54,E1640=$AB$55,$AC$55,E1640=$AB$56,$AC$56,E1640=$AB$57,$AC$57,E1640=$AB$58,$AC$58,E1640=$AB$59,$AC$59,E1640=$AB$60,$AC$60,E1640=$AB$61,$AC$61,E1640=$AB$62,$AC$62,E1640=$AB$63,$AC$63,E1640=$AB$64,$AC$64,E1640=$AB$65,$AC$65,E1640=$AB$66,$AC$66,TRUE,"0")</f>
        <v>#NAME?</v>
      </c>
      <c r="C1640" s="161" t="str" cm="1">
        <f t="array" ref="C1640">_xlfn.IFS(E1640=$AB$42,$AF$42,E1640=$AB$43,$AF$43,E1640=$AB$44,$AF$44,E1640=$AB$45,$AF$45,E1640=$AB$46,$AF$46,E1640=$AB$47,$AF$47,E1640=$AB$48,$AF$48,E1640=$AB$49,$AF$49,E1640=$AB$50,$AF$50,E1640=$AB$51,$AF$51,E1640=$AB$52,$AF$52,E1640=$AB$53,$AF$53,E1640=$AB$54,$AF$54,E1640=$AB$55,$AF$55,E1640=$AB$56,$AF$56,E1640=$AB$57,$AF$57,E1640=$AB$58,$AF$58,E1640=$AB$59,$AF$59,E1640=$AB$60,$AF$60,E1640=$AB$61,$AF$61,E1640=$AB$62,$AF$62,E1640=$AB$63,$AF$63,E1640=$AB$64,$AF$64,E1640=$AB$65,$AF$65,E1640=$AB$66,$AF$66,TRUE,"0")</f>
        <v>40 mins Back ANother Goal</v>
      </c>
      <c r="D1640" s="270" t="str" cm="1">
        <f t="array" ref="D1640">_xlfn.IFS(E1640=$AB$42,$AD$42,E1640=$AB$43,$AD$43,E1640=$AB$44,$AD$44,E1640=$AB$45,$AD$45,E1640=$AB$46,$AD$46,E1640=$AB$47,$AD$47,E1640=$AB$48,$AD$48,E1640=$AB$49,$AD$49,E1640=$AB$50,$AD$50,E1640=$AB$51,$AD$51,E1640=$AB$52,$AD$52,E1640=$AB$53,$AD$53,E1640=$AB$54,$AD$54,E1640=$AB$55,$AD$55,E1640=$AB$56,$AD$56,E1640=$AB$57,$AD$57,E1640=$AB$58,$AD$58,E1640=$AB$59,$AD$59,E1640=$AB$60,$AD$60,E1640=$AB$61,$AD$61,E1640=$AB$62,$AD$62,E1640=$AB$63,$AD$63,E1640=$AB$64,$AD$64,E1640=$AB$65,$AD$65,E1640=$AB$66,$AD$66,TRUE,"0")</f>
        <v xml:space="preserve">  BANG</v>
      </c>
      <c r="E1640" s="2" t="s">
        <v>726</v>
      </c>
      <c r="F1640" s="2" t="s">
        <v>6</v>
      </c>
      <c r="G1640" s="2" t="s">
        <v>62</v>
      </c>
      <c r="H1640" s="3">
        <v>45431.666666666664</v>
      </c>
      <c r="I1640" s="2" t="s">
        <v>85</v>
      </c>
      <c r="J1640" s="2" t="s">
        <v>116</v>
      </c>
      <c r="K1640" s="2">
        <v>90</v>
      </c>
      <c r="L1640" s="2">
        <v>20</v>
      </c>
      <c r="M1640" s="2">
        <v>2.2000000000000002</v>
      </c>
      <c r="N1640" s="2">
        <v>60</v>
      </c>
      <c r="O1640" s="2"/>
      <c r="P1640" s="2"/>
      <c r="Q1640" s="2" t="s">
        <v>95</v>
      </c>
      <c r="R1640" s="10" t="s">
        <v>193</v>
      </c>
      <c r="S1640" s="10" t="s">
        <v>218</v>
      </c>
      <c r="T1640" s="188">
        <v>1000</v>
      </c>
      <c r="U1640" s="8">
        <f t="shared" si="179"/>
        <v>180</v>
      </c>
      <c r="V1640" s="234">
        <f t="shared" si="180"/>
        <v>174304.15524616028</v>
      </c>
      <c r="W1640" s="15">
        <v>25</v>
      </c>
      <c r="X1640" s="8">
        <f t="shared" si="181"/>
        <v>4.5</v>
      </c>
      <c r="Y1640" s="233">
        <f t="shared" si="182"/>
        <v>6223.5</v>
      </c>
    </row>
    <row r="1641" spans="1:25">
      <c r="A1641" s="156" t="e" cm="1">
        <f t="array" aca="1" ref="A1641" ca="1">_xlfn.IFS(E1641=$AB$42,$AC$42,E1641=$AB$43,$AC$43,E1641=$AB$44,$AC$44,E1641=$AB$45,$AC$45,E1641=$AB$46,$AC$46,E1641=$AB$47,$AC$47,E1641=$AB$48,$AC$48,E1641=$AB$49,$AC$49,E1641=$AB$50,$AC$50,E1641=$AB$51,$AC$51,E1641=$AB$52,$AC$52,E1641=$AB$53,$AC$53,E1641=$AB$54,$AC$54,E1641=$AB$55,$AC$55,E1641=$AB$56,$AC$56,E1641=$AB$57,$AC$57,E1641=$AB$58,$AC$58,E1641=$AB$59,$AC$59,E1641=$AB$60,$AC$60,E1641=$AB$61,$AC$61,E1641=$AB$62,$AC$62,E1641=$AB$63,$AC$63,E1641=$AB$64,$AC$64,E1641=$AB$65,$AC$65,E1641=$AB$66,$AC$66,TRUE,"0")</f>
        <v>#NAME?</v>
      </c>
      <c r="C1641" s="161" t="str" cm="1">
        <f t="array" ref="C1641">_xlfn.IFS(E1641=$AB$42,$AF$42,E1641=$AB$43,$AF$43,E1641=$AB$44,$AF$44,E1641=$AB$45,$AF$45,E1641=$AB$46,$AF$46,E1641=$AB$47,$AF$47,E1641=$AB$48,$AF$48,E1641=$AB$49,$AF$49,E1641=$AB$50,$AF$50,E1641=$AB$51,$AF$51,E1641=$AB$52,$AF$52,E1641=$AB$53,$AF$53,E1641=$AB$54,$AF$54,E1641=$AB$55,$AF$55,E1641=$AB$56,$AF$56,E1641=$AB$57,$AF$57,E1641=$AB$58,$AF$58,E1641=$AB$59,$AF$59,E1641=$AB$60,$AF$60,E1641=$AB$61,$AF$61,E1641=$AB$62,$AF$62,E1641=$AB$63,$AF$63,E1641=$AB$64,$AF$64,E1641=$AB$65,$AF$65,E1641=$AB$66,$AF$66,TRUE,"0")</f>
        <v>B4 match BACK FT +1.5 goals. X AFTER  GOAL</v>
      </c>
      <c r="D1641" s="270" t="str" cm="1">
        <f t="array" ref="D1641">_xlfn.IFS(E1641=$AB$42,$AD$42,E1641=$AB$43,$AD$43,E1641=$AB$44,$AD$44,E1641=$AB$45,$AD$45,E1641=$AB$46,$AD$46,E1641=$AB$47,$AD$47,E1641=$AB$48,$AD$48,E1641=$AB$49,$AD$49,E1641=$AB$50,$AD$50,E1641=$AB$51,$AD$51,E1641=$AB$52,$AD$52,E1641=$AB$53,$AD$53,E1641=$AB$54,$AD$54,E1641=$AB$55,$AD$55,E1641=$AB$56,$AD$56,E1641=$AB$57,$AD$57,E1641=$AB$58,$AD$58,E1641=$AB$59,$AD$59,E1641=$AB$60,$AD$60,E1641=$AB$61,$AD$61,E1641=$AB$62,$AD$62,E1641=$AB$63,$AD$63,E1641=$AB$64,$AD$64,E1641=$AB$65,$AD$65,E1641=$AB$66,$AD$66,TRUE,"0")</f>
        <v xml:space="preserve">BFM </v>
      </c>
      <c r="E1641" s="2" t="s">
        <v>531</v>
      </c>
      <c r="F1641" s="2" t="s">
        <v>6</v>
      </c>
      <c r="G1641" s="2" t="s">
        <v>62</v>
      </c>
      <c r="H1641" s="3">
        <v>45431.666666666664</v>
      </c>
      <c r="I1641" s="2" t="s">
        <v>85</v>
      </c>
      <c r="J1641" s="2" t="s">
        <v>116</v>
      </c>
      <c r="K1641" s="2">
        <v>3.05</v>
      </c>
      <c r="L1641" s="2">
        <v>36</v>
      </c>
      <c r="M1641" s="2">
        <v>3.89</v>
      </c>
      <c r="N1641" s="2">
        <v>26</v>
      </c>
      <c r="O1641" s="2">
        <v>5</v>
      </c>
      <c r="P1641" s="2">
        <v>18</v>
      </c>
      <c r="Q1641" s="2" t="s">
        <v>95</v>
      </c>
      <c r="R1641" s="10" t="s">
        <v>193</v>
      </c>
      <c r="S1641" s="10" t="s">
        <v>218</v>
      </c>
      <c r="T1641" s="188">
        <v>1000</v>
      </c>
      <c r="U1641" s="8">
        <f t="shared" si="179"/>
        <v>180</v>
      </c>
      <c r="V1641" s="234">
        <f t="shared" si="180"/>
        <v>174484.15524616028</v>
      </c>
      <c r="W1641" s="15">
        <v>25</v>
      </c>
      <c r="X1641" s="8">
        <f t="shared" si="181"/>
        <v>4.5</v>
      </c>
      <c r="Y1641" s="233">
        <f t="shared" si="182"/>
        <v>6228</v>
      </c>
    </row>
    <row r="1642" spans="1:25">
      <c r="A1642" s="156" t="e" cm="1">
        <f t="array" aca="1" ref="A1642" ca="1">_xlfn.IFS(E1642=$AB$42,$AC$42,E1642=$AB$43,$AC$43,E1642=$AB$44,$AC$44,E1642=$AB$45,$AC$45,E1642=$AB$46,$AC$46,E1642=$AB$47,$AC$47,E1642=$AB$48,$AC$48,E1642=$AB$49,$AC$49,E1642=$AB$50,$AC$50,E1642=$AB$51,$AC$51,E1642=$AB$52,$AC$52,E1642=$AB$53,$AC$53,E1642=$AB$54,$AC$54,E1642=$AB$55,$AC$55,E1642=$AB$56,$AC$56,E1642=$AB$57,$AC$57,E1642=$AB$58,$AC$58,E1642=$AB$59,$AC$59,E1642=$AB$60,$AC$60,E1642=$AB$61,$AC$61,E1642=$AB$62,$AC$62,E1642=$AB$63,$AC$63,E1642=$AB$64,$AC$64,E1642=$AB$65,$AC$65,E1642=$AB$66,$AC$66,TRUE,"0")</f>
        <v>#NAME?</v>
      </c>
      <c r="C1642" s="161" t="str" cm="1">
        <f t="array" ref="C1642">_xlfn.IFS(E1642=$AB$42,$AF$42,E1642=$AB$43,$AF$43,E1642=$AB$44,$AF$44,E1642=$AB$45,$AF$45,E1642=$AB$46,$AF$46,E1642=$AB$47,$AF$47,E1642=$AB$48,$AF$48,E1642=$AB$49,$AF$49,E1642=$AB$50,$AF$50,E1642=$AB$51,$AF$51,E1642=$AB$52,$AF$52,E1642=$AB$53,$AF$53,E1642=$AB$54,$AF$54,E1642=$AB$55,$AF$55,E1642=$AB$56,$AF$56,E1642=$AB$57,$AF$57,E1642=$AB$58,$AF$58,E1642=$AB$59,$AF$59,E1642=$AB$60,$AF$60,E1642=$AB$61,$AF$61,E1642=$AB$62,$AF$62,E1642=$AB$63,$AF$63,E1642=$AB$64,$AF$64,E1642=$AB$65,$AF$65,E1642=$AB$66,$AF$66,TRUE,"0")</f>
        <v>B4 Match, lay HT 0-0 or BACK H1 +0.5 GOALS</v>
      </c>
      <c r="D1642" s="270" t="str" cm="1">
        <f t="array" ref="D1642">_xlfn.IFS(E1642=$AB$42,$AD$42,E1642=$AB$43,$AD$43,E1642=$AB$44,$AD$44,E1642=$AB$45,$AD$45,E1642=$AB$46,$AD$46,E1642=$AB$47,$AD$47,E1642=$AB$48,$AD$48,E1642=$AB$49,$AD$49,E1642=$AB$50,$AD$50,E1642=$AB$51,$AD$51,E1642=$AB$52,$AD$52,E1642=$AB$53,$AD$53,E1642=$AB$54,$AD$54,E1642=$AB$55,$AD$55,E1642=$AB$56,$AD$56,E1642=$AB$57,$AD$57,E1642=$AB$58,$AD$58,E1642=$AB$59,$AD$59,E1642=$AB$60,$AD$60,E1642=$AB$61,$AD$61,E1642=$AB$62,$AD$62,E1642=$AB$63,$AD$63,E1642=$AB$64,$AD$64,E1642=$AB$65,$AD$65,E1642=$AB$66,$AD$66,TRUE,"0")</f>
        <v xml:space="preserve">BFM </v>
      </c>
      <c r="E1642" s="2" t="s">
        <v>448</v>
      </c>
      <c r="F1642" s="2" t="s">
        <v>6</v>
      </c>
      <c r="G1642" s="2" t="s">
        <v>62</v>
      </c>
      <c r="H1642" s="3">
        <v>45431.666666666664</v>
      </c>
      <c r="I1642" s="2" t="s">
        <v>85</v>
      </c>
      <c r="J1642" s="2" t="s">
        <v>116</v>
      </c>
      <c r="K1642" s="2">
        <v>20</v>
      </c>
      <c r="L1642" s="2">
        <v>10</v>
      </c>
      <c r="M1642" s="2">
        <v>38</v>
      </c>
      <c r="N1642" s="2">
        <v>4</v>
      </c>
      <c r="O1642" s="2">
        <v>24</v>
      </c>
      <c r="P1642" s="2">
        <v>46</v>
      </c>
      <c r="Q1642" s="2" t="s">
        <v>95</v>
      </c>
      <c r="R1642" s="10" t="s">
        <v>193</v>
      </c>
      <c r="S1642" s="10" t="s">
        <v>218</v>
      </c>
      <c r="T1642" s="188">
        <v>1000</v>
      </c>
      <c r="U1642" s="8">
        <f t="shared" si="179"/>
        <v>180</v>
      </c>
      <c r="V1642" s="234">
        <f t="shared" si="180"/>
        <v>174664.15524616028</v>
      </c>
      <c r="W1642" s="15">
        <v>25</v>
      </c>
      <c r="X1642" s="8">
        <f t="shared" si="181"/>
        <v>4.5</v>
      </c>
      <c r="Y1642" s="233">
        <f t="shared" si="182"/>
        <v>6232.5</v>
      </c>
    </row>
    <row r="1643" spans="1:25">
      <c r="A1643" s="156" t="e" cm="1">
        <f t="array" aca="1" ref="A1643" ca="1">_xlfn.IFS(E1643=$AB$42,$AC$42,E1643=$AB$43,$AC$43,E1643=$AB$44,$AC$44,E1643=$AB$45,$AC$45,E1643=$AB$46,$AC$46,E1643=$AB$47,$AC$47,E1643=$AB$48,$AC$48,E1643=$AB$49,$AC$49,E1643=$AB$50,$AC$50,E1643=$AB$51,$AC$51,E1643=$AB$52,$AC$52,E1643=$AB$53,$AC$53,E1643=$AB$54,$AC$54,E1643=$AB$55,$AC$55,E1643=$AB$56,$AC$56,E1643=$AB$57,$AC$57,E1643=$AB$58,$AC$58,E1643=$AB$59,$AC$59,E1643=$AB$60,$AC$60,E1643=$AB$61,$AC$61,E1643=$AB$62,$AC$62,E1643=$AB$63,$AC$63,E1643=$AB$64,$AC$64,E1643=$AB$65,$AC$65,E1643=$AB$66,$AC$66,TRUE,"0")</f>
        <v>#NAME?</v>
      </c>
      <c r="C1643" s="161" t="str" cm="1">
        <f t="array" ref="C1643">_xlfn.IFS(E1643=$AB$42,$AF$42,E1643=$AB$43,$AF$43,E1643=$AB$44,$AF$44,E1643=$AB$45,$AF$45,E1643=$AB$46,$AF$46,E1643=$AB$47,$AF$47,E1643=$AB$48,$AF$48,E1643=$AB$49,$AF$49,E1643=$AB$50,$AF$50,E1643=$AB$51,$AF$51,E1643=$AB$52,$AF$52,E1643=$AB$53,$AF$53,E1643=$AB$54,$AF$54,E1643=$AB$55,$AF$55,E1643=$AB$56,$AF$56,E1643=$AB$57,$AF$57,E1643=$AB$58,$AF$58,E1643=$AB$59,$AF$59,E1643=$AB$60,$AF$60,E1643=$AB$61,$AF$61,E1643=$AB$62,$AF$62,E1643=$AB$63,$AF$63,E1643=$AB$64,$AF$64,E1643=$AB$65,$AF$65,E1643=$AB$66,$AF$66,TRUE,"0")</f>
        <v>if 0-0, BACK+ 0.5 GOALS  @ 1.15+odds.  or @ 40 mins</v>
      </c>
      <c r="D1643" s="270" t="str" cm="1">
        <f t="array" ref="D1643">_xlfn.IFS(E1643=$AB$42,$AD$42,E1643=$AB$43,$AD$43,E1643=$AB$44,$AD$44,E1643=$AB$45,$AD$45,E1643=$AB$46,$AD$46,E1643=$AB$47,$AD$47,E1643=$AB$48,$AD$48,E1643=$AB$49,$AD$49,E1643=$AB$50,$AD$50,E1643=$AB$51,$AD$51,E1643=$AB$52,$AD$52,E1643=$AB$53,$AD$53,E1643=$AB$54,$AD$54,E1643=$AB$55,$AD$55,E1643=$AB$56,$AD$56,E1643=$AB$57,$AD$57,E1643=$AB$58,$AD$58,E1643=$AB$59,$AD$59,E1643=$AB$60,$AD$60,E1643=$AB$61,$AD$61,E1643=$AB$62,$AD$62,E1643=$AB$63,$AD$63,E1643=$AB$64,$AD$64,E1643=$AB$65,$AD$65,E1643=$AB$66,$AD$66,TRUE,"0")</f>
        <v>IP</v>
      </c>
      <c r="E1643" s="2" t="s">
        <v>270</v>
      </c>
      <c r="F1643" s="2" t="s">
        <v>20</v>
      </c>
      <c r="G1643" s="2" t="s">
        <v>21</v>
      </c>
      <c r="H1643" s="3">
        <v>45431.708333333336</v>
      </c>
      <c r="I1643" s="2" t="s">
        <v>25</v>
      </c>
      <c r="J1643" s="2" t="s">
        <v>590</v>
      </c>
      <c r="K1643" s="2">
        <v>59</v>
      </c>
      <c r="L1643" s="2">
        <v>0</v>
      </c>
      <c r="M1643" s="2">
        <v>20</v>
      </c>
      <c r="N1643" s="2">
        <v>29</v>
      </c>
      <c r="O1643" s="2">
        <v>2.73</v>
      </c>
      <c r="P1643" s="2"/>
      <c r="Q1643" s="2" t="s">
        <v>95</v>
      </c>
      <c r="R1643" s="10" t="s">
        <v>193</v>
      </c>
      <c r="S1643" s="10" t="s">
        <v>216</v>
      </c>
      <c r="T1643" s="188">
        <v>1000</v>
      </c>
      <c r="U1643" s="8">
        <f t="shared" si="179"/>
        <v>180</v>
      </c>
      <c r="V1643" s="234">
        <f t="shared" si="180"/>
        <v>174844.15524616028</v>
      </c>
      <c r="W1643" s="15">
        <v>25</v>
      </c>
      <c r="X1643" s="8">
        <f t="shared" si="181"/>
        <v>4.5</v>
      </c>
      <c r="Y1643" s="233">
        <f t="shared" si="182"/>
        <v>6237</v>
      </c>
    </row>
    <row r="1644" spans="1:25">
      <c r="A1644" s="156" t="e" cm="1">
        <f t="array" aca="1" ref="A1644" ca="1">_xlfn.IFS(E1644=$AB$42,$AC$42,E1644=$AB$43,$AC$43,E1644=$AB$44,$AC$44,E1644=$AB$45,$AC$45,E1644=$AB$46,$AC$46,E1644=$AB$47,$AC$47,E1644=$AB$48,$AC$48,E1644=$AB$49,$AC$49,E1644=$AB$50,$AC$50,E1644=$AB$51,$AC$51,E1644=$AB$52,$AC$52,E1644=$AB$53,$AC$53,E1644=$AB$54,$AC$54,E1644=$AB$55,$AC$55,E1644=$AB$56,$AC$56,E1644=$AB$57,$AC$57,E1644=$AB$58,$AC$58,E1644=$AB$59,$AC$59,E1644=$AB$60,$AC$60,E1644=$AB$61,$AC$61,E1644=$AB$62,$AC$62,E1644=$AB$63,$AC$63,E1644=$AB$64,$AC$64,E1644=$AB$65,$AC$65,E1644=$AB$66,$AC$66,TRUE,"0")</f>
        <v>#NAME?</v>
      </c>
      <c r="C1644" s="161" t="str" cm="1">
        <f t="array" ref="C1644">_xlfn.IFS(E1644=$AB$42,$AF$42,E1644=$AB$43,$AF$43,E1644=$AB$44,$AF$44,E1644=$AB$45,$AF$45,E1644=$AB$46,$AF$46,E1644=$AB$47,$AF$47,E1644=$AB$48,$AF$48,E1644=$AB$49,$AF$49,E1644=$AB$50,$AF$50,E1644=$AB$51,$AF$51,E1644=$AB$52,$AF$52,E1644=$AB$53,$AF$53,E1644=$AB$54,$AF$54,E1644=$AB$55,$AF$55,E1644=$AB$56,$AF$56,E1644=$AB$57,$AF$57,E1644=$AB$58,$AF$58,E1644=$AB$59,$AF$59,E1644=$AB$60,$AF$60,E1644=$AB$61,$AF$61,E1644=$AB$62,$AF$62,E1644=$AB$63,$AF$63,E1644=$AB$64,$AF$64,E1644=$AB$65,$AF$65,E1644=$AB$66,$AF$66,TRUE,"0")</f>
        <v>40 mins Back ANother Goal</v>
      </c>
      <c r="D1644" s="270" t="str" cm="1">
        <f t="array" ref="D1644">_xlfn.IFS(E1644=$AB$42,$AD$42,E1644=$AB$43,$AD$43,E1644=$AB$44,$AD$44,E1644=$AB$45,$AD$45,E1644=$AB$46,$AD$46,E1644=$AB$47,$AD$47,E1644=$AB$48,$AD$48,E1644=$AB$49,$AD$49,E1644=$AB$50,$AD$50,E1644=$AB$51,$AD$51,E1644=$AB$52,$AD$52,E1644=$AB$53,$AD$53,E1644=$AB$54,$AD$54,E1644=$AB$55,$AD$55,E1644=$AB$56,$AD$56,E1644=$AB$57,$AD$57,E1644=$AB$58,$AD$58,E1644=$AB$59,$AD$59,E1644=$AB$60,$AD$60,E1644=$AB$61,$AD$61,E1644=$AB$62,$AD$62,E1644=$AB$63,$AD$63,E1644=$AB$64,$AD$64,E1644=$AB$65,$AD$65,E1644=$AB$66,$AD$66,TRUE,"0")</f>
        <v xml:space="preserve">  BANG</v>
      </c>
      <c r="E1644" s="2" t="s">
        <v>726</v>
      </c>
      <c r="F1644" s="2" t="s">
        <v>67</v>
      </c>
      <c r="G1644" s="2" t="s">
        <v>68</v>
      </c>
      <c r="H1644" s="3">
        <v>45431.729166666664</v>
      </c>
      <c r="I1644" s="2" t="s">
        <v>375</v>
      </c>
      <c r="J1644" s="2" t="s">
        <v>265</v>
      </c>
      <c r="K1644" s="2">
        <v>90</v>
      </c>
      <c r="L1644" s="2">
        <v>20</v>
      </c>
      <c r="M1644" s="2">
        <v>1.85</v>
      </c>
      <c r="N1644" s="2">
        <v>62</v>
      </c>
      <c r="O1644" s="2"/>
      <c r="P1644" s="2"/>
      <c r="Q1644" s="2" t="s">
        <v>96</v>
      </c>
      <c r="R1644" s="10" t="s">
        <v>193</v>
      </c>
      <c r="S1644" s="10" t="s">
        <v>193</v>
      </c>
      <c r="T1644" s="188">
        <v>1000</v>
      </c>
      <c r="U1644" s="8">
        <f t="shared" si="179"/>
        <v>-1000</v>
      </c>
      <c r="V1644" s="234">
        <f t="shared" si="180"/>
        <v>173844.15524616028</v>
      </c>
      <c r="W1644" s="15">
        <v>25</v>
      </c>
      <c r="X1644" s="8">
        <f t="shared" si="181"/>
        <v>-25</v>
      </c>
      <c r="Y1644" s="233">
        <f t="shared" si="182"/>
        <v>6212</v>
      </c>
    </row>
    <row r="1645" spans="1:25">
      <c r="A1645" s="156" t="e" cm="1">
        <f t="array" aca="1" ref="A1645" ca="1">_xlfn.IFS(E1645=$AB$42,$AC$42,E1645=$AB$43,$AC$43,E1645=$AB$44,$AC$44,E1645=$AB$45,$AC$45,E1645=$AB$46,$AC$46,E1645=$AB$47,$AC$47,E1645=$AB$48,$AC$48,E1645=$AB$49,$AC$49,E1645=$AB$50,$AC$50,E1645=$AB$51,$AC$51,E1645=$AB$52,$AC$52,E1645=$AB$53,$AC$53,E1645=$AB$54,$AC$54,E1645=$AB$55,$AC$55,E1645=$AB$56,$AC$56,E1645=$AB$57,$AC$57,E1645=$AB$58,$AC$58,E1645=$AB$59,$AC$59,E1645=$AB$60,$AC$60,E1645=$AB$61,$AC$61,E1645=$AB$62,$AC$62,E1645=$AB$63,$AC$63,E1645=$AB$64,$AC$64,E1645=$AB$65,$AC$65,E1645=$AB$66,$AC$66,TRUE,"0")</f>
        <v>#NAME?</v>
      </c>
      <c r="C1645" s="161" t="str" cm="1">
        <f t="array" ref="C1645">_xlfn.IFS(E1645=$AB$42,$AF$42,E1645=$AB$43,$AF$43,E1645=$AB$44,$AF$44,E1645=$AB$45,$AF$45,E1645=$AB$46,$AF$46,E1645=$AB$47,$AF$47,E1645=$AB$48,$AF$48,E1645=$AB$49,$AF$49,E1645=$AB$50,$AF$50,E1645=$AB$51,$AF$51,E1645=$AB$52,$AF$52,E1645=$AB$53,$AF$53,E1645=$AB$54,$AF$54,E1645=$AB$55,$AF$55,E1645=$AB$56,$AF$56,E1645=$AB$57,$AF$57,E1645=$AB$58,$AF$58,E1645=$AB$59,$AF$59,E1645=$AB$60,$AF$60,E1645=$AB$61,$AF$61,E1645=$AB$62,$AF$62,E1645=$AB$63,$AF$63,E1645=$AB$64,$AF$64,E1645=$AB$65,$AF$65,E1645=$AB$66,$AF$66,TRUE,"0")</f>
        <v>if 0-0, BACK+ 0.5 GOALS  @ 1.15+odds.  or @ 40 mins</v>
      </c>
      <c r="D1645" s="270" t="str" cm="1">
        <f t="array" ref="D1645">_xlfn.IFS(E1645=$AB$42,$AD$42,E1645=$AB$43,$AD$43,E1645=$AB$44,$AD$44,E1645=$AB$45,$AD$45,E1645=$AB$46,$AD$46,E1645=$AB$47,$AD$47,E1645=$AB$48,$AD$48,E1645=$AB$49,$AD$49,E1645=$AB$50,$AD$50,E1645=$AB$51,$AD$51,E1645=$AB$52,$AD$52,E1645=$AB$53,$AD$53,E1645=$AB$54,$AD$54,E1645=$AB$55,$AD$55,E1645=$AB$56,$AD$56,E1645=$AB$57,$AD$57,E1645=$AB$58,$AD$58,E1645=$AB$59,$AD$59,E1645=$AB$60,$AD$60,E1645=$AB$61,$AD$61,E1645=$AB$62,$AD$62,E1645=$AB$63,$AD$63,E1645=$AB$64,$AD$64,E1645=$AB$65,$AD$65,E1645=$AB$66,$AD$66,TRUE,"0")</f>
        <v>IP</v>
      </c>
      <c r="E1645" s="2" t="s">
        <v>270</v>
      </c>
      <c r="F1645" s="2" t="s">
        <v>67</v>
      </c>
      <c r="G1645" s="2" t="s">
        <v>68</v>
      </c>
      <c r="H1645" s="3">
        <v>45431.729166666664</v>
      </c>
      <c r="I1645" s="2" t="s">
        <v>375</v>
      </c>
      <c r="J1645" s="2" t="s">
        <v>265</v>
      </c>
      <c r="K1645" s="2">
        <v>64</v>
      </c>
      <c r="L1645" s="2">
        <v>0</v>
      </c>
      <c r="M1645" s="2">
        <v>20</v>
      </c>
      <c r="N1645" s="2">
        <v>32</v>
      </c>
      <c r="O1645" s="2">
        <v>2.75</v>
      </c>
      <c r="P1645" s="2"/>
      <c r="Q1645" s="2" t="s">
        <v>95</v>
      </c>
      <c r="R1645" s="10" t="s">
        <v>193</v>
      </c>
      <c r="S1645" s="10" t="s">
        <v>193</v>
      </c>
      <c r="T1645" s="188">
        <v>1000</v>
      </c>
      <c r="U1645" s="8">
        <f t="shared" si="179"/>
        <v>180</v>
      </c>
      <c r="V1645" s="234">
        <f t="shared" si="180"/>
        <v>174024.15524616028</v>
      </c>
      <c r="W1645" s="15">
        <v>25</v>
      </c>
      <c r="X1645" s="8">
        <f t="shared" si="181"/>
        <v>4.5</v>
      </c>
      <c r="Y1645" s="233">
        <f t="shared" si="182"/>
        <v>6216.5</v>
      </c>
    </row>
    <row r="1646" spans="1:25">
      <c r="A1646" s="156" t="e" cm="1">
        <f t="array" aca="1" ref="A1646" ca="1">_xlfn.IFS(E1646=$AB$42,$AC$42,E1646=$AB$43,$AC$43,E1646=$AB$44,$AC$44,E1646=$AB$45,$AC$45,E1646=$AB$46,$AC$46,E1646=$AB$47,$AC$47,E1646=$AB$48,$AC$48,E1646=$AB$49,$AC$49,E1646=$AB$50,$AC$50,E1646=$AB$51,$AC$51,E1646=$AB$52,$AC$52,E1646=$AB$53,$AC$53,E1646=$AB$54,$AC$54,E1646=$AB$55,$AC$55,E1646=$AB$56,$AC$56,E1646=$AB$57,$AC$57,E1646=$AB$58,$AC$58,E1646=$AB$59,$AC$59,E1646=$AB$60,$AC$60,E1646=$AB$61,$AC$61,E1646=$AB$62,$AC$62,E1646=$AB$63,$AC$63,E1646=$AB$64,$AC$64,E1646=$AB$65,$AC$65,E1646=$AB$66,$AC$66,TRUE,"0")</f>
        <v>#NAME?</v>
      </c>
      <c r="C1646" s="161" t="str" cm="1">
        <f t="array" ref="C1646">_xlfn.IFS(E1646=$AB$42,$AF$42,E1646=$AB$43,$AF$43,E1646=$AB$44,$AF$44,E1646=$AB$45,$AF$45,E1646=$AB$46,$AF$46,E1646=$AB$47,$AF$47,E1646=$AB$48,$AF$48,E1646=$AB$49,$AF$49,E1646=$AB$50,$AF$50,E1646=$AB$51,$AF$51,E1646=$AB$52,$AF$52,E1646=$AB$53,$AF$53,E1646=$AB$54,$AF$54,E1646=$AB$55,$AF$55,E1646=$AB$56,$AF$56,E1646=$AB$57,$AF$57,E1646=$AB$58,$AF$58,E1646=$AB$59,$AF$59,E1646=$AB$60,$AF$60,E1646=$AB$61,$AF$61,E1646=$AB$62,$AF$62,E1646=$AB$63,$AF$63,E1646=$AB$64,$AF$64,E1646=$AB$65,$AF$65,E1646=$AB$66,$AF$66,TRUE,"0")</f>
        <v>40 mins Back ANother Goal</v>
      </c>
      <c r="D1646" s="270" t="str" cm="1">
        <f t="array" ref="D1646">_xlfn.IFS(E1646=$AB$42,$AD$42,E1646=$AB$43,$AD$43,E1646=$AB$44,$AD$44,E1646=$AB$45,$AD$45,E1646=$AB$46,$AD$46,E1646=$AB$47,$AD$47,E1646=$AB$48,$AD$48,E1646=$AB$49,$AD$49,E1646=$AB$50,$AD$50,E1646=$AB$51,$AD$51,E1646=$AB$52,$AD$52,E1646=$AB$53,$AD$53,E1646=$AB$54,$AD$54,E1646=$AB$55,$AD$55,E1646=$AB$56,$AD$56,E1646=$AB$57,$AD$57,E1646=$AB$58,$AD$58,E1646=$AB$59,$AD$59,E1646=$AB$60,$AD$60,E1646=$AB$61,$AD$61,E1646=$AB$62,$AD$62,E1646=$AB$63,$AD$63,E1646=$AB$64,$AD$64,E1646=$AB$65,$AD$65,E1646=$AB$66,$AD$66,TRUE,"0")</f>
        <v xml:space="preserve">  BANG</v>
      </c>
      <c r="E1646" s="2" t="s">
        <v>792</v>
      </c>
      <c r="F1646" s="2" t="s">
        <v>133</v>
      </c>
      <c r="G1646" s="2" t="s">
        <v>78</v>
      </c>
      <c r="H1646" s="3">
        <v>45431.75</v>
      </c>
      <c r="I1646" s="2" t="s">
        <v>447</v>
      </c>
      <c r="J1646" s="2" t="s">
        <v>394</v>
      </c>
      <c r="K1646" s="2">
        <v>2</v>
      </c>
      <c r="L1646" s="2">
        <v>90</v>
      </c>
      <c r="M1646" s="2">
        <v>75</v>
      </c>
      <c r="N1646" s="2">
        <v>63</v>
      </c>
      <c r="O1646" s="2">
        <v>20</v>
      </c>
      <c r="P1646" s="2"/>
      <c r="Q1646" s="2" t="s">
        <v>95</v>
      </c>
      <c r="R1646" s="10" t="s">
        <v>220</v>
      </c>
      <c r="S1646" s="10" t="s">
        <v>207</v>
      </c>
      <c r="T1646" s="188">
        <v>1000</v>
      </c>
      <c r="U1646" s="8">
        <f t="shared" si="179"/>
        <v>180</v>
      </c>
      <c r="V1646" s="234">
        <f t="shared" si="180"/>
        <v>174204.15524616028</v>
      </c>
      <c r="W1646" s="15">
        <v>25</v>
      </c>
      <c r="X1646" s="8">
        <f t="shared" si="181"/>
        <v>4.5</v>
      </c>
      <c r="Y1646" s="233">
        <f t="shared" si="182"/>
        <v>6221</v>
      </c>
    </row>
    <row r="1647" spans="1:25">
      <c r="A1647" s="156" t="e" cm="1">
        <f t="array" aca="1" ref="A1647" ca="1">_xlfn.IFS(E1647=$AB$42,$AC$42,E1647=$AB$43,$AC$43,E1647=$AB$44,$AC$44,E1647=$AB$45,$AC$45,E1647=$AB$46,$AC$46,E1647=$AB$47,$AC$47,E1647=$AB$48,$AC$48,E1647=$AB$49,$AC$49,E1647=$AB$50,$AC$50,E1647=$AB$51,$AC$51,E1647=$AB$52,$AC$52,E1647=$AB$53,$AC$53,E1647=$AB$54,$AC$54,E1647=$AB$55,$AC$55,E1647=$AB$56,$AC$56,E1647=$AB$57,$AC$57,E1647=$AB$58,$AC$58,E1647=$AB$59,$AC$59,E1647=$AB$60,$AC$60,E1647=$AB$61,$AC$61,E1647=$AB$62,$AC$62,E1647=$AB$63,$AC$63,E1647=$AB$64,$AC$64,E1647=$AB$65,$AC$65,E1647=$AB$66,$AC$66,TRUE,"0")</f>
        <v>#NAME?</v>
      </c>
      <c r="C1647" s="161" t="str" cm="1">
        <f t="array" ref="C1647">_xlfn.IFS(E1647=$AB$42,$AF$42,E1647=$AB$43,$AF$43,E1647=$AB$44,$AF$44,E1647=$AB$45,$AF$45,E1647=$AB$46,$AF$46,E1647=$AB$47,$AF$47,E1647=$AB$48,$AF$48,E1647=$AB$49,$AF$49,E1647=$AB$50,$AF$50,E1647=$AB$51,$AF$51,E1647=$AB$52,$AF$52,E1647=$AB$53,$AF$53,E1647=$AB$54,$AF$54,E1647=$AB$55,$AF$55,E1647=$AB$56,$AF$56,E1647=$AB$57,$AF$57,E1647=$AB$58,$AF$58,E1647=$AB$59,$AF$59,E1647=$AB$60,$AF$60,E1647=$AB$61,$AF$61,E1647=$AB$62,$AF$62,E1647=$AB$63,$AF$63,E1647=$AB$64,$AF$64,E1647=$AB$65,$AF$65,E1647=$AB$66,$AF$66,TRUE,"0")</f>
        <v>40 mins Back ANother Goal</v>
      </c>
      <c r="D1647" s="270" t="str" cm="1">
        <f t="array" ref="D1647">_xlfn.IFS(E1647=$AB$42,$AD$42,E1647=$AB$43,$AD$43,E1647=$AB$44,$AD$44,E1647=$AB$45,$AD$45,E1647=$AB$46,$AD$46,E1647=$AB$47,$AD$47,E1647=$AB$48,$AD$48,E1647=$AB$49,$AD$49,E1647=$AB$50,$AD$50,E1647=$AB$51,$AD$51,E1647=$AB$52,$AD$52,E1647=$AB$53,$AD$53,E1647=$AB$54,$AD$54,E1647=$AB$55,$AD$55,E1647=$AB$56,$AD$56,E1647=$AB$57,$AD$57,E1647=$AB$58,$AD$58,E1647=$AB$59,$AD$59,E1647=$AB$60,$AD$60,E1647=$AB$61,$AD$61,E1647=$AB$62,$AD$62,E1647=$AB$63,$AD$63,E1647=$AB$64,$AD$64,E1647=$AB$65,$AD$65,E1647=$AB$66,$AD$66,TRUE,"0")</f>
        <v xml:space="preserve">  BANG</v>
      </c>
      <c r="E1647" s="2" t="s">
        <v>726</v>
      </c>
      <c r="F1647" s="2" t="s">
        <v>133</v>
      </c>
      <c r="G1647" s="2" t="s">
        <v>78</v>
      </c>
      <c r="H1647" s="3">
        <v>45431.75</v>
      </c>
      <c r="I1647" s="2" t="s">
        <v>447</v>
      </c>
      <c r="J1647" s="2" t="s">
        <v>394</v>
      </c>
      <c r="K1647" s="2">
        <v>90</v>
      </c>
      <c r="L1647" s="2">
        <v>20</v>
      </c>
      <c r="M1647" s="2">
        <v>2</v>
      </c>
      <c r="N1647" s="2">
        <v>63</v>
      </c>
      <c r="O1647" s="2"/>
      <c r="P1647" s="2"/>
      <c r="Q1647" s="2" t="s">
        <v>95</v>
      </c>
      <c r="R1647" s="10" t="s">
        <v>220</v>
      </c>
      <c r="S1647" s="10" t="s">
        <v>207</v>
      </c>
      <c r="T1647" s="188">
        <v>1000</v>
      </c>
      <c r="U1647" s="8">
        <f t="shared" si="179"/>
        <v>180</v>
      </c>
      <c r="V1647" s="234">
        <f t="shared" si="180"/>
        <v>174384.15524616028</v>
      </c>
      <c r="W1647" s="15">
        <v>25</v>
      </c>
      <c r="X1647" s="8">
        <f t="shared" si="181"/>
        <v>4.5</v>
      </c>
      <c r="Y1647" s="233">
        <f t="shared" si="182"/>
        <v>6225.5</v>
      </c>
    </row>
    <row r="1648" spans="1:25">
      <c r="A1648" s="156" t="e" cm="1">
        <f t="array" aca="1" ref="A1648" ca="1">_xlfn.IFS(E1648=$AB$42,$AC$42,E1648=$AB$43,$AC$43,E1648=$AB$44,$AC$44,E1648=$AB$45,$AC$45,E1648=$AB$46,$AC$46,E1648=$AB$47,$AC$47,E1648=$AB$48,$AC$48,E1648=$AB$49,$AC$49,E1648=$AB$50,$AC$50,E1648=$AB$51,$AC$51,E1648=$AB$52,$AC$52,E1648=$AB$53,$AC$53,E1648=$AB$54,$AC$54,E1648=$AB$55,$AC$55,E1648=$AB$56,$AC$56,E1648=$AB$57,$AC$57,E1648=$AB$58,$AC$58,E1648=$AB$59,$AC$59,E1648=$AB$60,$AC$60,E1648=$AB$61,$AC$61,E1648=$AB$62,$AC$62,E1648=$AB$63,$AC$63,E1648=$AB$64,$AC$64,E1648=$AB$65,$AC$65,E1648=$AB$66,$AC$66,TRUE,"0")</f>
        <v>#NAME?</v>
      </c>
      <c r="C1648" s="161" t="str" cm="1">
        <f t="array" ref="C1648">_xlfn.IFS(E1648=$AB$42,$AF$42,E1648=$AB$43,$AF$43,E1648=$AB$44,$AF$44,E1648=$AB$45,$AF$45,E1648=$AB$46,$AF$46,E1648=$AB$47,$AF$47,E1648=$AB$48,$AF$48,E1648=$AB$49,$AF$49,E1648=$AB$50,$AF$50,E1648=$AB$51,$AF$51,E1648=$AB$52,$AF$52,E1648=$AB$53,$AF$53,E1648=$AB$54,$AF$54,E1648=$AB$55,$AF$55,E1648=$AB$56,$AF$56,E1648=$AB$57,$AF$57,E1648=$AB$58,$AF$58,E1648=$AB$59,$AF$59,E1648=$AB$60,$AF$60,E1648=$AB$61,$AF$61,E1648=$AB$62,$AF$62,E1648=$AB$63,$AF$63,E1648=$AB$64,$AF$64,E1648=$AB$65,$AF$65,E1648=$AB$66,$AF$66,TRUE,"0")</f>
        <v>40 mins Back ANother Goal</v>
      </c>
      <c r="D1648" s="270" t="str" cm="1">
        <f t="array" ref="D1648">_xlfn.IFS(E1648=$AB$42,$AD$42,E1648=$AB$43,$AD$43,E1648=$AB$44,$AD$44,E1648=$AB$45,$AD$45,E1648=$AB$46,$AD$46,E1648=$AB$47,$AD$47,E1648=$AB$48,$AD$48,E1648=$AB$49,$AD$49,E1648=$AB$50,$AD$50,E1648=$AB$51,$AD$51,E1648=$AB$52,$AD$52,E1648=$AB$53,$AD$53,E1648=$AB$54,$AD$54,E1648=$AB$55,$AD$55,E1648=$AB$56,$AD$56,E1648=$AB$57,$AD$57,E1648=$AB$58,$AD$58,E1648=$AB$59,$AD$59,E1648=$AB$60,$AD$60,E1648=$AB$61,$AD$61,E1648=$AB$62,$AD$62,E1648=$AB$63,$AD$63,E1648=$AB$64,$AD$64,E1648=$AB$65,$AD$65,E1648=$AB$66,$AD$66,TRUE,"0")</f>
        <v xml:space="preserve">  BANG</v>
      </c>
      <c r="E1648" s="2" t="s">
        <v>792</v>
      </c>
      <c r="F1648" s="2" t="s">
        <v>133</v>
      </c>
      <c r="G1648" s="2" t="s">
        <v>78</v>
      </c>
      <c r="H1648" s="3">
        <v>45431.75</v>
      </c>
      <c r="I1648" s="2" t="s">
        <v>136</v>
      </c>
      <c r="J1648" s="2" t="s">
        <v>137</v>
      </c>
      <c r="K1648" s="2">
        <v>2.2999999999999998</v>
      </c>
      <c r="L1648" s="2">
        <v>95</v>
      </c>
      <c r="M1648" s="2">
        <v>75</v>
      </c>
      <c r="N1648" s="2">
        <v>66</v>
      </c>
      <c r="O1648" s="2">
        <v>20</v>
      </c>
      <c r="P1648" s="2"/>
      <c r="Q1648" s="2" t="s">
        <v>95</v>
      </c>
      <c r="R1648" s="10" t="s">
        <v>193</v>
      </c>
      <c r="S1648" s="10" t="s">
        <v>223</v>
      </c>
      <c r="T1648" s="188">
        <v>1000</v>
      </c>
      <c r="U1648" s="8">
        <f t="shared" si="179"/>
        <v>180</v>
      </c>
      <c r="V1648" s="234">
        <f t="shared" si="180"/>
        <v>174564.15524616028</v>
      </c>
      <c r="W1648" s="15">
        <v>25</v>
      </c>
      <c r="X1648" s="8">
        <f t="shared" si="181"/>
        <v>4.5</v>
      </c>
      <c r="Y1648" s="233">
        <f t="shared" si="182"/>
        <v>6230</v>
      </c>
    </row>
    <row r="1649" spans="1:25">
      <c r="A1649" s="156" t="e" cm="1">
        <f t="array" aca="1" ref="A1649" ca="1">_xlfn.IFS(E1649=$AB$42,$AC$42,E1649=$AB$43,$AC$43,E1649=$AB$44,$AC$44,E1649=$AB$45,$AC$45,E1649=$AB$46,$AC$46,E1649=$AB$47,$AC$47,E1649=$AB$48,$AC$48,E1649=$AB$49,$AC$49,E1649=$AB$50,$AC$50,E1649=$AB$51,$AC$51,E1649=$AB$52,$AC$52,E1649=$AB$53,$AC$53,E1649=$AB$54,$AC$54,E1649=$AB$55,$AC$55,E1649=$AB$56,$AC$56,E1649=$AB$57,$AC$57,E1649=$AB$58,$AC$58,E1649=$AB$59,$AC$59,E1649=$AB$60,$AC$60,E1649=$AB$61,$AC$61,E1649=$AB$62,$AC$62,E1649=$AB$63,$AC$63,E1649=$AB$64,$AC$64,E1649=$AB$65,$AC$65,E1649=$AB$66,$AC$66,TRUE,"0")</f>
        <v>#NAME?</v>
      </c>
      <c r="C1649" s="161" t="str" cm="1">
        <f t="array" ref="C1649">_xlfn.IFS(E1649=$AB$42,$AF$42,E1649=$AB$43,$AF$43,E1649=$AB$44,$AF$44,E1649=$AB$45,$AF$45,E1649=$AB$46,$AF$46,E1649=$AB$47,$AF$47,E1649=$AB$48,$AF$48,E1649=$AB$49,$AF$49,E1649=$AB$50,$AF$50,E1649=$AB$51,$AF$51,E1649=$AB$52,$AF$52,E1649=$AB$53,$AF$53,E1649=$AB$54,$AF$54,E1649=$AB$55,$AF$55,E1649=$AB$56,$AF$56,E1649=$AB$57,$AF$57,E1649=$AB$58,$AF$58,E1649=$AB$59,$AF$59,E1649=$AB$60,$AF$60,E1649=$AB$61,$AF$61,E1649=$AB$62,$AF$62,E1649=$AB$63,$AF$63,E1649=$AB$64,$AF$64,E1649=$AB$65,$AF$65,E1649=$AB$66,$AF$66,TRUE,"0")</f>
        <v>40 mins Back ANother Goal</v>
      </c>
      <c r="D1649" s="270" t="str" cm="1">
        <f t="array" ref="D1649">_xlfn.IFS(E1649=$AB$42,$AD$42,E1649=$AB$43,$AD$43,E1649=$AB$44,$AD$44,E1649=$AB$45,$AD$45,E1649=$AB$46,$AD$46,E1649=$AB$47,$AD$47,E1649=$AB$48,$AD$48,E1649=$AB$49,$AD$49,E1649=$AB$50,$AD$50,E1649=$AB$51,$AD$51,E1649=$AB$52,$AD$52,E1649=$AB$53,$AD$53,E1649=$AB$54,$AD$54,E1649=$AB$55,$AD$55,E1649=$AB$56,$AD$56,E1649=$AB$57,$AD$57,E1649=$AB$58,$AD$58,E1649=$AB$59,$AD$59,E1649=$AB$60,$AD$60,E1649=$AB$61,$AD$61,E1649=$AB$62,$AD$62,E1649=$AB$63,$AD$63,E1649=$AB$64,$AD$64,E1649=$AB$65,$AD$65,E1649=$AB$66,$AD$66,TRUE,"0")</f>
        <v xml:space="preserve">  BANG</v>
      </c>
      <c r="E1649" s="2" t="s">
        <v>35</v>
      </c>
      <c r="F1649" s="2" t="s">
        <v>133</v>
      </c>
      <c r="G1649" s="2" t="s">
        <v>78</v>
      </c>
      <c r="H1649" s="3">
        <v>45431.75</v>
      </c>
      <c r="I1649" s="2" t="s">
        <v>136</v>
      </c>
      <c r="J1649" s="2" t="s">
        <v>137</v>
      </c>
      <c r="K1649" s="2">
        <v>73</v>
      </c>
      <c r="L1649" s="2">
        <v>95</v>
      </c>
      <c r="M1649" s="2">
        <v>75</v>
      </c>
      <c r="N1649" s="2">
        <v>40</v>
      </c>
      <c r="O1649" s="2">
        <v>20</v>
      </c>
      <c r="P1649" s="2">
        <v>1.44</v>
      </c>
      <c r="Q1649" s="2" t="s">
        <v>95</v>
      </c>
      <c r="R1649" s="10" t="s">
        <v>193</v>
      </c>
      <c r="S1649" s="10" t="s">
        <v>223</v>
      </c>
      <c r="T1649" s="188">
        <v>1000</v>
      </c>
      <c r="U1649" s="8">
        <f t="shared" si="179"/>
        <v>180</v>
      </c>
      <c r="V1649" s="234">
        <f t="shared" si="180"/>
        <v>174744.15524616028</v>
      </c>
      <c r="W1649" s="15">
        <v>25</v>
      </c>
      <c r="X1649" s="8">
        <f t="shared" si="181"/>
        <v>4.5</v>
      </c>
      <c r="Y1649" s="233">
        <f t="shared" si="182"/>
        <v>6234.5</v>
      </c>
    </row>
    <row r="1650" spans="1:25">
      <c r="A1650" s="156" t="e" cm="1">
        <f t="array" aca="1" ref="A1650" ca="1">_xlfn.IFS(E1650=$AB$42,$AC$42,E1650=$AB$43,$AC$43,E1650=$AB$44,$AC$44,E1650=$AB$45,$AC$45,E1650=$AB$46,$AC$46,E1650=$AB$47,$AC$47,E1650=$AB$48,$AC$48,E1650=$AB$49,$AC$49,E1650=$AB$50,$AC$50,E1650=$AB$51,$AC$51,E1650=$AB$52,$AC$52,E1650=$AB$53,$AC$53,E1650=$AB$54,$AC$54,E1650=$AB$55,$AC$55,E1650=$AB$56,$AC$56,E1650=$AB$57,$AC$57,E1650=$AB$58,$AC$58,E1650=$AB$59,$AC$59,E1650=$AB$60,$AC$60,E1650=$AB$61,$AC$61,E1650=$AB$62,$AC$62,E1650=$AB$63,$AC$63,E1650=$AB$64,$AC$64,E1650=$AB$65,$AC$65,E1650=$AB$66,$AC$66,TRUE,"0")</f>
        <v>#NAME?</v>
      </c>
      <c r="C1650" s="161" t="str" cm="1">
        <f t="array" ref="C1650">_xlfn.IFS(E1650=$AB$42,$AF$42,E1650=$AB$43,$AF$43,E1650=$AB$44,$AF$44,E1650=$AB$45,$AF$45,E1650=$AB$46,$AF$46,E1650=$AB$47,$AF$47,E1650=$AB$48,$AF$48,E1650=$AB$49,$AF$49,E1650=$AB$50,$AF$50,E1650=$AB$51,$AF$51,E1650=$AB$52,$AF$52,E1650=$AB$53,$AF$53,E1650=$AB$54,$AF$54,E1650=$AB$55,$AF$55,E1650=$AB$56,$AF$56,E1650=$AB$57,$AF$57,E1650=$AB$58,$AF$58,E1650=$AB$59,$AF$59,E1650=$AB$60,$AF$60,E1650=$AB$61,$AF$61,E1650=$AB$62,$AF$62,E1650=$AB$63,$AF$63,E1650=$AB$64,$AF$64,E1650=$AB$65,$AF$65,E1650=$AB$66,$AF$66,TRUE,"0")</f>
        <v>if 0-0, BACK+ 0.5 GOALS  @ 1.15+odds.  or @ 40 mins</v>
      </c>
      <c r="D1650" s="270" t="str" cm="1">
        <f t="array" ref="D1650">_xlfn.IFS(E1650=$AB$42,$AD$42,E1650=$AB$43,$AD$43,E1650=$AB$44,$AD$44,E1650=$AB$45,$AD$45,E1650=$AB$46,$AD$46,E1650=$AB$47,$AD$47,E1650=$AB$48,$AD$48,E1650=$AB$49,$AD$49,E1650=$AB$50,$AD$50,E1650=$AB$51,$AD$51,E1650=$AB$52,$AD$52,E1650=$AB$53,$AD$53,E1650=$AB$54,$AD$54,E1650=$AB$55,$AD$55,E1650=$AB$56,$AD$56,E1650=$AB$57,$AD$57,E1650=$AB$58,$AD$58,E1650=$AB$59,$AD$59,E1650=$AB$60,$AD$60,E1650=$AB$61,$AD$61,E1650=$AB$62,$AD$62,E1650=$AB$63,$AD$63,E1650=$AB$64,$AD$64,E1650=$AB$65,$AD$65,E1650=$AB$66,$AD$66,TRUE,"0")</f>
        <v>IP</v>
      </c>
      <c r="E1650" s="2" t="s">
        <v>270</v>
      </c>
      <c r="F1650" s="2" t="s">
        <v>133</v>
      </c>
      <c r="G1650" s="2" t="s">
        <v>78</v>
      </c>
      <c r="H1650" s="3">
        <v>45431.75</v>
      </c>
      <c r="I1650" s="2" t="s">
        <v>136</v>
      </c>
      <c r="J1650" s="2" t="s">
        <v>137</v>
      </c>
      <c r="K1650" s="2">
        <v>73</v>
      </c>
      <c r="L1650" s="2">
        <v>0</v>
      </c>
      <c r="M1650" s="2">
        <v>20</v>
      </c>
      <c r="N1650" s="2">
        <v>40</v>
      </c>
      <c r="O1650" s="2">
        <v>2.46</v>
      </c>
      <c r="P1650" s="2"/>
      <c r="Q1650" s="2" t="s">
        <v>95</v>
      </c>
      <c r="R1650" s="10" t="s">
        <v>193</v>
      </c>
      <c r="S1650" s="10" t="s">
        <v>223</v>
      </c>
      <c r="T1650" s="188">
        <v>1000</v>
      </c>
      <c r="U1650" s="8">
        <f t="shared" si="179"/>
        <v>180</v>
      </c>
      <c r="V1650" s="234">
        <f t="shared" si="180"/>
        <v>174924.15524616028</v>
      </c>
      <c r="W1650" s="15">
        <v>25</v>
      </c>
      <c r="X1650" s="8">
        <f t="shared" si="181"/>
        <v>4.5</v>
      </c>
      <c r="Y1650" s="233">
        <f t="shared" si="182"/>
        <v>6239</v>
      </c>
    </row>
    <row r="1651" spans="1:25">
      <c r="A1651" s="156" t="e" cm="1">
        <f t="array" aca="1" ref="A1651" ca="1">_xlfn.IFS(E1651=$AB$42,$AC$42,E1651=$AB$43,$AC$43,E1651=$AB$44,$AC$44,E1651=$AB$45,$AC$45,E1651=$AB$46,$AC$46,E1651=$AB$47,$AC$47,E1651=$AB$48,$AC$48,E1651=$AB$49,$AC$49,E1651=$AB$50,$AC$50,E1651=$AB$51,$AC$51,E1651=$AB$52,$AC$52,E1651=$AB$53,$AC$53,E1651=$AB$54,$AC$54,E1651=$AB$55,$AC$55,E1651=$AB$56,$AC$56,E1651=$AB$57,$AC$57,E1651=$AB$58,$AC$58,E1651=$AB$59,$AC$59,E1651=$AB$60,$AC$60,E1651=$AB$61,$AC$61,E1651=$AB$62,$AC$62,E1651=$AB$63,$AC$63,E1651=$AB$64,$AC$64,E1651=$AB$65,$AC$65,E1651=$AB$66,$AC$66,TRUE,"0")</f>
        <v>#NAME?</v>
      </c>
      <c r="C1651" s="161" t="str" cm="1">
        <f t="array" ref="C1651">_xlfn.IFS(E1651=$AB$42,$AF$42,E1651=$AB$43,$AF$43,E1651=$AB$44,$AF$44,E1651=$AB$45,$AF$45,E1651=$AB$46,$AF$46,E1651=$AB$47,$AF$47,E1651=$AB$48,$AF$48,E1651=$AB$49,$AF$49,E1651=$AB$50,$AF$50,E1651=$AB$51,$AF$51,E1651=$AB$52,$AF$52,E1651=$AB$53,$AF$53,E1651=$AB$54,$AF$54,E1651=$AB$55,$AF$55,E1651=$AB$56,$AF$56,E1651=$AB$57,$AF$57,E1651=$AB$58,$AF$58,E1651=$AB$59,$AF$59,E1651=$AB$60,$AF$60,E1651=$AB$61,$AF$61,E1651=$AB$62,$AF$62,E1651=$AB$63,$AF$63,E1651=$AB$64,$AF$64,E1651=$AB$65,$AF$65,E1651=$AB$66,$AF$66,TRUE,"0")</f>
        <v>40 mins Back ANother Goal</v>
      </c>
      <c r="D1651" s="270" t="str" cm="1">
        <f t="array" ref="D1651">_xlfn.IFS(E1651=$AB$42,$AD$42,E1651=$AB$43,$AD$43,E1651=$AB$44,$AD$44,E1651=$AB$45,$AD$45,E1651=$AB$46,$AD$46,E1651=$AB$47,$AD$47,E1651=$AB$48,$AD$48,E1651=$AB$49,$AD$49,E1651=$AB$50,$AD$50,E1651=$AB$51,$AD$51,E1651=$AB$52,$AD$52,E1651=$AB$53,$AD$53,E1651=$AB$54,$AD$54,E1651=$AB$55,$AD$55,E1651=$AB$56,$AD$56,E1651=$AB$57,$AD$57,E1651=$AB$58,$AD$58,E1651=$AB$59,$AD$59,E1651=$AB$60,$AD$60,E1651=$AB$61,$AD$61,E1651=$AB$62,$AD$62,E1651=$AB$63,$AD$63,E1651=$AB$64,$AD$64,E1651=$AB$65,$AD$65,E1651=$AB$66,$AD$66,TRUE,"0")</f>
        <v xml:space="preserve">  BANG</v>
      </c>
      <c r="E1651" s="2" t="s">
        <v>522</v>
      </c>
      <c r="F1651" s="2" t="s">
        <v>133</v>
      </c>
      <c r="G1651" s="2" t="s">
        <v>78</v>
      </c>
      <c r="H1651" s="3">
        <v>45431.75</v>
      </c>
      <c r="I1651" s="2" t="s">
        <v>136</v>
      </c>
      <c r="J1651" s="2" t="s">
        <v>137</v>
      </c>
      <c r="K1651" s="2">
        <v>73</v>
      </c>
      <c r="L1651" s="2">
        <v>20</v>
      </c>
      <c r="M1651" s="2">
        <v>95</v>
      </c>
      <c r="N1651" s="2">
        <v>75</v>
      </c>
      <c r="O1651" s="2">
        <v>2.2999999999999998</v>
      </c>
      <c r="P1651" s="2"/>
      <c r="Q1651" s="2" t="s">
        <v>95</v>
      </c>
      <c r="R1651" s="10" t="s">
        <v>193</v>
      </c>
      <c r="S1651" s="10" t="s">
        <v>223</v>
      </c>
      <c r="T1651" s="188">
        <v>1000</v>
      </c>
      <c r="U1651" s="8">
        <f t="shared" si="179"/>
        <v>180</v>
      </c>
      <c r="V1651" s="234">
        <f t="shared" si="180"/>
        <v>175104.15524616028</v>
      </c>
      <c r="W1651" s="15">
        <v>25</v>
      </c>
      <c r="X1651" s="8">
        <f t="shared" si="181"/>
        <v>4.5</v>
      </c>
      <c r="Y1651" s="233">
        <f t="shared" si="182"/>
        <v>6243.5</v>
      </c>
    </row>
    <row r="1652" spans="1:25">
      <c r="A1652" s="156" t="e" cm="1">
        <f t="array" aca="1" ref="A1652" ca="1">_xlfn.IFS(E1652=$AB$42,$AC$42,E1652=$AB$43,$AC$43,E1652=$AB$44,$AC$44,E1652=$AB$45,$AC$45,E1652=$AB$46,$AC$46,E1652=$AB$47,$AC$47,E1652=$AB$48,$AC$48,E1652=$AB$49,$AC$49,E1652=$AB$50,$AC$50,E1652=$AB$51,$AC$51,E1652=$AB$52,$AC$52,E1652=$AB$53,$AC$53,E1652=$AB$54,$AC$54,E1652=$AB$55,$AC$55,E1652=$AB$56,$AC$56,E1652=$AB$57,$AC$57,E1652=$AB$58,$AC$58,E1652=$AB$59,$AC$59,E1652=$AB$60,$AC$60,E1652=$AB$61,$AC$61,E1652=$AB$62,$AC$62,E1652=$AB$63,$AC$63,E1652=$AB$64,$AC$64,E1652=$AB$65,$AC$65,E1652=$AB$66,$AC$66,TRUE,"0")</f>
        <v>#NAME?</v>
      </c>
      <c r="C1652" s="161" t="str" cm="1">
        <f t="array" ref="C1652">_xlfn.IFS(E1652=$AB$42,$AF$42,E1652=$AB$43,$AF$43,E1652=$AB$44,$AF$44,E1652=$AB$45,$AF$45,E1652=$AB$46,$AF$46,E1652=$AB$47,$AF$47,E1652=$AB$48,$AF$48,E1652=$AB$49,$AF$49,E1652=$AB$50,$AF$50,E1652=$AB$51,$AF$51,E1652=$AB$52,$AF$52,E1652=$AB$53,$AF$53,E1652=$AB$54,$AF$54,E1652=$AB$55,$AF$55,E1652=$AB$56,$AF$56,E1652=$AB$57,$AF$57,E1652=$AB$58,$AF$58,E1652=$AB$59,$AF$59,E1652=$AB$60,$AF$60,E1652=$AB$61,$AF$61,E1652=$AB$62,$AF$62,E1652=$AB$63,$AF$63,E1652=$AB$64,$AF$64,E1652=$AB$65,$AF$65,E1652=$AB$66,$AF$66,TRUE,"0")</f>
        <v>40 mins Back ANother Goal</v>
      </c>
      <c r="D1652" s="270" t="str" cm="1">
        <f t="array" ref="D1652">_xlfn.IFS(E1652=$AB$42,$AD$42,E1652=$AB$43,$AD$43,E1652=$AB$44,$AD$44,E1652=$AB$45,$AD$45,E1652=$AB$46,$AD$46,E1652=$AB$47,$AD$47,E1652=$AB$48,$AD$48,E1652=$AB$49,$AD$49,E1652=$AB$50,$AD$50,E1652=$AB$51,$AD$51,E1652=$AB$52,$AD$52,E1652=$AB$53,$AD$53,E1652=$AB$54,$AD$54,E1652=$AB$55,$AD$55,E1652=$AB$56,$AD$56,E1652=$AB$57,$AD$57,E1652=$AB$58,$AD$58,E1652=$AB$59,$AD$59,E1652=$AB$60,$AD$60,E1652=$AB$61,$AD$61,E1652=$AB$62,$AD$62,E1652=$AB$63,$AD$63,E1652=$AB$64,$AD$64,E1652=$AB$65,$AD$65,E1652=$AB$66,$AD$66,TRUE,"0")</f>
        <v xml:space="preserve">  BANG</v>
      </c>
      <c r="E1652" s="2" t="s">
        <v>515</v>
      </c>
      <c r="F1652" s="2" t="s">
        <v>133</v>
      </c>
      <c r="G1652" s="2" t="s">
        <v>78</v>
      </c>
      <c r="H1652" s="3">
        <v>45431.75</v>
      </c>
      <c r="I1652" s="2" t="s">
        <v>136</v>
      </c>
      <c r="J1652" s="2" t="s">
        <v>137</v>
      </c>
      <c r="K1652" s="2">
        <v>20</v>
      </c>
      <c r="L1652" s="2">
        <v>73</v>
      </c>
      <c r="M1652" s="2">
        <v>2.2999999999999998</v>
      </c>
      <c r="N1652" s="2"/>
      <c r="O1652" s="2"/>
      <c r="P1652" s="2"/>
      <c r="Q1652" s="2" t="s">
        <v>95</v>
      </c>
      <c r="R1652" s="10" t="s">
        <v>193</v>
      </c>
      <c r="S1652" s="10" t="s">
        <v>223</v>
      </c>
      <c r="T1652" s="188">
        <v>1000</v>
      </c>
      <c r="U1652" s="8">
        <f t="shared" si="179"/>
        <v>180</v>
      </c>
      <c r="V1652" s="234">
        <f t="shared" si="180"/>
        <v>175284.15524616028</v>
      </c>
      <c r="W1652" s="15">
        <v>25</v>
      </c>
      <c r="X1652" s="8">
        <f t="shared" si="181"/>
        <v>4.5</v>
      </c>
      <c r="Y1652" s="233">
        <f t="shared" si="182"/>
        <v>6248</v>
      </c>
    </row>
    <row r="1653" spans="1:25">
      <c r="A1653" s="156" t="e" cm="1">
        <f t="array" aca="1" ref="A1653" ca="1">_xlfn.IFS(E1653=$AB$42,$AC$42,E1653=$AB$43,$AC$43,E1653=$AB$44,$AC$44,E1653=$AB$45,$AC$45,E1653=$AB$46,$AC$46,E1653=$AB$47,$AC$47,E1653=$AB$48,$AC$48,E1653=$AB$49,$AC$49,E1653=$AB$50,$AC$50,E1653=$AB$51,$AC$51,E1653=$AB$52,$AC$52,E1653=$AB$53,$AC$53,E1653=$AB$54,$AC$54,E1653=$AB$55,$AC$55,E1653=$AB$56,$AC$56,E1653=$AB$57,$AC$57,E1653=$AB$58,$AC$58,E1653=$AB$59,$AC$59,E1653=$AB$60,$AC$60,E1653=$AB$61,$AC$61,E1653=$AB$62,$AC$62,E1653=$AB$63,$AC$63,E1653=$AB$64,$AC$64,E1653=$AB$65,$AC$65,E1653=$AB$66,$AC$66,TRUE,"0")</f>
        <v>#NAME?</v>
      </c>
      <c r="C1653" s="161" t="str" cm="1">
        <f t="array" ref="C1653">_xlfn.IFS(E1653=$AB$42,$AF$42,E1653=$AB$43,$AF$43,E1653=$AB$44,$AF$44,E1653=$AB$45,$AF$45,E1653=$AB$46,$AF$46,E1653=$AB$47,$AF$47,E1653=$AB$48,$AF$48,E1653=$AB$49,$AF$49,E1653=$AB$50,$AF$50,E1653=$AB$51,$AF$51,E1653=$AB$52,$AF$52,E1653=$AB$53,$AF$53,E1653=$AB$54,$AF$54,E1653=$AB$55,$AF$55,E1653=$AB$56,$AF$56,E1653=$AB$57,$AF$57,E1653=$AB$58,$AF$58,E1653=$AB$59,$AF$59,E1653=$AB$60,$AF$60,E1653=$AB$61,$AF$61,E1653=$AB$62,$AF$62,E1653=$AB$63,$AF$63,E1653=$AB$64,$AF$64,E1653=$AB$65,$AF$65,E1653=$AB$66,$AF$66,TRUE,"0")</f>
        <v>B4 match BACK FT +1.5 goals. X AFTER  GOAL</v>
      </c>
      <c r="D1653" s="270" t="str" cm="1">
        <f t="array" ref="D1653">_xlfn.IFS(E1653=$AB$42,$AD$42,E1653=$AB$43,$AD$43,E1653=$AB$44,$AD$44,E1653=$AB$45,$AD$45,E1653=$AB$46,$AD$46,E1653=$AB$47,$AD$47,E1653=$AB$48,$AD$48,E1653=$AB$49,$AD$49,E1653=$AB$50,$AD$50,E1653=$AB$51,$AD$51,E1653=$AB$52,$AD$52,E1653=$AB$53,$AD$53,E1653=$AB$54,$AD$54,E1653=$AB$55,$AD$55,E1653=$AB$56,$AD$56,E1653=$AB$57,$AD$57,E1653=$AB$58,$AD$58,E1653=$AB$59,$AD$59,E1653=$AB$60,$AD$60,E1653=$AB$61,$AD$61,E1653=$AB$62,$AD$62,E1653=$AB$63,$AD$63,E1653=$AB$64,$AD$64,E1653=$AB$65,$AD$65,E1653=$AB$66,$AD$66,TRUE,"0")</f>
        <v xml:space="preserve">BFM </v>
      </c>
      <c r="E1653" s="2" t="s">
        <v>406</v>
      </c>
      <c r="F1653" s="2" t="s">
        <v>119</v>
      </c>
      <c r="G1653" s="2" t="s">
        <v>120</v>
      </c>
      <c r="H1653" s="3">
        <v>45431.75</v>
      </c>
      <c r="I1653" s="2" t="s">
        <v>349</v>
      </c>
      <c r="J1653" s="2" t="s">
        <v>348</v>
      </c>
      <c r="K1653" s="2">
        <v>1.38</v>
      </c>
      <c r="L1653" s="2">
        <v>9.8000000000000007</v>
      </c>
      <c r="M1653" s="2">
        <v>2.9</v>
      </c>
      <c r="N1653" s="2">
        <v>5.5</v>
      </c>
      <c r="O1653" s="2">
        <v>2.38</v>
      </c>
      <c r="P1653" s="2"/>
      <c r="Q1653" s="2" t="s">
        <v>95</v>
      </c>
      <c r="R1653" s="10" t="s">
        <v>193</v>
      </c>
      <c r="S1653" s="10" t="s">
        <v>225</v>
      </c>
      <c r="T1653" s="188">
        <v>1000</v>
      </c>
      <c r="U1653" s="8">
        <f t="shared" si="179"/>
        <v>180</v>
      </c>
      <c r="V1653" s="234">
        <f t="shared" si="180"/>
        <v>175464.15524616028</v>
      </c>
      <c r="W1653" s="15">
        <v>25</v>
      </c>
      <c r="X1653" s="8">
        <f t="shared" si="181"/>
        <v>4.5</v>
      </c>
      <c r="Y1653" s="233">
        <f t="shared" si="182"/>
        <v>6252.5</v>
      </c>
    </row>
    <row r="1654" spans="1:25">
      <c r="A1654" s="156" t="e" cm="1">
        <f t="array" aca="1" ref="A1654" ca="1">_xlfn.IFS(E1654=$AB$42,$AC$42,E1654=$AB$43,$AC$43,E1654=$AB$44,$AC$44,E1654=$AB$45,$AC$45,E1654=$AB$46,$AC$46,E1654=$AB$47,$AC$47,E1654=$AB$48,$AC$48,E1654=$AB$49,$AC$49,E1654=$AB$50,$AC$50,E1654=$AB$51,$AC$51,E1654=$AB$52,$AC$52,E1654=$AB$53,$AC$53,E1654=$AB$54,$AC$54,E1654=$AB$55,$AC$55,E1654=$AB$56,$AC$56,E1654=$AB$57,$AC$57,E1654=$AB$58,$AC$58,E1654=$AB$59,$AC$59,E1654=$AB$60,$AC$60,E1654=$AB$61,$AC$61,E1654=$AB$62,$AC$62,E1654=$AB$63,$AC$63,E1654=$AB$64,$AC$64,E1654=$AB$65,$AC$65,E1654=$AB$66,$AC$66,TRUE,"0")</f>
        <v>#NAME?</v>
      </c>
      <c r="C1654" s="161" t="str" cm="1">
        <f t="array" ref="C1654">_xlfn.IFS(E1654=$AB$42,$AF$42,E1654=$AB$43,$AF$43,E1654=$AB$44,$AF$44,E1654=$AB$45,$AF$45,E1654=$AB$46,$AF$46,E1654=$AB$47,$AF$47,E1654=$AB$48,$AF$48,E1654=$AB$49,$AF$49,E1654=$AB$50,$AF$50,E1654=$AB$51,$AF$51,E1654=$AB$52,$AF$52,E1654=$AB$53,$AF$53,E1654=$AB$54,$AF$54,E1654=$AB$55,$AF$55,E1654=$AB$56,$AF$56,E1654=$AB$57,$AF$57,E1654=$AB$58,$AF$58,E1654=$AB$59,$AF$59,E1654=$AB$60,$AF$60,E1654=$AB$61,$AF$61,E1654=$AB$62,$AF$62,E1654=$AB$63,$AF$63,E1654=$AB$64,$AF$64,E1654=$AB$65,$AF$65,E1654=$AB$66,$AF$66,TRUE,"0")</f>
        <v>B4 match BACK FT +1.5 goals. X AFTER  GOAL</v>
      </c>
      <c r="D1654" s="270" t="str" cm="1">
        <f t="array" ref="D1654">_xlfn.IFS(E1654=$AB$42,$AD$42,E1654=$AB$43,$AD$43,E1654=$AB$44,$AD$44,E1654=$AB$45,$AD$45,E1654=$AB$46,$AD$46,E1654=$AB$47,$AD$47,E1654=$AB$48,$AD$48,E1654=$AB$49,$AD$49,E1654=$AB$50,$AD$50,E1654=$AB$51,$AD$51,E1654=$AB$52,$AD$52,E1654=$AB$53,$AD$53,E1654=$AB$54,$AD$54,E1654=$AB$55,$AD$55,E1654=$AB$56,$AD$56,E1654=$AB$57,$AD$57,E1654=$AB$58,$AD$58,E1654=$AB$59,$AD$59,E1654=$AB$60,$AD$60,E1654=$AB$61,$AD$61,E1654=$AB$62,$AD$62,E1654=$AB$63,$AD$63,E1654=$AB$64,$AD$64,E1654=$AB$65,$AD$65,E1654=$AB$66,$AD$66,TRUE,"0")</f>
        <v xml:space="preserve">BFM </v>
      </c>
      <c r="E1654" s="2" t="s">
        <v>623</v>
      </c>
      <c r="F1654" s="2" t="s">
        <v>119</v>
      </c>
      <c r="G1654" s="2" t="s">
        <v>120</v>
      </c>
      <c r="H1654" s="3">
        <v>45431.75</v>
      </c>
      <c r="I1654" s="2" t="s">
        <v>349</v>
      </c>
      <c r="J1654" s="2" t="s">
        <v>348</v>
      </c>
      <c r="K1654" s="2">
        <v>5.5</v>
      </c>
      <c r="L1654" s="2">
        <v>20</v>
      </c>
      <c r="M1654" s="2">
        <v>2.9</v>
      </c>
      <c r="N1654" s="2">
        <v>32</v>
      </c>
      <c r="O1654" s="2">
        <v>1</v>
      </c>
      <c r="P1654" s="2">
        <v>10</v>
      </c>
      <c r="Q1654" s="2" t="s">
        <v>95</v>
      </c>
      <c r="R1654" s="10" t="s">
        <v>193</v>
      </c>
      <c r="S1654" s="10" t="s">
        <v>225</v>
      </c>
      <c r="T1654" s="188">
        <v>1000</v>
      </c>
      <c r="U1654" s="8">
        <f t="shared" si="179"/>
        <v>180</v>
      </c>
      <c r="V1654" s="234">
        <f t="shared" si="180"/>
        <v>175644.15524616028</v>
      </c>
      <c r="W1654" s="15">
        <v>25</v>
      </c>
      <c r="X1654" s="8">
        <f t="shared" si="181"/>
        <v>4.5</v>
      </c>
      <c r="Y1654" s="233">
        <f t="shared" si="182"/>
        <v>6257</v>
      </c>
    </row>
    <row r="1655" spans="1:25">
      <c r="A1655" s="156" t="e" cm="1">
        <f t="array" aca="1" ref="A1655" ca="1">_xlfn.IFS(E1655=$AB$42,$AC$42,E1655=$AB$43,$AC$43,E1655=$AB$44,$AC$44,E1655=$AB$45,$AC$45,E1655=$AB$46,$AC$46,E1655=$AB$47,$AC$47,E1655=$AB$48,$AC$48,E1655=$AB$49,$AC$49,E1655=$AB$50,$AC$50,E1655=$AB$51,$AC$51,E1655=$AB$52,$AC$52,E1655=$AB$53,$AC$53,E1655=$AB$54,$AC$54,E1655=$AB$55,$AC$55,E1655=$AB$56,$AC$56,E1655=$AB$57,$AC$57,E1655=$AB$58,$AC$58,E1655=$AB$59,$AC$59,E1655=$AB$60,$AC$60,E1655=$AB$61,$AC$61,E1655=$AB$62,$AC$62,E1655=$AB$63,$AC$63,E1655=$AB$64,$AC$64,E1655=$AB$65,$AC$65,E1655=$AB$66,$AC$66,TRUE,"0")</f>
        <v>#NAME?</v>
      </c>
      <c r="C1655" s="161" t="str" cm="1">
        <f t="array" ref="C1655">_xlfn.IFS(E1655=$AB$42,$AF$42,E1655=$AB$43,$AF$43,E1655=$AB$44,$AF$44,E1655=$AB$45,$AF$45,E1655=$AB$46,$AF$46,E1655=$AB$47,$AF$47,E1655=$AB$48,$AF$48,E1655=$AB$49,$AF$49,E1655=$AB$50,$AF$50,E1655=$AB$51,$AF$51,E1655=$AB$52,$AF$52,E1655=$AB$53,$AF$53,E1655=$AB$54,$AF$54,E1655=$AB$55,$AF$55,E1655=$AB$56,$AF$56,E1655=$AB$57,$AF$57,E1655=$AB$58,$AF$58,E1655=$AB$59,$AF$59,E1655=$AB$60,$AF$60,E1655=$AB$61,$AF$61,E1655=$AB$62,$AF$62,E1655=$AB$63,$AF$63,E1655=$AB$64,$AF$64,E1655=$AB$65,$AF$65,E1655=$AB$66,$AF$66,TRUE,"0")</f>
        <v>if 0-0, BACK+ 0.5 GOALS  @ 1.15+odds.  or @ 40 mins</v>
      </c>
      <c r="D1655" s="270" t="str" cm="1">
        <f t="array" ref="D1655">_xlfn.IFS(E1655=$AB$42,$AD$42,E1655=$AB$43,$AD$43,E1655=$AB$44,$AD$44,E1655=$AB$45,$AD$45,E1655=$AB$46,$AD$46,E1655=$AB$47,$AD$47,E1655=$AB$48,$AD$48,E1655=$AB$49,$AD$49,E1655=$AB$50,$AD$50,E1655=$AB$51,$AD$51,E1655=$AB$52,$AD$52,E1655=$AB$53,$AD$53,E1655=$AB$54,$AD$54,E1655=$AB$55,$AD$55,E1655=$AB$56,$AD$56,E1655=$AB$57,$AD$57,E1655=$AB$58,$AD$58,E1655=$AB$59,$AD$59,E1655=$AB$60,$AD$60,E1655=$AB$61,$AD$61,E1655=$AB$62,$AD$62,E1655=$AB$63,$AD$63,E1655=$AB$64,$AD$64,E1655=$AB$65,$AD$65,E1655=$AB$66,$AD$66,TRUE,"0")</f>
        <v>IP</v>
      </c>
      <c r="E1655" s="2" t="s">
        <v>270</v>
      </c>
      <c r="F1655" s="2" t="s">
        <v>119</v>
      </c>
      <c r="G1655" s="2" t="s">
        <v>120</v>
      </c>
      <c r="H1655" s="3">
        <v>45431.75</v>
      </c>
      <c r="I1655" s="2" t="s">
        <v>349</v>
      </c>
      <c r="J1655" s="2" t="s">
        <v>348</v>
      </c>
      <c r="K1655" s="2">
        <v>60</v>
      </c>
      <c r="L1655" s="2">
        <v>0</v>
      </c>
      <c r="M1655" s="2">
        <v>20</v>
      </c>
      <c r="N1655" s="2">
        <v>32</v>
      </c>
      <c r="O1655" s="2">
        <v>2.38</v>
      </c>
      <c r="P1655" s="2"/>
      <c r="Q1655" s="2" t="s">
        <v>95</v>
      </c>
      <c r="R1655" s="10" t="s">
        <v>193</v>
      </c>
      <c r="S1655" s="10" t="s">
        <v>225</v>
      </c>
      <c r="T1655" s="188">
        <v>1000</v>
      </c>
      <c r="U1655" s="8">
        <f t="shared" si="179"/>
        <v>180</v>
      </c>
      <c r="V1655" s="234">
        <f t="shared" si="180"/>
        <v>175824.15524616028</v>
      </c>
      <c r="W1655" s="15">
        <v>25</v>
      </c>
      <c r="X1655" s="8">
        <f t="shared" si="181"/>
        <v>4.5</v>
      </c>
      <c r="Y1655" s="233">
        <f t="shared" si="182"/>
        <v>6261.5</v>
      </c>
    </row>
    <row r="1656" spans="1:25">
      <c r="A1656" s="156" t="e" cm="1">
        <f t="array" aca="1" ref="A1656" ca="1">_xlfn.IFS(E1656=$AB$42,$AC$42,E1656=$AB$43,$AC$43,E1656=$AB$44,$AC$44,E1656=$AB$45,$AC$45,E1656=$AB$46,$AC$46,E1656=$AB$47,$AC$47,E1656=$AB$48,$AC$48,E1656=$AB$49,$AC$49,E1656=$AB$50,$AC$50,E1656=$AB$51,$AC$51,E1656=$AB$52,$AC$52,E1656=$AB$53,$AC$53,E1656=$AB$54,$AC$54,E1656=$AB$55,$AC$55,E1656=$AB$56,$AC$56,E1656=$AB$57,$AC$57,E1656=$AB$58,$AC$58,E1656=$AB$59,$AC$59,E1656=$AB$60,$AC$60,E1656=$AB$61,$AC$61,E1656=$AB$62,$AC$62,E1656=$AB$63,$AC$63,E1656=$AB$64,$AC$64,E1656=$AB$65,$AC$65,E1656=$AB$66,$AC$66,TRUE,"0")</f>
        <v>#NAME?</v>
      </c>
      <c r="C1656" s="161" t="str" cm="1">
        <f t="array" ref="C1656">_xlfn.IFS(E1656=$AB$42,$AF$42,E1656=$AB$43,$AF$43,E1656=$AB$44,$AF$44,E1656=$AB$45,$AF$45,E1656=$AB$46,$AF$46,E1656=$AB$47,$AF$47,E1656=$AB$48,$AF$48,E1656=$AB$49,$AF$49,E1656=$AB$50,$AF$50,E1656=$AB$51,$AF$51,E1656=$AB$52,$AF$52,E1656=$AB$53,$AF$53,E1656=$AB$54,$AF$54,E1656=$AB$55,$AF$55,E1656=$AB$56,$AF$56,E1656=$AB$57,$AF$57,E1656=$AB$58,$AF$58,E1656=$AB$59,$AF$59,E1656=$AB$60,$AF$60,E1656=$AB$61,$AF$61,E1656=$AB$62,$AF$62,E1656=$AB$63,$AF$63,E1656=$AB$64,$AF$64,E1656=$AB$65,$AF$65,E1656=$AB$66,$AF$66,TRUE,"0")</f>
        <v>B4 match BACK FT +1.5 goals. X AFTER  GOAL</v>
      </c>
      <c r="D1656" s="270" t="str" cm="1">
        <f t="array" ref="D1656">_xlfn.IFS(E1656=$AB$42,$AD$42,E1656=$AB$43,$AD$43,E1656=$AB$44,$AD$44,E1656=$AB$45,$AD$45,E1656=$AB$46,$AD$46,E1656=$AB$47,$AD$47,E1656=$AB$48,$AD$48,E1656=$AB$49,$AD$49,E1656=$AB$50,$AD$50,E1656=$AB$51,$AD$51,E1656=$AB$52,$AD$52,E1656=$AB$53,$AD$53,E1656=$AB$54,$AD$54,E1656=$AB$55,$AD$55,E1656=$AB$56,$AD$56,E1656=$AB$57,$AD$57,E1656=$AB$58,$AD$58,E1656=$AB$59,$AD$59,E1656=$AB$60,$AD$60,E1656=$AB$61,$AD$61,E1656=$AB$62,$AD$62,E1656=$AB$63,$AD$63,E1656=$AB$64,$AD$64,E1656=$AB$65,$AD$65,E1656=$AB$66,$AD$66,TRUE,"0")</f>
        <v xml:space="preserve">BFM </v>
      </c>
      <c r="E1656" s="2" t="s">
        <v>406</v>
      </c>
      <c r="F1656" s="2" t="s">
        <v>119</v>
      </c>
      <c r="G1656" s="2" t="s">
        <v>120</v>
      </c>
      <c r="H1656" s="3">
        <v>45431.75</v>
      </c>
      <c r="I1656" s="2" t="s">
        <v>361</v>
      </c>
      <c r="J1656" s="2" t="s">
        <v>852</v>
      </c>
      <c r="K1656" s="2">
        <v>1.34</v>
      </c>
      <c r="L1656" s="2">
        <v>11</v>
      </c>
      <c r="M1656" s="2">
        <v>2.8</v>
      </c>
      <c r="N1656" s="2">
        <v>4.5</v>
      </c>
      <c r="O1656" s="2">
        <v>2.63</v>
      </c>
      <c r="P1656" s="2"/>
      <c r="Q1656" s="2" t="s">
        <v>95</v>
      </c>
      <c r="R1656" s="10" t="s">
        <v>214</v>
      </c>
      <c r="S1656" s="10" t="s">
        <v>207</v>
      </c>
      <c r="T1656" s="188">
        <v>1000</v>
      </c>
      <c r="U1656" s="8">
        <f t="shared" si="179"/>
        <v>180</v>
      </c>
      <c r="V1656" s="234">
        <f t="shared" si="180"/>
        <v>176004.15524616028</v>
      </c>
      <c r="W1656" s="15">
        <v>25</v>
      </c>
      <c r="X1656" s="8">
        <f t="shared" si="181"/>
        <v>4.5</v>
      </c>
      <c r="Y1656" s="233">
        <f t="shared" si="182"/>
        <v>6266</v>
      </c>
    </row>
    <row r="1657" spans="1:25">
      <c r="A1657" s="156" t="e" cm="1">
        <f t="array" aca="1" ref="A1657" ca="1">_xlfn.IFS(E1657=$AB$42,$AC$42,E1657=$AB$43,$AC$43,E1657=$AB$44,$AC$44,E1657=$AB$45,$AC$45,E1657=$AB$46,$AC$46,E1657=$AB$47,$AC$47,E1657=$AB$48,$AC$48,E1657=$AB$49,$AC$49,E1657=$AB$50,$AC$50,E1657=$AB$51,$AC$51,E1657=$AB$52,$AC$52,E1657=$AB$53,$AC$53,E1657=$AB$54,$AC$54,E1657=$AB$55,$AC$55,E1657=$AB$56,$AC$56,E1657=$AB$57,$AC$57,E1657=$AB$58,$AC$58,E1657=$AB$59,$AC$59,E1657=$AB$60,$AC$60,E1657=$AB$61,$AC$61,E1657=$AB$62,$AC$62,E1657=$AB$63,$AC$63,E1657=$AB$64,$AC$64,E1657=$AB$65,$AC$65,E1657=$AB$66,$AC$66,TRUE,"0")</f>
        <v>#NAME?</v>
      </c>
      <c r="C1657" s="161" t="str" cm="1">
        <f t="array" ref="C1657">_xlfn.IFS(E1657=$AB$42,$AF$42,E1657=$AB$43,$AF$43,E1657=$AB$44,$AF$44,E1657=$AB$45,$AF$45,E1657=$AB$46,$AF$46,E1657=$AB$47,$AF$47,E1657=$AB$48,$AF$48,E1657=$AB$49,$AF$49,E1657=$AB$50,$AF$50,E1657=$AB$51,$AF$51,E1657=$AB$52,$AF$52,E1657=$AB$53,$AF$53,E1657=$AB$54,$AF$54,E1657=$AB$55,$AF$55,E1657=$AB$56,$AF$56,E1657=$AB$57,$AF$57,E1657=$AB$58,$AF$58,E1657=$AB$59,$AF$59,E1657=$AB$60,$AF$60,E1657=$AB$61,$AF$61,E1657=$AB$62,$AF$62,E1657=$AB$63,$AF$63,E1657=$AB$64,$AF$64,E1657=$AB$65,$AF$65,E1657=$AB$66,$AF$66,TRUE,"0")</f>
        <v>B4 match BACK FT +1.5 goals. X AFTER  GOAL</v>
      </c>
      <c r="D1657" s="270" t="str" cm="1">
        <f t="array" ref="D1657">_xlfn.IFS(E1657=$AB$42,$AD$42,E1657=$AB$43,$AD$43,E1657=$AB$44,$AD$44,E1657=$AB$45,$AD$45,E1657=$AB$46,$AD$46,E1657=$AB$47,$AD$47,E1657=$AB$48,$AD$48,E1657=$AB$49,$AD$49,E1657=$AB$50,$AD$50,E1657=$AB$51,$AD$51,E1657=$AB$52,$AD$52,E1657=$AB$53,$AD$53,E1657=$AB$54,$AD$54,E1657=$AB$55,$AD$55,E1657=$AB$56,$AD$56,E1657=$AB$57,$AD$57,E1657=$AB$58,$AD$58,E1657=$AB$59,$AD$59,E1657=$AB$60,$AD$60,E1657=$AB$61,$AD$61,E1657=$AB$62,$AD$62,E1657=$AB$63,$AD$63,E1657=$AB$64,$AD$64,E1657=$AB$65,$AD$65,E1657=$AB$66,$AD$66,TRUE,"0")</f>
        <v xml:space="preserve">BFM </v>
      </c>
      <c r="E1657" s="2" t="s">
        <v>623</v>
      </c>
      <c r="F1657" s="2" t="s">
        <v>119</v>
      </c>
      <c r="G1657" s="2" t="s">
        <v>120</v>
      </c>
      <c r="H1657" s="3">
        <v>45431.75</v>
      </c>
      <c r="I1657" s="2" t="s">
        <v>361</v>
      </c>
      <c r="J1657" s="2" t="s">
        <v>852</v>
      </c>
      <c r="K1657" s="2">
        <v>4.5</v>
      </c>
      <c r="L1657" s="2">
        <v>20</v>
      </c>
      <c r="M1657" s="2">
        <v>2.8</v>
      </c>
      <c r="N1657" s="2">
        <v>42</v>
      </c>
      <c r="O1657" s="2">
        <v>4</v>
      </c>
      <c r="P1657" s="2">
        <v>10</v>
      </c>
      <c r="Q1657" s="2" t="s">
        <v>95</v>
      </c>
      <c r="R1657" s="10" t="s">
        <v>214</v>
      </c>
      <c r="S1657" s="10" t="s">
        <v>207</v>
      </c>
      <c r="T1657" s="188">
        <v>1000</v>
      </c>
      <c r="U1657" s="8">
        <f t="shared" si="179"/>
        <v>180</v>
      </c>
      <c r="V1657" s="234">
        <f t="shared" si="180"/>
        <v>176184.15524616028</v>
      </c>
      <c r="W1657" s="15">
        <v>25</v>
      </c>
      <c r="X1657" s="8">
        <f t="shared" si="181"/>
        <v>4.5</v>
      </c>
      <c r="Y1657" s="233">
        <f t="shared" si="182"/>
        <v>6270.5</v>
      </c>
    </row>
    <row r="1658" spans="1:25">
      <c r="A1658" s="156" t="e" cm="1">
        <f t="array" aca="1" ref="A1658" ca="1">_xlfn.IFS(E1658=$AB$42,$AC$42,E1658=$AB$43,$AC$43,E1658=$AB$44,$AC$44,E1658=$AB$45,$AC$45,E1658=$AB$46,$AC$46,E1658=$AB$47,$AC$47,E1658=$AB$48,$AC$48,E1658=$AB$49,$AC$49,E1658=$AB$50,$AC$50,E1658=$AB$51,$AC$51,E1658=$AB$52,$AC$52,E1658=$AB$53,$AC$53,E1658=$AB$54,$AC$54,E1658=$AB$55,$AC$55,E1658=$AB$56,$AC$56,E1658=$AB$57,$AC$57,E1658=$AB$58,$AC$58,E1658=$AB$59,$AC$59,E1658=$AB$60,$AC$60,E1658=$AB$61,$AC$61,E1658=$AB$62,$AC$62,E1658=$AB$63,$AC$63,E1658=$AB$64,$AC$64,E1658=$AB$65,$AC$65,E1658=$AB$66,$AC$66,TRUE,"0")</f>
        <v>#NAME?</v>
      </c>
      <c r="C1658" s="161" t="str" cm="1">
        <f t="array" ref="C1658">_xlfn.IFS(E1658=$AB$42,$AF$42,E1658=$AB$43,$AF$43,E1658=$AB$44,$AF$44,E1658=$AB$45,$AF$45,E1658=$AB$46,$AF$46,E1658=$AB$47,$AF$47,E1658=$AB$48,$AF$48,E1658=$AB$49,$AF$49,E1658=$AB$50,$AF$50,E1658=$AB$51,$AF$51,E1658=$AB$52,$AF$52,E1658=$AB$53,$AF$53,E1658=$AB$54,$AF$54,E1658=$AB$55,$AF$55,E1658=$AB$56,$AF$56,E1658=$AB$57,$AF$57,E1658=$AB$58,$AF$58,E1658=$AB$59,$AF$59,E1658=$AB$60,$AF$60,E1658=$AB$61,$AF$61,E1658=$AB$62,$AF$62,E1658=$AB$63,$AF$63,E1658=$AB$64,$AF$64,E1658=$AB$65,$AF$65,E1658=$AB$66,$AF$66,TRUE,"0")</f>
        <v>if 0-0, BACK+ 0.5 GOALS  @ 1.15+odds.  or @ 40 mins</v>
      </c>
      <c r="D1658" s="270" t="str" cm="1">
        <f t="array" ref="D1658">_xlfn.IFS(E1658=$AB$42,$AD$42,E1658=$AB$43,$AD$43,E1658=$AB$44,$AD$44,E1658=$AB$45,$AD$45,E1658=$AB$46,$AD$46,E1658=$AB$47,$AD$47,E1658=$AB$48,$AD$48,E1658=$AB$49,$AD$49,E1658=$AB$50,$AD$50,E1658=$AB$51,$AD$51,E1658=$AB$52,$AD$52,E1658=$AB$53,$AD$53,E1658=$AB$54,$AD$54,E1658=$AB$55,$AD$55,E1658=$AB$56,$AD$56,E1658=$AB$57,$AD$57,E1658=$AB$58,$AD$58,E1658=$AB$59,$AD$59,E1658=$AB$60,$AD$60,E1658=$AB$61,$AD$61,E1658=$AB$62,$AD$62,E1658=$AB$63,$AD$63,E1658=$AB$64,$AD$64,E1658=$AB$65,$AD$65,E1658=$AB$66,$AD$66,TRUE,"0")</f>
        <v>IP</v>
      </c>
      <c r="E1658" s="2" t="s">
        <v>270</v>
      </c>
      <c r="F1658" s="2" t="s">
        <v>119</v>
      </c>
      <c r="G1658" s="2" t="s">
        <v>120</v>
      </c>
      <c r="H1658" s="3">
        <v>45431.75</v>
      </c>
      <c r="I1658" s="2" t="s">
        <v>388</v>
      </c>
      <c r="J1658" s="2" t="s">
        <v>479</v>
      </c>
      <c r="K1658" s="2">
        <v>59</v>
      </c>
      <c r="L1658" s="2">
        <v>0</v>
      </c>
      <c r="M1658" s="2">
        <v>20</v>
      </c>
      <c r="N1658" s="2">
        <v>32</v>
      </c>
      <c r="O1658" s="2">
        <v>2.64</v>
      </c>
      <c r="P1658" s="2"/>
      <c r="Q1658" s="2" t="s">
        <v>95</v>
      </c>
      <c r="R1658" s="10" t="s">
        <v>221</v>
      </c>
      <c r="S1658" s="10" t="s">
        <v>223</v>
      </c>
      <c r="T1658" s="188">
        <v>1000</v>
      </c>
      <c r="U1658" s="8">
        <f t="shared" si="179"/>
        <v>180</v>
      </c>
      <c r="V1658" s="234">
        <f t="shared" si="180"/>
        <v>176364.15524616028</v>
      </c>
      <c r="W1658" s="15">
        <v>25</v>
      </c>
      <c r="X1658" s="8">
        <f t="shared" si="181"/>
        <v>4.5</v>
      </c>
      <c r="Y1658" s="233">
        <f t="shared" si="182"/>
        <v>6275</v>
      </c>
    </row>
    <row r="1659" spans="1:25">
      <c r="A1659" s="156" t="e" cm="1">
        <f t="array" aca="1" ref="A1659" ca="1">_xlfn.IFS(E1659=$AB$42,$AC$42,E1659=$AB$43,$AC$43,E1659=$AB$44,$AC$44,E1659=$AB$45,$AC$45,E1659=$AB$46,$AC$46,E1659=$AB$47,$AC$47,E1659=$AB$48,$AC$48,E1659=$AB$49,$AC$49,E1659=$AB$50,$AC$50,E1659=$AB$51,$AC$51,E1659=$AB$52,$AC$52,E1659=$AB$53,$AC$53,E1659=$AB$54,$AC$54,E1659=$AB$55,$AC$55,E1659=$AB$56,$AC$56,E1659=$AB$57,$AC$57,E1659=$AB$58,$AC$58,E1659=$AB$59,$AC$59,E1659=$AB$60,$AC$60,E1659=$AB$61,$AC$61,E1659=$AB$62,$AC$62,E1659=$AB$63,$AC$63,E1659=$AB$64,$AC$64,E1659=$AB$65,$AC$65,E1659=$AB$66,$AC$66,TRUE,"0")</f>
        <v>#NAME?</v>
      </c>
      <c r="C1659" s="161" t="str" cm="1">
        <f t="array" ref="C1659">_xlfn.IFS(E1659=$AB$42,$AF$42,E1659=$AB$43,$AF$43,E1659=$AB$44,$AF$44,E1659=$AB$45,$AF$45,E1659=$AB$46,$AF$46,E1659=$AB$47,$AF$47,E1659=$AB$48,$AF$48,E1659=$AB$49,$AF$49,E1659=$AB$50,$AF$50,E1659=$AB$51,$AF$51,E1659=$AB$52,$AF$52,E1659=$AB$53,$AF$53,E1659=$AB$54,$AF$54,E1659=$AB$55,$AF$55,E1659=$AB$56,$AF$56,E1659=$AB$57,$AF$57,E1659=$AB$58,$AF$58,E1659=$AB$59,$AF$59,E1659=$AB$60,$AF$60,E1659=$AB$61,$AF$61,E1659=$AB$62,$AF$62,E1659=$AB$63,$AF$63,E1659=$AB$64,$AF$64,E1659=$AB$65,$AF$65,E1659=$AB$66,$AF$66,TRUE,"0")</f>
        <v>10mins if  0-0, BACK over 1.5 goals X after goal OR LET RUN</v>
      </c>
      <c r="D1659" s="270" t="str" cm="1">
        <f t="array" ref="D1659">_xlfn.IFS(E1659=$AB$42,$AD$42,E1659=$AB$43,$AD$43,E1659=$AB$44,$AD$44,E1659=$AB$45,$AD$45,E1659=$AB$46,$AD$46,E1659=$AB$47,$AD$47,E1659=$AB$48,$AD$48,E1659=$AB$49,$AD$49,E1659=$AB$50,$AD$50,E1659=$AB$51,$AD$51,E1659=$AB$52,$AD$52,E1659=$AB$53,$AD$53,E1659=$AB$54,$AD$54,E1659=$AB$55,$AD$55,E1659=$AB$56,$AD$56,E1659=$AB$57,$AD$57,E1659=$AB$58,$AD$58,E1659=$AB$59,$AD$59,E1659=$AB$60,$AD$60,E1659=$AB$61,$AD$61,E1659=$AB$62,$AD$62,E1659=$AB$63,$AD$63,E1659=$AB$64,$AD$64,E1659=$AB$65,$AD$65,E1659=$AB$66,$AD$66,TRUE,"0")</f>
        <v>IP</v>
      </c>
      <c r="E1659" s="2" t="s">
        <v>498</v>
      </c>
      <c r="F1659" s="2" t="s">
        <v>20</v>
      </c>
      <c r="G1659" s="2" t="s">
        <v>21</v>
      </c>
      <c r="H1659" s="3">
        <v>45431.822916666664</v>
      </c>
      <c r="I1659" s="2" t="s">
        <v>380</v>
      </c>
      <c r="J1659" s="2" t="s">
        <v>24</v>
      </c>
      <c r="K1659" s="2">
        <v>64</v>
      </c>
      <c r="L1659" s="2">
        <v>80</v>
      </c>
      <c r="M1659" s="2">
        <v>1.35</v>
      </c>
      <c r="N1659" s="2">
        <v>20</v>
      </c>
      <c r="O1659" s="2"/>
      <c r="P1659" s="2"/>
      <c r="Q1659" s="2" t="s">
        <v>95</v>
      </c>
      <c r="R1659" s="10" t="s">
        <v>221</v>
      </c>
      <c r="S1659" s="10" t="s">
        <v>214</v>
      </c>
      <c r="T1659" s="188">
        <v>1000</v>
      </c>
      <c r="U1659" s="8">
        <f t="shared" si="179"/>
        <v>180</v>
      </c>
      <c r="V1659" s="234">
        <f t="shared" si="180"/>
        <v>176544.15524616028</v>
      </c>
      <c r="W1659" s="15">
        <v>25</v>
      </c>
      <c r="X1659" s="8">
        <f t="shared" si="181"/>
        <v>4.5</v>
      </c>
      <c r="Y1659" s="233">
        <f t="shared" si="182"/>
        <v>6279.5</v>
      </c>
    </row>
    <row r="1660" spans="1:25">
      <c r="A1660" s="156" t="e" cm="1">
        <f t="array" aca="1" ref="A1660" ca="1">_xlfn.IFS(E1660=$AB$42,$AC$42,E1660=$AB$43,$AC$43,E1660=$AB$44,$AC$44,E1660=$AB$45,$AC$45,E1660=$AB$46,$AC$46,E1660=$AB$47,$AC$47,E1660=$AB$48,$AC$48,E1660=$AB$49,$AC$49,E1660=$AB$50,$AC$50,E1660=$AB$51,$AC$51,E1660=$AB$52,$AC$52,E1660=$AB$53,$AC$53,E1660=$AB$54,$AC$54,E1660=$AB$55,$AC$55,E1660=$AB$56,$AC$56,E1660=$AB$57,$AC$57,E1660=$AB$58,$AC$58,E1660=$AB$59,$AC$59,E1660=$AB$60,$AC$60,E1660=$AB$61,$AC$61,E1660=$AB$62,$AC$62,E1660=$AB$63,$AC$63,E1660=$AB$64,$AC$64,E1660=$AB$65,$AC$65,E1660=$AB$66,$AC$66,TRUE,"0")</f>
        <v>#NAME?</v>
      </c>
      <c r="C1660" s="161" t="str" cm="1">
        <f t="array" ref="C1660">_xlfn.IFS(E1660=$AB$42,$AF$42,E1660=$AB$43,$AF$43,E1660=$AB$44,$AF$44,E1660=$AB$45,$AF$45,E1660=$AB$46,$AF$46,E1660=$AB$47,$AF$47,E1660=$AB$48,$AF$48,E1660=$AB$49,$AF$49,E1660=$AB$50,$AF$50,E1660=$AB$51,$AF$51,E1660=$AB$52,$AF$52,E1660=$AB$53,$AF$53,E1660=$AB$54,$AF$54,E1660=$AB$55,$AF$55,E1660=$AB$56,$AF$56,E1660=$AB$57,$AF$57,E1660=$AB$58,$AF$58,E1660=$AB$59,$AF$59,E1660=$AB$60,$AF$60,E1660=$AB$61,$AF$61,E1660=$AB$62,$AF$62,E1660=$AB$63,$AF$63,E1660=$AB$64,$AF$64,E1660=$AB$65,$AF$65,E1660=$AB$66,$AF$66,TRUE,"0")</f>
        <v>if 0-0, BACK+ 0.5 GOALS  @ 1.15+odds.  or @ 40 mins</v>
      </c>
      <c r="D1660" s="270" t="str" cm="1">
        <f t="array" ref="D1660">_xlfn.IFS(E1660=$AB$42,$AD$42,E1660=$AB$43,$AD$43,E1660=$AB$44,$AD$44,E1660=$AB$45,$AD$45,E1660=$AB$46,$AD$46,E1660=$AB$47,$AD$47,E1660=$AB$48,$AD$48,E1660=$AB$49,$AD$49,E1660=$AB$50,$AD$50,E1660=$AB$51,$AD$51,E1660=$AB$52,$AD$52,E1660=$AB$53,$AD$53,E1660=$AB$54,$AD$54,E1660=$AB$55,$AD$55,E1660=$AB$56,$AD$56,E1660=$AB$57,$AD$57,E1660=$AB$58,$AD$58,E1660=$AB$59,$AD$59,E1660=$AB$60,$AD$60,E1660=$AB$61,$AD$61,E1660=$AB$62,$AD$62,E1660=$AB$63,$AD$63,E1660=$AB$64,$AD$64,E1660=$AB$65,$AD$65,E1660=$AB$66,$AD$66,TRUE,"0")</f>
        <v>IP</v>
      </c>
      <c r="E1660" s="2" t="s">
        <v>270</v>
      </c>
      <c r="F1660" s="2" t="s">
        <v>145</v>
      </c>
      <c r="G1660" s="2" t="s">
        <v>190</v>
      </c>
      <c r="H1660" s="3">
        <v>45431.833333333336</v>
      </c>
      <c r="I1660" s="2" t="s">
        <v>612</v>
      </c>
      <c r="J1660" s="2" t="s">
        <v>191</v>
      </c>
      <c r="K1660" s="2">
        <v>63</v>
      </c>
      <c r="L1660" s="2">
        <v>0</v>
      </c>
      <c r="M1660" s="2">
        <v>20</v>
      </c>
      <c r="N1660" s="2">
        <v>39</v>
      </c>
      <c r="O1660" s="2">
        <v>2.52</v>
      </c>
      <c r="P1660" s="2"/>
      <c r="Q1660" s="2" t="s">
        <v>95</v>
      </c>
      <c r="R1660" s="10" t="s">
        <v>221</v>
      </c>
      <c r="S1660" s="10" t="s">
        <v>223</v>
      </c>
      <c r="T1660" s="188">
        <v>1000</v>
      </c>
      <c r="U1660" s="8">
        <f t="shared" si="179"/>
        <v>180</v>
      </c>
      <c r="V1660" s="234">
        <f t="shared" si="180"/>
        <v>176724.15524616028</v>
      </c>
      <c r="W1660" s="15">
        <v>25</v>
      </c>
      <c r="X1660" s="8">
        <f t="shared" si="181"/>
        <v>4.5</v>
      </c>
      <c r="Y1660" s="233">
        <f t="shared" si="182"/>
        <v>6284</v>
      </c>
    </row>
    <row r="1661" spans="1:25">
      <c r="A1661" s="156" t="e" cm="1">
        <f t="array" aca="1" ref="A1661" ca="1">_xlfn.IFS(E1661=$AB$42,$AC$42,E1661=$AB$43,$AC$43,E1661=$AB$44,$AC$44,E1661=$AB$45,$AC$45,E1661=$AB$46,$AC$46,E1661=$AB$47,$AC$47,E1661=$AB$48,$AC$48,E1661=$AB$49,$AC$49,E1661=$AB$50,$AC$50,E1661=$AB$51,$AC$51,E1661=$AB$52,$AC$52,E1661=$AB$53,$AC$53,E1661=$AB$54,$AC$54,E1661=$AB$55,$AC$55,E1661=$AB$56,$AC$56,E1661=$AB$57,$AC$57,E1661=$AB$58,$AC$58,E1661=$AB$59,$AC$59,E1661=$AB$60,$AC$60,E1661=$AB$61,$AC$61,E1661=$AB$62,$AC$62,E1661=$AB$63,$AC$63,E1661=$AB$64,$AC$64,E1661=$AB$65,$AC$65,E1661=$AB$66,$AC$66,TRUE,"0")</f>
        <v>#NAME?</v>
      </c>
      <c r="C1661" s="161" t="str" cm="1">
        <f t="array" ref="C1661">_xlfn.IFS(E1661=$AB$42,$AF$42,E1661=$AB$43,$AF$43,E1661=$AB$44,$AF$44,E1661=$AB$45,$AF$45,E1661=$AB$46,$AF$46,E1661=$AB$47,$AF$47,E1661=$AB$48,$AF$48,E1661=$AB$49,$AF$49,E1661=$AB$50,$AF$50,E1661=$AB$51,$AF$51,E1661=$AB$52,$AF$52,E1661=$AB$53,$AF$53,E1661=$AB$54,$AF$54,E1661=$AB$55,$AF$55,E1661=$AB$56,$AF$56,E1661=$AB$57,$AF$57,E1661=$AB$58,$AF$58,E1661=$AB$59,$AF$59,E1661=$AB$60,$AF$60,E1661=$AB$61,$AF$61,E1661=$AB$62,$AF$62,E1661=$AB$63,$AF$63,E1661=$AB$64,$AF$64,E1661=$AB$65,$AF$65,E1661=$AB$66,$AF$66,TRUE,"0")</f>
        <v>B4 match BACK FT +1.5 goals. X AFTER  GOAL</v>
      </c>
      <c r="D1661" s="270" t="str" cm="1">
        <f t="array" ref="D1661">_xlfn.IFS(E1661=$AB$42,$AD$42,E1661=$AB$43,$AD$43,E1661=$AB$44,$AD$44,E1661=$AB$45,$AD$45,E1661=$AB$46,$AD$46,E1661=$AB$47,$AD$47,E1661=$AB$48,$AD$48,E1661=$AB$49,$AD$49,E1661=$AB$50,$AD$50,E1661=$AB$51,$AD$51,E1661=$AB$52,$AD$52,E1661=$AB$53,$AD$53,E1661=$AB$54,$AD$54,E1661=$AB$55,$AD$55,E1661=$AB$56,$AD$56,E1661=$AB$57,$AD$57,E1661=$AB$58,$AD$58,E1661=$AB$59,$AD$59,E1661=$AB$60,$AD$60,E1661=$AB$61,$AD$61,E1661=$AB$62,$AD$62,E1661=$AB$63,$AD$63,E1661=$AB$64,$AD$64,E1661=$AB$65,$AD$65,E1661=$AB$66,$AD$66,TRUE,"0")</f>
        <v xml:space="preserve">BFM </v>
      </c>
      <c r="E1661" s="2" t="s">
        <v>623</v>
      </c>
      <c r="F1661" s="2" t="s">
        <v>145</v>
      </c>
      <c r="G1661" s="2" t="s">
        <v>190</v>
      </c>
      <c r="H1661" s="3">
        <v>45431.833333333336</v>
      </c>
      <c r="I1661" s="2" t="s">
        <v>767</v>
      </c>
      <c r="J1661" s="2" t="s">
        <v>390</v>
      </c>
      <c r="K1661" s="2">
        <v>3.8</v>
      </c>
      <c r="L1661" s="2">
        <v>20</v>
      </c>
      <c r="M1661" s="2">
        <v>2.7</v>
      </c>
      <c r="N1661" s="2">
        <v>27</v>
      </c>
      <c r="O1661" s="2">
        <v>0</v>
      </c>
      <c r="P1661" s="2">
        <v>10</v>
      </c>
      <c r="Q1661" s="2" t="s">
        <v>95</v>
      </c>
      <c r="R1661" s="10" t="s">
        <v>220</v>
      </c>
      <c r="S1661" s="10" t="s">
        <v>210</v>
      </c>
      <c r="T1661" s="188">
        <v>1000</v>
      </c>
      <c r="U1661" s="8">
        <f t="shared" ref="U1661:U1667" si="183">IF(Q1661="won",T1661*0.18,-T1661)</f>
        <v>180</v>
      </c>
      <c r="V1661" s="234">
        <f t="shared" ref="V1661:V1667" si="184">SUM(V1660,U1661)</f>
        <v>176904.15524616028</v>
      </c>
      <c r="W1661" s="15">
        <v>25</v>
      </c>
      <c r="X1661" s="8">
        <f t="shared" si="181"/>
        <v>4.5</v>
      </c>
      <c r="Y1661" s="233">
        <f t="shared" si="182"/>
        <v>6288.5</v>
      </c>
    </row>
    <row r="1662" spans="1:25">
      <c r="A1662" s="156" t="e" cm="1">
        <f t="array" aca="1" ref="A1662" ca="1">_xlfn.IFS(E1662=$AB$42,$AC$42,E1662=$AB$43,$AC$43,E1662=$AB$44,$AC$44,E1662=$AB$45,$AC$45,E1662=$AB$46,$AC$46,E1662=$AB$47,$AC$47,E1662=$AB$48,$AC$48,E1662=$AB$49,$AC$49,E1662=$AB$50,$AC$50,E1662=$AB$51,$AC$51,E1662=$AB$52,$AC$52,E1662=$AB$53,$AC$53,E1662=$AB$54,$AC$54,E1662=$AB$55,$AC$55,E1662=$AB$56,$AC$56,E1662=$AB$57,$AC$57,E1662=$AB$58,$AC$58,E1662=$AB$59,$AC$59,E1662=$AB$60,$AC$60,E1662=$AB$61,$AC$61,E1662=$AB$62,$AC$62,E1662=$AB$63,$AC$63,E1662=$AB$64,$AC$64,E1662=$AB$65,$AC$65,E1662=$AB$66,$AC$66,TRUE,"0")</f>
        <v>#NAME?</v>
      </c>
      <c r="C1662" s="161" t="str" cm="1">
        <f t="array" ref="C1662">_xlfn.IFS(E1662=$AB$42,$AF$42,E1662=$AB$43,$AF$43,E1662=$AB$44,$AF$44,E1662=$AB$45,$AF$45,E1662=$AB$46,$AF$46,E1662=$AB$47,$AF$47,E1662=$AB$48,$AF$48,E1662=$AB$49,$AF$49,E1662=$AB$50,$AF$50,E1662=$AB$51,$AF$51,E1662=$AB$52,$AF$52,E1662=$AB$53,$AF$53,E1662=$AB$54,$AF$54,E1662=$AB$55,$AF$55,E1662=$AB$56,$AF$56,E1662=$AB$57,$AF$57,E1662=$AB$58,$AF$58,E1662=$AB$59,$AF$59,E1662=$AB$60,$AF$60,E1662=$AB$61,$AF$61,E1662=$AB$62,$AF$62,E1662=$AB$63,$AF$63,E1662=$AB$64,$AF$64,E1662=$AB$65,$AF$65,E1662=$AB$66,$AF$66,TRUE,"0")</f>
        <v>B4 match BACK FT +1.5 goals. X AFTER  GOAL</v>
      </c>
      <c r="D1662" s="270" t="str" cm="1">
        <f t="array" ref="D1662">_xlfn.IFS(E1662=$AB$42,$AD$42,E1662=$AB$43,$AD$43,E1662=$AB$44,$AD$44,E1662=$AB$45,$AD$45,E1662=$AB$46,$AD$46,E1662=$AB$47,$AD$47,E1662=$AB$48,$AD$48,E1662=$AB$49,$AD$49,E1662=$AB$50,$AD$50,E1662=$AB$51,$AD$51,E1662=$AB$52,$AD$52,E1662=$AB$53,$AD$53,E1662=$AB$54,$AD$54,E1662=$AB$55,$AD$55,E1662=$AB$56,$AD$56,E1662=$AB$57,$AD$57,E1662=$AB$58,$AD$58,E1662=$AB$59,$AD$59,E1662=$AB$60,$AD$60,E1662=$AB$61,$AD$61,E1662=$AB$62,$AD$62,E1662=$AB$63,$AD$63,E1662=$AB$64,$AD$64,E1662=$AB$65,$AD$65,E1662=$AB$66,$AD$66,TRUE,"0")</f>
        <v xml:space="preserve">BFM </v>
      </c>
      <c r="E1662" s="2" t="s">
        <v>623</v>
      </c>
      <c r="F1662" s="2" t="s">
        <v>145</v>
      </c>
      <c r="G1662" s="2" t="s">
        <v>190</v>
      </c>
      <c r="H1662" s="3">
        <v>45431.833333333336</v>
      </c>
      <c r="I1662" s="2" t="s">
        <v>227</v>
      </c>
      <c r="J1662" s="2" t="s">
        <v>611</v>
      </c>
      <c r="K1662" s="2">
        <v>5.7</v>
      </c>
      <c r="L1662" s="2">
        <v>20</v>
      </c>
      <c r="M1662" s="2">
        <v>3</v>
      </c>
      <c r="N1662" s="2">
        <v>28</v>
      </c>
      <c r="O1662" s="2">
        <v>2</v>
      </c>
      <c r="P1662" s="2">
        <v>10</v>
      </c>
      <c r="Q1662" s="2" t="s">
        <v>95</v>
      </c>
      <c r="R1662" s="9" t="s">
        <v>220</v>
      </c>
      <c r="S1662" s="9" t="s">
        <v>195</v>
      </c>
      <c r="T1662" s="188">
        <v>1000</v>
      </c>
      <c r="U1662" s="8">
        <f t="shared" si="183"/>
        <v>180</v>
      </c>
      <c r="V1662" s="234">
        <f t="shared" si="184"/>
        <v>177084.15524616028</v>
      </c>
      <c r="W1662" s="15">
        <v>25</v>
      </c>
      <c r="X1662" s="8">
        <f t="shared" si="181"/>
        <v>4.5</v>
      </c>
      <c r="Y1662" s="233">
        <f t="shared" si="182"/>
        <v>6293</v>
      </c>
    </row>
    <row r="1663" spans="1:25">
      <c r="A1663" s="156" t="e" cm="1">
        <f t="array" aca="1" ref="A1663" ca="1">_xlfn.IFS(E1663=$AB$42,$AC$42,E1663=$AB$43,$AC$43,E1663=$AB$44,$AC$44,E1663=$AB$45,$AC$45,E1663=$AB$46,$AC$46,E1663=$AB$47,$AC$47,E1663=$AB$48,$AC$48,E1663=$AB$49,$AC$49,E1663=$AB$50,$AC$50,E1663=$AB$51,$AC$51,E1663=$AB$52,$AC$52,E1663=$AB$53,$AC$53,E1663=$AB$54,$AC$54,E1663=$AB$55,$AC$55,E1663=$AB$56,$AC$56,E1663=$AB$57,$AC$57,E1663=$AB$58,$AC$58,E1663=$AB$59,$AC$59,E1663=$AB$60,$AC$60,E1663=$AB$61,$AC$61,E1663=$AB$62,$AC$62,E1663=$AB$63,$AC$63,E1663=$AB$64,$AC$64,E1663=$AB$65,$AC$65,E1663=$AB$66,$AC$66,TRUE,"0")</f>
        <v>#NAME?</v>
      </c>
      <c r="C1663" s="161" t="str" cm="1">
        <f t="array" ref="C1663">_xlfn.IFS(E1663=$AB$42,$AF$42,E1663=$AB$43,$AF$43,E1663=$AB$44,$AF$44,E1663=$AB$45,$AF$45,E1663=$AB$46,$AF$46,E1663=$AB$47,$AF$47,E1663=$AB$48,$AF$48,E1663=$AB$49,$AF$49,E1663=$AB$50,$AF$50,E1663=$AB$51,$AF$51,E1663=$AB$52,$AF$52,E1663=$AB$53,$AF$53,E1663=$AB$54,$AF$54,E1663=$AB$55,$AF$55,E1663=$AB$56,$AF$56,E1663=$AB$57,$AF$57,E1663=$AB$58,$AF$58,E1663=$AB$59,$AF$59,E1663=$AB$60,$AF$60,E1663=$AB$61,$AF$61,E1663=$AB$62,$AF$62,E1663=$AB$63,$AF$63,E1663=$AB$64,$AF$64,E1663=$AB$65,$AF$65,E1663=$AB$66,$AF$66,TRUE,"0")</f>
        <v>B4 match BACK FT +1.5 goals. X AFTER  GOAL</v>
      </c>
      <c r="D1663" s="270" t="str" cm="1">
        <f t="array" ref="D1663">_xlfn.IFS(E1663=$AB$42,$AD$42,E1663=$AB$43,$AD$43,E1663=$AB$44,$AD$44,E1663=$AB$45,$AD$45,E1663=$AB$46,$AD$46,E1663=$AB$47,$AD$47,E1663=$AB$48,$AD$48,E1663=$AB$49,$AD$49,E1663=$AB$50,$AD$50,E1663=$AB$51,$AD$51,E1663=$AB$52,$AD$52,E1663=$AB$53,$AD$53,E1663=$AB$54,$AD$54,E1663=$AB$55,$AD$55,E1663=$AB$56,$AD$56,E1663=$AB$57,$AD$57,E1663=$AB$58,$AD$58,E1663=$AB$59,$AD$59,E1663=$AB$60,$AD$60,E1663=$AB$61,$AD$61,E1663=$AB$62,$AD$62,E1663=$AB$63,$AD$63,E1663=$AB$64,$AD$64,E1663=$AB$65,$AD$65,E1663=$AB$66,$AD$66,TRUE,"0")</f>
        <v xml:space="preserve">BFM </v>
      </c>
      <c r="E1663" s="2" t="s">
        <v>623</v>
      </c>
      <c r="F1663" s="2" t="s">
        <v>145</v>
      </c>
      <c r="G1663" s="2" t="s">
        <v>190</v>
      </c>
      <c r="H1663" s="3">
        <v>45431.833333333336</v>
      </c>
      <c r="I1663" s="2" t="s">
        <v>571</v>
      </c>
      <c r="J1663" s="2" t="s">
        <v>192</v>
      </c>
      <c r="K1663" s="2">
        <v>4.5999999999999996</v>
      </c>
      <c r="L1663" s="2">
        <v>20</v>
      </c>
      <c r="M1663" s="2">
        <v>2.8</v>
      </c>
      <c r="N1663" s="2">
        <v>26</v>
      </c>
      <c r="O1663" s="2">
        <v>1</v>
      </c>
      <c r="P1663" s="2">
        <v>10</v>
      </c>
      <c r="Q1663" s="2" t="s">
        <v>95</v>
      </c>
      <c r="R1663" s="10" t="s">
        <v>214</v>
      </c>
      <c r="S1663" s="10" t="s">
        <v>222</v>
      </c>
      <c r="T1663" s="188">
        <v>1000</v>
      </c>
      <c r="U1663" s="8">
        <f t="shared" si="183"/>
        <v>180</v>
      </c>
      <c r="V1663" s="234">
        <f t="shared" si="184"/>
        <v>177264.15524616028</v>
      </c>
      <c r="W1663" s="15">
        <v>25</v>
      </c>
      <c r="X1663" s="8">
        <f t="shared" si="181"/>
        <v>4.5</v>
      </c>
      <c r="Y1663" s="233">
        <f t="shared" si="182"/>
        <v>6297.5</v>
      </c>
    </row>
    <row r="1664" spans="1:25">
      <c r="A1664" s="156" t="e" cm="1">
        <f t="array" aca="1" ref="A1664" ca="1">_xlfn.IFS(E1664=$AB$42,$AC$42,E1664=$AB$43,$AC$43,E1664=$AB$44,$AC$44,E1664=$AB$45,$AC$45,E1664=$AB$46,$AC$46,E1664=$AB$47,$AC$47,E1664=$AB$48,$AC$48,E1664=$AB$49,$AC$49,E1664=$AB$50,$AC$50,E1664=$AB$51,$AC$51,E1664=$AB$52,$AC$52,E1664=$AB$53,$AC$53,E1664=$AB$54,$AC$54,E1664=$AB$55,$AC$55,E1664=$AB$56,$AC$56,E1664=$AB$57,$AC$57,E1664=$AB$58,$AC$58,E1664=$AB$59,$AC$59,E1664=$AB$60,$AC$60,E1664=$AB$61,$AC$61,E1664=$AB$62,$AC$62,E1664=$AB$63,$AC$63,E1664=$AB$64,$AC$64,E1664=$AB$65,$AC$65,E1664=$AB$66,$AC$66,TRUE,"0")</f>
        <v>#NAME?</v>
      </c>
      <c r="C1664" s="161" t="str" cm="1">
        <f t="array" ref="C1664">_xlfn.IFS(E1664=$AB$42,$AF$42,E1664=$AB$43,$AF$43,E1664=$AB$44,$AF$44,E1664=$AB$45,$AF$45,E1664=$AB$46,$AF$46,E1664=$AB$47,$AF$47,E1664=$AB$48,$AF$48,E1664=$AB$49,$AF$49,E1664=$AB$50,$AF$50,E1664=$AB$51,$AF$51,E1664=$AB$52,$AF$52,E1664=$AB$53,$AF$53,E1664=$AB$54,$AF$54,E1664=$AB$55,$AF$55,E1664=$AB$56,$AF$56,E1664=$AB$57,$AF$57,E1664=$AB$58,$AF$58,E1664=$AB$59,$AF$59,E1664=$AB$60,$AF$60,E1664=$AB$61,$AF$61,E1664=$AB$62,$AF$62,E1664=$AB$63,$AF$63,E1664=$AB$64,$AF$64,E1664=$AB$65,$AF$65,E1664=$AB$66,$AF$66,TRUE,"0")</f>
        <v>B4 match BACK FT +1.5 goals. X AFTER  GOAL</v>
      </c>
      <c r="D1664" s="270" t="str" cm="1">
        <f t="array" ref="D1664">_xlfn.IFS(E1664=$AB$42,$AD$42,E1664=$AB$43,$AD$43,E1664=$AB$44,$AD$44,E1664=$AB$45,$AD$45,E1664=$AB$46,$AD$46,E1664=$AB$47,$AD$47,E1664=$AB$48,$AD$48,E1664=$AB$49,$AD$49,E1664=$AB$50,$AD$50,E1664=$AB$51,$AD$51,E1664=$AB$52,$AD$52,E1664=$AB$53,$AD$53,E1664=$AB$54,$AD$54,E1664=$AB$55,$AD$55,E1664=$AB$56,$AD$56,E1664=$AB$57,$AD$57,E1664=$AB$58,$AD$58,E1664=$AB$59,$AD$59,E1664=$AB$60,$AD$60,E1664=$AB$61,$AD$61,E1664=$AB$62,$AD$62,E1664=$AB$63,$AD$63,E1664=$AB$64,$AD$64,E1664=$AB$65,$AD$65,E1664=$AB$66,$AD$66,TRUE,"0")</f>
        <v xml:space="preserve">BFM </v>
      </c>
      <c r="E1664" s="2" t="s">
        <v>531</v>
      </c>
      <c r="F1664" s="2" t="s">
        <v>145</v>
      </c>
      <c r="G1664" s="2" t="s">
        <v>190</v>
      </c>
      <c r="H1664" s="3">
        <v>45431.833333333336</v>
      </c>
      <c r="I1664" s="2" t="s">
        <v>853</v>
      </c>
      <c r="J1664" s="2" t="s">
        <v>826</v>
      </c>
      <c r="K1664" s="2">
        <v>5.4</v>
      </c>
      <c r="L1664" s="2">
        <v>32</v>
      </c>
      <c r="M1664" s="2">
        <v>2.81</v>
      </c>
      <c r="N1664" s="2">
        <v>27</v>
      </c>
      <c r="O1664" s="2">
        <v>3</v>
      </c>
      <c r="P1664" s="2">
        <v>16</v>
      </c>
      <c r="Q1664" s="2" t="s">
        <v>95</v>
      </c>
      <c r="R1664" s="10" t="s">
        <v>217</v>
      </c>
      <c r="S1664" s="10" t="s">
        <v>217</v>
      </c>
      <c r="T1664" s="188">
        <v>1000</v>
      </c>
      <c r="U1664" s="8">
        <f t="shared" si="183"/>
        <v>180</v>
      </c>
      <c r="V1664" s="234">
        <f t="shared" si="184"/>
        <v>177444.15524616028</v>
      </c>
      <c r="W1664" s="15">
        <v>25</v>
      </c>
      <c r="X1664" s="8">
        <f t="shared" si="181"/>
        <v>4.5</v>
      </c>
      <c r="Y1664" s="233">
        <f t="shared" si="182"/>
        <v>6302</v>
      </c>
    </row>
    <row r="1665" spans="1:25">
      <c r="A1665" s="156" t="e" cm="1">
        <f t="array" aca="1" ref="A1665" ca="1">_xlfn.IFS(E1665=$AB$42,$AC$42,E1665=$AB$43,$AC$43,E1665=$AB$44,$AC$44,E1665=$AB$45,$AC$45,E1665=$AB$46,$AC$46,E1665=$AB$47,$AC$47,E1665=$AB$48,$AC$48,E1665=$AB$49,$AC$49,E1665=$AB$50,$AC$50,E1665=$AB$51,$AC$51,E1665=$AB$52,$AC$52,E1665=$AB$53,$AC$53,E1665=$AB$54,$AC$54,E1665=$AB$55,$AC$55,E1665=$AB$56,$AC$56,E1665=$AB$57,$AC$57,E1665=$AB$58,$AC$58,E1665=$AB$59,$AC$59,E1665=$AB$60,$AC$60,E1665=$AB$61,$AC$61,E1665=$AB$62,$AC$62,E1665=$AB$63,$AC$63,E1665=$AB$64,$AC$64,E1665=$AB$65,$AC$65,E1665=$AB$66,$AC$66,TRUE,"0")</f>
        <v>#NAME?</v>
      </c>
      <c r="C1665" s="161" t="str" cm="1">
        <f t="array" ref="C1665">_xlfn.IFS(E1665=$AB$42,$AF$42,E1665=$AB$43,$AF$43,E1665=$AB$44,$AF$44,E1665=$AB$45,$AF$45,E1665=$AB$46,$AF$46,E1665=$AB$47,$AF$47,E1665=$AB$48,$AF$48,E1665=$AB$49,$AF$49,E1665=$AB$50,$AF$50,E1665=$AB$51,$AF$51,E1665=$AB$52,$AF$52,E1665=$AB$53,$AF$53,E1665=$AB$54,$AF$54,E1665=$AB$55,$AF$55,E1665=$AB$56,$AF$56,E1665=$AB$57,$AF$57,E1665=$AB$58,$AF$58,E1665=$AB$59,$AF$59,E1665=$AB$60,$AF$60,E1665=$AB$61,$AF$61,E1665=$AB$62,$AF$62,E1665=$AB$63,$AF$63,E1665=$AB$64,$AF$64,E1665=$AB$65,$AF$65,E1665=$AB$66,$AF$66,TRUE,"0")</f>
        <v>B4 match BACK FT +1.5 goals. X AFTER  GOAL</v>
      </c>
      <c r="D1665" s="270" t="str" cm="1">
        <f t="array" ref="D1665">_xlfn.IFS(E1665=$AB$42,$AD$42,E1665=$AB$43,$AD$43,E1665=$AB$44,$AD$44,E1665=$AB$45,$AD$45,E1665=$AB$46,$AD$46,E1665=$AB$47,$AD$47,E1665=$AB$48,$AD$48,E1665=$AB$49,$AD$49,E1665=$AB$50,$AD$50,E1665=$AB$51,$AD$51,E1665=$AB$52,$AD$52,E1665=$AB$53,$AD$53,E1665=$AB$54,$AD$54,E1665=$AB$55,$AD$55,E1665=$AB$56,$AD$56,E1665=$AB$57,$AD$57,E1665=$AB$58,$AD$58,E1665=$AB$59,$AD$59,E1665=$AB$60,$AD$60,E1665=$AB$61,$AD$61,E1665=$AB$62,$AD$62,E1665=$AB$63,$AD$63,E1665=$AB$64,$AD$64,E1665=$AB$65,$AD$65,E1665=$AB$66,$AD$66,TRUE,"0")</f>
        <v xml:space="preserve">BFM </v>
      </c>
      <c r="E1665" s="2" t="s">
        <v>623</v>
      </c>
      <c r="F1665" s="2" t="s">
        <v>145</v>
      </c>
      <c r="G1665" s="2" t="s">
        <v>190</v>
      </c>
      <c r="H1665" s="3">
        <v>45431.833333333336</v>
      </c>
      <c r="I1665" s="2" t="s">
        <v>364</v>
      </c>
      <c r="J1665" s="2" t="s">
        <v>344</v>
      </c>
      <c r="K1665" s="2">
        <v>3.95</v>
      </c>
      <c r="L1665" s="2">
        <v>20</v>
      </c>
      <c r="M1665" s="2">
        <v>1.95</v>
      </c>
      <c r="N1665" s="2">
        <v>36</v>
      </c>
      <c r="O1665" s="2">
        <v>1</v>
      </c>
      <c r="P1665" s="2">
        <v>10</v>
      </c>
      <c r="Q1665" s="2" t="s">
        <v>95</v>
      </c>
      <c r="R1665" s="10" t="s">
        <v>207</v>
      </c>
      <c r="S1665" s="10" t="s">
        <v>194</v>
      </c>
      <c r="T1665" s="188">
        <v>1000</v>
      </c>
      <c r="U1665" s="8">
        <f t="shared" si="183"/>
        <v>180</v>
      </c>
      <c r="V1665" s="234">
        <f t="shared" si="184"/>
        <v>177624.15524616028</v>
      </c>
      <c r="W1665" s="15">
        <v>25</v>
      </c>
      <c r="X1665" s="8">
        <f t="shared" si="181"/>
        <v>4.5</v>
      </c>
      <c r="Y1665" s="233">
        <f t="shared" si="182"/>
        <v>6306.5</v>
      </c>
    </row>
    <row r="1666" spans="1:25">
      <c r="A1666" s="156" t="e" cm="1">
        <f t="array" aca="1" ref="A1666" ca="1">_xlfn.IFS(E1666=$AB$42,$AC$42,E1666=$AB$43,$AC$43,E1666=$AB$44,$AC$44,E1666=$AB$45,$AC$45,E1666=$AB$46,$AC$46,E1666=$AB$47,$AC$47,E1666=$AB$48,$AC$48,E1666=$AB$49,$AC$49,E1666=$AB$50,$AC$50,E1666=$AB$51,$AC$51,E1666=$AB$52,$AC$52,E1666=$AB$53,$AC$53,E1666=$AB$54,$AC$54,E1666=$AB$55,$AC$55,E1666=$AB$56,$AC$56,E1666=$AB$57,$AC$57,E1666=$AB$58,$AC$58,E1666=$AB$59,$AC$59,E1666=$AB$60,$AC$60,E1666=$AB$61,$AC$61,E1666=$AB$62,$AC$62,E1666=$AB$63,$AC$63,E1666=$AB$64,$AC$64,E1666=$AB$65,$AC$65,E1666=$AB$66,$AC$66,TRUE,"0")</f>
        <v>#NAME?</v>
      </c>
      <c r="C1666" s="161" t="str" cm="1">
        <f t="array" ref="C1666">_xlfn.IFS(E1666=$AB$42,$AF$42,E1666=$AB$43,$AF$43,E1666=$AB$44,$AF$44,E1666=$AB$45,$AF$45,E1666=$AB$46,$AF$46,E1666=$AB$47,$AF$47,E1666=$AB$48,$AF$48,E1666=$AB$49,$AF$49,E1666=$AB$50,$AF$50,E1666=$AB$51,$AF$51,E1666=$AB$52,$AF$52,E1666=$AB$53,$AF$53,E1666=$AB$54,$AF$54,E1666=$AB$55,$AF$55,E1666=$AB$56,$AF$56,E1666=$AB$57,$AF$57,E1666=$AB$58,$AF$58,E1666=$AB$59,$AF$59,E1666=$AB$60,$AF$60,E1666=$AB$61,$AF$61,E1666=$AB$62,$AF$62,E1666=$AB$63,$AF$63,E1666=$AB$64,$AF$64,E1666=$AB$65,$AF$65,E1666=$AB$66,$AF$66,TRUE,"0")</f>
        <v>40 mins Back ANother Goal</v>
      </c>
      <c r="D1666" s="270" t="str" cm="1">
        <f t="array" ref="D1666">_xlfn.IFS(E1666=$AB$42,$AD$42,E1666=$AB$43,$AD$43,E1666=$AB$44,$AD$44,E1666=$AB$45,$AD$45,E1666=$AB$46,$AD$46,E1666=$AB$47,$AD$47,E1666=$AB$48,$AD$48,E1666=$AB$49,$AD$49,E1666=$AB$50,$AD$50,E1666=$AB$51,$AD$51,E1666=$AB$52,$AD$52,E1666=$AB$53,$AD$53,E1666=$AB$54,$AD$54,E1666=$AB$55,$AD$55,E1666=$AB$56,$AD$56,E1666=$AB$57,$AD$57,E1666=$AB$58,$AD$58,E1666=$AB$59,$AD$59,E1666=$AB$60,$AD$60,E1666=$AB$61,$AD$61,E1666=$AB$62,$AD$62,E1666=$AB$63,$AD$63,E1666=$AB$64,$AD$64,E1666=$AB$65,$AD$65,E1666=$AB$66,$AD$66,TRUE,"0")</f>
        <v xml:space="preserve">  BANG</v>
      </c>
      <c r="E1666" s="2" t="s">
        <v>43</v>
      </c>
      <c r="F1666" s="2" t="s">
        <v>145</v>
      </c>
      <c r="G1666" s="2" t="s">
        <v>190</v>
      </c>
      <c r="H1666" s="3">
        <v>45431.833333333336</v>
      </c>
      <c r="I1666" s="2" t="s">
        <v>570</v>
      </c>
      <c r="J1666" s="2" t="s">
        <v>783</v>
      </c>
      <c r="K1666" s="2">
        <v>75</v>
      </c>
      <c r="L1666" s="2">
        <v>81</v>
      </c>
      <c r="M1666" s="2">
        <v>61</v>
      </c>
      <c r="N1666" s="2">
        <v>1.95</v>
      </c>
      <c r="O1666" s="2">
        <v>1.33</v>
      </c>
      <c r="P1666" s="2"/>
      <c r="Q1666" s="2" t="s">
        <v>95</v>
      </c>
      <c r="R1666" s="10" t="s">
        <v>221</v>
      </c>
      <c r="S1666" s="10" t="s">
        <v>218</v>
      </c>
      <c r="T1666" s="188">
        <v>1000</v>
      </c>
      <c r="U1666" s="8">
        <f t="shared" si="183"/>
        <v>180</v>
      </c>
      <c r="V1666" s="234">
        <f t="shared" si="184"/>
        <v>177804.15524616028</v>
      </c>
      <c r="W1666" s="15">
        <v>25</v>
      </c>
      <c r="X1666" s="8">
        <f t="shared" si="181"/>
        <v>4.5</v>
      </c>
      <c r="Y1666" s="233">
        <f t="shared" si="182"/>
        <v>6311</v>
      </c>
    </row>
    <row r="1667" spans="1:25">
      <c r="A1667" s="156" t="e" cm="1">
        <f t="array" aca="1" ref="A1667" ca="1">_xlfn.IFS(E1667=$AB$42,$AC$42,E1667=$AB$43,$AC$43,E1667=$AB$44,$AC$44,E1667=$AB$45,$AC$45,E1667=$AB$46,$AC$46,E1667=$AB$47,$AC$47,E1667=$AB$48,$AC$48,E1667=$AB$49,$AC$49,E1667=$AB$50,$AC$50,E1667=$AB$51,$AC$51,E1667=$AB$52,$AC$52,E1667=$AB$53,$AC$53,E1667=$AB$54,$AC$54,E1667=$AB$55,$AC$55,E1667=$AB$56,$AC$56,E1667=$AB$57,$AC$57,E1667=$AB$58,$AC$58,E1667=$AB$59,$AC$59,E1667=$AB$60,$AC$60,E1667=$AB$61,$AC$61,E1667=$AB$62,$AC$62,E1667=$AB$63,$AC$63,E1667=$AB$64,$AC$64,E1667=$AB$65,$AC$65,E1667=$AB$66,$AC$66,TRUE,"0")</f>
        <v>#NAME?</v>
      </c>
      <c r="C1667" s="161" t="str" cm="1">
        <f t="array" ref="C1667">_xlfn.IFS(E1667=$AB$42,$AF$42,E1667=$AB$43,$AF$43,E1667=$AB$44,$AF$44,E1667=$AB$45,$AF$45,E1667=$AB$46,$AF$46,E1667=$AB$47,$AF$47,E1667=$AB$48,$AF$48,E1667=$AB$49,$AF$49,E1667=$AB$50,$AF$50,E1667=$AB$51,$AF$51,E1667=$AB$52,$AF$52,E1667=$AB$53,$AF$53,E1667=$AB$54,$AF$54,E1667=$AB$55,$AF$55,E1667=$AB$56,$AF$56,E1667=$AB$57,$AF$57,E1667=$AB$58,$AF$58,E1667=$AB$59,$AF$59,E1667=$AB$60,$AF$60,E1667=$AB$61,$AF$61,E1667=$AB$62,$AF$62,E1667=$AB$63,$AF$63,E1667=$AB$64,$AF$64,E1667=$AB$65,$AF$65,E1667=$AB$66,$AF$66,TRUE,"0")</f>
        <v>40 mins Back ANother Goal</v>
      </c>
      <c r="D1667" s="270" t="str" cm="1">
        <f t="array" ref="D1667">_xlfn.IFS(E1667=$AB$42,$AD$42,E1667=$AB$43,$AD$43,E1667=$AB$44,$AD$44,E1667=$AB$45,$AD$45,E1667=$AB$46,$AD$46,E1667=$AB$47,$AD$47,E1667=$AB$48,$AD$48,E1667=$AB$49,$AD$49,E1667=$AB$50,$AD$50,E1667=$AB$51,$AD$51,E1667=$AB$52,$AD$52,E1667=$AB$53,$AD$53,E1667=$AB$54,$AD$54,E1667=$AB$55,$AD$55,E1667=$AB$56,$AD$56,E1667=$AB$57,$AD$57,E1667=$AB$58,$AD$58,E1667=$AB$59,$AD$59,E1667=$AB$60,$AD$60,E1667=$AB$61,$AD$61,E1667=$AB$62,$AD$62,E1667=$AB$63,$AD$63,E1667=$AB$64,$AD$64,E1667=$AB$65,$AD$65,E1667=$AB$66,$AD$66,TRUE,"0")</f>
        <v xml:space="preserve">  BANG</v>
      </c>
      <c r="E1667" s="2" t="s">
        <v>726</v>
      </c>
      <c r="F1667" s="2" t="s">
        <v>145</v>
      </c>
      <c r="G1667" s="2" t="s">
        <v>190</v>
      </c>
      <c r="H1667" s="3">
        <v>45431.833333333336</v>
      </c>
      <c r="I1667" s="2" t="s">
        <v>570</v>
      </c>
      <c r="J1667" s="2" t="s">
        <v>783</v>
      </c>
      <c r="K1667" s="2">
        <v>80</v>
      </c>
      <c r="L1667" s="2">
        <v>20</v>
      </c>
      <c r="M1667" s="2">
        <v>1.95</v>
      </c>
      <c r="N1667" s="2">
        <v>61</v>
      </c>
      <c r="O1667" s="2"/>
      <c r="P1667" s="2"/>
      <c r="Q1667" s="2" t="s">
        <v>95</v>
      </c>
      <c r="R1667" s="10" t="s">
        <v>221</v>
      </c>
      <c r="S1667" s="10" t="s">
        <v>218</v>
      </c>
      <c r="T1667" s="188">
        <v>1000</v>
      </c>
      <c r="U1667" s="8">
        <f t="shared" si="183"/>
        <v>180</v>
      </c>
      <c r="V1667" s="234">
        <f t="shared" si="184"/>
        <v>177984.15524616028</v>
      </c>
      <c r="W1667" s="15">
        <v>25</v>
      </c>
      <c r="X1667" s="8">
        <f t="shared" si="181"/>
        <v>4.5</v>
      </c>
      <c r="Y1667" s="233">
        <f t="shared" si="182"/>
        <v>6315.5</v>
      </c>
    </row>
    <row r="1668" spans="1:25">
      <c r="A1668" s="156" t="e" cm="1">
        <f t="array" aca="1" ref="A1668" ca="1">_xlfn.IFS(E1668=$AB$42,$AC$42,E1668=$AB$43,$AC$43,E1668=$AB$44,$AC$44,E1668=$AB$45,$AC$45,E1668=$AB$46,$AC$46,E1668=$AB$47,$AC$47,E1668=$AB$48,$AC$48,E1668=$AB$49,$AC$49,E1668=$AB$50,$AC$50,E1668=$AB$51,$AC$51,E1668=$AB$52,$AC$52,E1668=$AB$53,$AC$53,E1668=$AB$54,$AC$54,E1668=$AB$55,$AC$55,E1668=$AB$56,$AC$56,E1668=$AB$57,$AC$57,E1668=$AB$58,$AC$58,E1668=$AB$59,$AC$59,E1668=$AB$60,$AC$60,E1668=$AB$61,$AC$61,E1668=$AB$62,$AC$62,E1668=$AB$63,$AC$63,E1668=$AB$64,$AC$64,E1668=$AB$65,$AC$65,E1668=$AB$66,$AC$66,TRUE,"0")</f>
        <v>#NAME?</v>
      </c>
      <c r="C1668" s="161" t="str" cm="1">
        <f t="array" ref="C1668">_xlfn.IFS(E1668=$AB$42,$AF$42,E1668=$AB$43,$AF$43,E1668=$AB$44,$AF$44,E1668=$AB$45,$AF$45,E1668=$AB$46,$AF$46,E1668=$AB$47,$AF$47,E1668=$AB$48,$AF$48,E1668=$AB$49,$AF$49,E1668=$AB$50,$AF$50,E1668=$AB$51,$AF$51,E1668=$AB$52,$AF$52,E1668=$AB$53,$AF$53,E1668=$AB$54,$AF$54,E1668=$AB$55,$AF$55,E1668=$AB$56,$AF$56,E1668=$AB$57,$AF$57,E1668=$AB$58,$AF$58,E1668=$AB$59,$AF$59,E1668=$AB$60,$AF$60,E1668=$AB$61,$AF$61,E1668=$AB$62,$AF$62,E1668=$AB$63,$AF$63,E1668=$AB$64,$AF$64,E1668=$AB$65,$AF$65,E1668=$AB$66,$AF$66,TRUE,"0")</f>
        <v>40 mins Back ANother Goal</v>
      </c>
      <c r="D1668" s="270" t="str" cm="1">
        <f t="array" ref="D1668">_xlfn.IFS(E1668=$AB$42,$AD$42,E1668=$AB$43,$AD$43,E1668=$AB$44,$AD$44,E1668=$AB$45,$AD$45,E1668=$AB$46,$AD$46,E1668=$AB$47,$AD$47,E1668=$AB$48,$AD$48,E1668=$AB$49,$AD$49,E1668=$AB$50,$AD$50,E1668=$AB$51,$AD$51,E1668=$AB$52,$AD$52,E1668=$AB$53,$AD$53,E1668=$AB$54,$AD$54,E1668=$AB$55,$AD$55,E1668=$AB$56,$AD$56,E1668=$AB$57,$AD$57,E1668=$AB$58,$AD$58,E1668=$AB$59,$AD$59,E1668=$AB$60,$AD$60,E1668=$AB$61,$AD$61,E1668=$AB$62,$AD$62,E1668=$AB$63,$AD$63,E1668=$AB$64,$AD$64,E1668=$AB$65,$AD$65,E1668=$AB$66,$AD$66,TRUE,"0")</f>
        <v xml:space="preserve">  BANG</v>
      </c>
      <c r="E1668" s="2" t="s">
        <v>43</v>
      </c>
      <c r="F1668" s="2" t="s">
        <v>434</v>
      </c>
      <c r="G1668" s="2" t="s">
        <v>435</v>
      </c>
      <c r="H1668" s="3">
        <v>45432.541666666664</v>
      </c>
      <c r="I1668" s="2" t="s">
        <v>556</v>
      </c>
      <c r="J1668" s="2" t="s">
        <v>599</v>
      </c>
      <c r="K1668" s="2">
        <v>67</v>
      </c>
      <c r="L1668" s="2">
        <v>78</v>
      </c>
      <c r="M1668" s="2">
        <v>62</v>
      </c>
      <c r="N1668" s="2">
        <v>1.85</v>
      </c>
      <c r="O1668" s="2">
        <v>1.27</v>
      </c>
      <c r="P1668" s="2"/>
      <c r="Q1668" s="2" t="s">
        <v>95</v>
      </c>
      <c r="R1668" s="10" t="s">
        <v>193</v>
      </c>
      <c r="S1668" s="10" t="s">
        <v>215</v>
      </c>
      <c r="T1668" s="188">
        <v>1000</v>
      </c>
      <c r="U1668" s="8">
        <f t="shared" ref="U1668:U1677" si="185">IF(Q1668="won",T1668*0.18,-T1668)</f>
        <v>180</v>
      </c>
      <c r="V1668" s="234">
        <f t="shared" ref="V1668:V1677" si="186">SUM(V1667,U1668)</f>
        <v>178164.15524616028</v>
      </c>
      <c r="W1668" s="15">
        <v>25</v>
      </c>
      <c r="X1668" s="8">
        <f t="shared" ref="X1668:X1677" si="187">IF(Q1668="won",W1668*0.18,-W1668)</f>
        <v>4.5</v>
      </c>
      <c r="Y1668" s="233">
        <f t="shared" si="182"/>
        <v>6320</v>
      </c>
    </row>
    <row r="1669" spans="1:25">
      <c r="A1669" s="156" t="e" cm="1">
        <f t="array" aca="1" ref="A1669" ca="1">_xlfn.IFS(E1669=$AB$42,$AC$42,E1669=$AB$43,$AC$43,E1669=$AB$44,$AC$44,E1669=$AB$45,$AC$45,E1669=$AB$46,$AC$46,E1669=$AB$47,$AC$47,E1669=$AB$48,$AC$48,E1669=$AB$49,$AC$49,E1669=$AB$50,$AC$50,E1669=$AB$51,$AC$51,E1669=$AB$52,$AC$52,E1669=$AB$53,$AC$53,E1669=$AB$54,$AC$54,E1669=$AB$55,$AC$55,E1669=$AB$56,$AC$56,E1669=$AB$57,$AC$57,E1669=$AB$58,$AC$58,E1669=$AB$59,$AC$59,E1669=$AB$60,$AC$60,E1669=$AB$61,$AC$61,E1669=$AB$62,$AC$62,E1669=$AB$63,$AC$63,E1669=$AB$64,$AC$64,E1669=$AB$65,$AC$65,E1669=$AB$66,$AC$66,TRUE,"0")</f>
        <v>#NAME?</v>
      </c>
      <c r="C1669" s="161" t="str" cm="1">
        <f t="array" ref="C1669">_xlfn.IFS(E1669=$AB$42,$AF$42,E1669=$AB$43,$AF$43,E1669=$AB$44,$AF$44,E1669=$AB$45,$AF$45,E1669=$AB$46,$AF$46,E1669=$AB$47,$AF$47,E1669=$AB$48,$AF$48,E1669=$AB$49,$AF$49,E1669=$AB$50,$AF$50,E1669=$AB$51,$AF$51,E1669=$AB$52,$AF$52,E1669=$AB$53,$AF$53,E1669=$AB$54,$AF$54,E1669=$AB$55,$AF$55,E1669=$AB$56,$AF$56,E1669=$AB$57,$AF$57,E1669=$AB$58,$AF$58,E1669=$AB$59,$AF$59,E1669=$AB$60,$AF$60,E1669=$AB$61,$AF$61,E1669=$AB$62,$AF$62,E1669=$AB$63,$AF$63,E1669=$AB$64,$AF$64,E1669=$AB$65,$AF$65,E1669=$AB$66,$AF$66,TRUE,"0")</f>
        <v>40 mins Back ANother Goal</v>
      </c>
      <c r="D1669" s="270" t="str" cm="1">
        <f t="array" ref="D1669">_xlfn.IFS(E1669=$AB$42,$AD$42,E1669=$AB$43,$AD$43,E1669=$AB$44,$AD$44,E1669=$AB$45,$AD$45,E1669=$AB$46,$AD$46,E1669=$AB$47,$AD$47,E1669=$AB$48,$AD$48,E1669=$AB$49,$AD$49,E1669=$AB$50,$AD$50,E1669=$AB$51,$AD$51,E1669=$AB$52,$AD$52,E1669=$AB$53,$AD$53,E1669=$AB$54,$AD$54,E1669=$AB$55,$AD$55,E1669=$AB$56,$AD$56,E1669=$AB$57,$AD$57,E1669=$AB$58,$AD$58,E1669=$AB$59,$AD$59,E1669=$AB$60,$AD$60,E1669=$AB$61,$AD$61,E1669=$AB$62,$AD$62,E1669=$AB$63,$AD$63,E1669=$AB$64,$AD$64,E1669=$AB$65,$AD$65,E1669=$AB$66,$AD$66,TRUE,"0")</f>
        <v xml:space="preserve">  BANG</v>
      </c>
      <c r="E1669" s="2" t="s">
        <v>726</v>
      </c>
      <c r="F1669" s="2" t="s">
        <v>296</v>
      </c>
      <c r="G1669" s="2" t="s">
        <v>525</v>
      </c>
      <c r="H1669" s="3">
        <v>45432.552083333336</v>
      </c>
      <c r="I1669" s="2" t="s">
        <v>529</v>
      </c>
      <c r="J1669" s="2" t="s">
        <v>526</v>
      </c>
      <c r="K1669" s="2">
        <v>95</v>
      </c>
      <c r="L1669" s="2">
        <v>20</v>
      </c>
      <c r="M1669" s="2">
        <v>1.9</v>
      </c>
      <c r="N1669" s="2">
        <v>61</v>
      </c>
      <c r="O1669" s="2"/>
      <c r="P1669" s="2"/>
      <c r="Q1669" s="2" t="s">
        <v>95</v>
      </c>
      <c r="R1669" s="10" t="s">
        <v>214</v>
      </c>
      <c r="S1669" s="10" t="s">
        <v>207</v>
      </c>
      <c r="T1669" s="188">
        <v>1000</v>
      </c>
      <c r="U1669" s="8">
        <f t="shared" si="185"/>
        <v>180</v>
      </c>
      <c r="V1669" s="234">
        <f t="shared" si="186"/>
        <v>178344.15524616028</v>
      </c>
      <c r="W1669" s="15">
        <v>25</v>
      </c>
      <c r="X1669" s="8">
        <f t="shared" si="187"/>
        <v>4.5</v>
      </c>
      <c r="Y1669" s="233">
        <f t="shared" si="182"/>
        <v>6324.5</v>
      </c>
    </row>
    <row r="1670" spans="1:25">
      <c r="A1670" s="156" t="e" cm="1">
        <f t="array" aca="1" ref="A1670" ca="1">_xlfn.IFS(E1670=$AB$42,$AC$42,E1670=$AB$43,$AC$43,E1670=$AB$44,$AC$44,E1670=$AB$45,$AC$45,E1670=$AB$46,$AC$46,E1670=$AB$47,$AC$47,E1670=$AB$48,$AC$48,E1670=$AB$49,$AC$49,E1670=$AB$50,$AC$50,E1670=$AB$51,$AC$51,E1670=$AB$52,$AC$52,E1670=$AB$53,$AC$53,E1670=$AB$54,$AC$54,E1670=$AB$55,$AC$55,E1670=$AB$56,$AC$56,E1670=$AB$57,$AC$57,E1670=$AB$58,$AC$58,E1670=$AB$59,$AC$59,E1670=$AB$60,$AC$60,E1670=$AB$61,$AC$61,E1670=$AB$62,$AC$62,E1670=$AB$63,$AC$63,E1670=$AB$64,$AC$64,E1670=$AB$65,$AC$65,E1670=$AB$66,$AC$66,TRUE,"0")</f>
        <v>#NAME?</v>
      </c>
      <c r="C1670" s="161" t="str" cm="1">
        <f t="array" ref="C1670">_xlfn.IFS(E1670=$AB$42,$AF$42,E1670=$AB$43,$AF$43,E1670=$AB$44,$AF$44,E1670=$AB$45,$AF$45,E1670=$AB$46,$AF$46,E1670=$AB$47,$AF$47,E1670=$AB$48,$AF$48,E1670=$AB$49,$AF$49,E1670=$AB$50,$AF$50,E1670=$AB$51,$AF$51,E1670=$AB$52,$AF$52,E1670=$AB$53,$AF$53,E1670=$AB$54,$AF$54,E1670=$AB$55,$AF$55,E1670=$AB$56,$AF$56,E1670=$AB$57,$AF$57,E1670=$AB$58,$AF$58,E1670=$AB$59,$AF$59,E1670=$AB$60,$AF$60,E1670=$AB$61,$AF$61,E1670=$AB$62,$AF$62,E1670=$AB$63,$AF$63,E1670=$AB$64,$AF$64,E1670=$AB$65,$AF$65,E1670=$AB$66,$AF$66,TRUE,"0")</f>
        <v>if 0-0, BACK+ 0.5 GOALS  @ 1.15+odds.  or @ 40 mins</v>
      </c>
      <c r="D1670" s="270" t="str" cm="1">
        <f t="array" ref="D1670">_xlfn.IFS(E1670=$AB$42,$AD$42,E1670=$AB$43,$AD$43,E1670=$AB$44,$AD$44,E1670=$AB$45,$AD$45,E1670=$AB$46,$AD$46,E1670=$AB$47,$AD$47,E1670=$AB$48,$AD$48,E1670=$AB$49,$AD$49,E1670=$AB$50,$AD$50,E1670=$AB$51,$AD$51,E1670=$AB$52,$AD$52,E1670=$AB$53,$AD$53,E1670=$AB$54,$AD$54,E1670=$AB$55,$AD$55,E1670=$AB$56,$AD$56,E1670=$AB$57,$AD$57,E1670=$AB$58,$AD$58,E1670=$AB$59,$AD$59,E1670=$AB$60,$AD$60,E1670=$AB$61,$AD$61,E1670=$AB$62,$AD$62,E1670=$AB$63,$AD$63,E1670=$AB$64,$AD$64,E1670=$AB$65,$AD$65,E1670=$AB$66,$AD$66,TRUE,"0")</f>
        <v>IP</v>
      </c>
      <c r="E1670" s="2" t="s">
        <v>270</v>
      </c>
      <c r="F1670" s="2" t="s">
        <v>296</v>
      </c>
      <c r="G1670" s="2" t="s">
        <v>525</v>
      </c>
      <c r="H1670" s="3">
        <v>45432.552083333336</v>
      </c>
      <c r="I1670" s="2" t="s">
        <v>529</v>
      </c>
      <c r="J1670" s="2" t="s">
        <v>526</v>
      </c>
      <c r="K1670" s="2">
        <v>69</v>
      </c>
      <c r="L1670" s="2">
        <v>0</v>
      </c>
      <c r="M1670" s="2">
        <v>20</v>
      </c>
      <c r="N1670" s="2">
        <v>38</v>
      </c>
      <c r="O1670" s="2">
        <v>0</v>
      </c>
      <c r="P1670" s="2"/>
      <c r="Q1670" s="2" t="s">
        <v>95</v>
      </c>
      <c r="R1670" s="10" t="s">
        <v>214</v>
      </c>
      <c r="S1670" s="10" t="s">
        <v>207</v>
      </c>
      <c r="T1670" s="188">
        <v>1000</v>
      </c>
      <c r="U1670" s="8">
        <f t="shared" si="185"/>
        <v>180</v>
      </c>
      <c r="V1670" s="234">
        <f t="shared" si="186"/>
        <v>178524.15524616028</v>
      </c>
      <c r="W1670" s="15">
        <v>25</v>
      </c>
      <c r="X1670" s="8">
        <f t="shared" si="187"/>
        <v>4.5</v>
      </c>
      <c r="Y1670" s="233">
        <f t="shared" si="182"/>
        <v>6329</v>
      </c>
    </row>
    <row r="1671" spans="1:25">
      <c r="A1671" s="156" t="e" cm="1">
        <f t="array" aca="1" ref="A1671" ca="1">_xlfn.IFS(E1671=$AB$42,$AC$42,E1671=$AB$43,$AC$43,E1671=$AB$44,$AC$44,E1671=$AB$45,$AC$45,E1671=$AB$46,$AC$46,E1671=$AB$47,$AC$47,E1671=$AB$48,$AC$48,E1671=$AB$49,$AC$49,E1671=$AB$50,$AC$50,E1671=$AB$51,$AC$51,E1671=$AB$52,$AC$52,E1671=$AB$53,$AC$53,E1671=$AB$54,$AC$54,E1671=$AB$55,$AC$55,E1671=$AB$56,$AC$56,E1671=$AB$57,$AC$57,E1671=$AB$58,$AC$58,E1671=$AB$59,$AC$59,E1671=$AB$60,$AC$60,E1671=$AB$61,$AC$61,E1671=$AB$62,$AC$62,E1671=$AB$63,$AC$63,E1671=$AB$64,$AC$64,E1671=$AB$65,$AC$65,E1671=$AB$66,$AC$66,TRUE,"0")</f>
        <v>#NAME?</v>
      </c>
      <c r="C1671" s="161" t="str" cm="1">
        <f t="array" ref="C1671">_xlfn.IFS(E1671=$AB$42,$AF$42,E1671=$AB$43,$AF$43,E1671=$AB$44,$AF$44,E1671=$AB$45,$AF$45,E1671=$AB$46,$AF$46,E1671=$AB$47,$AF$47,E1671=$AB$48,$AF$48,E1671=$AB$49,$AF$49,E1671=$AB$50,$AF$50,E1671=$AB$51,$AF$51,E1671=$AB$52,$AF$52,E1671=$AB$53,$AF$53,E1671=$AB$54,$AF$54,E1671=$AB$55,$AF$55,E1671=$AB$56,$AF$56,E1671=$AB$57,$AF$57,E1671=$AB$58,$AF$58,E1671=$AB$59,$AF$59,E1671=$AB$60,$AF$60,E1671=$AB$61,$AF$61,E1671=$AB$62,$AF$62,E1671=$AB$63,$AF$63,E1671=$AB$64,$AF$64,E1671=$AB$65,$AF$65,E1671=$AB$66,$AF$66,TRUE,"0")</f>
        <v>20mins if  0-0, BACK over 1.5 goals X after goal OR LET RUN</v>
      </c>
      <c r="D1671" s="270" t="str" cm="1">
        <f t="array" ref="D1671">_xlfn.IFS(E1671=$AB$42,$AD$42,E1671=$AB$43,$AD$43,E1671=$AB$44,$AD$44,E1671=$AB$45,$AD$45,E1671=$AB$46,$AD$46,E1671=$AB$47,$AD$47,E1671=$AB$48,$AD$48,E1671=$AB$49,$AD$49,E1671=$AB$50,$AD$50,E1671=$AB$51,$AD$51,E1671=$AB$52,$AD$52,E1671=$AB$53,$AD$53,E1671=$AB$54,$AD$54,E1671=$AB$55,$AD$55,E1671=$AB$56,$AD$56,E1671=$AB$57,$AD$57,E1671=$AB$58,$AD$58,E1671=$AB$59,$AD$59,E1671=$AB$60,$AD$60,E1671=$AB$61,$AD$61,E1671=$AB$62,$AD$62,E1671=$AB$63,$AD$63,E1671=$AB$64,$AD$64,E1671=$AB$65,$AD$65,E1671=$AB$66,$AD$66,TRUE,"0")</f>
        <v>IP</v>
      </c>
      <c r="E1671" s="2" t="s">
        <v>474</v>
      </c>
      <c r="F1671" s="2" t="s">
        <v>296</v>
      </c>
      <c r="G1671" s="2" t="s">
        <v>525</v>
      </c>
      <c r="H1671" s="3">
        <v>45432.552083333336</v>
      </c>
      <c r="I1671" s="2" t="s">
        <v>529</v>
      </c>
      <c r="J1671" s="2" t="s">
        <v>526</v>
      </c>
      <c r="K1671" s="2">
        <v>56</v>
      </c>
      <c r="L1671" s="2">
        <v>2.75</v>
      </c>
      <c r="M1671" s="2">
        <v>20</v>
      </c>
      <c r="N1671" s="2">
        <v>60</v>
      </c>
      <c r="O1671" s="2">
        <v>85</v>
      </c>
      <c r="P1671" s="2"/>
      <c r="Q1671" s="2" t="s">
        <v>95</v>
      </c>
      <c r="R1671" s="10" t="s">
        <v>214</v>
      </c>
      <c r="S1671" s="10" t="s">
        <v>207</v>
      </c>
      <c r="T1671" s="188">
        <v>1000</v>
      </c>
      <c r="U1671" s="8">
        <f t="shared" si="185"/>
        <v>180</v>
      </c>
      <c r="V1671" s="234">
        <f t="shared" si="186"/>
        <v>178704.15524616028</v>
      </c>
      <c r="W1671" s="15">
        <v>25</v>
      </c>
      <c r="X1671" s="8">
        <f t="shared" si="187"/>
        <v>4.5</v>
      </c>
      <c r="Y1671" s="233">
        <f t="shared" si="182"/>
        <v>6333.5</v>
      </c>
    </row>
    <row r="1672" spans="1:25">
      <c r="A1672" s="156" t="e" cm="1">
        <f t="array" aca="1" ref="A1672" ca="1">_xlfn.IFS(E1672=$AB$42,$AC$42,E1672=$AB$43,$AC$43,E1672=$AB$44,$AC$44,E1672=$AB$45,$AC$45,E1672=$AB$46,$AC$46,E1672=$AB$47,$AC$47,E1672=$AB$48,$AC$48,E1672=$AB$49,$AC$49,E1672=$AB$50,$AC$50,E1672=$AB$51,$AC$51,E1672=$AB$52,$AC$52,E1672=$AB$53,$AC$53,E1672=$AB$54,$AC$54,E1672=$AB$55,$AC$55,E1672=$AB$56,$AC$56,E1672=$AB$57,$AC$57,E1672=$AB$58,$AC$58,E1672=$AB$59,$AC$59,E1672=$AB$60,$AC$60,E1672=$AB$61,$AC$61,E1672=$AB$62,$AC$62,E1672=$AB$63,$AC$63,E1672=$AB$64,$AC$64,E1672=$AB$65,$AC$65,E1672=$AB$66,$AC$66,TRUE,"0")</f>
        <v>#NAME?</v>
      </c>
      <c r="C1672" s="161" t="str" cm="1">
        <f t="array" ref="C1672">_xlfn.IFS(E1672=$AB$42,$AF$42,E1672=$AB$43,$AF$43,E1672=$AB$44,$AF$44,E1672=$AB$45,$AF$45,E1672=$AB$46,$AF$46,E1672=$AB$47,$AF$47,E1672=$AB$48,$AF$48,E1672=$AB$49,$AF$49,E1672=$AB$50,$AF$50,E1672=$AB$51,$AF$51,E1672=$AB$52,$AF$52,E1672=$AB$53,$AF$53,E1672=$AB$54,$AF$54,E1672=$AB$55,$AF$55,E1672=$AB$56,$AF$56,E1672=$AB$57,$AF$57,E1672=$AB$58,$AF$58,E1672=$AB$59,$AF$59,E1672=$AB$60,$AF$60,E1672=$AB$61,$AF$61,E1672=$AB$62,$AF$62,E1672=$AB$63,$AF$63,E1672=$AB$64,$AF$64,E1672=$AB$65,$AF$65,E1672=$AB$66,$AF$66,TRUE,"0")</f>
        <v>40 mins Back ANother Goal</v>
      </c>
      <c r="D1672" s="270" t="str" cm="1">
        <f t="array" ref="D1672">_xlfn.IFS(E1672=$AB$42,$AD$42,E1672=$AB$43,$AD$43,E1672=$AB$44,$AD$44,E1672=$AB$45,$AD$45,E1672=$AB$46,$AD$46,E1672=$AB$47,$AD$47,E1672=$AB$48,$AD$48,E1672=$AB$49,$AD$49,E1672=$AB$50,$AD$50,E1672=$AB$51,$AD$51,E1672=$AB$52,$AD$52,E1672=$AB$53,$AD$53,E1672=$AB$54,$AD$54,E1672=$AB$55,$AD$55,E1672=$AB$56,$AD$56,E1672=$AB$57,$AD$57,E1672=$AB$58,$AD$58,E1672=$AB$59,$AD$59,E1672=$AB$60,$AD$60,E1672=$AB$61,$AD$61,E1672=$AB$62,$AD$62,E1672=$AB$63,$AD$63,E1672=$AB$64,$AD$64,E1672=$AB$65,$AD$65,E1672=$AB$66,$AD$66,TRUE,"0")</f>
        <v xml:space="preserve">  BANG</v>
      </c>
      <c r="E1672" s="2" t="s">
        <v>726</v>
      </c>
      <c r="F1672" s="2" t="s">
        <v>296</v>
      </c>
      <c r="G1672" s="2" t="s">
        <v>525</v>
      </c>
      <c r="H1672" s="3">
        <v>45432.552083333336</v>
      </c>
      <c r="I1672" s="2" t="s">
        <v>596</v>
      </c>
      <c r="J1672" s="2" t="s">
        <v>685</v>
      </c>
      <c r="K1672" s="2">
        <v>90</v>
      </c>
      <c r="L1672" s="2">
        <v>20</v>
      </c>
      <c r="M1672" s="2">
        <v>2.5499999999999998</v>
      </c>
      <c r="N1672" s="2">
        <v>62</v>
      </c>
      <c r="O1672" s="2"/>
      <c r="P1672" s="2"/>
      <c r="Q1672" s="2" t="s">
        <v>95</v>
      </c>
      <c r="R1672" s="10" t="s">
        <v>193</v>
      </c>
      <c r="S1672" s="10" t="s">
        <v>210</v>
      </c>
      <c r="T1672" s="188">
        <v>1000</v>
      </c>
      <c r="U1672" s="8">
        <f t="shared" si="185"/>
        <v>180</v>
      </c>
      <c r="V1672" s="234">
        <f t="shared" si="186"/>
        <v>178884.15524616028</v>
      </c>
      <c r="W1672" s="15">
        <v>25</v>
      </c>
      <c r="X1672" s="8">
        <f t="shared" si="187"/>
        <v>4.5</v>
      </c>
      <c r="Y1672" s="233">
        <f t="shared" si="182"/>
        <v>6338</v>
      </c>
    </row>
    <row r="1673" spans="1:25">
      <c r="A1673" s="156" t="e" cm="1">
        <f t="array" aca="1" ref="A1673" ca="1">_xlfn.IFS(E1673=$AB$42,$AC$42,E1673=$AB$43,$AC$43,E1673=$AB$44,$AC$44,E1673=$AB$45,$AC$45,E1673=$AB$46,$AC$46,E1673=$AB$47,$AC$47,E1673=$AB$48,$AC$48,E1673=$AB$49,$AC$49,E1673=$AB$50,$AC$50,E1673=$AB$51,$AC$51,E1673=$AB$52,$AC$52,E1673=$AB$53,$AC$53,E1673=$AB$54,$AC$54,E1673=$AB$55,$AC$55,E1673=$AB$56,$AC$56,E1673=$AB$57,$AC$57,E1673=$AB$58,$AC$58,E1673=$AB$59,$AC$59,E1673=$AB$60,$AC$60,E1673=$AB$61,$AC$61,E1673=$AB$62,$AC$62,E1673=$AB$63,$AC$63,E1673=$AB$64,$AC$64,E1673=$AB$65,$AC$65,E1673=$AB$66,$AC$66,TRUE,"0")</f>
        <v>#NAME?</v>
      </c>
      <c r="C1673" s="161" t="str" cm="1">
        <f t="array" ref="C1673">_xlfn.IFS(E1673=$AB$42,$AF$42,E1673=$AB$43,$AF$43,E1673=$AB$44,$AF$44,E1673=$AB$45,$AF$45,E1673=$AB$46,$AF$46,E1673=$AB$47,$AF$47,E1673=$AB$48,$AF$48,E1673=$AB$49,$AF$49,E1673=$AB$50,$AF$50,E1673=$AB$51,$AF$51,E1673=$AB$52,$AF$52,E1673=$AB$53,$AF$53,E1673=$AB$54,$AF$54,E1673=$AB$55,$AF$55,E1673=$AB$56,$AF$56,E1673=$AB$57,$AF$57,E1673=$AB$58,$AF$58,E1673=$AB$59,$AF$59,E1673=$AB$60,$AF$60,E1673=$AB$61,$AF$61,E1673=$AB$62,$AF$62,E1673=$AB$63,$AF$63,E1673=$AB$64,$AF$64,E1673=$AB$65,$AF$65,E1673=$AB$66,$AF$66,TRUE,"0")</f>
        <v>if 0-0, BACK+ 0.5 GOALS  @ 1.15+odds.  or @ 40 mins</v>
      </c>
      <c r="D1673" s="270" t="str" cm="1">
        <f t="array" ref="D1673">_xlfn.IFS(E1673=$AB$42,$AD$42,E1673=$AB$43,$AD$43,E1673=$AB$44,$AD$44,E1673=$AB$45,$AD$45,E1673=$AB$46,$AD$46,E1673=$AB$47,$AD$47,E1673=$AB$48,$AD$48,E1673=$AB$49,$AD$49,E1673=$AB$50,$AD$50,E1673=$AB$51,$AD$51,E1673=$AB$52,$AD$52,E1673=$AB$53,$AD$53,E1673=$AB$54,$AD$54,E1673=$AB$55,$AD$55,E1673=$AB$56,$AD$56,E1673=$AB$57,$AD$57,E1673=$AB$58,$AD$58,E1673=$AB$59,$AD$59,E1673=$AB$60,$AD$60,E1673=$AB$61,$AD$61,E1673=$AB$62,$AD$62,E1673=$AB$63,$AD$63,E1673=$AB$64,$AD$64,E1673=$AB$65,$AD$65,E1673=$AB$66,$AD$66,TRUE,"0")</f>
        <v>IP</v>
      </c>
      <c r="E1673" s="2" t="s">
        <v>270</v>
      </c>
      <c r="F1673" s="2" t="s">
        <v>296</v>
      </c>
      <c r="G1673" s="2" t="s">
        <v>525</v>
      </c>
      <c r="H1673" s="3">
        <v>45432.552083333336</v>
      </c>
      <c r="I1673" s="2" t="s">
        <v>596</v>
      </c>
      <c r="J1673" s="2" t="s">
        <v>685</v>
      </c>
      <c r="K1673" s="2">
        <v>73</v>
      </c>
      <c r="L1673" s="2">
        <v>0</v>
      </c>
      <c r="M1673" s="2">
        <v>20</v>
      </c>
      <c r="N1673" s="2">
        <v>33</v>
      </c>
      <c r="O1673" s="2">
        <v>0</v>
      </c>
      <c r="P1673" s="2"/>
      <c r="Q1673" s="2" t="s">
        <v>95</v>
      </c>
      <c r="R1673" s="10" t="s">
        <v>193</v>
      </c>
      <c r="S1673" s="10" t="s">
        <v>210</v>
      </c>
      <c r="T1673" s="188">
        <v>1000</v>
      </c>
      <c r="U1673" s="8">
        <f t="shared" si="185"/>
        <v>180</v>
      </c>
      <c r="V1673" s="234">
        <f t="shared" si="186"/>
        <v>179064.15524616028</v>
      </c>
      <c r="W1673" s="15">
        <v>25</v>
      </c>
      <c r="X1673" s="8">
        <f t="shared" si="187"/>
        <v>4.5</v>
      </c>
      <c r="Y1673" s="233">
        <f t="shared" si="182"/>
        <v>6342.5</v>
      </c>
    </row>
    <row r="1674" spans="1:25">
      <c r="A1674" s="156" t="e" cm="1">
        <f t="array" aca="1" ref="A1674" ca="1">_xlfn.IFS(E1674=$AB$42,$AC$42,E1674=$AB$43,$AC$43,E1674=$AB$44,$AC$44,E1674=$AB$45,$AC$45,E1674=$AB$46,$AC$46,E1674=$AB$47,$AC$47,E1674=$AB$48,$AC$48,E1674=$AB$49,$AC$49,E1674=$AB$50,$AC$50,E1674=$AB$51,$AC$51,E1674=$AB$52,$AC$52,E1674=$AB$53,$AC$53,E1674=$AB$54,$AC$54,E1674=$AB$55,$AC$55,E1674=$AB$56,$AC$56,E1674=$AB$57,$AC$57,E1674=$AB$58,$AC$58,E1674=$AB$59,$AC$59,E1674=$AB$60,$AC$60,E1674=$AB$61,$AC$61,E1674=$AB$62,$AC$62,E1674=$AB$63,$AC$63,E1674=$AB$64,$AC$64,E1674=$AB$65,$AC$65,E1674=$AB$66,$AC$66,TRUE,"0")</f>
        <v>#NAME?</v>
      </c>
      <c r="C1674" s="161" t="str" cm="1">
        <f t="array" ref="C1674">_xlfn.IFS(E1674=$AB$42,$AF$42,E1674=$AB$43,$AF$43,E1674=$AB$44,$AF$44,E1674=$AB$45,$AF$45,E1674=$AB$46,$AF$46,E1674=$AB$47,$AF$47,E1674=$AB$48,$AF$48,E1674=$AB$49,$AF$49,E1674=$AB$50,$AF$50,E1674=$AB$51,$AF$51,E1674=$AB$52,$AF$52,E1674=$AB$53,$AF$53,E1674=$AB$54,$AF$54,E1674=$AB$55,$AF$55,E1674=$AB$56,$AF$56,E1674=$AB$57,$AF$57,E1674=$AB$58,$AF$58,E1674=$AB$59,$AF$59,E1674=$AB$60,$AF$60,E1674=$AB$61,$AF$61,E1674=$AB$62,$AF$62,E1674=$AB$63,$AF$63,E1674=$AB$64,$AF$64,E1674=$AB$65,$AF$65,E1674=$AB$66,$AF$66,TRUE,"0")</f>
        <v>40 mins Back ANother Goal</v>
      </c>
      <c r="D1674" s="270" t="str" cm="1">
        <f t="array" ref="D1674">_xlfn.IFS(E1674=$AB$42,$AD$42,E1674=$AB$43,$AD$43,E1674=$AB$44,$AD$44,E1674=$AB$45,$AD$45,E1674=$AB$46,$AD$46,E1674=$AB$47,$AD$47,E1674=$AB$48,$AD$48,E1674=$AB$49,$AD$49,E1674=$AB$50,$AD$50,E1674=$AB$51,$AD$51,E1674=$AB$52,$AD$52,E1674=$AB$53,$AD$53,E1674=$AB$54,$AD$54,E1674=$AB$55,$AD$55,E1674=$AB$56,$AD$56,E1674=$AB$57,$AD$57,E1674=$AB$58,$AD$58,E1674=$AB$59,$AD$59,E1674=$AB$60,$AD$60,E1674=$AB$61,$AD$61,E1674=$AB$62,$AD$62,E1674=$AB$63,$AD$63,E1674=$AB$64,$AD$64,E1674=$AB$65,$AD$65,E1674=$AB$66,$AD$66,TRUE,"0")</f>
        <v xml:space="preserve">  BANG</v>
      </c>
      <c r="E1674" s="2" t="s">
        <v>522</v>
      </c>
      <c r="F1674" s="2" t="s">
        <v>296</v>
      </c>
      <c r="G1674" s="2" t="s">
        <v>525</v>
      </c>
      <c r="H1674" s="3">
        <v>45432.552083333336</v>
      </c>
      <c r="I1674" s="2" t="s">
        <v>596</v>
      </c>
      <c r="J1674" s="2" t="s">
        <v>685</v>
      </c>
      <c r="K1674" s="2">
        <v>73</v>
      </c>
      <c r="L1674" s="2">
        <v>20</v>
      </c>
      <c r="M1674" s="2">
        <v>90</v>
      </c>
      <c r="N1674" s="2">
        <v>75</v>
      </c>
      <c r="O1674" s="2">
        <v>2.5499999999999998</v>
      </c>
      <c r="P1674" s="2"/>
      <c r="Q1674" s="2" t="s">
        <v>95</v>
      </c>
      <c r="R1674" s="10" t="s">
        <v>193</v>
      </c>
      <c r="S1674" s="10" t="s">
        <v>210</v>
      </c>
      <c r="T1674" s="188">
        <v>1000</v>
      </c>
      <c r="U1674" s="8">
        <f t="shared" si="185"/>
        <v>180</v>
      </c>
      <c r="V1674" s="234">
        <f t="shared" si="186"/>
        <v>179244.15524616028</v>
      </c>
      <c r="W1674" s="15">
        <v>25</v>
      </c>
      <c r="X1674" s="8">
        <f t="shared" si="187"/>
        <v>4.5</v>
      </c>
      <c r="Y1674" s="233">
        <f t="shared" si="182"/>
        <v>6347</v>
      </c>
    </row>
    <row r="1675" spans="1:25">
      <c r="A1675" s="156" t="e" cm="1">
        <f t="array" aca="1" ref="A1675" ca="1">_xlfn.IFS(E1675=$AB$42,$AC$42,E1675=$AB$43,$AC$43,E1675=$AB$44,$AC$44,E1675=$AB$45,$AC$45,E1675=$AB$46,$AC$46,E1675=$AB$47,$AC$47,E1675=$AB$48,$AC$48,E1675=$AB$49,$AC$49,E1675=$AB$50,$AC$50,E1675=$AB$51,$AC$51,E1675=$AB$52,$AC$52,E1675=$AB$53,$AC$53,E1675=$AB$54,$AC$54,E1675=$AB$55,$AC$55,E1675=$AB$56,$AC$56,E1675=$AB$57,$AC$57,E1675=$AB$58,$AC$58,E1675=$AB$59,$AC$59,E1675=$AB$60,$AC$60,E1675=$AB$61,$AC$61,E1675=$AB$62,$AC$62,E1675=$AB$63,$AC$63,E1675=$AB$64,$AC$64,E1675=$AB$65,$AC$65,E1675=$AB$66,$AC$66,TRUE,"0")</f>
        <v>#NAME?</v>
      </c>
      <c r="C1675" s="161" t="str" cm="1">
        <f t="array" ref="C1675">_xlfn.IFS(E1675=$AB$42,$AF$42,E1675=$AB$43,$AF$43,E1675=$AB$44,$AF$44,E1675=$AB$45,$AF$45,E1675=$AB$46,$AF$46,E1675=$AB$47,$AF$47,E1675=$AB$48,$AF$48,E1675=$AB$49,$AF$49,E1675=$AB$50,$AF$50,E1675=$AB$51,$AF$51,E1675=$AB$52,$AF$52,E1675=$AB$53,$AF$53,E1675=$AB$54,$AF$54,E1675=$AB$55,$AF$55,E1675=$AB$56,$AF$56,E1675=$AB$57,$AF$57,E1675=$AB$58,$AF$58,E1675=$AB$59,$AF$59,E1675=$AB$60,$AF$60,E1675=$AB$61,$AF$61,E1675=$AB$62,$AF$62,E1675=$AB$63,$AF$63,E1675=$AB$64,$AF$64,E1675=$AB$65,$AF$65,E1675=$AB$66,$AF$66,TRUE,"0")</f>
        <v>B4 Match, lay HT 0-0 or BACK H1 +0.5 GOALS</v>
      </c>
      <c r="D1675" s="270" t="str" cm="1">
        <f t="array" ref="D1675">_xlfn.IFS(E1675=$AB$42,$AD$42,E1675=$AB$43,$AD$43,E1675=$AB$44,$AD$44,E1675=$AB$45,$AD$45,E1675=$AB$46,$AD$46,E1675=$AB$47,$AD$47,E1675=$AB$48,$AD$48,E1675=$AB$49,$AD$49,E1675=$AB$50,$AD$50,E1675=$AB$51,$AD$51,E1675=$AB$52,$AD$52,E1675=$AB$53,$AD$53,E1675=$AB$54,$AD$54,E1675=$AB$55,$AD$55,E1675=$AB$56,$AD$56,E1675=$AB$57,$AD$57,E1675=$AB$58,$AD$58,E1675=$AB$59,$AD$59,E1675=$AB$60,$AD$60,E1675=$AB$61,$AD$61,E1675=$AB$62,$AD$62,E1675=$AB$63,$AD$63,E1675=$AB$64,$AD$64,E1675=$AB$65,$AD$65,E1675=$AB$66,$AD$66,TRUE,"0")</f>
        <v xml:space="preserve">BFM </v>
      </c>
      <c r="E1675" s="2" t="s">
        <v>432</v>
      </c>
      <c r="F1675" s="2" t="s">
        <v>640</v>
      </c>
      <c r="G1675" s="2" t="s">
        <v>641</v>
      </c>
      <c r="H1675" s="3">
        <v>45432.666666666664</v>
      </c>
      <c r="I1675" s="2" t="s">
        <v>745</v>
      </c>
      <c r="J1675" s="2" t="s">
        <v>691</v>
      </c>
      <c r="K1675" s="2">
        <v>5</v>
      </c>
      <c r="L1675" s="2">
        <v>20</v>
      </c>
      <c r="M1675" s="2">
        <v>16</v>
      </c>
      <c r="N1675" s="2">
        <v>13</v>
      </c>
      <c r="O1675" s="2">
        <v>24</v>
      </c>
      <c r="P1675" s="2">
        <v>1.5</v>
      </c>
      <c r="Q1675" s="2" t="s">
        <v>95</v>
      </c>
      <c r="R1675" s="10" t="s">
        <v>223</v>
      </c>
      <c r="S1675" s="10" t="s">
        <v>365</v>
      </c>
      <c r="T1675" s="188">
        <v>1000</v>
      </c>
      <c r="U1675" s="8">
        <f t="shared" si="185"/>
        <v>180</v>
      </c>
      <c r="V1675" s="234">
        <f t="shared" si="186"/>
        <v>179424.15524616028</v>
      </c>
      <c r="W1675" s="15">
        <v>25</v>
      </c>
      <c r="X1675" s="8">
        <f t="shared" si="187"/>
        <v>4.5</v>
      </c>
      <c r="Y1675" s="233">
        <f t="shared" si="182"/>
        <v>6351.5</v>
      </c>
    </row>
    <row r="1676" spans="1:25">
      <c r="A1676" s="156" t="e" cm="1">
        <f t="array" aca="1" ref="A1676" ca="1">_xlfn.IFS(E1676=$AB$42,$AC$42,E1676=$AB$43,$AC$43,E1676=$AB$44,$AC$44,E1676=$AB$45,$AC$45,E1676=$AB$46,$AC$46,E1676=$AB$47,$AC$47,E1676=$AB$48,$AC$48,E1676=$AB$49,$AC$49,E1676=$AB$50,$AC$50,E1676=$AB$51,$AC$51,E1676=$AB$52,$AC$52,E1676=$AB$53,$AC$53,E1676=$AB$54,$AC$54,E1676=$AB$55,$AC$55,E1676=$AB$56,$AC$56,E1676=$AB$57,$AC$57,E1676=$AB$58,$AC$58,E1676=$AB$59,$AC$59,E1676=$AB$60,$AC$60,E1676=$AB$61,$AC$61,E1676=$AB$62,$AC$62,E1676=$AB$63,$AC$63,E1676=$AB$64,$AC$64,E1676=$AB$65,$AC$65,E1676=$AB$66,$AC$66,TRUE,"0")</f>
        <v>#NAME?</v>
      </c>
      <c r="C1676" s="161" t="str" cm="1">
        <f t="array" ref="C1676">_xlfn.IFS(E1676=$AB$42,$AF$42,E1676=$AB$43,$AF$43,E1676=$AB$44,$AF$44,E1676=$AB$45,$AF$45,E1676=$AB$46,$AF$46,E1676=$AB$47,$AF$47,E1676=$AB$48,$AF$48,E1676=$AB$49,$AF$49,E1676=$AB$50,$AF$50,E1676=$AB$51,$AF$51,E1676=$AB$52,$AF$52,E1676=$AB$53,$AF$53,E1676=$AB$54,$AF$54,E1676=$AB$55,$AF$55,E1676=$AB$56,$AF$56,E1676=$AB$57,$AF$57,E1676=$AB$58,$AF$58,E1676=$AB$59,$AF$59,E1676=$AB$60,$AF$60,E1676=$AB$61,$AF$61,E1676=$AB$62,$AF$62,E1676=$AB$63,$AF$63,E1676=$AB$64,$AF$64,E1676=$AB$65,$AF$65,E1676=$AB$66,$AF$66,TRUE,"0")</f>
        <v>if 0-0, BACK+ 0.5 GOALS  @ 1.15+odds.  or @ 40 mins</v>
      </c>
      <c r="D1676" s="270" t="str" cm="1">
        <f t="array" ref="D1676">_xlfn.IFS(E1676=$AB$42,$AD$42,E1676=$AB$43,$AD$43,E1676=$AB$44,$AD$44,E1676=$AB$45,$AD$45,E1676=$AB$46,$AD$46,E1676=$AB$47,$AD$47,E1676=$AB$48,$AD$48,E1676=$AB$49,$AD$49,E1676=$AB$50,$AD$50,E1676=$AB$51,$AD$51,E1676=$AB$52,$AD$52,E1676=$AB$53,$AD$53,E1676=$AB$54,$AD$54,E1676=$AB$55,$AD$55,E1676=$AB$56,$AD$56,E1676=$AB$57,$AD$57,E1676=$AB$58,$AD$58,E1676=$AB$59,$AD$59,E1676=$AB$60,$AD$60,E1676=$AB$61,$AD$61,E1676=$AB$62,$AD$62,E1676=$AB$63,$AD$63,E1676=$AB$64,$AD$64,E1676=$AB$65,$AD$65,E1676=$AB$66,$AD$66,TRUE,"0")</f>
        <v>IP</v>
      </c>
      <c r="E1676" s="2" t="s">
        <v>270</v>
      </c>
      <c r="F1676" s="2" t="s">
        <v>296</v>
      </c>
      <c r="G1676" s="2" t="s">
        <v>78</v>
      </c>
      <c r="H1676" s="3">
        <v>45432.708333333336</v>
      </c>
      <c r="I1676" s="2" t="s">
        <v>297</v>
      </c>
      <c r="J1676" s="2" t="s">
        <v>367</v>
      </c>
      <c r="K1676" s="2">
        <v>66</v>
      </c>
      <c r="L1676" s="2">
        <v>0</v>
      </c>
      <c r="M1676" s="2">
        <v>20</v>
      </c>
      <c r="N1676" s="2">
        <v>39</v>
      </c>
      <c r="O1676" s="2">
        <v>2.52</v>
      </c>
      <c r="P1676" s="2"/>
      <c r="Q1676" s="2" t="s">
        <v>95</v>
      </c>
      <c r="R1676" s="10" t="s">
        <v>217</v>
      </c>
      <c r="S1676" s="10" t="s">
        <v>211</v>
      </c>
      <c r="T1676" s="188">
        <v>1000</v>
      </c>
      <c r="U1676" s="8">
        <f t="shared" si="185"/>
        <v>180</v>
      </c>
      <c r="V1676" s="234">
        <f t="shared" si="186"/>
        <v>179604.15524616028</v>
      </c>
      <c r="W1676" s="15">
        <v>25</v>
      </c>
      <c r="X1676" s="8">
        <f t="shared" si="187"/>
        <v>4.5</v>
      </c>
      <c r="Y1676" s="233">
        <f t="shared" si="182"/>
        <v>6356</v>
      </c>
    </row>
    <row r="1677" spans="1:25">
      <c r="A1677" s="156" t="e" cm="1">
        <f t="array" aca="1" ref="A1677" ca="1">_xlfn.IFS(E1677=$AB$42,$AC$42,E1677=$AB$43,$AC$43,E1677=$AB$44,$AC$44,E1677=$AB$45,$AC$45,E1677=$AB$46,$AC$46,E1677=$AB$47,$AC$47,E1677=$AB$48,$AC$48,E1677=$AB$49,$AC$49,E1677=$AB$50,$AC$50,E1677=$AB$51,$AC$51,E1677=$AB$52,$AC$52,E1677=$AB$53,$AC$53,E1677=$AB$54,$AC$54,E1677=$AB$55,$AC$55,E1677=$AB$56,$AC$56,E1677=$AB$57,$AC$57,E1677=$AB$58,$AC$58,E1677=$AB$59,$AC$59,E1677=$AB$60,$AC$60,E1677=$AB$61,$AC$61,E1677=$AB$62,$AC$62,E1677=$AB$63,$AC$63,E1677=$AB$64,$AC$64,E1677=$AB$65,$AC$65,E1677=$AB$66,$AC$66,TRUE,"0")</f>
        <v>#NAME?</v>
      </c>
      <c r="C1677" s="161" t="str" cm="1">
        <f t="array" ref="C1677">_xlfn.IFS(E1677=$AB$42,$AF$42,E1677=$AB$43,$AF$43,E1677=$AB$44,$AF$44,E1677=$AB$45,$AF$45,E1677=$AB$46,$AF$46,E1677=$AB$47,$AF$47,E1677=$AB$48,$AF$48,E1677=$AB$49,$AF$49,E1677=$AB$50,$AF$50,E1677=$AB$51,$AF$51,E1677=$AB$52,$AF$52,E1677=$AB$53,$AF$53,E1677=$AB$54,$AF$54,E1677=$AB$55,$AF$55,E1677=$AB$56,$AF$56,E1677=$AB$57,$AF$57,E1677=$AB$58,$AF$58,E1677=$AB$59,$AF$59,E1677=$AB$60,$AF$60,E1677=$AB$61,$AF$61,E1677=$AB$62,$AF$62,E1677=$AB$63,$AF$63,E1677=$AB$64,$AF$64,E1677=$AB$65,$AF$65,E1677=$AB$66,$AF$66,TRUE,"0")</f>
        <v>B4 MATCH bet H1 'under 2.5goals'- X at 40 minutes</v>
      </c>
      <c r="D1677" s="270" t="str" cm="1">
        <f t="array" ref="D1677">_xlfn.IFS(E1677=$AB$42,$AD$42,E1677=$AB$43,$AD$43,E1677=$AB$44,$AD$44,E1677=$AB$45,$AD$45,E1677=$AB$46,$AD$46,E1677=$AB$47,$AD$47,E1677=$AB$48,$AD$48,E1677=$AB$49,$AD$49,E1677=$AB$50,$AD$50,E1677=$AB$51,$AD$51,E1677=$AB$52,$AD$52,E1677=$AB$53,$AD$53,E1677=$AB$54,$AD$54,E1677=$AB$55,$AD$55,E1677=$AB$56,$AD$56,E1677=$AB$57,$AD$57,E1677=$AB$58,$AD$58,E1677=$AB$59,$AD$59,E1677=$AB$60,$AD$60,E1677=$AB$61,$AD$61,E1677=$AB$62,$AD$62,E1677=$AB$63,$AD$63,E1677=$AB$64,$AD$64,E1677=$AB$65,$AD$65,E1677=$AB$66,$AD$66,TRUE,"0")</f>
        <v xml:space="preserve">BFM </v>
      </c>
      <c r="E1677" s="160" t="s">
        <v>458</v>
      </c>
      <c r="F1677" s="2" t="s">
        <v>403</v>
      </c>
      <c r="G1677" s="2" t="s">
        <v>854</v>
      </c>
      <c r="H1677" s="3">
        <v>45432.958333333336</v>
      </c>
      <c r="I1677" s="2" t="s">
        <v>855</v>
      </c>
      <c r="J1677" s="2" t="s">
        <v>856</v>
      </c>
      <c r="K1677" s="2">
        <v>20</v>
      </c>
      <c r="L1677" s="2">
        <v>90</v>
      </c>
      <c r="M1677" s="2">
        <v>95</v>
      </c>
      <c r="N1677" s="2">
        <v>48</v>
      </c>
      <c r="O1677" s="2">
        <v>1.7</v>
      </c>
      <c r="P1677" s="2"/>
      <c r="Q1677" s="2" t="s">
        <v>95</v>
      </c>
      <c r="R1677" s="10" t="s">
        <v>193</v>
      </c>
      <c r="S1677" s="10" t="s">
        <v>216</v>
      </c>
      <c r="T1677" s="188">
        <v>1000</v>
      </c>
      <c r="U1677" s="8">
        <f t="shared" si="185"/>
        <v>180</v>
      </c>
      <c r="V1677" s="234">
        <f t="shared" si="186"/>
        <v>179784.15524616028</v>
      </c>
      <c r="W1677" s="15">
        <v>25</v>
      </c>
      <c r="X1677" s="8">
        <f t="shared" si="187"/>
        <v>4.5</v>
      </c>
      <c r="Y1677" s="233">
        <f t="shared" si="182"/>
        <v>6360.5</v>
      </c>
    </row>
    <row r="1678" spans="1:25">
      <c r="A1678" s="156" t="e" cm="1">
        <f t="array" aca="1" ref="A1678" ca="1">_xlfn.IFS(E1678=$AB$42,$AC$42,E1678=$AB$43,$AC$43,E1678=$AB$44,$AC$44,E1678=$AB$45,$AC$45,E1678=$AB$46,$AC$46,E1678=$AB$47,$AC$47,E1678=$AB$48,$AC$48,E1678=$AB$49,$AC$49,E1678=$AB$50,$AC$50,E1678=$AB$51,$AC$51,E1678=$AB$52,$AC$52,E1678=$AB$53,$AC$53,E1678=$AB$54,$AC$54,E1678=$AB$55,$AC$55,E1678=$AB$56,$AC$56,E1678=$AB$57,$AC$57,E1678=$AB$58,$AC$58,E1678=$AB$59,$AC$59,E1678=$AB$60,$AC$60,E1678=$AB$61,$AC$61,E1678=$AB$62,$AC$62,E1678=$AB$63,$AC$63,E1678=$AB$64,$AC$64,E1678=$AB$65,$AC$65,E1678=$AB$66,$AC$66,TRUE,"0")</f>
        <v>#NAME?</v>
      </c>
      <c r="C1678" s="161" t="str" cm="1">
        <f t="array" ref="C1678">_xlfn.IFS(E1678=$AB$42,$AF$42,E1678=$AB$43,$AF$43,E1678=$AB$44,$AF$44,E1678=$AB$45,$AF$45,E1678=$AB$46,$AF$46,E1678=$AB$47,$AF$47,E1678=$AB$48,$AF$48,E1678=$AB$49,$AF$49,E1678=$AB$50,$AF$50,E1678=$AB$51,$AF$51,E1678=$AB$52,$AF$52,E1678=$AB$53,$AF$53,E1678=$AB$54,$AF$54,E1678=$AB$55,$AF$55,E1678=$AB$56,$AF$56,E1678=$AB$57,$AF$57,E1678=$AB$58,$AF$58,E1678=$AB$59,$AF$59,E1678=$AB$60,$AF$60,E1678=$AB$61,$AF$61,E1678=$AB$62,$AF$62,E1678=$AB$63,$AF$63,E1678=$AB$64,$AF$64,E1678=$AB$65,$AF$65,E1678=$AB$66,$AF$66,TRUE,"0")</f>
        <v>40 mins Back ANother Goal</v>
      </c>
      <c r="D1678" s="270" t="str" cm="1">
        <f t="array" ref="D1678">_xlfn.IFS(E1678=$AB$42,$AD$42,E1678=$AB$43,$AD$43,E1678=$AB$44,$AD$44,E1678=$AB$45,$AD$45,E1678=$AB$46,$AD$46,E1678=$AB$47,$AD$47,E1678=$AB$48,$AD$48,E1678=$AB$49,$AD$49,E1678=$AB$50,$AD$50,E1678=$AB$51,$AD$51,E1678=$AB$52,$AD$52,E1678=$AB$53,$AD$53,E1678=$AB$54,$AD$54,E1678=$AB$55,$AD$55,E1678=$AB$56,$AD$56,E1678=$AB$57,$AD$57,E1678=$AB$58,$AD$58,E1678=$AB$59,$AD$59,E1678=$AB$60,$AD$60,E1678=$AB$61,$AD$61,E1678=$AB$62,$AD$62,E1678=$AB$63,$AD$63,E1678=$AB$64,$AD$64,E1678=$AB$65,$AD$65,E1678=$AB$66,$AD$66,TRUE,"0")</f>
        <v xml:space="preserve">  BANG</v>
      </c>
      <c r="E1678" s="2" t="s">
        <v>792</v>
      </c>
      <c r="F1678" s="2" t="s">
        <v>516</v>
      </c>
      <c r="G1678" s="2" t="s">
        <v>78</v>
      </c>
      <c r="H1678" s="3">
        <v>45433.524305555555</v>
      </c>
      <c r="I1678" s="2" t="s">
        <v>857</v>
      </c>
      <c r="J1678" s="2" t="s">
        <v>837</v>
      </c>
      <c r="K1678" s="2">
        <v>1.95</v>
      </c>
      <c r="L1678" s="2">
        <v>85</v>
      </c>
      <c r="M1678" s="2">
        <v>75</v>
      </c>
      <c r="N1678" s="2">
        <v>62</v>
      </c>
      <c r="O1678" s="2">
        <v>20</v>
      </c>
      <c r="P1678" s="2"/>
      <c r="Q1678" s="2" t="s">
        <v>95</v>
      </c>
      <c r="R1678" s="10" t="s">
        <v>222</v>
      </c>
      <c r="S1678" s="10" t="s">
        <v>215</v>
      </c>
      <c r="T1678" s="188">
        <v>1000</v>
      </c>
      <c r="U1678" s="8">
        <f t="shared" ref="U1678:U1682" si="188">IF(Q1678="won",T1678*0.18,-T1678)</f>
        <v>180</v>
      </c>
      <c r="V1678" s="234">
        <f t="shared" ref="V1678:V1682" si="189">SUM(V1677,U1678)</f>
        <v>179964.15524616028</v>
      </c>
      <c r="W1678" s="15">
        <v>25</v>
      </c>
      <c r="X1678" s="8">
        <f t="shared" ref="X1678:X1682" si="190">IF(Q1678="won",W1678*0.18,-W1678)</f>
        <v>4.5</v>
      </c>
      <c r="Y1678" s="233">
        <f t="shared" si="182"/>
        <v>6365</v>
      </c>
    </row>
    <row r="1679" spans="1:25">
      <c r="A1679" s="156" t="e" cm="1">
        <f t="array" aca="1" ref="A1679" ca="1">_xlfn.IFS(E1679=$AB$42,$AC$42,E1679=$AB$43,$AC$43,E1679=$AB$44,$AC$44,E1679=$AB$45,$AC$45,E1679=$AB$46,$AC$46,E1679=$AB$47,$AC$47,E1679=$AB$48,$AC$48,E1679=$AB$49,$AC$49,E1679=$AB$50,$AC$50,E1679=$AB$51,$AC$51,E1679=$AB$52,$AC$52,E1679=$AB$53,$AC$53,E1679=$AB$54,$AC$54,E1679=$AB$55,$AC$55,E1679=$AB$56,$AC$56,E1679=$AB$57,$AC$57,E1679=$AB$58,$AC$58,E1679=$AB$59,$AC$59,E1679=$AB$60,$AC$60,E1679=$AB$61,$AC$61,E1679=$AB$62,$AC$62,E1679=$AB$63,$AC$63,E1679=$AB$64,$AC$64,E1679=$AB$65,$AC$65,E1679=$AB$66,$AC$66,TRUE,"0")</f>
        <v>#NAME?</v>
      </c>
      <c r="C1679" s="161" t="str" cm="1">
        <f t="array" ref="C1679">_xlfn.IFS(E1679=$AB$42,$AF$42,E1679=$AB$43,$AF$43,E1679=$AB$44,$AF$44,E1679=$AB$45,$AF$45,E1679=$AB$46,$AF$46,E1679=$AB$47,$AF$47,E1679=$AB$48,$AF$48,E1679=$AB$49,$AF$49,E1679=$AB$50,$AF$50,E1679=$AB$51,$AF$51,E1679=$AB$52,$AF$52,E1679=$AB$53,$AF$53,E1679=$AB$54,$AF$54,E1679=$AB$55,$AF$55,E1679=$AB$56,$AF$56,E1679=$AB$57,$AF$57,E1679=$AB$58,$AF$58,E1679=$AB$59,$AF$59,E1679=$AB$60,$AF$60,E1679=$AB$61,$AF$61,E1679=$AB$62,$AF$62,E1679=$AB$63,$AF$63,E1679=$AB$64,$AF$64,E1679=$AB$65,$AF$65,E1679=$AB$66,$AF$66,TRUE,"0")</f>
        <v>40 mins Back ANother Goal</v>
      </c>
      <c r="D1679" s="270" t="str" cm="1">
        <f t="array" ref="D1679">_xlfn.IFS(E1679=$AB$42,$AD$42,E1679=$AB$43,$AD$43,E1679=$AB$44,$AD$44,E1679=$AB$45,$AD$45,E1679=$AB$46,$AD$46,E1679=$AB$47,$AD$47,E1679=$AB$48,$AD$48,E1679=$AB$49,$AD$49,E1679=$AB$50,$AD$50,E1679=$AB$51,$AD$51,E1679=$AB$52,$AD$52,E1679=$AB$53,$AD$53,E1679=$AB$54,$AD$54,E1679=$AB$55,$AD$55,E1679=$AB$56,$AD$56,E1679=$AB$57,$AD$57,E1679=$AB$58,$AD$58,E1679=$AB$59,$AD$59,E1679=$AB$60,$AD$60,E1679=$AB$61,$AD$61,E1679=$AB$62,$AD$62,E1679=$AB$63,$AD$63,E1679=$AB$64,$AD$64,E1679=$AB$65,$AD$65,E1679=$AB$66,$AD$66,TRUE,"0")</f>
        <v xml:space="preserve">  BANG</v>
      </c>
      <c r="E1679" s="2" t="s">
        <v>43</v>
      </c>
      <c r="F1679" s="2" t="s">
        <v>516</v>
      </c>
      <c r="G1679" s="2" t="s">
        <v>78</v>
      </c>
      <c r="H1679" s="3">
        <v>45433.541666666664</v>
      </c>
      <c r="I1679" s="2" t="s">
        <v>674</v>
      </c>
      <c r="J1679" s="2" t="s">
        <v>862</v>
      </c>
      <c r="K1679" s="2">
        <v>80</v>
      </c>
      <c r="L1679" s="2">
        <v>67</v>
      </c>
      <c r="M1679" s="2">
        <v>65</v>
      </c>
      <c r="N1679" s="2">
        <v>1.7</v>
      </c>
      <c r="O1679" s="2">
        <v>1.36</v>
      </c>
      <c r="P1679" s="2"/>
      <c r="Q1679" s="2" t="s">
        <v>95</v>
      </c>
      <c r="R1679" s="10" t="s">
        <v>221</v>
      </c>
      <c r="S1679" s="10" t="s">
        <v>216</v>
      </c>
      <c r="T1679" s="188">
        <v>1000</v>
      </c>
      <c r="U1679" s="8">
        <f t="shared" si="188"/>
        <v>180</v>
      </c>
      <c r="V1679" s="234">
        <f t="shared" si="189"/>
        <v>180144.15524616028</v>
      </c>
      <c r="W1679" s="15">
        <v>25</v>
      </c>
      <c r="X1679" s="8">
        <f t="shared" si="190"/>
        <v>4.5</v>
      </c>
      <c r="Y1679" s="233">
        <f t="shared" si="182"/>
        <v>6369.5</v>
      </c>
    </row>
    <row r="1680" spans="1:25">
      <c r="A1680" s="156" t="e" cm="1">
        <f t="array" aca="1" ref="A1680" ca="1">_xlfn.IFS(E1680=$AB$42,$AC$42,E1680=$AB$43,$AC$43,E1680=$AB$44,$AC$44,E1680=$AB$45,$AC$45,E1680=$AB$46,$AC$46,E1680=$AB$47,$AC$47,E1680=$AB$48,$AC$48,E1680=$AB$49,$AC$49,E1680=$AB$50,$AC$50,E1680=$AB$51,$AC$51,E1680=$AB$52,$AC$52,E1680=$AB$53,$AC$53,E1680=$AB$54,$AC$54,E1680=$AB$55,$AC$55,E1680=$AB$56,$AC$56,E1680=$AB$57,$AC$57,E1680=$AB$58,$AC$58,E1680=$AB$59,$AC$59,E1680=$AB$60,$AC$60,E1680=$AB$61,$AC$61,E1680=$AB$62,$AC$62,E1680=$AB$63,$AC$63,E1680=$AB$64,$AC$64,E1680=$AB$65,$AC$65,E1680=$AB$66,$AC$66,TRUE,"0")</f>
        <v>#NAME?</v>
      </c>
      <c r="C1680" s="161" t="str" cm="1">
        <f t="array" ref="C1680">_xlfn.IFS(E1680=$AB$42,$AF$42,E1680=$AB$43,$AF$43,E1680=$AB$44,$AF$44,E1680=$AB$45,$AF$45,E1680=$AB$46,$AF$46,E1680=$AB$47,$AF$47,E1680=$AB$48,$AF$48,E1680=$AB$49,$AF$49,E1680=$AB$50,$AF$50,E1680=$AB$51,$AF$51,E1680=$AB$52,$AF$52,E1680=$AB$53,$AF$53,E1680=$AB$54,$AF$54,E1680=$AB$55,$AF$55,E1680=$AB$56,$AF$56,E1680=$AB$57,$AF$57,E1680=$AB$58,$AF$58,E1680=$AB$59,$AF$59,E1680=$AB$60,$AF$60,E1680=$AB$61,$AF$61,E1680=$AB$62,$AF$62,E1680=$AB$63,$AF$63,E1680=$AB$64,$AF$64,E1680=$AB$65,$AF$65,E1680=$AB$66,$AF$66,TRUE,"0")</f>
        <v>B4 match BACK FT +1.5 goals. X AFTER  GOAL</v>
      </c>
      <c r="D1680" s="270" t="str" cm="1">
        <f t="array" ref="D1680">_xlfn.IFS(E1680=$AB$42,$AD$42,E1680=$AB$43,$AD$43,E1680=$AB$44,$AD$44,E1680=$AB$45,$AD$45,E1680=$AB$46,$AD$46,E1680=$AB$47,$AD$47,E1680=$AB$48,$AD$48,E1680=$AB$49,$AD$49,E1680=$AB$50,$AD$50,E1680=$AB$51,$AD$51,E1680=$AB$52,$AD$52,E1680=$AB$53,$AD$53,E1680=$AB$54,$AD$54,E1680=$AB$55,$AD$55,E1680=$AB$56,$AD$56,E1680=$AB$57,$AD$57,E1680=$AB$58,$AD$58,E1680=$AB$59,$AD$59,E1680=$AB$60,$AD$60,E1680=$AB$61,$AD$61,E1680=$AB$62,$AD$62,E1680=$AB$63,$AD$63,E1680=$AB$64,$AD$64,E1680=$AB$65,$AD$65,E1680=$AB$66,$AD$66,TRUE,"0")</f>
        <v xml:space="preserve">BFM </v>
      </c>
      <c r="E1680" s="2" t="s">
        <v>531</v>
      </c>
      <c r="F1680" s="2" t="s">
        <v>434</v>
      </c>
      <c r="G1680" s="2" t="s">
        <v>435</v>
      </c>
      <c r="H1680" s="3">
        <v>45433.75</v>
      </c>
      <c r="I1680" s="2" t="s">
        <v>464</v>
      </c>
      <c r="J1680" s="2" t="s">
        <v>476</v>
      </c>
      <c r="K1680" s="2">
        <v>6</v>
      </c>
      <c r="L1680" s="2">
        <v>30</v>
      </c>
      <c r="M1680" s="2">
        <v>2.97</v>
      </c>
      <c r="N1680" s="2">
        <v>31</v>
      </c>
      <c r="O1680" s="2">
        <v>1</v>
      </c>
      <c r="P1680" s="2">
        <v>15</v>
      </c>
      <c r="Q1680" s="2" t="s">
        <v>95</v>
      </c>
      <c r="R1680" s="10" t="s">
        <v>215</v>
      </c>
      <c r="S1680" s="10" t="s">
        <v>209</v>
      </c>
      <c r="T1680" s="188">
        <v>1000</v>
      </c>
      <c r="U1680" s="8">
        <f t="shared" si="188"/>
        <v>180</v>
      </c>
      <c r="V1680" s="234">
        <f t="shared" si="189"/>
        <v>180324.15524616028</v>
      </c>
      <c r="W1680" s="15">
        <v>25</v>
      </c>
      <c r="X1680" s="8">
        <f t="shared" si="190"/>
        <v>4.5</v>
      </c>
      <c r="Y1680" s="233">
        <f t="shared" si="182"/>
        <v>6374</v>
      </c>
    </row>
    <row r="1681" spans="1:37">
      <c r="A1681" s="156" t="e" cm="1">
        <f t="array" aca="1" ref="A1681" ca="1">_xlfn.IFS(E1681=$AB$42,$AC$42,E1681=$AB$43,$AC$43,E1681=$AB$44,$AC$44,E1681=$AB$45,$AC$45,E1681=$AB$46,$AC$46,E1681=$AB$47,$AC$47,E1681=$AB$48,$AC$48,E1681=$AB$49,$AC$49,E1681=$AB$50,$AC$50,E1681=$AB$51,$AC$51,E1681=$AB$52,$AC$52,E1681=$AB$53,$AC$53,E1681=$AB$54,$AC$54,E1681=$AB$55,$AC$55,E1681=$AB$56,$AC$56,E1681=$AB$57,$AC$57,E1681=$AB$58,$AC$58,E1681=$AB$59,$AC$59,E1681=$AB$60,$AC$60,E1681=$AB$61,$AC$61,E1681=$AB$62,$AC$62,E1681=$AB$63,$AC$63,E1681=$AB$64,$AC$64,E1681=$AB$65,$AC$65,E1681=$AB$66,$AC$66,TRUE,"0")</f>
        <v>#NAME?</v>
      </c>
      <c r="C1681" s="161" t="str" cm="1">
        <f t="array" ref="C1681">_xlfn.IFS(E1681=$AB$42,$AF$42,E1681=$AB$43,$AF$43,E1681=$AB$44,$AF$44,E1681=$AB$45,$AF$45,E1681=$AB$46,$AF$46,E1681=$AB$47,$AF$47,E1681=$AB$48,$AF$48,E1681=$AB$49,$AF$49,E1681=$AB$50,$AF$50,E1681=$AB$51,$AF$51,E1681=$AB$52,$AF$52,E1681=$AB$53,$AF$53,E1681=$AB$54,$AF$54,E1681=$AB$55,$AF$55,E1681=$AB$56,$AF$56,E1681=$AB$57,$AF$57,E1681=$AB$58,$AF$58,E1681=$AB$59,$AF$59,E1681=$AB$60,$AF$60,E1681=$AB$61,$AF$61,E1681=$AB$62,$AF$62,E1681=$AB$63,$AF$63,E1681=$AB$64,$AF$64,E1681=$AB$65,$AF$65,E1681=$AB$66,$AF$66,TRUE,"0")</f>
        <v>if 0-0, BACK+ 0.5 GOALS  @ 1.15+odds.  or @ 40 mins</v>
      </c>
      <c r="D1681" s="270" t="str" cm="1">
        <f t="array" ref="D1681">_xlfn.IFS(E1681=$AB$42,$AD$42,E1681=$AB$43,$AD$43,E1681=$AB$44,$AD$44,E1681=$AB$45,$AD$45,E1681=$AB$46,$AD$46,E1681=$AB$47,$AD$47,E1681=$AB$48,$AD$48,E1681=$AB$49,$AD$49,E1681=$AB$50,$AD$50,E1681=$AB$51,$AD$51,E1681=$AB$52,$AD$52,E1681=$AB$53,$AD$53,E1681=$AB$54,$AD$54,E1681=$AB$55,$AD$55,E1681=$AB$56,$AD$56,E1681=$AB$57,$AD$57,E1681=$AB$58,$AD$58,E1681=$AB$59,$AD$59,E1681=$AB$60,$AD$60,E1681=$AB$61,$AD$61,E1681=$AB$62,$AD$62,E1681=$AB$63,$AD$63,E1681=$AB$64,$AD$64,E1681=$AB$65,$AD$65,E1681=$AB$66,$AD$66,TRUE,"0")</f>
        <v>IP</v>
      </c>
      <c r="E1681" s="2" t="s">
        <v>270</v>
      </c>
      <c r="F1681" s="2" t="s">
        <v>434</v>
      </c>
      <c r="G1681" s="2" t="s">
        <v>435</v>
      </c>
      <c r="H1681" s="3">
        <v>45433.75</v>
      </c>
      <c r="I1681" s="2" t="s">
        <v>464</v>
      </c>
      <c r="J1681" s="2" t="s">
        <v>476</v>
      </c>
      <c r="K1681" s="2">
        <v>60</v>
      </c>
      <c r="L1681" s="2">
        <v>0</v>
      </c>
      <c r="M1681" s="2">
        <v>20</v>
      </c>
      <c r="N1681" s="2">
        <v>34</v>
      </c>
      <c r="O1681" s="2">
        <v>2.56</v>
      </c>
      <c r="P1681" s="2"/>
      <c r="Q1681" s="2" t="s">
        <v>95</v>
      </c>
      <c r="R1681" s="10" t="s">
        <v>215</v>
      </c>
      <c r="S1681" s="10" t="s">
        <v>209</v>
      </c>
      <c r="T1681" s="188">
        <v>1000</v>
      </c>
      <c r="U1681" s="8">
        <f t="shared" si="188"/>
        <v>180</v>
      </c>
      <c r="V1681" s="234">
        <f t="shared" si="189"/>
        <v>180504.15524616028</v>
      </c>
      <c r="W1681" s="15">
        <v>25</v>
      </c>
      <c r="X1681" s="8">
        <f t="shared" si="190"/>
        <v>4.5</v>
      </c>
      <c r="Y1681" s="233">
        <f t="shared" si="182"/>
        <v>6378.5</v>
      </c>
    </row>
    <row r="1682" spans="1:37">
      <c r="A1682" s="156" t="e" cm="1">
        <f t="array" aca="1" ref="A1682" ca="1">_xlfn.IFS(E1682=$AB$42,$AC$42,E1682=$AB$43,$AC$43,E1682=$AB$44,$AC$44,E1682=$AB$45,$AC$45,E1682=$AB$46,$AC$46,E1682=$AB$47,$AC$47,E1682=$AB$48,$AC$48,E1682=$AB$49,$AC$49,E1682=$AB$50,$AC$50,E1682=$AB$51,$AC$51,E1682=$AB$52,$AC$52,E1682=$AB$53,$AC$53,E1682=$AB$54,$AC$54,E1682=$AB$55,$AC$55,E1682=$AB$56,$AC$56,E1682=$AB$57,$AC$57,E1682=$AB$58,$AC$58,E1682=$AB$59,$AC$59,E1682=$AB$60,$AC$60,E1682=$AB$61,$AC$61,E1682=$AB$62,$AC$62,E1682=$AB$63,$AC$63,E1682=$AB$64,$AC$64,E1682=$AB$65,$AC$65,E1682=$AB$66,$AC$66,TRUE,"0")</f>
        <v>#NAME?</v>
      </c>
      <c r="C1682" s="161" t="str" cm="1">
        <f t="array" ref="C1682">_xlfn.IFS(E1682=$AB$42,$AF$42,E1682=$AB$43,$AF$43,E1682=$AB$44,$AF$44,E1682=$AB$45,$AF$45,E1682=$AB$46,$AF$46,E1682=$AB$47,$AF$47,E1682=$AB$48,$AF$48,E1682=$AB$49,$AF$49,E1682=$AB$50,$AF$50,E1682=$AB$51,$AF$51,E1682=$AB$52,$AF$52,E1682=$AB$53,$AF$53,E1682=$AB$54,$AF$54,E1682=$AB$55,$AF$55,E1682=$AB$56,$AF$56,E1682=$AB$57,$AF$57,E1682=$AB$58,$AF$58,E1682=$AB$59,$AF$59,E1682=$AB$60,$AF$60,E1682=$AB$61,$AF$61,E1682=$AB$62,$AF$62,E1682=$AB$63,$AF$63,E1682=$AB$64,$AF$64,E1682=$AB$65,$AF$65,E1682=$AB$66,$AF$66,TRUE,"0")</f>
        <v>B4 MATCH bet H1 'under 2.5goals'- X at 40 minutes</v>
      </c>
      <c r="D1682" s="270" t="str" cm="1">
        <f t="array" ref="D1682">_xlfn.IFS(E1682=$AB$42,$AD$42,E1682=$AB$43,$AD$43,E1682=$AB$44,$AD$44,E1682=$AB$45,$AD$45,E1682=$AB$46,$AD$46,E1682=$AB$47,$AD$47,E1682=$AB$48,$AD$48,E1682=$AB$49,$AD$49,E1682=$AB$50,$AD$50,E1682=$AB$51,$AD$51,E1682=$AB$52,$AD$52,E1682=$AB$53,$AD$53,E1682=$AB$54,$AD$54,E1682=$AB$55,$AD$55,E1682=$AB$56,$AD$56,E1682=$AB$57,$AD$57,E1682=$AB$58,$AD$58,E1682=$AB$59,$AD$59,E1682=$AB$60,$AD$60,E1682=$AB$61,$AD$61,E1682=$AB$62,$AD$62,E1682=$AB$63,$AD$63,E1682=$AB$64,$AD$64,E1682=$AB$65,$AD$65,E1682=$AB$66,$AD$66,TRUE,"0")</f>
        <v xml:space="preserve">BFM </v>
      </c>
      <c r="E1682" s="160" t="s">
        <v>458</v>
      </c>
      <c r="F1682" s="2" t="s">
        <v>403</v>
      </c>
      <c r="G1682" s="2" t="s">
        <v>854</v>
      </c>
      <c r="H1682" s="3">
        <v>45434</v>
      </c>
      <c r="I1682" s="2" t="s">
        <v>863</v>
      </c>
      <c r="J1682" s="2" t="s">
        <v>864</v>
      </c>
      <c r="K1682" s="2">
        <v>20</v>
      </c>
      <c r="L1682" s="2">
        <v>80</v>
      </c>
      <c r="M1682" s="2">
        <v>100</v>
      </c>
      <c r="N1682" s="2">
        <v>55</v>
      </c>
      <c r="O1682" s="2">
        <v>1.75</v>
      </c>
      <c r="P1682" s="2"/>
      <c r="Q1682" s="2" t="s">
        <v>95</v>
      </c>
      <c r="R1682" s="10" t="s">
        <v>214</v>
      </c>
      <c r="S1682" s="10" t="s">
        <v>214</v>
      </c>
      <c r="T1682" s="188">
        <v>1000</v>
      </c>
      <c r="U1682" s="8">
        <f t="shared" si="188"/>
        <v>180</v>
      </c>
      <c r="V1682" s="234">
        <f t="shared" si="189"/>
        <v>180684.15524616028</v>
      </c>
      <c r="W1682" s="15">
        <v>25</v>
      </c>
      <c r="X1682" s="8">
        <f t="shared" si="190"/>
        <v>4.5</v>
      </c>
      <c r="Y1682" s="233">
        <f t="shared" si="182"/>
        <v>6383</v>
      </c>
    </row>
    <row r="1683" spans="1:37">
      <c r="A1683" s="156" t="e" cm="1">
        <f t="array" aca="1" ref="A1683" ca="1">_xlfn.IFS(E1683=$AB$42,$AC$42,E1683=$AB$43,$AC$43,E1683=$AB$44,$AC$44,E1683=$AB$45,$AC$45,E1683=$AB$46,$AC$46,E1683=$AB$47,$AC$47,E1683=$AB$48,$AC$48,E1683=$AB$49,$AC$49,E1683=$AB$50,$AC$50,E1683=$AB$51,$AC$51,E1683=$AB$52,$AC$52,E1683=$AB$53,$AC$53,E1683=$AB$54,$AC$54,E1683=$AB$55,$AC$55,E1683=$AB$56,$AC$56,E1683=$AB$57,$AC$57,E1683=$AB$58,$AC$58,E1683=$AB$59,$AC$59,E1683=$AB$60,$AC$60,E1683=$AB$61,$AC$61,E1683=$AB$62,$AC$62,E1683=$AB$63,$AC$63,E1683=$AB$64,$AC$64,E1683=$AB$65,$AC$65,E1683=$AB$66,$AC$66,TRUE,"0")</f>
        <v>#NAME?</v>
      </c>
      <c r="C1683" s="161" t="str" cm="1">
        <f t="array" ref="C1683">_xlfn.IFS(E1683=$AB$42,$AF$42,E1683=$AB$43,$AF$43,E1683=$AB$44,$AF$44,E1683=$AB$45,$AF$45,E1683=$AB$46,$AF$46,E1683=$AB$47,$AF$47,E1683=$AB$48,$AF$48,E1683=$AB$49,$AF$49,E1683=$AB$50,$AF$50,E1683=$AB$51,$AF$51,E1683=$AB$52,$AF$52,E1683=$AB$53,$AF$53,E1683=$AB$54,$AF$54,E1683=$AB$55,$AF$55,E1683=$AB$56,$AF$56,E1683=$AB$57,$AF$57,E1683=$AB$58,$AF$58,E1683=$AB$59,$AF$59,E1683=$AB$60,$AF$60,E1683=$AB$61,$AF$61,E1683=$AB$62,$AF$62,E1683=$AB$63,$AF$63,E1683=$AB$64,$AF$64,E1683=$AB$65,$AF$65,E1683=$AB$66,$AF$66,TRUE,"0")</f>
        <v>40 mins Back ANother Goal</v>
      </c>
      <c r="D1683" s="270" t="str" cm="1">
        <f t="array" ref="D1683">_xlfn.IFS(E1683=$AB$42,$AD$42,E1683=$AB$43,$AD$43,E1683=$AB$44,$AD$44,E1683=$AB$45,$AD$45,E1683=$AB$46,$AD$46,E1683=$AB$47,$AD$47,E1683=$AB$48,$AD$48,E1683=$AB$49,$AD$49,E1683=$AB$50,$AD$50,E1683=$AB$51,$AD$51,E1683=$AB$52,$AD$52,E1683=$AB$53,$AD$53,E1683=$AB$54,$AD$54,E1683=$AB$55,$AD$55,E1683=$AB$56,$AD$56,E1683=$AB$57,$AD$57,E1683=$AB$58,$AD$58,E1683=$AB$59,$AD$59,E1683=$AB$60,$AD$60,E1683=$AB$61,$AD$61,E1683=$AB$62,$AD$62,E1683=$AB$63,$AD$63,E1683=$AB$64,$AD$64,E1683=$AB$65,$AD$65,E1683=$AB$66,$AD$66,TRUE,"0")</f>
        <v xml:space="preserve">  BANG</v>
      </c>
      <c r="E1683" s="2" t="s">
        <v>43</v>
      </c>
      <c r="F1683" s="2" t="s">
        <v>516</v>
      </c>
      <c r="G1683" s="2" t="s">
        <v>78</v>
      </c>
      <c r="H1683" s="3">
        <v>45434.524305555555</v>
      </c>
      <c r="I1683" s="2" t="s">
        <v>785</v>
      </c>
      <c r="J1683" s="2" t="s">
        <v>518</v>
      </c>
      <c r="K1683" s="2">
        <v>67</v>
      </c>
      <c r="L1683" s="2">
        <v>80</v>
      </c>
      <c r="M1683" s="2">
        <v>58</v>
      </c>
      <c r="N1683" s="2">
        <v>1.63</v>
      </c>
      <c r="O1683" s="2">
        <v>1.31</v>
      </c>
      <c r="P1683" s="2"/>
      <c r="Q1683" s="2" t="s">
        <v>95</v>
      </c>
      <c r="R1683" s="10" t="s">
        <v>217</v>
      </c>
      <c r="S1683" s="10" t="s">
        <v>210</v>
      </c>
      <c r="T1683" s="188">
        <v>1000</v>
      </c>
      <c r="U1683" s="8">
        <f t="shared" ref="U1683:U1684" si="191">IF(Q1683="won",T1683*0.18,-T1683)</f>
        <v>180</v>
      </c>
      <c r="V1683" s="234">
        <f t="shared" ref="V1683:V1684" si="192">SUM(V1682,U1683)</f>
        <v>180864.15524616028</v>
      </c>
      <c r="W1683" s="15">
        <v>25</v>
      </c>
      <c r="X1683" s="8">
        <f t="shared" ref="X1683:X1684" si="193">IF(Q1683="won",W1683*0.18,-W1683)</f>
        <v>4.5</v>
      </c>
      <c r="Y1683" s="233">
        <f t="shared" si="182"/>
        <v>6387.5</v>
      </c>
    </row>
    <row r="1684" spans="1:37">
      <c r="A1684" s="156" t="e" cm="1">
        <f t="array" aca="1" ref="A1684" ca="1">_xlfn.IFS(E1684=$AB$42,$AC$42,E1684=$AB$43,$AC$43,E1684=$AB$44,$AC$44,E1684=$AB$45,$AC$45,E1684=$AB$46,$AC$46,E1684=$AB$47,$AC$47,E1684=$AB$48,$AC$48,E1684=$AB$49,$AC$49,E1684=$AB$50,$AC$50,E1684=$AB$51,$AC$51,E1684=$AB$52,$AC$52,E1684=$AB$53,$AC$53,E1684=$AB$54,$AC$54,E1684=$AB$55,$AC$55,E1684=$AB$56,$AC$56,E1684=$AB$57,$AC$57,E1684=$AB$58,$AC$58,E1684=$AB$59,$AC$59,E1684=$AB$60,$AC$60,E1684=$AB$61,$AC$61,E1684=$AB$62,$AC$62,E1684=$AB$63,$AC$63,E1684=$AB$64,$AC$64,E1684=$AB$65,$AC$65,E1684=$AB$66,$AC$66,TRUE,"0")</f>
        <v>#NAME?</v>
      </c>
      <c r="C1684" s="161" t="str" cm="1">
        <f t="array" ref="C1684">_xlfn.IFS(E1684=$AB$42,$AF$42,E1684=$AB$43,$AF$43,E1684=$AB$44,$AF$44,E1684=$AB$45,$AF$45,E1684=$AB$46,$AF$46,E1684=$AB$47,$AF$47,E1684=$AB$48,$AF$48,E1684=$AB$49,$AF$49,E1684=$AB$50,$AF$50,E1684=$AB$51,$AF$51,E1684=$AB$52,$AF$52,E1684=$AB$53,$AF$53,E1684=$AB$54,$AF$54,E1684=$AB$55,$AF$55,E1684=$AB$56,$AF$56,E1684=$AB$57,$AF$57,E1684=$AB$58,$AF$58,E1684=$AB$59,$AF$59,E1684=$AB$60,$AF$60,E1684=$AB$61,$AF$61,E1684=$AB$62,$AF$62,E1684=$AB$63,$AF$63,E1684=$AB$64,$AF$64,E1684=$AB$65,$AF$65,E1684=$AB$66,$AF$66,TRUE,"0")</f>
        <v>40 mins Back ANother Goal</v>
      </c>
      <c r="D1684" s="270" t="str" cm="1">
        <f t="array" ref="D1684">_xlfn.IFS(E1684=$AB$42,$AD$42,E1684=$AB$43,$AD$43,E1684=$AB$44,$AD$44,E1684=$AB$45,$AD$45,E1684=$AB$46,$AD$46,E1684=$AB$47,$AD$47,E1684=$AB$48,$AD$48,E1684=$AB$49,$AD$49,E1684=$AB$50,$AD$50,E1684=$AB$51,$AD$51,E1684=$AB$52,$AD$52,E1684=$AB$53,$AD$53,E1684=$AB$54,$AD$54,E1684=$AB$55,$AD$55,E1684=$AB$56,$AD$56,E1684=$AB$57,$AD$57,E1684=$AB$58,$AD$58,E1684=$AB$59,$AD$59,E1684=$AB$60,$AD$60,E1684=$AB$61,$AD$61,E1684=$AB$62,$AD$62,E1684=$AB$63,$AD$63,E1684=$AB$64,$AD$64,E1684=$AB$65,$AD$65,E1684=$AB$66,$AD$66,TRUE,"0")</f>
        <v xml:space="preserve">  BANG</v>
      </c>
      <c r="E1684" s="2" t="s">
        <v>792</v>
      </c>
      <c r="F1684" s="2" t="s">
        <v>516</v>
      </c>
      <c r="G1684" s="2" t="s">
        <v>78</v>
      </c>
      <c r="H1684" s="3">
        <v>45434.541666666664</v>
      </c>
      <c r="I1684" s="2" t="s">
        <v>538</v>
      </c>
      <c r="J1684" s="2" t="s">
        <v>718</v>
      </c>
      <c r="K1684" s="2">
        <v>2.1</v>
      </c>
      <c r="L1684" s="2">
        <v>90</v>
      </c>
      <c r="M1684" s="2">
        <v>70</v>
      </c>
      <c r="N1684" s="2">
        <v>66</v>
      </c>
      <c r="O1684" s="2">
        <v>20</v>
      </c>
      <c r="P1684" s="2"/>
      <c r="Q1684" s="2" t="s">
        <v>95</v>
      </c>
      <c r="R1684" s="10" t="s">
        <v>221</v>
      </c>
      <c r="S1684" s="10" t="s">
        <v>220</v>
      </c>
      <c r="T1684" s="188">
        <v>1000</v>
      </c>
      <c r="U1684" s="8">
        <f t="shared" si="191"/>
        <v>180</v>
      </c>
      <c r="V1684" s="234">
        <f t="shared" si="192"/>
        <v>181044.15524616028</v>
      </c>
      <c r="W1684" s="15">
        <v>25</v>
      </c>
      <c r="X1684" s="8">
        <f t="shared" si="193"/>
        <v>4.5</v>
      </c>
      <c r="Y1684" s="233">
        <f t="shared" si="182"/>
        <v>6392</v>
      </c>
    </row>
    <row r="1685" spans="1:37">
      <c r="A1685" s="156" t="e" cm="1">
        <f t="array" aca="1" ref="A1685" ca="1">_xlfn.IFS(E1685=$AB$42,$AC$42,E1685=$AB$43,$AC$43,E1685=$AB$44,$AC$44,E1685=$AB$45,$AC$45,E1685=$AB$46,$AC$46,E1685=$AB$47,$AC$47,E1685=$AB$48,$AC$48,E1685=$AB$49,$AC$49,E1685=$AB$50,$AC$50,E1685=$AB$51,$AC$51,E1685=$AB$52,$AC$52,E1685=$AB$53,$AC$53,E1685=$AB$54,$AC$54,E1685=$AB$55,$AC$55,E1685=$AB$56,$AC$56,E1685=$AB$57,$AC$57,E1685=$AB$58,$AC$58,E1685=$AB$59,$AC$59,E1685=$AB$60,$AC$60,E1685=$AB$61,$AC$61,E1685=$AB$62,$AC$62,E1685=$AB$63,$AC$63,E1685=$AB$64,$AC$64,E1685=$AB$65,$AC$65,E1685=$AB$66,$AC$66,TRUE,"0")</f>
        <v>#NAME?</v>
      </c>
      <c r="C1685" s="161" t="str" cm="1">
        <f t="array" ref="C1685">_xlfn.IFS(E1685=$AB$42,$AF$42,E1685=$AB$43,$AF$43,E1685=$AB$44,$AF$44,E1685=$AB$45,$AF$45,E1685=$AB$46,$AF$46,E1685=$AB$47,$AF$47,E1685=$AB$48,$AF$48,E1685=$AB$49,$AF$49,E1685=$AB$50,$AF$50,E1685=$AB$51,$AF$51,E1685=$AB$52,$AF$52,E1685=$AB$53,$AF$53,E1685=$AB$54,$AF$54,E1685=$AB$55,$AF$55,E1685=$AB$56,$AF$56,E1685=$AB$57,$AF$57,E1685=$AB$58,$AF$58,E1685=$AB$59,$AF$59,E1685=$AB$60,$AF$60,E1685=$AB$61,$AF$61,E1685=$AB$62,$AF$62,E1685=$AB$63,$AF$63,E1685=$AB$64,$AF$64,E1685=$AB$65,$AF$65,E1685=$AB$66,$AF$66,TRUE,"0")</f>
        <v>B4 match BACK FT +1.5 goals. X AFTER  GOAL</v>
      </c>
      <c r="D1685" s="270" t="str" cm="1">
        <f t="array" ref="D1685">_xlfn.IFS(E1685=$AB$42,$AD$42,E1685=$AB$43,$AD$43,E1685=$AB$44,$AD$44,E1685=$AB$45,$AD$45,E1685=$AB$46,$AD$46,E1685=$AB$47,$AD$47,E1685=$AB$48,$AD$48,E1685=$AB$49,$AD$49,E1685=$AB$50,$AD$50,E1685=$AB$51,$AD$51,E1685=$AB$52,$AD$52,E1685=$AB$53,$AD$53,E1685=$AB$54,$AD$54,E1685=$AB$55,$AD$55,E1685=$AB$56,$AD$56,E1685=$AB$57,$AD$57,E1685=$AB$58,$AD$58,E1685=$AB$59,$AD$59,E1685=$AB$60,$AD$60,E1685=$AB$61,$AD$61,E1685=$AB$62,$AD$62,E1685=$AB$63,$AD$63,E1685=$AB$64,$AD$64,E1685=$AB$65,$AD$65,E1685=$AB$66,$AD$66,TRUE,"0")</f>
        <v xml:space="preserve">BFM </v>
      </c>
      <c r="E1685" s="2" t="s">
        <v>531</v>
      </c>
      <c r="F1685" s="2" t="s">
        <v>489</v>
      </c>
      <c r="G1685" s="2" t="s">
        <v>490</v>
      </c>
      <c r="H1685" s="3">
        <v>45436.583333333336</v>
      </c>
      <c r="I1685" s="2" t="s">
        <v>871</v>
      </c>
      <c r="J1685" s="2" t="s">
        <v>492</v>
      </c>
      <c r="K1685" s="2">
        <v>2.78</v>
      </c>
      <c r="L1685" s="2">
        <v>34</v>
      </c>
      <c r="M1685" s="2">
        <v>2.5299999999999998</v>
      </c>
      <c r="N1685" s="2">
        <v>34</v>
      </c>
      <c r="O1685" s="2">
        <v>2</v>
      </c>
      <c r="P1685" s="2">
        <v>17</v>
      </c>
      <c r="Q1685" s="2" t="s">
        <v>95</v>
      </c>
      <c r="R1685" s="10" t="s">
        <v>193</v>
      </c>
      <c r="S1685" s="10" t="s">
        <v>225</v>
      </c>
      <c r="T1685" s="188">
        <v>1000</v>
      </c>
      <c r="U1685" s="8">
        <f t="shared" ref="U1685:U1689" si="194">IF(Q1685="won",T1685*0.18,-T1685)</f>
        <v>180</v>
      </c>
      <c r="V1685" s="234">
        <f t="shared" ref="V1685:V1688" si="195">SUM(V1684,U1685)</f>
        <v>181224.15524616028</v>
      </c>
      <c r="W1685" s="15">
        <v>25</v>
      </c>
      <c r="X1685" s="8">
        <f t="shared" ref="X1685:X1689" si="196">IF(Q1685="won",W1685*0.18,-W1685)</f>
        <v>4.5</v>
      </c>
      <c r="Y1685" s="233">
        <f t="shared" si="182"/>
        <v>6396.5</v>
      </c>
    </row>
    <row r="1686" spans="1:37">
      <c r="A1686" s="156" t="e" cm="1">
        <f t="array" aca="1" ref="A1686" ca="1">_xlfn.IFS(E1686=$AB$42,$AC$42,E1686=$AB$43,$AC$43,E1686=$AB$44,$AC$44,E1686=$AB$45,$AC$45,E1686=$AB$46,$AC$46,E1686=$AB$47,$AC$47,E1686=$AB$48,$AC$48,E1686=$AB$49,$AC$49,E1686=$AB$50,$AC$50,E1686=$AB$51,$AC$51,E1686=$AB$52,$AC$52,E1686=$AB$53,$AC$53,E1686=$AB$54,$AC$54,E1686=$AB$55,$AC$55,E1686=$AB$56,$AC$56,E1686=$AB$57,$AC$57,E1686=$AB$58,$AC$58,E1686=$AB$59,$AC$59,E1686=$AB$60,$AC$60,E1686=$AB$61,$AC$61,E1686=$AB$62,$AC$62,E1686=$AB$63,$AC$63,E1686=$AB$64,$AC$64,E1686=$AB$65,$AC$65,E1686=$AB$66,$AC$66,TRUE,"0")</f>
        <v>#NAME?</v>
      </c>
      <c r="C1686" s="161" t="str" cm="1">
        <f t="array" ref="C1686">_xlfn.IFS(E1686=$AB$42,$AF$42,E1686=$AB$43,$AF$43,E1686=$AB$44,$AF$44,E1686=$AB$45,$AF$45,E1686=$AB$46,$AF$46,E1686=$AB$47,$AF$47,E1686=$AB$48,$AF$48,E1686=$AB$49,$AF$49,E1686=$AB$50,$AF$50,E1686=$AB$51,$AF$51,E1686=$AB$52,$AF$52,E1686=$AB$53,$AF$53,E1686=$AB$54,$AF$54,E1686=$AB$55,$AF$55,E1686=$AB$56,$AF$56,E1686=$AB$57,$AF$57,E1686=$AB$58,$AF$58,E1686=$AB$59,$AF$59,E1686=$AB$60,$AF$60,E1686=$AB$61,$AF$61,E1686=$AB$62,$AF$62,E1686=$AB$63,$AF$63,E1686=$AB$64,$AF$64,E1686=$AB$65,$AF$65,E1686=$AB$66,$AF$66,TRUE,"0")</f>
        <v>40 mins Back ANother Goal</v>
      </c>
      <c r="D1686" s="270" t="str" cm="1">
        <f t="array" ref="D1686">_xlfn.IFS(E1686=$AB$42,$AD$42,E1686=$AB$43,$AD$43,E1686=$AB$44,$AD$44,E1686=$AB$45,$AD$45,E1686=$AB$46,$AD$46,E1686=$AB$47,$AD$47,E1686=$AB$48,$AD$48,E1686=$AB$49,$AD$49,E1686=$AB$50,$AD$50,E1686=$AB$51,$AD$51,E1686=$AB$52,$AD$52,E1686=$AB$53,$AD$53,E1686=$AB$54,$AD$54,E1686=$AB$55,$AD$55,E1686=$AB$56,$AD$56,E1686=$AB$57,$AD$57,E1686=$AB$58,$AD$58,E1686=$AB$59,$AD$59,E1686=$AB$60,$AD$60,E1686=$AB$61,$AD$61,E1686=$AB$62,$AD$62,E1686=$AB$63,$AD$63,E1686=$AB$64,$AD$64,E1686=$AB$65,$AD$65,E1686=$AB$66,$AD$66,TRUE,"0")</f>
        <v xml:space="preserve">  BANG</v>
      </c>
      <c r="E1686" s="2" t="s">
        <v>726</v>
      </c>
      <c r="F1686" s="2" t="s">
        <v>489</v>
      </c>
      <c r="G1686" s="2" t="s">
        <v>490</v>
      </c>
      <c r="H1686" s="3">
        <v>45436.583333333336</v>
      </c>
      <c r="I1686" s="2" t="s">
        <v>858</v>
      </c>
      <c r="J1686" s="2" t="s">
        <v>820</v>
      </c>
      <c r="K1686" s="2">
        <v>80</v>
      </c>
      <c r="L1686" s="2">
        <v>20</v>
      </c>
      <c r="M1686" s="2">
        <v>1.9</v>
      </c>
      <c r="N1686" s="2">
        <v>64</v>
      </c>
      <c r="O1686" s="2"/>
      <c r="P1686" s="2"/>
      <c r="Q1686" s="2" t="s">
        <v>95</v>
      </c>
      <c r="R1686" s="10" t="s">
        <v>222</v>
      </c>
      <c r="S1686" s="10" t="s">
        <v>210</v>
      </c>
      <c r="T1686" s="188">
        <v>1000</v>
      </c>
      <c r="U1686" s="8">
        <f t="shared" si="194"/>
        <v>180</v>
      </c>
      <c r="V1686" s="234">
        <f t="shared" si="195"/>
        <v>181404.15524616028</v>
      </c>
      <c r="W1686" s="15">
        <v>25</v>
      </c>
      <c r="X1686" s="8">
        <f t="shared" si="196"/>
        <v>4.5</v>
      </c>
      <c r="Y1686" s="233">
        <f t="shared" si="182"/>
        <v>6401</v>
      </c>
    </row>
    <row r="1687" spans="1:37">
      <c r="A1687" s="156" t="e" cm="1">
        <f t="array" aca="1" ref="A1687" ca="1">_xlfn.IFS(E1687=$AB$42,$AC$42,E1687=$AB$43,$AC$43,E1687=$AB$44,$AC$44,E1687=$AB$45,$AC$45,E1687=$AB$46,$AC$46,E1687=$AB$47,$AC$47,E1687=$AB$48,$AC$48,E1687=$AB$49,$AC$49,E1687=$AB$50,$AC$50,E1687=$AB$51,$AC$51,E1687=$AB$52,$AC$52,E1687=$AB$53,$AC$53,E1687=$AB$54,$AC$54,E1687=$AB$55,$AC$55,E1687=$AB$56,$AC$56,E1687=$AB$57,$AC$57,E1687=$AB$58,$AC$58,E1687=$AB$59,$AC$59,E1687=$AB$60,$AC$60,E1687=$AB$61,$AC$61,E1687=$AB$62,$AC$62,E1687=$AB$63,$AC$63,E1687=$AB$64,$AC$64,E1687=$AB$65,$AC$65,E1687=$AB$66,$AC$66,TRUE,"0")</f>
        <v>#NAME?</v>
      </c>
      <c r="C1687" s="161" t="str" cm="1">
        <f t="array" ref="C1687">_xlfn.IFS(E1687=$AB$42,$AF$42,E1687=$AB$43,$AF$43,E1687=$AB$44,$AF$44,E1687=$AB$45,$AF$45,E1687=$AB$46,$AF$46,E1687=$AB$47,$AF$47,E1687=$AB$48,$AF$48,E1687=$AB$49,$AF$49,E1687=$AB$50,$AF$50,E1687=$AB$51,$AF$51,E1687=$AB$52,$AF$52,E1687=$AB$53,$AF$53,E1687=$AB$54,$AF$54,E1687=$AB$55,$AF$55,E1687=$AB$56,$AF$56,E1687=$AB$57,$AF$57,E1687=$AB$58,$AF$58,E1687=$AB$59,$AF$59,E1687=$AB$60,$AF$60,E1687=$AB$61,$AF$61,E1687=$AB$62,$AF$62,E1687=$AB$63,$AF$63,E1687=$AB$64,$AF$64,E1687=$AB$65,$AF$65,E1687=$AB$66,$AF$66,TRUE,"0")</f>
        <v>15mins if  0-0, BACK over 1.5 goals X after goal OR LET RUN</v>
      </c>
      <c r="D1687" s="270" t="str" cm="1">
        <f t="array" ref="D1687">_xlfn.IFS(E1687=$AB$42,$AD$42,E1687=$AB$43,$AD$43,E1687=$AB$44,$AD$44,E1687=$AB$45,$AD$45,E1687=$AB$46,$AD$46,E1687=$AB$47,$AD$47,E1687=$AB$48,$AD$48,E1687=$AB$49,$AD$49,E1687=$AB$50,$AD$50,E1687=$AB$51,$AD$51,E1687=$AB$52,$AD$52,E1687=$AB$53,$AD$53,E1687=$AB$54,$AD$54,E1687=$AB$55,$AD$55,E1687=$AB$56,$AD$56,E1687=$AB$57,$AD$57,E1687=$AB$58,$AD$58,E1687=$AB$59,$AD$59,E1687=$AB$60,$AD$60,E1687=$AB$61,$AD$61,E1687=$AB$62,$AD$62,E1687=$AB$63,$AD$63,E1687=$AB$64,$AD$64,E1687=$AB$65,$AD$65,E1687=$AB$66,$AD$66,TRUE,"0")</f>
        <v>IP</v>
      </c>
      <c r="E1687" s="2" t="s">
        <v>473</v>
      </c>
      <c r="F1687" s="2" t="s">
        <v>489</v>
      </c>
      <c r="G1687" s="2" t="s">
        <v>490</v>
      </c>
      <c r="H1687" s="3">
        <v>45436.583333333336</v>
      </c>
      <c r="I1687" s="2" t="s">
        <v>858</v>
      </c>
      <c r="J1687" s="2" t="s">
        <v>820</v>
      </c>
      <c r="K1687" s="2">
        <v>64</v>
      </c>
      <c r="L1687" s="2">
        <v>90</v>
      </c>
      <c r="M1687" s="2">
        <v>20</v>
      </c>
      <c r="N1687" s="2">
        <v>3.3</v>
      </c>
      <c r="O1687" s="2"/>
      <c r="P1687" s="2"/>
      <c r="Q1687" s="2" t="s">
        <v>95</v>
      </c>
      <c r="R1687" s="10" t="s">
        <v>222</v>
      </c>
      <c r="S1687" s="10" t="s">
        <v>210</v>
      </c>
      <c r="T1687" s="188">
        <v>1000</v>
      </c>
      <c r="U1687" s="8">
        <f t="shared" si="194"/>
        <v>180</v>
      </c>
      <c r="V1687" s="234">
        <f t="shared" si="195"/>
        <v>181584.15524616028</v>
      </c>
      <c r="W1687" s="15">
        <v>25</v>
      </c>
      <c r="X1687" s="8">
        <f t="shared" si="196"/>
        <v>4.5</v>
      </c>
      <c r="Y1687" s="233">
        <f t="shared" si="182"/>
        <v>6405.5</v>
      </c>
    </row>
    <row r="1688" spans="1:37">
      <c r="A1688" s="156" t="e" cm="1">
        <f t="array" aca="1" ref="A1688" ca="1">_xlfn.IFS(E1688=$AB$42,$AC$42,E1688=$AB$43,$AC$43,E1688=$AB$44,$AC$44,E1688=$AB$45,$AC$45,E1688=$AB$46,$AC$46,E1688=$AB$47,$AC$47,E1688=$AB$48,$AC$48,E1688=$AB$49,$AC$49,E1688=$AB$50,$AC$50,E1688=$AB$51,$AC$51,E1688=$AB$52,$AC$52,E1688=$AB$53,$AC$53,E1688=$AB$54,$AC$54,E1688=$AB$55,$AC$55,E1688=$AB$56,$AC$56,E1688=$AB$57,$AC$57,E1688=$AB$58,$AC$58,E1688=$AB$59,$AC$59,E1688=$AB$60,$AC$60,E1688=$AB$61,$AC$61,E1688=$AB$62,$AC$62,E1688=$AB$63,$AC$63,E1688=$AB$64,$AC$64,E1688=$AB$65,$AC$65,E1688=$AB$66,$AC$66,TRUE,"0")</f>
        <v>#NAME?</v>
      </c>
      <c r="C1688" s="161" t="str" cm="1">
        <f t="array" ref="C1688">_xlfn.IFS(E1688=$AB$42,$AF$42,E1688=$AB$43,$AF$43,E1688=$AB$44,$AF$44,E1688=$AB$45,$AF$45,E1688=$AB$46,$AF$46,E1688=$AB$47,$AF$47,E1688=$AB$48,$AF$48,E1688=$AB$49,$AF$49,E1688=$AB$50,$AF$50,E1688=$AB$51,$AF$51,E1688=$AB$52,$AF$52,E1688=$AB$53,$AF$53,E1688=$AB$54,$AF$54,E1688=$AB$55,$AF$55,E1688=$AB$56,$AF$56,E1688=$AB$57,$AF$57,E1688=$AB$58,$AF$58,E1688=$AB$59,$AF$59,E1688=$AB$60,$AF$60,E1688=$AB$61,$AF$61,E1688=$AB$62,$AF$62,E1688=$AB$63,$AF$63,E1688=$AB$64,$AF$64,E1688=$AB$65,$AF$65,E1688=$AB$66,$AF$66,TRUE,"0")</f>
        <v>B4 match BACK FT +1.5 goals. X AFTER  GOAL</v>
      </c>
      <c r="D1688" s="270" t="str" cm="1">
        <f t="array" ref="D1688">_xlfn.IFS(E1688=$AB$42,$AD$42,E1688=$AB$43,$AD$43,E1688=$AB$44,$AD$44,E1688=$AB$45,$AD$45,E1688=$AB$46,$AD$46,E1688=$AB$47,$AD$47,E1688=$AB$48,$AD$48,E1688=$AB$49,$AD$49,E1688=$AB$50,$AD$50,E1688=$AB$51,$AD$51,E1688=$AB$52,$AD$52,E1688=$AB$53,$AD$53,E1688=$AB$54,$AD$54,E1688=$AB$55,$AD$55,E1688=$AB$56,$AD$56,E1688=$AB$57,$AD$57,E1688=$AB$58,$AD$58,E1688=$AB$59,$AD$59,E1688=$AB$60,$AD$60,E1688=$AB$61,$AD$61,E1688=$AB$62,$AD$62,E1688=$AB$63,$AD$63,E1688=$AB$64,$AD$64,E1688=$AB$65,$AD$65,E1688=$AB$66,$AD$66,TRUE,"0")</f>
        <v xml:space="preserve">BFM </v>
      </c>
      <c r="E1688" s="2" t="s">
        <v>623</v>
      </c>
      <c r="F1688" s="2" t="s">
        <v>626</v>
      </c>
      <c r="G1688" s="2" t="s">
        <v>627</v>
      </c>
      <c r="H1688" s="3">
        <v>45436.729166666664</v>
      </c>
      <c r="I1688" s="2" t="s">
        <v>628</v>
      </c>
      <c r="J1688" s="2" t="s">
        <v>774</v>
      </c>
      <c r="K1688" s="2">
        <v>4.3</v>
      </c>
      <c r="L1688" s="2">
        <v>20</v>
      </c>
      <c r="M1688" s="2">
        <v>3.2</v>
      </c>
      <c r="N1688" s="2">
        <v>28</v>
      </c>
      <c r="O1688" s="2">
        <v>2</v>
      </c>
      <c r="P1688" s="2">
        <v>10</v>
      </c>
      <c r="Q1688" s="2" t="s">
        <v>95</v>
      </c>
      <c r="R1688" s="10" t="s">
        <v>193</v>
      </c>
      <c r="S1688" s="10" t="s">
        <v>209</v>
      </c>
      <c r="T1688" s="188">
        <v>1000</v>
      </c>
      <c r="U1688" s="8">
        <f t="shared" si="194"/>
        <v>180</v>
      </c>
      <c r="V1688" s="234">
        <f t="shared" si="195"/>
        <v>181764.15524616028</v>
      </c>
      <c r="W1688" s="15">
        <v>25</v>
      </c>
      <c r="X1688" s="8">
        <f t="shared" si="196"/>
        <v>4.5</v>
      </c>
      <c r="Y1688" s="233">
        <f t="shared" si="182"/>
        <v>6410</v>
      </c>
    </row>
    <row r="1689" spans="1:37" s="298" customFormat="1">
      <c r="A1689" s="287" t="e" cm="1">
        <f t="array" aca="1" ref="A1689" ca="1">_xlfn.IFS(E1689=$AB$42,$AC$42,E1689=$AB$43,$AC$43,E1689=$AB$44,$AC$44,E1689=$AB$45,$AC$45,E1689=$AB$46,$AC$46,E1689=$AB$47,$AC$47,E1689=$AB$48,$AC$48,E1689=$AB$49,$AC$49,E1689=$AB$50,$AC$50,E1689=$AB$51,$AC$51,E1689=$AB$52,$AC$52,E1689=$AB$53,$AC$53,E1689=$AB$54,$AC$54,E1689=$AB$55,$AC$55,E1689=$AB$56,$AC$56,E1689=$AB$57,$AC$57,E1689=$AB$58,$AC$58,E1689=$AB$59,$AC$59,E1689=$AB$60,$AC$60,E1689=$AB$61,$AC$61,E1689=$AB$62,$AC$62,E1689=$AB$63,$AC$63,E1689=$AB$64,$AC$64,E1689=$AB$65,$AC$65,E1689=$AB$66,$AC$66,TRUE,"0")</f>
        <v>#NAME?</v>
      </c>
      <c r="B1689" s="287"/>
      <c r="C1689" s="288" t="str" cm="1">
        <f t="array" ref="C1689">_xlfn.IFS(E1689=$AB$42,$AF$42,E1689=$AB$43,$AF$43,E1689=$AB$44,$AF$44,E1689=$AB$45,$AF$45,E1689=$AB$46,$AF$46,E1689=$AB$47,$AF$47,E1689=$AB$48,$AF$48,E1689=$AB$49,$AF$49,E1689=$AB$50,$AF$50,E1689=$AB$51,$AF$51,E1689=$AB$52,$AF$52,E1689=$AB$53,$AF$53,E1689=$AB$54,$AF$54,E1689=$AB$55,$AF$55,E1689=$AB$56,$AF$56,E1689=$AB$57,$AF$57,E1689=$AB$58,$AF$58,E1689=$AB$59,$AF$59,E1689=$AB$60,$AF$60,E1689=$AB$61,$AF$61,E1689=$AB$62,$AF$62,E1689=$AB$63,$AF$63,E1689=$AB$64,$AF$64,E1689=$AB$65,$AF$65,E1689=$AB$66,$AF$66,TRUE,"0")</f>
        <v>B4 match BACK FT +1.5 goals. X AFTER  GOAL</v>
      </c>
      <c r="D1689" s="289" t="str" cm="1">
        <f t="array" ref="D1689">_xlfn.IFS(E1689=$AB$42,$AD$42,E1689=$AB$43,$AD$43,E1689=$AB$44,$AD$44,E1689=$AB$45,$AD$45,E1689=$AB$46,$AD$46,E1689=$AB$47,$AD$47,E1689=$AB$48,$AD$48,E1689=$AB$49,$AD$49,E1689=$AB$50,$AD$50,E1689=$AB$51,$AD$51,E1689=$AB$52,$AD$52,E1689=$AB$53,$AD$53,E1689=$AB$54,$AD$54,E1689=$AB$55,$AD$55,E1689=$AB$56,$AD$56,E1689=$AB$57,$AD$57,E1689=$AB$58,$AD$58,E1689=$AB$59,$AD$59,E1689=$AB$60,$AD$60,E1689=$AB$61,$AD$61,E1689=$AB$62,$AD$62,E1689=$AB$63,$AD$63,E1689=$AB$64,$AD$64,E1689=$AB$65,$AD$65,E1689=$AB$66,$AD$66,TRUE,"0")</f>
        <v xml:space="preserve">BFM </v>
      </c>
      <c r="E1689" s="290" t="s">
        <v>623</v>
      </c>
      <c r="F1689" s="290" t="s">
        <v>80</v>
      </c>
      <c r="G1689" s="290" t="s">
        <v>81</v>
      </c>
      <c r="H1689" s="291">
        <v>45436.75</v>
      </c>
      <c r="I1689" s="290" t="s">
        <v>293</v>
      </c>
      <c r="J1689" s="290" t="s">
        <v>253</v>
      </c>
      <c r="K1689" s="290">
        <v>5.0999999999999996</v>
      </c>
      <c r="L1689" s="290">
        <v>20</v>
      </c>
      <c r="M1689" s="290">
        <v>3</v>
      </c>
      <c r="N1689" s="290">
        <v>39</v>
      </c>
      <c r="O1689" s="290">
        <v>2</v>
      </c>
      <c r="P1689" s="290">
        <v>10</v>
      </c>
      <c r="Q1689" s="290" t="s">
        <v>95</v>
      </c>
      <c r="R1689" s="292" t="s">
        <v>214</v>
      </c>
      <c r="S1689" s="292" t="s">
        <v>216</v>
      </c>
      <c r="T1689" s="293">
        <v>1000</v>
      </c>
      <c r="U1689" s="294">
        <f t="shared" si="194"/>
        <v>180</v>
      </c>
      <c r="V1689" s="295">
        <v>500</v>
      </c>
      <c r="W1689" s="296">
        <v>25</v>
      </c>
      <c r="X1689" s="294">
        <f t="shared" si="196"/>
        <v>4.5</v>
      </c>
      <c r="Y1689" s="297">
        <v>500</v>
      </c>
      <c r="AB1689" s="299"/>
      <c r="AC1689" s="300"/>
      <c r="AD1689" s="299"/>
      <c r="AE1689" s="299"/>
      <c r="AF1689" s="299"/>
      <c r="AG1689" s="300"/>
      <c r="AH1689" s="299"/>
      <c r="AK1689" s="301"/>
    </row>
    <row r="1690" spans="1:37">
      <c r="A1690" s="156" t="e" cm="1">
        <f t="array" aca="1" ref="A1690" ca="1">_xlfn.IFS(E1690=$AB$42,$AC$42,E1690=$AB$43,$AC$43,E1690=$AB$44,$AC$44,E1690=$AB$45,$AC$45,E1690=$AB$46,$AC$46,E1690=$AB$47,$AC$47,E1690=$AB$48,$AC$48,E1690=$AB$49,$AC$49,E1690=$AB$50,$AC$50,E1690=$AB$51,$AC$51,E1690=$AB$52,$AC$52,E1690=$AB$53,$AC$53,E1690=$AB$54,$AC$54,E1690=$AB$55,$AC$55,E1690=$AB$56,$AC$56,E1690=$AB$57,$AC$57,E1690=$AB$58,$AC$58,E1690=$AB$59,$AC$59,E1690=$AB$60,$AC$60,E1690=$AB$61,$AC$61,E1690=$AB$62,$AC$62,E1690=$AB$63,$AC$63,E1690=$AB$64,$AC$64,E1690=$AB$65,$AC$65,E1690=$AB$66,$AC$66,TRUE,"0")</f>
        <v>#NAME?</v>
      </c>
      <c r="C1690" s="161" t="str" cm="1">
        <f t="array" ref="C1690">_xlfn.IFS(E1690=$AB$42,$AF$42,E1690=$AB$43,$AF$43,E1690=$AB$44,$AF$44,E1690=$AB$45,$AF$45,E1690=$AB$46,$AF$46,E1690=$AB$47,$AF$47,E1690=$AB$48,$AF$48,E1690=$AB$49,$AF$49,E1690=$AB$50,$AF$50,E1690=$AB$51,$AF$51,E1690=$AB$52,$AF$52,E1690=$AB$53,$AF$53,E1690=$AB$54,$AF$54,E1690=$AB$55,$AF$55,E1690=$AB$56,$AF$56,E1690=$AB$57,$AF$57,E1690=$AB$58,$AF$58,E1690=$AB$59,$AF$59,E1690=$AB$60,$AF$60,E1690=$AB$61,$AF$61,E1690=$AB$62,$AF$62,E1690=$AB$63,$AF$63,E1690=$AB$64,$AF$64,E1690=$AB$65,$AF$65,E1690=$AB$66,$AF$66,TRUE,"0")</f>
        <v>40 mins Back ANother Goal</v>
      </c>
      <c r="D1690" s="270" t="str" cm="1">
        <f t="array" ref="D1690">_xlfn.IFS(E1690=$AB$42,$AD$42,E1690=$AB$43,$AD$43,E1690=$AB$44,$AD$44,E1690=$AB$45,$AD$45,E1690=$AB$46,$AD$46,E1690=$AB$47,$AD$47,E1690=$AB$48,$AD$48,E1690=$AB$49,$AD$49,E1690=$AB$50,$AD$50,E1690=$AB$51,$AD$51,E1690=$AB$52,$AD$52,E1690=$AB$53,$AD$53,E1690=$AB$54,$AD$54,E1690=$AB$55,$AD$55,E1690=$AB$56,$AD$56,E1690=$AB$57,$AD$57,E1690=$AB$58,$AD$58,E1690=$AB$59,$AD$59,E1690=$AB$60,$AD$60,E1690=$AB$61,$AD$61,E1690=$AB$62,$AD$62,E1690=$AB$63,$AD$63,E1690=$AB$64,$AD$64,E1690=$AB$65,$AD$65,E1690=$AB$66,$AD$66,TRUE,"0")</f>
        <v xml:space="preserve">  BANG</v>
      </c>
      <c r="E1690" s="2" t="s">
        <v>515</v>
      </c>
      <c r="F1690" s="2" t="s">
        <v>572</v>
      </c>
      <c r="G1690" s="2" t="s">
        <v>670</v>
      </c>
      <c r="H1690" s="3">
        <v>45437.333333333336</v>
      </c>
      <c r="I1690" s="2" t="s">
        <v>695</v>
      </c>
      <c r="J1690" s="2" t="s">
        <v>727</v>
      </c>
      <c r="K1690" s="2">
        <v>20</v>
      </c>
      <c r="L1690" s="2">
        <v>73</v>
      </c>
      <c r="M1690" s="2">
        <v>1.85</v>
      </c>
      <c r="N1690" s="2"/>
      <c r="O1690" s="2"/>
      <c r="P1690" s="2"/>
      <c r="Q1690" s="257" t="s">
        <v>95</v>
      </c>
      <c r="R1690" s="10" t="s">
        <v>193</v>
      </c>
      <c r="S1690" s="10" t="s">
        <v>223</v>
      </c>
      <c r="T1690" s="188">
        <f t="shared" ref="T1690:T1751" si="197">SUM(V1689*0.05)</f>
        <v>25</v>
      </c>
      <c r="U1690" s="8">
        <f t="shared" ref="U1690:U1691" si="198">IF(Q1690="won",T1690*0.18,-T1690)</f>
        <v>4.5</v>
      </c>
      <c r="V1690" s="234">
        <f t="shared" ref="V1690:V1691" si="199">SUM(V1689,U1690)</f>
        <v>504.5</v>
      </c>
      <c r="W1690" s="15">
        <v>25</v>
      </c>
      <c r="X1690" s="8">
        <f t="shared" ref="X1690:X1691" si="200">IF(Q1690="won",W1690*0.18,-W1690)</f>
        <v>4.5</v>
      </c>
      <c r="Y1690" s="233">
        <f t="shared" si="182"/>
        <v>504.5</v>
      </c>
    </row>
    <row r="1691" spans="1:37">
      <c r="A1691" s="156" t="e" cm="1">
        <f t="array" aca="1" ref="A1691" ca="1">_xlfn.IFS(E1691=$AB$42,$AC$42,E1691=$AB$43,$AC$43,E1691=$AB$44,$AC$44,E1691=$AB$45,$AC$45,E1691=$AB$46,$AC$46,E1691=$AB$47,$AC$47,E1691=$AB$48,$AC$48,E1691=$AB$49,$AC$49,E1691=$AB$50,$AC$50,E1691=$AB$51,$AC$51,E1691=$AB$52,$AC$52,E1691=$AB$53,$AC$53,E1691=$AB$54,$AC$54,E1691=$AB$55,$AC$55,E1691=$AB$56,$AC$56,E1691=$AB$57,$AC$57,E1691=$AB$58,$AC$58,E1691=$AB$59,$AC$59,E1691=$AB$60,$AC$60,E1691=$AB$61,$AC$61,E1691=$AB$62,$AC$62,E1691=$AB$63,$AC$63,E1691=$AB$64,$AC$64,E1691=$AB$65,$AC$65,E1691=$AB$66,$AC$66,TRUE,"0")</f>
        <v>#NAME?</v>
      </c>
      <c r="C1691" s="161" t="str" cm="1">
        <f t="array" ref="C1691">_xlfn.IFS(E1691=$AB$42,$AF$42,E1691=$AB$43,$AF$43,E1691=$AB$44,$AF$44,E1691=$AB$45,$AF$45,E1691=$AB$46,$AF$46,E1691=$AB$47,$AF$47,E1691=$AB$48,$AF$48,E1691=$AB$49,$AF$49,E1691=$AB$50,$AF$50,E1691=$AB$51,$AF$51,E1691=$AB$52,$AF$52,E1691=$AB$53,$AF$53,E1691=$AB$54,$AF$54,E1691=$AB$55,$AF$55,E1691=$AB$56,$AF$56,E1691=$AB$57,$AF$57,E1691=$AB$58,$AF$58,E1691=$AB$59,$AF$59,E1691=$AB$60,$AF$60,E1691=$AB$61,$AF$61,E1691=$AB$62,$AF$62,E1691=$AB$63,$AF$63,E1691=$AB$64,$AF$64,E1691=$AB$65,$AF$65,E1691=$AB$66,$AF$66,TRUE,"0")</f>
        <v>40 mins Back ANother Goal</v>
      </c>
      <c r="D1691" s="270" t="str" cm="1">
        <f t="array" ref="D1691">_xlfn.IFS(E1691=$AB$42,$AD$42,E1691=$AB$43,$AD$43,E1691=$AB$44,$AD$44,E1691=$AB$45,$AD$45,E1691=$AB$46,$AD$46,E1691=$AB$47,$AD$47,E1691=$AB$48,$AD$48,E1691=$AB$49,$AD$49,E1691=$AB$50,$AD$50,E1691=$AB$51,$AD$51,E1691=$AB$52,$AD$52,E1691=$AB$53,$AD$53,E1691=$AB$54,$AD$54,E1691=$AB$55,$AD$55,E1691=$AB$56,$AD$56,E1691=$AB$57,$AD$57,E1691=$AB$58,$AD$58,E1691=$AB$59,$AD$59,E1691=$AB$60,$AD$60,E1691=$AB$61,$AD$61,E1691=$AB$62,$AD$62,E1691=$AB$63,$AD$63,E1691=$AB$64,$AD$64,E1691=$AB$65,$AD$65,E1691=$AB$66,$AD$66,TRUE,"0")</f>
        <v xml:space="preserve">  BANG</v>
      </c>
      <c r="E1691" s="2" t="s">
        <v>876</v>
      </c>
      <c r="F1691" s="2" t="s">
        <v>572</v>
      </c>
      <c r="G1691" s="2" t="s">
        <v>670</v>
      </c>
      <c r="H1691" s="3">
        <v>45437.333333333336</v>
      </c>
      <c r="I1691" s="2" t="s">
        <v>695</v>
      </c>
      <c r="J1691" s="2" t="s">
        <v>727</v>
      </c>
      <c r="K1691" s="2">
        <v>20</v>
      </c>
      <c r="L1691" s="2">
        <v>73</v>
      </c>
      <c r="M1691" s="2">
        <v>1.85</v>
      </c>
      <c r="N1691" s="2"/>
      <c r="O1691" s="2"/>
      <c r="P1691" s="2"/>
      <c r="Q1691" s="2" t="s">
        <v>95</v>
      </c>
      <c r="R1691" s="10" t="s">
        <v>193</v>
      </c>
      <c r="S1691" s="10" t="s">
        <v>223</v>
      </c>
      <c r="T1691" s="188">
        <f t="shared" si="197"/>
        <v>25.225000000000001</v>
      </c>
      <c r="U1691" s="8">
        <f t="shared" si="198"/>
        <v>4.5404999999999998</v>
      </c>
      <c r="V1691" s="234">
        <f t="shared" si="199"/>
        <v>509.04050000000001</v>
      </c>
      <c r="W1691" s="15">
        <v>25</v>
      </c>
      <c r="X1691" s="8">
        <f t="shared" si="200"/>
        <v>4.5</v>
      </c>
      <c r="Y1691" s="233">
        <f t="shared" si="182"/>
        <v>509</v>
      </c>
    </row>
    <row r="1692" spans="1:37">
      <c r="A1692" s="156" t="e" cm="1">
        <f t="array" aca="1" ref="A1692" ca="1">_xlfn.IFS(E1692=$AB$42,$AC$42,E1692=$AB$43,$AC$43,E1692=$AB$44,$AC$44,E1692=$AB$45,$AC$45,E1692=$AB$46,$AC$46,E1692=$AB$47,$AC$47,E1692=$AB$48,$AC$48,E1692=$AB$49,$AC$49,E1692=$AB$50,$AC$50,E1692=$AB$51,$AC$51,E1692=$AB$52,$AC$52,E1692=$AB$53,$AC$53,E1692=$AB$54,$AC$54,E1692=$AB$55,$AC$55,E1692=$AB$56,$AC$56,E1692=$AB$57,$AC$57,E1692=$AB$58,$AC$58,E1692=$AB$59,$AC$59,E1692=$AB$60,$AC$60,E1692=$AB$61,$AC$61,E1692=$AB$62,$AC$62,E1692=$AB$63,$AC$63,E1692=$AB$64,$AC$64,E1692=$AB$65,$AC$65,E1692=$AB$66,$AC$66,TRUE,"0")</f>
        <v>#NAME?</v>
      </c>
      <c r="C1692" s="161" t="str" cm="1">
        <f t="array" ref="C1692">_xlfn.IFS(E1692=$AB$42,$AF$42,E1692=$AB$43,$AF$43,E1692=$AB$44,$AF$44,E1692=$AB$45,$AF$45,E1692=$AB$46,$AF$46,E1692=$AB$47,$AF$47,E1692=$AB$48,$AF$48,E1692=$AB$49,$AF$49,E1692=$AB$50,$AF$50,E1692=$AB$51,$AF$51,E1692=$AB$52,$AF$52,E1692=$AB$53,$AF$53,E1692=$AB$54,$AF$54,E1692=$AB$55,$AF$55,E1692=$AB$56,$AF$56,E1692=$AB$57,$AF$57,E1692=$AB$58,$AF$58,E1692=$AB$59,$AF$59,E1692=$AB$60,$AF$60,E1692=$AB$61,$AF$61,E1692=$AB$62,$AF$62,E1692=$AB$63,$AF$63,E1692=$AB$64,$AF$64,E1692=$AB$65,$AF$65,E1692=$AB$66,$AF$66,TRUE,"0")</f>
        <v>40 mins Back ANother Goal</v>
      </c>
      <c r="D1692" s="270" t="str" cm="1">
        <f t="array" ref="D1692">_xlfn.IFS(E1692=$AB$42,$AD$42,E1692=$AB$43,$AD$43,E1692=$AB$44,$AD$44,E1692=$AB$45,$AD$45,E1692=$AB$46,$AD$46,E1692=$AB$47,$AD$47,E1692=$AB$48,$AD$48,E1692=$AB$49,$AD$49,E1692=$AB$50,$AD$50,E1692=$AB$51,$AD$51,E1692=$AB$52,$AD$52,E1692=$AB$53,$AD$53,E1692=$AB$54,$AD$54,E1692=$AB$55,$AD$55,E1692=$AB$56,$AD$56,E1692=$AB$57,$AD$57,E1692=$AB$58,$AD$58,E1692=$AB$59,$AD$59,E1692=$AB$60,$AD$60,E1692=$AB$61,$AD$61,E1692=$AB$62,$AD$62,E1692=$AB$63,$AD$63,E1692=$AB$64,$AD$64,E1692=$AB$65,$AD$65,E1692=$AB$66,$AD$66,TRUE,"0")</f>
        <v xml:space="preserve">  BANG</v>
      </c>
      <c r="E1692" s="2" t="s">
        <v>877</v>
      </c>
      <c r="F1692" s="2" t="s">
        <v>878</v>
      </c>
      <c r="G1692" s="2" t="s">
        <v>62</v>
      </c>
      <c r="H1692" s="3">
        <v>45437.458333333336</v>
      </c>
      <c r="I1692" s="2" t="s">
        <v>879</v>
      </c>
      <c r="J1692" s="2" t="s">
        <v>880</v>
      </c>
      <c r="K1692" s="2">
        <v>2.15</v>
      </c>
      <c r="L1692" s="2">
        <v>85</v>
      </c>
      <c r="M1692" s="2">
        <v>65</v>
      </c>
      <c r="N1692" s="2">
        <v>60</v>
      </c>
      <c r="O1692" s="2">
        <v>20</v>
      </c>
      <c r="P1692" s="2"/>
      <c r="Q1692" s="2" t="s">
        <v>95</v>
      </c>
      <c r="R1692" s="10" t="s">
        <v>220</v>
      </c>
      <c r="S1692" s="10" t="s">
        <v>472</v>
      </c>
      <c r="T1692" s="188">
        <f t="shared" si="197"/>
        <v>25.452025000000003</v>
      </c>
      <c r="U1692" s="8">
        <f t="shared" ref="U1692:U1701" si="201">IF(Q1692="won",T1692*0.18,-T1692)</f>
        <v>4.5813645000000003</v>
      </c>
      <c r="V1692" s="234">
        <f t="shared" ref="V1692:V1701" si="202">SUM(V1691,U1692)</f>
        <v>513.62186450000002</v>
      </c>
      <c r="W1692" s="15">
        <v>25</v>
      </c>
      <c r="X1692" s="8">
        <f t="shared" ref="X1692:X1701" si="203">IF(Q1692="won",W1692*0.18,-W1692)</f>
        <v>4.5</v>
      </c>
      <c r="Y1692" s="233">
        <f t="shared" si="182"/>
        <v>513.5</v>
      </c>
    </row>
    <row r="1693" spans="1:37">
      <c r="A1693" s="156" t="e" cm="1">
        <f t="array" aca="1" ref="A1693" ca="1">_xlfn.IFS(E1693=$AB$42,$AC$42,E1693=$AB$43,$AC$43,E1693=$AB$44,$AC$44,E1693=$AB$45,$AC$45,E1693=$AB$46,$AC$46,E1693=$AB$47,$AC$47,E1693=$AB$48,$AC$48,E1693=$AB$49,$AC$49,E1693=$AB$50,$AC$50,E1693=$AB$51,$AC$51,E1693=$AB$52,$AC$52,E1693=$AB$53,$AC$53,E1693=$AB$54,$AC$54,E1693=$AB$55,$AC$55,E1693=$AB$56,$AC$56,E1693=$AB$57,$AC$57,E1693=$AB$58,$AC$58,E1693=$AB$59,$AC$59,E1693=$AB$60,$AC$60,E1693=$AB$61,$AC$61,E1693=$AB$62,$AC$62,E1693=$AB$63,$AC$63,E1693=$AB$64,$AC$64,E1693=$AB$65,$AC$65,E1693=$AB$66,$AC$66,TRUE,"0")</f>
        <v>#NAME?</v>
      </c>
      <c r="C1693" s="161" t="str" cm="1">
        <f t="array" ref="C1693">_xlfn.IFS(E1693=$AB$42,$AF$42,E1693=$AB$43,$AF$43,E1693=$AB$44,$AF$44,E1693=$AB$45,$AF$45,E1693=$AB$46,$AF$46,E1693=$AB$47,$AF$47,E1693=$AB$48,$AF$48,E1693=$AB$49,$AF$49,E1693=$AB$50,$AF$50,E1693=$AB$51,$AF$51,E1693=$AB$52,$AF$52,E1693=$AB$53,$AF$53,E1693=$AB$54,$AF$54,E1693=$AB$55,$AF$55,E1693=$AB$56,$AF$56,E1693=$AB$57,$AF$57,E1693=$AB$58,$AF$58,E1693=$AB$59,$AF$59,E1693=$AB$60,$AF$60,E1693=$AB$61,$AF$61,E1693=$AB$62,$AF$62,E1693=$AB$63,$AF$63,E1693=$AB$64,$AF$64,E1693=$AB$65,$AF$65,E1693=$AB$66,$AF$66,TRUE,"0")</f>
        <v>40 mins Back ANother Goal</v>
      </c>
      <c r="D1693" s="270" t="str" cm="1">
        <f t="array" ref="D1693">_xlfn.IFS(E1693=$AB$42,$AD$42,E1693=$AB$43,$AD$43,E1693=$AB$44,$AD$44,E1693=$AB$45,$AD$45,E1693=$AB$46,$AD$46,E1693=$AB$47,$AD$47,E1693=$AB$48,$AD$48,E1693=$AB$49,$AD$49,E1693=$AB$50,$AD$50,E1693=$AB$51,$AD$51,E1693=$AB$52,$AD$52,E1693=$AB$53,$AD$53,E1693=$AB$54,$AD$54,E1693=$AB$55,$AD$55,E1693=$AB$56,$AD$56,E1693=$AB$57,$AD$57,E1693=$AB$58,$AD$58,E1693=$AB$59,$AD$59,E1693=$AB$60,$AD$60,E1693=$AB$61,$AD$61,E1693=$AB$62,$AD$62,E1693=$AB$63,$AD$63,E1693=$AB$64,$AD$64,E1693=$AB$65,$AD$65,E1693=$AB$66,$AD$66,TRUE,"0")</f>
        <v xml:space="preserve">  BANG</v>
      </c>
      <c r="E1693" s="2" t="s">
        <v>792</v>
      </c>
      <c r="F1693" s="2" t="s">
        <v>516</v>
      </c>
      <c r="G1693" s="2" t="s">
        <v>78</v>
      </c>
      <c r="H1693" s="3">
        <v>45437.524305555555</v>
      </c>
      <c r="I1693" s="2" t="s">
        <v>868</v>
      </c>
      <c r="J1693" s="2" t="s">
        <v>857</v>
      </c>
      <c r="K1693" s="2">
        <v>2.2000000000000002</v>
      </c>
      <c r="L1693" s="2">
        <v>95</v>
      </c>
      <c r="M1693" s="2">
        <v>70</v>
      </c>
      <c r="N1693" s="2">
        <v>65</v>
      </c>
      <c r="O1693" s="2">
        <v>20</v>
      </c>
      <c r="P1693" s="2"/>
      <c r="Q1693" s="2" t="s">
        <v>95</v>
      </c>
      <c r="R1693" s="10" t="s">
        <v>207</v>
      </c>
      <c r="S1693" s="10" t="s">
        <v>207</v>
      </c>
      <c r="T1693" s="188">
        <f t="shared" si="197"/>
        <v>25.681093225000001</v>
      </c>
      <c r="U1693" s="8">
        <f t="shared" si="201"/>
        <v>4.6225967805000003</v>
      </c>
      <c r="V1693" s="234">
        <f t="shared" si="202"/>
        <v>518.24446128049999</v>
      </c>
      <c r="W1693" s="15">
        <v>25</v>
      </c>
      <c r="X1693" s="8">
        <f t="shared" si="203"/>
        <v>4.5</v>
      </c>
      <c r="Y1693" s="233">
        <f t="shared" si="182"/>
        <v>518</v>
      </c>
    </row>
    <row r="1694" spans="1:37">
      <c r="A1694" s="156" t="e" cm="1">
        <f t="array" aca="1" ref="A1694" ca="1">_xlfn.IFS(E1694=$AB$42,$AC$42,E1694=$AB$43,$AC$43,E1694=$AB$44,$AC$44,E1694=$AB$45,$AC$45,E1694=$AB$46,$AC$46,E1694=$AB$47,$AC$47,E1694=$AB$48,$AC$48,E1694=$AB$49,$AC$49,E1694=$AB$50,$AC$50,E1694=$AB$51,$AC$51,E1694=$AB$52,$AC$52,E1694=$AB$53,$AC$53,E1694=$AB$54,$AC$54,E1694=$AB$55,$AC$55,E1694=$AB$56,$AC$56,E1694=$AB$57,$AC$57,E1694=$AB$58,$AC$58,E1694=$AB$59,$AC$59,E1694=$AB$60,$AC$60,E1694=$AB$61,$AC$61,E1694=$AB$62,$AC$62,E1694=$AB$63,$AC$63,E1694=$AB$64,$AC$64,E1694=$AB$65,$AC$65,E1694=$AB$66,$AC$66,TRUE,"0")</f>
        <v>#NAME?</v>
      </c>
      <c r="C1694" s="161" t="str" cm="1">
        <f t="array" ref="C1694">_xlfn.IFS(E1694=$AB$42,$AF$42,E1694=$AB$43,$AF$43,E1694=$AB$44,$AF$44,E1694=$AB$45,$AF$45,E1694=$AB$46,$AF$46,E1694=$AB$47,$AF$47,E1694=$AB$48,$AF$48,E1694=$AB$49,$AF$49,E1694=$AB$50,$AF$50,E1694=$AB$51,$AF$51,E1694=$AB$52,$AF$52,E1694=$AB$53,$AF$53,E1694=$AB$54,$AF$54,E1694=$AB$55,$AF$55,E1694=$AB$56,$AF$56,E1694=$AB$57,$AF$57,E1694=$AB$58,$AF$58,E1694=$AB$59,$AF$59,E1694=$AB$60,$AF$60,E1694=$AB$61,$AF$61,E1694=$AB$62,$AF$62,E1694=$AB$63,$AF$63,E1694=$AB$64,$AF$64,E1694=$AB$65,$AF$65,E1694=$AB$66,$AF$66,TRUE,"0")</f>
        <v>40 mins Back ANother Goal</v>
      </c>
      <c r="D1694" s="270" t="str" cm="1">
        <f t="array" ref="D1694">_xlfn.IFS(E1694=$AB$42,$AD$42,E1694=$AB$43,$AD$43,E1694=$AB$44,$AD$44,E1694=$AB$45,$AD$45,E1694=$AB$46,$AD$46,E1694=$AB$47,$AD$47,E1694=$AB$48,$AD$48,E1694=$AB$49,$AD$49,E1694=$AB$50,$AD$50,E1694=$AB$51,$AD$51,E1694=$AB$52,$AD$52,E1694=$AB$53,$AD$53,E1694=$AB$54,$AD$54,E1694=$AB$55,$AD$55,E1694=$AB$56,$AD$56,E1694=$AB$57,$AD$57,E1694=$AB$58,$AD$58,E1694=$AB$59,$AD$59,E1694=$AB$60,$AD$60,E1694=$AB$61,$AD$61,E1694=$AB$62,$AD$62,E1694=$AB$63,$AD$63,E1694=$AB$64,$AD$64,E1694=$AB$65,$AD$65,E1694=$AB$66,$AD$66,TRUE,"0")</f>
        <v xml:space="preserve">  BANG</v>
      </c>
      <c r="E1694" s="2" t="s">
        <v>877</v>
      </c>
      <c r="F1694" s="2" t="s">
        <v>516</v>
      </c>
      <c r="G1694" s="2" t="s">
        <v>78</v>
      </c>
      <c r="H1694" s="3">
        <v>45437.524305555555</v>
      </c>
      <c r="I1694" s="2" t="s">
        <v>868</v>
      </c>
      <c r="J1694" s="2" t="s">
        <v>857</v>
      </c>
      <c r="K1694" s="2">
        <v>2.2000000000000002</v>
      </c>
      <c r="L1694" s="2">
        <v>95</v>
      </c>
      <c r="M1694" s="2">
        <v>70</v>
      </c>
      <c r="N1694" s="2">
        <v>65</v>
      </c>
      <c r="O1694" s="2">
        <v>20</v>
      </c>
      <c r="P1694" s="2"/>
      <c r="Q1694" s="2" t="s">
        <v>95</v>
      </c>
      <c r="R1694" s="10" t="s">
        <v>207</v>
      </c>
      <c r="S1694" s="10" t="s">
        <v>207</v>
      </c>
      <c r="T1694" s="188">
        <f t="shared" si="197"/>
        <v>25.912223064025</v>
      </c>
      <c r="U1694" s="8">
        <f t="shared" si="201"/>
        <v>4.6642001515244997</v>
      </c>
      <c r="V1694" s="234">
        <f t="shared" si="202"/>
        <v>522.90866143202447</v>
      </c>
      <c r="W1694" s="15">
        <v>25</v>
      </c>
      <c r="X1694" s="8">
        <f t="shared" si="203"/>
        <v>4.5</v>
      </c>
      <c r="Y1694" s="233">
        <f t="shared" si="182"/>
        <v>522.5</v>
      </c>
    </row>
    <row r="1695" spans="1:37">
      <c r="A1695" s="156" t="e" cm="1">
        <f t="array" aca="1" ref="A1695" ca="1">_xlfn.IFS(E1695=$AB$42,$AC$42,E1695=$AB$43,$AC$43,E1695=$AB$44,$AC$44,E1695=$AB$45,$AC$45,E1695=$AB$46,$AC$46,E1695=$AB$47,$AC$47,E1695=$AB$48,$AC$48,E1695=$AB$49,$AC$49,E1695=$AB$50,$AC$50,E1695=$AB$51,$AC$51,E1695=$AB$52,$AC$52,E1695=$AB$53,$AC$53,E1695=$AB$54,$AC$54,E1695=$AB$55,$AC$55,E1695=$AB$56,$AC$56,E1695=$AB$57,$AC$57,E1695=$AB$58,$AC$58,E1695=$AB$59,$AC$59,E1695=$AB$60,$AC$60,E1695=$AB$61,$AC$61,E1695=$AB$62,$AC$62,E1695=$AB$63,$AC$63,E1695=$AB$64,$AC$64,E1695=$AB$65,$AC$65,E1695=$AB$66,$AC$66,TRUE,"0")</f>
        <v>#NAME?</v>
      </c>
      <c r="C1695" s="161" t="str" cm="1">
        <f t="array" ref="C1695">_xlfn.IFS(E1695=$AB$42,$AF$42,E1695=$AB$43,$AF$43,E1695=$AB$44,$AF$44,E1695=$AB$45,$AF$45,E1695=$AB$46,$AF$46,E1695=$AB$47,$AF$47,E1695=$AB$48,$AF$48,E1695=$AB$49,$AF$49,E1695=$AB$50,$AF$50,E1695=$AB$51,$AF$51,E1695=$AB$52,$AF$52,E1695=$AB$53,$AF$53,E1695=$AB$54,$AF$54,E1695=$AB$55,$AF$55,E1695=$AB$56,$AF$56,E1695=$AB$57,$AF$57,E1695=$AB$58,$AF$58,E1695=$AB$59,$AF$59,E1695=$AB$60,$AF$60,E1695=$AB$61,$AF$61,E1695=$AB$62,$AF$62,E1695=$AB$63,$AF$63,E1695=$AB$64,$AF$64,E1695=$AB$65,$AF$65,E1695=$AB$66,$AF$66,TRUE,"0")</f>
        <v>B4 MATCH bet H1 'under 2.5goals'- X at 40 minutes</v>
      </c>
      <c r="D1695" s="270" t="str" cm="1">
        <f t="array" ref="D1695">_xlfn.IFS(E1695=$AB$42,$AD$42,E1695=$AB$43,$AD$43,E1695=$AB$44,$AD$44,E1695=$AB$45,$AD$45,E1695=$AB$46,$AD$46,E1695=$AB$47,$AD$47,E1695=$AB$48,$AD$48,E1695=$AB$49,$AD$49,E1695=$AB$50,$AD$50,E1695=$AB$51,$AD$51,E1695=$AB$52,$AD$52,E1695=$AB$53,$AD$53,E1695=$AB$54,$AD$54,E1695=$AB$55,$AD$55,E1695=$AB$56,$AD$56,E1695=$AB$57,$AD$57,E1695=$AB$58,$AD$58,E1695=$AB$59,$AD$59,E1695=$AB$60,$AD$60,E1695=$AB$61,$AD$61,E1695=$AB$62,$AD$62,E1695=$AB$63,$AD$63,E1695=$AB$64,$AD$64,E1695=$AB$65,$AD$65,E1695=$AB$66,$AD$66,TRUE,"0")</f>
        <v xml:space="preserve">BFM </v>
      </c>
      <c r="E1695" s="160" t="s">
        <v>458</v>
      </c>
      <c r="F1695" s="2" t="s">
        <v>541</v>
      </c>
      <c r="G1695" s="2" t="s">
        <v>62</v>
      </c>
      <c r="H1695" s="3">
        <v>45437.583333333336</v>
      </c>
      <c r="I1695" s="2" t="s">
        <v>644</v>
      </c>
      <c r="J1695" s="2" t="s">
        <v>831</v>
      </c>
      <c r="K1695" s="2">
        <v>20</v>
      </c>
      <c r="L1695" s="2">
        <v>85</v>
      </c>
      <c r="M1695" s="2">
        <v>95</v>
      </c>
      <c r="N1695" s="2">
        <v>42</v>
      </c>
      <c r="O1695" s="2">
        <v>1.35</v>
      </c>
      <c r="P1695" s="2"/>
      <c r="Q1695" s="2" t="s">
        <v>95</v>
      </c>
      <c r="R1695" s="10" t="s">
        <v>214</v>
      </c>
      <c r="S1695" s="10" t="s">
        <v>214</v>
      </c>
      <c r="T1695" s="188">
        <f t="shared" si="197"/>
        <v>26.145433071601225</v>
      </c>
      <c r="U1695" s="8">
        <f t="shared" si="201"/>
        <v>4.7061779528882202</v>
      </c>
      <c r="V1695" s="234">
        <f t="shared" si="202"/>
        <v>527.61483938491267</v>
      </c>
      <c r="W1695" s="15">
        <v>25</v>
      </c>
      <c r="X1695" s="8">
        <f t="shared" si="203"/>
        <v>4.5</v>
      </c>
      <c r="Y1695" s="233">
        <f t="shared" si="182"/>
        <v>527</v>
      </c>
    </row>
    <row r="1696" spans="1:37">
      <c r="A1696" s="156" t="e" cm="1">
        <f t="array" aca="1" ref="A1696" ca="1">_xlfn.IFS(E1696=$AB$42,$AC$42,E1696=$AB$43,$AC$43,E1696=$AB$44,$AC$44,E1696=$AB$45,$AC$45,E1696=$AB$46,$AC$46,E1696=$AB$47,$AC$47,E1696=$AB$48,$AC$48,E1696=$AB$49,$AC$49,E1696=$AB$50,$AC$50,E1696=$AB$51,$AC$51,E1696=$AB$52,$AC$52,E1696=$AB$53,$AC$53,E1696=$AB$54,$AC$54,E1696=$AB$55,$AC$55,E1696=$AB$56,$AC$56,E1696=$AB$57,$AC$57,E1696=$AB$58,$AC$58,E1696=$AB$59,$AC$59,E1696=$AB$60,$AC$60,E1696=$AB$61,$AC$61,E1696=$AB$62,$AC$62,E1696=$AB$63,$AC$63,E1696=$AB$64,$AC$64,E1696=$AB$65,$AC$65,E1696=$AB$66,$AC$66,TRUE,"0")</f>
        <v>#NAME?</v>
      </c>
      <c r="C1696" s="161" t="str" cm="1">
        <f t="array" ref="C1696">_xlfn.IFS(E1696=$AB$42,$AF$42,E1696=$AB$43,$AF$43,E1696=$AB$44,$AF$44,E1696=$AB$45,$AF$45,E1696=$AB$46,$AF$46,E1696=$AB$47,$AF$47,E1696=$AB$48,$AF$48,E1696=$AB$49,$AF$49,E1696=$AB$50,$AF$50,E1696=$AB$51,$AF$51,E1696=$AB$52,$AF$52,E1696=$AB$53,$AF$53,E1696=$AB$54,$AF$54,E1696=$AB$55,$AF$55,E1696=$AB$56,$AF$56,E1696=$AB$57,$AF$57,E1696=$AB$58,$AF$58,E1696=$AB$59,$AF$59,E1696=$AB$60,$AF$60,E1696=$AB$61,$AF$61,E1696=$AB$62,$AF$62,E1696=$AB$63,$AF$63,E1696=$AB$64,$AF$64,E1696=$AB$65,$AF$65,E1696=$AB$66,$AF$66,TRUE,"0")</f>
        <v>B4 match BACK FT +1.5 goals. X AFTER  GOAL</v>
      </c>
      <c r="D1696" s="270" t="str" cm="1">
        <f t="array" ref="D1696">_xlfn.IFS(E1696=$AB$42,$AD$42,E1696=$AB$43,$AD$43,E1696=$AB$44,$AD$44,E1696=$AB$45,$AD$45,E1696=$AB$46,$AD$46,E1696=$AB$47,$AD$47,E1696=$AB$48,$AD$48,E1696=$AB$49,$AD$49,E1696=$AB$50,$AD$50,E1696=$AB$51,$AD$51,E1696=$AB$52,$AD$52,E1696=$AB$53,$AD$53,E1696=$AB$54,$AD$54,E1696=$AB$55,$AD$55,E1696=$AB$56,$AD$56,E1696=$AB$57,$AD$57,E1696=$AB$58,$AD$58,E1696=$AB$59,$AD$59,E1696=$AB$60,$AD$60,E1696=$AB$61,$AD$61,E1696=$AB$62,$AD$62,E1696=$AB$63,$AD$63,E1696=$AB$64,$AD$64,E1696=$AB$65,$AD$65,E1696=$AB$66,$AD$66,TRUE,"0")</f>
        <v xml:space="preserve">BFM </v>
      </c>
      <c r="E1696" s="2" t="s">
        <v>623</v>
      </c>
      <c r="F1696" s="2" t="s">
        <v>20</v>
      </c>
      <c r="G1696" s="2" t="s">
        <v>21</v>
      </c>
      <c r="H1696" s="3">
        <v>45437.708333333336</v>
      </c>
      <c r="I1696" s="2" t="s">
        <v>358</v>
      </c>
      <c r="J1696" s="2" t="s">
        <v>23</v>
      </c>
      <c r="K1696" s="2">
        <v>5.0999999999999996</v>
      </c>
      <c r="L1696" s="2">
        <v>20</v>
      </c>
      <c r="M1696" s="2">
        <v>2</v>
      </c>
      <c r="N1696" s="2">
        <v>28</v>
      </c>
      <c r="O1696" s="2">
        <v>0</v>
      </c>
      <c r="P1696" s="2">
        <v>10</v>
      </c>
      <c r="Q1696" s="2" t="s">
        <v>95</v>
      </c>
      <c r="R1696" s="10" t="s">
        <v>220</v>
      </c>
      <c r="S1696" s="10" t="s">
        <v>220</v>
      </c>
      <c r="T1696" s="188">
        <f t="shared" si="197"/>
        <v>26.380741969245634</v>
      </c>
      <c r="U1696" s="8">
        <f t="shared" si="201"/>
        <v>4.7485335544642142</v>
      </c>
      <c r="V1696" s="234">
        <f t="shared" si="202"/>
        <v>532.36337293937686</v>
      </c>
      <c r="W1696" s="15">
        <v>25</v>
      </c>
      <c r="X1696" s="8">
        <f t="shared" si="203"/>
        <v>4.5</v>
      </c>
      <c r="Y1696" s="233">
        <f t="shared" si="182"/>
        <v>531.5</v>
      </c>
    </row>
    <row r="1697" spans="1:25">
      <c r="A1697" s="156" t="e" cm="1">
        <f t="array" aca="1" ref="A1697" ca="1">_xlfn.IFS(E1697=$AB$42,$AC$42,E1697=$AB$43,$AC$43,E1697=$AB$44,$AC$44,E1697=$AB$45,$AC$45,E1697=$AB$46,$AC$46,E1697=$AB$47,$AC$47,E1697=$AB$48,$AC$48,E1697=$AB$49,$AC$49,E1697=$AB$50,$AC$50,E1697=$AB$51,$AC$51,E1697=$AB$52,$AC$52,E1697=$AB$53,$AC$53,E1697=$AB$54,$AC$54,E1697=$AB$55,$AC$55,E1697=$AB$56,$AC$56,E1697=$AB$57,$AC$57,E1697=$AB$58,$AC$58,E1697=$AB$59,$AC$59,E1697=$AB$60,$AC$60,E1697=$AB$61,$AC$61,E1697=$AB$62,$AC$62,E1697=$AB$63,$AC$63,E1697=$AB$64,$AC$64,E1697=$AB$65,$AC$65,E1697=$AB$66,$AC$66,TRUE,"0")</f>
        <v>#NAME?</v>
      </c>
      <c r="C1697" s="161" t="str" cm="1">
        <f t="array" ref="C1697">_xlfn.IFS(E1697=$AB$42,$AF$42,E1697=$AB$43,$AF$43,E1697=$AB$44,$AF$44,E1697=$AB$45,$AF$45,E1697=$AB$46,$AF$46,E1697=$AB$47,$AF$47,E1697=$AB$48,$AF$48,E1697=$AB$49,$AF$49,E1697=$AB$50,$AF$50,E1697=$AB$51,$AF$51,E1697=$AB$52,$AF$52,E1697=$AB$53,$AF$53,E1697=$AB$54,$AF$54,E1697=$AB$55,$AF$55,E1697=$AB$56,$AF$56,E1697=$AB$57,$AF$57,E1697=$AB$58,$AF$58,E1697=$AB$59,$AF$59,E1697=$AB$60,$AF$60,E1697=$AB$61,$AF$61,E1697=$AB$62,$AF$62,E1697=$AB$63,$AF$63,E1697=$AB$64,$AF$64,E1697=$AB$65,$AF$65,E1697=$AB$66,$AF$66,TRUE,"0")</f>
        <v>B4 match BACK FT +1.5 goals. X AFTER  GOAL</v>
      </c>
      <c r="D1697" s="270" t="str" cm="1">
        <f t="array" ref="D1697">_xlfn.IFS(E1697=$AB$42,$AD$42,E1697=$AB$43,$AD$43,E1697=$AB$44,$AD$44,E1697=$AB$45,$AD$45,E1697=$AB$46,$AD$46,E1697=$AB$47,$AD$47,E1697=$AB$48,$AD$48,E1697=$AB$49,$AD$49,E1697=$AB$50,$AD$50,E1697=$AB$51,$AD$51,E1697=$AB$52,$AD$52,E1697=$AB$53,$AD$53,E1697=$AB$54,$AD$54,E1697=$AB$55,$AD$55,E1697=$AB$56,$AD$56,E1697=$AB$57,$AD$57,E1697=$AB$58,$AD$58,E1697=$AB$59,$AD$59,E1697=$AB$60,$AD$60,E1697=$AB$61,$AD$61,E1697=$AB$62,$AD$62,E1697=$AB$63,$AD$63,E1697=$AB$64,$AD$64,E1697=$AB$65,$AD$65,E1697=$AB$66,$AD$66,TRUE,"0")</f>
        <v xml:space="preserve">BFM </v>
      </c>
      <c r="E1697" s="2" t="s">
        <v>623</v>
      </c>
      <c r="F1697" s="2" t="s">
        <v>20</v>
      </c>
      <c r="G1697" s="2" t="s">
        <v>21</v>
      </c>
      <c r="H1697" s="3">
        <v>45437.822916666664</v>
      </c>
      <c r="I1697" s="2" t="s">
        <v>109</v>
      </c>
      <c r="J1697" s="2" t="s">
        <v>110</v>
      </c>
      <c r="K1697" s="2">
        <v>2.2999999999999998</v>
      </c>
      <c r="L1697" s="2">
        <v>20</v>
      </c>
      <c r="M1697" s="2">
        <v>3</v>
      </c>
      <c r="N1697" s="2">
        <v>21</v>
      </c>
      <c r="O1697" s="2">
        <v>1</v>
      </c>
      <c r="P1697" s="2">
        <v>10</v>
      </c>
      <c r="Q1697" s="2" t="s">
        <v>95</v>
      </c>
      <c r="R1697" s="10" t="s">
        <v>220</v>
      </c>
      <c r="S1697" s="10" t="s">
        <v>279</v>
      </c>
      <c r="T1697" s="188">
        <f t="shared" si="197"/>
        <v>26.618168646968844</v>
      </c>
      <c r="U1697" s="8">
        <f t="shared" si="201"/>
        <v>4.7912703564543913</v>
      </c>
      <c r="V1697" s="234">
        <f t="shared" si="202"/>
        <v>537.15464329583131</v>
      </c>
      <c r="W1697" s="15">
        <v>25</v>
      </c>
      <c r="X1697" s="8">
        <f t="shared" si="203"/>
        <v>4.5</v>
      </c>
      <c r="Y1697" s="233">
        <f t="shared" si="182"/>
        <v>536</v>
      </c>
    </row>
    <row r="1698" spans="1:25">
      <c r="A1698" s="156" t="e" cm="1">
        <f t="array" aca="1" ref="A1698" ca="1">_xlfn.IFS(E1698=$AB$42,$AC$42,E1698=$AB$43,$AC$43,E1698=$AB$44,$AC$44,E1698=$AB$45,$AC$45,E1698=$AB$46,$AC$46,E1698=$AB$47,$AC$47,E1698=$AB$48,$AC$48,E1698=$AB$49,$AC$49,E1698=$AB$50,$AC$50,E1698=$AB$51,$AC$51,E1698=$AB$52,$AC$52,E1698=$AB$53,$AC$53,E1698=$AB$54,$AC$54,E1698=$AB$55,$AC$55,E1698=$AB$56,$AC$56,E1698=$AB$57,$AC$57,E1698=$AB$58,$AC$58,E1698=$AB$59,$AC$59,E1698=$AB$60,$AC$60,E1698=$AB$61,$AC$61,E1698=$AB$62,$AC$62,E1698=$AB$63,$AC$63,E1698=$AB$64,$AC$64,E1698=$AB$65,$AC$65,E1698=$AB$66,$AC$66,TRUE,"0")</f>
        <v>#NAME?</v>
      </c>
      <c r="C1698" s="161" t="str" cm="1">
        <f t="array" ref="C1698">_xlfn.IFS(E1698=$AB$42,$AF$42,E1698=$AB$43,$AF$43,E1698=$AB$44,$AF$44,E1698=$AB$45,$AF$45,E1698=$AB$46,$AF$46,E1698=$AB$47,$AF$47,E1698=$AB$48,$AF$48,E1698=$AB$49,$AF$49,E1698=$AB$50,$AF$50,E1698=$AB$51,$AF$51,E1698=$AB$52,$AF$52,E1698=$AB$53,$AF$53,E1698=$AB$54,$AF$54,E1698=$AB$55,$AF$55,E1698=$AB$56,$AF$56,E1698=$AB$57,$AF$57,E1698=$AB$58,$AF$58,E1698=$AB$59,$AF$59,E1698=$AB$60,$AF$60,E1698=$AB$61,$AF$61,E1698=$AB$62,$AF$62,E1698=$AB$63,$AF$63,E1698=$AB$64,$AF$64,E1698=$AB$65,$AF$65,E1698=$AB$66,$AF$66,TRUE,"0")</f>
        <v>B4 match BACK FT +1.5 goals. X AFTER  GOAL</v>
      </c>
      <c r="D1698" s="270" t="str" cm="1">
        <f t="array" ref="D1698">_xlfn.IFS(E1698=$AB$42,$AD$42,E1698=$AB$43,$AD$43,E1698=$AB$44,$AD$44,E1698=$AB$45,$AD$45,E1698=$AB$46,$AD$46,E1698=$AB$47,$AD$47,E1698=$AB$48,$AD$48,E1698=$AB$49,$AD$49,E1698=$AB$50,$AD$50,E1698=$AB$51,$AD$51,E1698=$AB$52,$AD$52,E1698=$AB$53,$AD$53,E1698=$AB$54,$AD$54,E1698=$AB$55,$AD$55,E1698=$AB$56,$AD$56,E1698=$AB$57,$AD$57,E1698=$AB$58,$AD$58,E1698=$AB$59,$AD$59,E1698=$AB$60,$AD$60,E1698=$AB$61,$AD$61,E1698=$AB$62,$AD$62,E1698=$AB$63,$AD$63,E1698=$AB$64,$AD$64,E1698=$AB$65,$AD$65,E1698=$AB$66,$AD$66,TRUE,"0")</f>
        <v xml:space="preserve">BFM </v>
      </c>
      <c r="E1698" s="2" t="s">
        <v>406</v>
      </c>
      <c r="F1698" s="2" t="s">
        <v>119</v>
      </c>
      <c r="G1698" s="2" t="s">
        <v>120</v>
      </c>
      <c r="H1698" s="3">
        <v>45437.833333333336</v>
      </c>
      <c r="I1698" s="2" t="s">
        <v>122</v>
      </c>
      <c r="J1698" s="2" t="s">
        <v>834</v>
      </c>
      <c r="K1698" s="2">
        <v>1.3</v>
      </c>
      <c r="L1698" s="2">
        <v>11.5</v>
      </c>
      <c r="M1698" s="2">
        <v>2.85</v>
      </c>
      <c r="N1698" s="2">
        <v>3.35</v>
      </c>
      <c r="O1698" s="2">
        <v>2.71</v>
      </c>
      <c r="P1698" s="2"/>
      <c r="Q1698" s="2" t="s">
        <v>96</v>
      </c>
      <c r="R1698" s="10" t="s">
        <v>221</v>
      </c>
      <c r="S1698" s="10" t="s">
        <v>221</v>
      </c>
      <c r="T1698" s="188">
        <f t="shared" si="197"/>
        <v>26.857732164791567</v>
      </c>
      <c r="U1698" s="8">
        <f t="shared" si="201"/>
        <v>-26.857732164791567</v>
      </c>
      <c r="V1698" s="234">
        <f t="shared" si="202"/>
        <v>510.29691113103974</v>
      </c>
      <c r="W1698" s="15">
        <v>25</v>
      </c>
      <c r="X1698" s="8">
        <f t="shared" si="203"/>
        <v>-25</v>
      </c>
      <c r="Y1698" s="233">
        <f t="shared" si="182"/>
        <v>511</v>
      </c>
    </row>
    <row r="1699" spans="1:25">
      <c r="A1699" s="156" t="e" cm="1">
        <f t="array" aca="1" ref="A1699" ca="1">_xlfn.IFS(E1699=$AB$42,$AC$42,E1699=$AB$43,$AC$43,E1699=$AB$44,$AC$44,E1699=$AB$45,$AC$45,E1699=$AB$46,$AC$46,E1699=$AB$47,$AC$47,E1699=$AB$48,$AC$48,E1699=$AB$49,$AC$49,E1699=$AB$50,$AC$50,E1699=$AB$51,$AC$51,E1699=$AB$52,$AC$52,E1699=$AB$53,$AC$53,E1699=$AB$54,$AC$54,E1699=$AB$55,$AC$55,E1699=$AB$56,$AC$56,E1699=$AB$57,$AC$57,E1699=$AB$58,$AC$58,E1699=$AB$59,$AC$59,E1699=$AB$60,$AC$60,E1699=$AB$61,$AC$61,E1699=$AB$62,$AC$62,E1699=$AB$63,$AC$63,E1699=$AB$64,$AC$64,E1699=$AB$65,$AC$65,E1699=$AB$66,$AC$66,TRUE,"0")</f>
        <v>#NAME?</v>
      </c>
      <c r="C1699" s="161" t="str" cm="1">
        <f t="array" ref="C1699">_xlfn.IFS(E1699=$AB$42,$AF$42,E1699=$AB$43,$AF$43,E1699=$AB$44,$AF$44,E1699=$AB$45,$AF$45,E1699=$AB$46,$AF$46,E1699=$AB$47,$AF$47,E1699=$AB$48,$AF$48,E1699=$AB$49,$AF$49,E1699=$AB$50,$AF$50,E1699=$AB$51,$AF$51,E1699=$AB$52,$AF$52,E1699=$AB$53,$AF$53,E1699=$AB$54,$AF$54,E1699=$AB$55,$AF$55,E1699=$AB$56,$AF$56,E1699=$AB$57,$AF$57,E1699=$AB$58,$AF$58,E1699=$AB$59,$AF$59,E1699=$AB$60,$AF$60,E1699=$AB$61,$AF$61,E1699=$AB$62,$AF$62,E1699=$AB$63,$AF$63,E1699=$AB$64,$AF$64,E1699=$AB$65,$AF$65,E1699=$AB$66,$AF$66,TRUE,"0")</f>
        <v>B4 match BACK FT +1.5 goals. X AFTER  GOAL</v>
      </c>
      <c r="D1699" s="270" t="str" cm="1">
        <f t="array" ref="D1699">_xlfn.IFS(E1699=$AB$42,$AD$42,E1699=$AB$43,$AD$43,E1699=$AB$44,$AD$44,E1699=$AB$45,$AD$45,E1699=$AB$46,$AD$46,E1699=$AB$47,$AD$47,E1699=$AB$48,$AD$48,E1699=$AB$49,$AD$49,E1699=$AB$50,$AD$50,E1699=$AB$51,$AD$51,E1699=$AB$52,$AD$52,E1699=$AB$53,$AD$53,E1699=$AB$54,$AD$54,E1699=$AB$55,$AD$55,E1699=$AB$56,$AD$56,E1699=$AB$57,$AD$57,E1699=$AB$58,$AD$58,E1699=$AB$59,$AD$59,E1699=$AB$60,$AD$60,E1699=$AB$61,$AD$61,E1699=$AB$62,$AD$62,E1699=$AB$63,$AD$63,E1699=$AB$64,$AD$64,E1699=$AB$65,$AD$65,E1699=$AB$66,$AD$66,TRUE,"0")</f>
        <v xml:space="preserve">BFM </v>
      </c>
      <c r="E1699" s="2" t="s">
        <v>623</v>
      </c>
      <c r="F1699" s="2" t="s">
        <v>119</v>
      </c>
      <c r="G1699" s="2" t="s">
        <v>120</v>
      </c>
      <c r="H1699" s="3">
        <v>45437.833333333336</v>
      </c>
      <c r="I1699" s="2" t="s">
        <v>122</v>
      </c>
      <c r="J1699" s="2" t="s">
        <v>834</v>
      </c>
      <c r="K1699" s="2">
        <v>3.35</v>
      </c>
      <c r="L1699" s="2">
        <v>20</v>
      </c>
      <c r="M1699" s="2">
        <v>2.85</v>
      </c>
      <c r="N1699" s="2">
        <v>27</v>
      </c>
      <c r="O1699" s="2">
        <v>3</v>
      </c>
      <c r="P1699" s="2">
        <v>10</v>
      </c>
      <c r="Q1699" s="2" t="s">
        <v>96</v>
      </c>
      <c r="R1699" s="10" t="s">
        <v>221</v>
      </c>
      <c r="S1699" s="10" t="s">
        <v>221</v>
      </c>
      <c r="T1699" s="188">
        <f t="shared" si="197"/>
        <v>25.51484555655199</v>
      </c>
      <c r="U1699" s="8">
        <f t="shared" si="201"/>
        <v>-25.51484555655199</v>
      </c>
      <c r="V1699" s="234">
        <f t="shared" si="202"/>
        <v>484.78206557448777</v>
      </c>
      <c r="W1699" s="15">
        <v>25</v>
      </c>
      <c r="X1699" s="8">
        <f t="shared" si="203"/>
        <v>-25</v>
      </c>
      <c r="Y1699" s="233">
        <f t="shared" si="182"/>
        <v>486</v>
      </c>
    </row>
    <row r="1700" spans="1:25">
      <c r="A1700" s="156" t="e" cm="1">
        <f t="array" aca="1" ref="A1700" ca="1">_xlfn.IFS(E1700=$AB$42,$AC$42,E1700=$AB$43,$AC$43,E1700=$AB$44,$AC$44,E1700=$AB$45,$AC$45,E1700=$AB$46,$AC$46,E1700=$AB$47,$AC$47,E1700=$AB$48,$AC$48,E1700=$AB$49,$AC$49,E1700=$AB$50,$AC$50,E1700=$AB$51,$AC$51,E1700=$AB$52,$AC$52,E1700=$AB$53,$AC$53,E1700=$AB$54,$AC$54,E1700=$AB$55,$AC$55,E1700=$AB$56,$AC$56,E1700=$AB$57,$AC$57,E1700=$AB$58,$AC$58,E1700=$AB$59,$AC$59,E1700=$AB$60,$AC$60,E1700=$AB$61,$AC$61,E1700=$AB$62,$AC$62,E1700=$AB$63,$AC$63,E1700=$AB$64,$AC$64,E1700=$AB$65,$AC$65,E1700=$AB$66,$AC$66,TRUE,"0")</f>
        <v>#NAME?</v>
      </c>
      <c r="C1700" s="161" t="str" cm="1">
        <f t="array" ref="C1700">_xlfn.IFS(E1700=$AB$42,$AF$42,E1700=$AB$43,$AF$43,E1700=$AB$44,$AF$44,E1700=$AB$45,$AF$45,E1700=$AB$46,$AF$46,E1700=$AB$47,$AF$47,E1700=$AB$48,$AF$48,E1700=$AB$49,$AF$49,E1700=$AB$50,$AF$50,E1700=$AB$51,$AF$51,E1700=$AB$52,$AF$52,E1700=$AB$53,$AF$53,E1700=$AB$54,$AF$54,E1700=$AB$55,$AF$55,E1700=$AB$56,$AF$56,E1700=$AB$57,$AF$57,E1700=$AB$58,$AF$58,E1700=$AB$59,$AF$59,E1700=$AB$60,$AF$60,E1700=$AB$61,$AF$61,E1700=$AB$62,$AF$62,E1700=$AB$63,$AF$63,E1700=$AB$64,$AF$64,E1700=$AB$65,$AF$65,E1700=$AB$66,$AF$66,TRUE,"0")</f>
        <v>AT HT IF 0-0 BACK +0.5 GOALS</v>
      </c>
      <c r="D1700" s="270" t="str" cm="1">
        <f t="array" ref="D1700">_xlfn.IFS(E1700=$AB$42,$AD$42,E1700=$AB$43,$AD$43,E1700=$AB$44,$AD$44,E1700=$AB$45,$AD$45,E1700=$AB$46,$AD$46,E1700=$AB$47,$AD$47,E1700=$AB$48,$AD$48,E1700=$AB$49,$AD$49,E1700=$AB$50,$AD$50,E1700=$AB$51,$AD$51,E1700=$AB$52,$AD$52,E1700=$AB$53,$AD$53,E1700=$AB$54,$AD$54,E1700=$AB$55,$AD$55,E1700=$AB$56,$AD$56,E1700=$AB$57,$AD$57,E1700=$AB$58,$AD$58,E1700=$AB$59,$AD$59,E1700=$AB$60,$AD$60,E1700=$AB$61,$AD$61,E1700=$AB$62,$AD$62,E1700=$AB$63,$AD$63,E1700=$AB$64,$AD$64,E1700=$AB$65,$AD$65,E1700=$AB$66,$AD$66,TRUE,"0")</f>
        <v>IP</v>
      </c>
      <c r="E1700" s="2" t="s">
        <v>514</v>
      </c>
      <c r="F1700" s="2" t="s">
        <v>119</v>
      </c>
      <c r="G1700" s="2" t="s">
        <v>120</v>
      </c>
      <c r="H1700" s="3">
        <v>45437.833333333336</v>
      </c>
      <c r="I1700" s="2" t="s">
        <v>122</v>
      </c>
      <c r="J1700" s="2" t="s">
        <v>834</v>
      </c>
      <c r="K1700" s="2">
        <v>3.35</v>
      </c>
      <c r="L1700" s="2">
        <v>85</v>
      </c>
      <c r="M1700" s="2">
        <v>0</v>
      </c>
      <c r="N1700" s="2">
        <v>20</v>
      </c>
      <c r="O1700" s="2">
        <v>15</v>
      </c>
      <c r="P1700" s="2">
        <v>27</v>
      </c>
      <c r="Q1700" s="2" t="s">
        <v>96</v>
      </c>
      <c r="R1700" s="10" t="s">
        <v>221</v>
      </c>
      <c r="S1700" s="10" t="s">
        <v>221</v>
      </c>
      <c r="T1700" s="188">
        <f t="shared" si="197"/>
        <v>24.239103278724389</v>
      </c>
      <c r="U1700" s="8">
        <f t="shared" si="201"/>
        <v>-24.239103278724389</v>
      </c>
      <c r="V1700" s="234">
        <f t="shared" si="202"/>
        <v>460.5429622957634</v>
      </c>
      <c r="W1700" s="15">
        <v>25</v>
      </c>
      <c r="X1700" s="8">
        <f t="shared" si="203"/>
        <v>-25</v>
      </c>
      <c r="Y1700" s="233">
        <f t="shared" si="182"/>
        <v>461</v>
      </c>
    </row>
    <row r="1701" spans="1:25">
      <c r="A1701" s="156" t="e" cm="1">
        <f t="array" aca="1" ref="A1701" ca="1">_xlfn.IFS(E1701=$AB$42,$AC$42,E1701=$AB$43,$AC$43,E1701=$AB$44,$AC$44,E1701=$AB$45,$AC$45,E1701=$AB$46,$AC$46,E1701=$AB$47,$AC$47,E1701=$AB$48,$AC$48,E1701=$AB$49,$AC$49,E1701=$AB$50,$AC$50,E1701=$AB$51,$AC$51,E1701=$AB$52,$AC$52,E1701=$AB$53,$AC$53,E1701=$AB$54,$AC$54,E1701=$AB$55,$AC$55,E1701=$AB$56,$AC$56,E1701=$AB$57,$AC$57,E1701=$AB$58,$AC$58,E1701=$AB$59,$AC$59,E1701=$AB$60,$AC$60,E1701=$AB$61,$AC$61,E1701=$AB$62,$AC$62,E1701=$AB$63,$AC$63,E1701=$AB$64,$AC$64,E1701=$AB$65,$AC$65,E1701=$AB$66,$AC$66,TRUE,"0")</f>
        <v>#NAME?</v>
      </c>
      <c r="C1701" s="161" t="str" cm="1">
        <f t="array" ref="C1701">_xlfn.IFS(E1701=$AB$42,$AF$42,E1701=$AB$43,$AF$43,E1701=$AB$44,$AF$44,E1701=$AB$45,$AF$45,E1701=$AB$46,$AF$46,E1701=$AB$47,$AF$47,E1701=$AB$48,$AF$48,E1701=$AB$49,$AF$49,E1701=$AB$50,$AF$50,E1701=$AB$51,$AF$51,E1701=$AB$52,$AF$52,E1701=$AB$53,$AF$53,E1701=$AB$54,$AF$54,E1701=$AB$55,$AF$55,E1701=$AB$56,$AF$56,E1701=$AB$57,$AF$57,E1701=$AB$58,$AF$58,E1701=$AB$59,$AF$59,E1701=$AB$60,$AF$60,E1701=$AB$61,$AF$61,E1701=$AB$62,$AF$62,E1701=$AB$63,$AF$63,E1701=$AB$64,$AF$64,E1701=$AB$65,$AF$65,E1701=$AB$66,$AF$66,TRUE,"0")</f>
        <v>40 mins Back ANother Goal</v>
      </c>
      <c r="D1701" s="270" t="str" cm="1">
        <f t="array" ref="D1701">_xlfn.IFS(E1701=$AB$42,$AD$42,E1701=$AB$43,$AD$43,E1701=$AB$44,$AD$44,E1701=$AB$45,$AD$45,E1701=$AB$46,$AD$46,E1701=$AB$47,$AD$47,E1701=$AB$48,$AD$48,E1701=$AB$49,$AD$49,E1701=$AB$50,$AD$50,E1701=$AB$51,$AD$51,E1701=$AB$52,$AD$52,E1701=$AB$53,$AD$53,E1701=$AB$54,$AD$54,E1701=$AB$55,$AD$55,E1701=$AB$56,$AD$56,E1701=$AB$57,$AD$57,E1701=$AB$58,$AD$58,E1701=$AB$59,$AD$59,E1701=$AB$60,$AD$60,E1701=$AB$61,$AD$61,E1701=$AB$62,$AD$62,E1701=$AB$63,$AD$63,E1701=$AB$64,$AD$64,E1701=$AB$65,$AD$65,E1701=$AB$66,$AD$66,TRUE,"0")</f>
        <v xml:space="preserve">  BANG</v>
      </c>
      <c r="E1701" s="2" t="s">
        <v>877</v>
      </c>
      <c r="F1701" s="2" t="s">
        <v>616</v>
      </c>
      <c r="G1701" s="2" t="s">
        <v>617</v>
      </c>
      <c r="H1701" s="3">
        <v>45438.104166666664</v>
      </c>
      <c r="I1701" s="2" t="s">
        <v>881</v>
      </c>
      <c r="J1701" s="2" t="s">
        <v>882</v>
      </c>
      <c r="K1701" s="2">
        <v>1.7</v>
      </c>
      <c r="L1701" s="2">
        <v>85</v>
      </c>
      <c r="M1701" s="2">
        <v>65</v>
      </c>
      <c r="N1701" s="2">
        <v>60</v>
      </c>
      <c r="O1701" s="2">
        <v>20</v>
      </c>
      <c r="P1701" s="2"/>
      <c r="Q1701" s="2" t="s">
        <v>95</v>
      </c>
      <c r="R1701" s="10" t="s">
        <v>211</v>
      </c>
      <c r="S1701" s="10" t="s">
        <v>279</v>
      </c>
      <c r="T1701" s="188">
        <f t="shared" si="197"/>
        <v>23.027148114788172</v>
      </c>
      <c r="U1701" s="8">
        <f t="shared" si="201"/>
        <v>4.1448866606618706</v>
      </c>
      <c r="V1701" s="234">
        <f t="shared" si="202"/>
        <v>464.68784895642528</v>
      </c>
      <c r="W1701" s="15">
        <v>25</v>
      </c>
      <c r="X1701" s="8">
        <f t="shared" si="203"/>
        <v>4.5</v>
      </c>
      <c r="Y1701" s="233">
        <f t="shared" ref="Y1701:Y1725" si="204">SUM(Y1700,X1701)</f>
        <v>465.5</v>
      </c>
    </row>
    <row r="1702" spans="1:25">
      <c r="A1702" s="156" t="e" cm="1">
        <f t="array" aca="1" ref="A1702" ca="1">_xlfn.IFS(E1702=$AB$42,$AC$42,E1702=$AB$43,$AC$43,E1702=$AB$44,$AC$44,E1702=$AB$45,$AC$45,E1702=$AB$46,$AC$46,E1702=$AB$47,$AC$47,E1702=$AB$48,$AC$48,E1702=$AB$49,$AC$49,E1702=$AB$50,$AC$50,E1702=$AB$51,$AC$51,E1702=$AB$52,$AC$52,E1702=$AB$53,$AC$53,E1702=$AB$54,$AC$54,E1702=$AB$55,$AC$55,E1702=$AB$56,$AC$56,E1702=$AB$57,$AC$57,E1702=$AB$58,$AC$58,E1702=$AB$59,$AC$59,E1702=$AB$60,$AC$60,E1702=$AB$61,$AC$61,E1702=$AB$62,$AC$62,E1702=$AB$63,$AC$63,E1702=$AB$64,$AC$64,E1702=$AB$65,$AC$65,E1702=$AB$66,$AC$66,TRUE,"0")</f>
        <v>#NAME?</v>
      </c>
      <c r="C1702" s="161" t="str" cm="1">
        <f t="array" ref="C1702">_xlfn.IFS(E1702=$AB$42,$AF$42,E1702=$AB$43,$AF$43,E1702=$AB$44,$AF$44,E1702=$AB$45,$AF$45,E1702=$AB$46,$AF$46,E1702=$AB$47,$AF$47,E1702=$AB$48,$AF$48,E1702=$AB$49,$AF$49,E1702=$AB$50,$AF$50,E1702=$AB$51,$AF$51,E1702=$AB$52,$AF$52,E1702=$AB$53,$AF$53,E1702=$AB$54,$AF$54,E1702=$AB$55,$AF$55,E1702=$AB$56,$AF$56,E1702=$AB$57,$AF$57,E1702=$AB$58,$AF$58,E1702=$AB$59,$AF$59,E1702=$AB$60,$AF$60,E1702=$AB$61,$AF$61,E1702=$AB$62,$AF$62,E1702=$AB$63,$AF$63,E1702=$AB$64,$AF$64,E1702=$AB$65,$AF$65,E1702=$AB$66,$AF$66,TRUE,"0")</f>
        <v>40 mins Back ANother Goal</v>
      </c>
      <c r="D1702" s="270" t="str" cm="1">
        <f t="array" ref="D1702">_xlfn.IFS(E1702=$AB$42,$AD$42,E1702=$AB$43,$AD$43,E1702=$AB$44,$AD$44,E1702=$AB$45,$AD$45,E1702=$AB$46,$AD$46,E1702=$AB$47,$AD$47,E1702=$AB$48,$AD$48,E1702=$AB$49,$AD$49,E1702=$AB$50,$AD$50,E1702=$AB$51,$AD$51,E1702=$AB$52,$AD$52,E1702=$AB$53,$AD$53,E1702=$AB$54,$AD$54,E1702=$AB$55,$AD$55,E1702=$AB$56,$AD$56,E1702=$AB$57,$AD$57,E1702=$AB$58,$AD$58,E1702=$AB$59,$AD$59,E1702=$AB$60,$AD$60,E1702=$AB$61,$AD$61,E1702=$AB$62,$AD$62,E1702=$AB$63,$AD$63,E1702=$AB$64,$AD$64,E1702=$AB$65,$AD$65,E1702=$AB$66,$AD$66,TRUE,"0")</f>
        <v xml:space="preserve">  BANG</v>
      </c>
      <c r="E1702" s="2" t="s">
        <v>515</v>
      </c>
      <c r="F1702" s="2" t="s">
        <v>572</v>
      </c>
      <c r="G1702" s="2" t="s">
        <v>670</v>
      </c>
      <c r="H1702" s="3">
        <v>45438.333333333336</v>
      </c>
      <c r="I1702" s="2" t="s">
        <v>869</v>
      </c>
      <c r="J1702" s="2" t="s">
        <v>821</v>
      </c>
      <c r="K1702" s="2">
        <v>20</v>
      </c>
      <c r="L1702" s="2">
        <v>70</v>
      </c>
      <c r="M1702" s="2">
        <v>1.75</v>
      </c>
      <c r="N1702" s="2"/>
      <c r="O1702" s="2"/>
      <c r="P1702" s="2"/>
      <c r="Q1702" s="2" t="s">
        <v>95</v>
      </c>
      <c r="R1702" s="10" t="s">
        <v>221</v>
      </c>
      <c r="S1702" s="10" t="s">
        <v>223</v>
      </c>
      <c r="T1702" s="188">
        <f t="shared" si="197"/>
        <v>23.234392447821264</v>
      </c>
      <c r="U1702" s="8">
        <f t="shared" ref="U1702:U1712" si="205">IF(Q1702="won",T1702*0.18,-T1702)</f>
        <v>4.1821906406078275</v>
      </c>
      <c r="V1702" s="234">
        <f t="shared" ref="V1702:V1712" si="206">SUM(V1701,U1702)</f>
        <v>468.8700395970331</v>
      </c>
      <c r="W1702" s="15">
        <v>25</v>
      </c>
      <c r="X1702" s="8">
        <f t="shared" ref="X1702:X1712" si="207">IF(Q1702="won",W1702*0.18,-W1702)</f>
        <v>4.5</v>
      </c>
      <c r="Y1702" s="233">
        <f t="shared" si="204"/>
        <v>470</v>
      </c>
    </row>
    <row r="1703" spans="1:25">
      <c r="A1703" s="156" t="e" cm="1">
        <f t="array" aca="1" ref="A1703" ca="1">_xlfn.IFS(E1703=$AB$42,$AC$42,E1703=$AB$43,$AC$43,E1703=$AB$44,$AC$44,E1703=$AB$45,$AC$45,E1703=$AB$46,$AC$46,E1703=$AB$47,$AC$47,E1703=$AB$48,$AC$48,E1703=$AB$49,$AC$49,E1703=$AB$50,$AC$50,E1703=$AB$51,$AC$51,E1703=$AB$52,$AC$52,E1703=$AB$53,$AC$53,E1703=$AB$54,$AC$54,E1703=$AB$55,$AC$55,E1703=$AB$56,$AC$56,E1703=$AB$57,$AC$57,E1703=$AB$58,$AC$58,E1703=$AB$59,$AC$59,E1703=$AB$60,$AC$60,E1703=$AB$61,$AC$61,E1703=$AB$62,$AC$62,E1703=$AB$63,$AC$63,E1703=$AB$64,$AC$64,E1703=$AB$65,$AC$65,E1703=$AB$66,$AC$66,TRUE,"0")</f>
        <v>#NAME?</v>
      </c>
      <c r="C1703" s="161" t="str" cm="1">
        <f t="array" ref="C1703">_xlfn.IFS(E1703=$AB$42,$AF$42,E1703=$AB$43,$AF$43,E1703=$AB$44,$AF$44,E1703=$AB$45,$AF$45,E1703=$AB$46,$AF$46,E1703=$AB$47,$AF$47,E1703=$AB$48,$AF$48,E1703=$AB$49,$AF$49,E1703=$AB$50,$AF$50,E1703=$AB$51,$AF$51,E1703=$AB$52,$AF$52,E1703=$AB$53,$AF$53,E1703=$AB$54,$AF$54,E1703=$AB$55,$AF$55,E1703=$AB$56,$AF$56,E1703=$AB$57,$AF$57,E1703=$AB$58,$AF$58,E1703=$AB$59,$AF$59,E1703=$AB$60,$AF$60,E1703=$AB$61,$AF$61,E1703=$AB$62,$AF$62,E1703=$AB$63,$AF$63,E1703=$AB$64,$AF$64,E1703=$AB$65,$AF$65,E1703=$AB$66,$AF$66,TRUE,"0")</f>
        <v>40 mins Back ANother Goal</v>
      </c>
      <c r="D1703" s="270" t="str" cm="1">
        <f t="array" ref="D1703">_xlfn.IFS(E1703=$AB$42,$AD$42,E1703=$AB$43,$AD$43,E1703=$AB$44,$AD$44,E1703=$AB$45,$AD$45,E1703=$AB$46,$AD$46,E1703=$AB$47,$AD$47,E1703=$AB$48,$AD$48,E1703=$AB$49,$AD$49,E1703=$AB$50,$AD$50,E1703=$AB$51,$AD$51,E1703=$AB$52,$AD$52,E1703=$AB$53,$AD$53,E1703=$AB$54,$AD$54,E1703=$AB$55,$AD$55,E1703=$AB$56,$AD$56,E1703=$AB$57,$AD$57,E1703=$AB$58,$AD$58,E1703=$AB$59,$AD$59,E1703=$AB$60,$AD$60,E1703=$AB$61,$AD$61,E1703=$AB$62,$AD$62,E1703=$AB$63,$AD$63,E1703=$AB$64,$AD$64,E1703=$AB$65,$AD$65,E1703=$AB$66,$AD$66,TRUE,"0")</f>
        <v xml:space="preserve">  BANG</v>
      </c>
      <c r="E1703" s="2" t="s">
        <v>876</v>
      </c>
      <c r="F1703" s="2" t="s">
        <v>572</v>
      </c>
      <c r="G1703" s="2" t="s">
        <v>670</v>
      </c>
      <c r="H1703" s="3">
        <v>45438.333333333336</v>
      </c>
      <c r="I1703" s="2" t="s">
        <v>869</v>
      </c>
      <c r="J1703" s="2" t="s">
        <v>821</v>
      </c>
      <c r="K1703" s="2">
        <v>20</v>
      </c>
      <c r="L1703" s="2">
        <v>70</v>
      </c>
      <c r="M1703" s="2">
        <v>1.75</v>
      </c>
      <c r="N1703" s="2"/>
      <c r="O1703" s="2"/>
      <c r="P1703" s="2"/>
      <c r="Q1703" s="2" t="s">
        <v>95</v>
      </c>
      <c r="R1703" s="10" t="s">
        <v>221</v>
      </c>
      <c r="S1703" s="10" t="s">
        <v>223</v>
      </c>
      <c r="T1703" s="188">
        <f t="shared" si="197"/>
        <v>23.443501979851657</v>
      </c>
      <c r="U1703" s="8">
        <f t="shared" si="205"/>
        <v>4.219830356373298</v>
      </c>
      <c r="V1703" s="234">
        <f t="shared" si="206"/>
        <v>473.08986995340638</v>
      </c>
      <c r="W1703" s="15">
        <v>25</v>
      </c>
      <c r="X1703" s="8">
        <f t="shared" si="207"/>
        <v>4.5</v>
      </c>
      <c r="Y1703" s="233">
        <f t="shared" si="204"/>
        <v>474.5</v>
      </c>
    </row>
    <row r="1704" spans="1:25">
      <c r="A1704" s="156" t="e" cm="1">
        <f t="array" aca="1" ref="A1704" ca="1">_xlfn.IFS(E1704=$AB$42,$AC$42,E1704=$AB$43,$AC$43,E1704=$AB$44,$AC$44,E1704=$AB$45,$AC$45,E1704=$AB$46,$AC$46,E1704=$AB$47,$AC$47,E1704=$AB$48,$AC$48,E1704=$AB$49,$AC$49,E1704=$AB$50,$AC$50,E1704=$AB$51,$AC$51,E1704=$AB$52,$AC$52,E1704=$AB$53,$AC$53,E1704=$AB$54,$AC$54,E1704=$AB$55,$AC$55,E1704=$AB$56,$AC$56,E1704=$AB$57,$AC$57,E1704=$AB$58,$AC$58,E1704=$AB$59,$AC$59,E1704=$AB$60,$AC$60,E1704=$AB$61,$AC$61,E1704=$AB$62,$AC$62,E1704=$AB$63,$AC$63,E1704=$AB$64,$AC$64,E1704=$AB$65,$AC$65,E1704=$AB$66,$AC$66,TRUE,"0")</f>
        <v>#NAME?</v>
      </c>
      <c r="C1704" s="161" t="str" cm="1">
        <f t="array" ref="C1704">_xlfn.IFS(E1704=$AB$42,$AF$42,E1704=$AB$43,$AF$43,E1704=$AB$44,$AF$44,E1704=$AB$45,$AF$45,E1704=$AB$46,$AF$46,E1704=$AB$47,$AF$47,E1704=$AB$48,$AF$48,E1704=$AB$49,$AF$49,E1704=$AB$50,$AF$50,E1704=$AB$51,$AF$51,E1704=$AB$52,$AF$52,E1704=$AB$53,$AF$53,E1704=$AB$54,$AF$54,E1704=$AB$55,$AF$55,E1704=$AB$56,$AF$56,E1704=$AB$57,$AF$57,E1704=$AB$58,$AF$58,E1704=$AB$59,$AF$59,E1704=$AB$60,$AF$60,E1704=$AB$61,$AF$61,E1704=$AB$62,$AF$62,E1704=$AB$63,$AF$63,E1704=$AB$64,$AF$64,E1704=$AB$65,$AF$65,E1704=$AB$66,$AF$66,TRUE,"0")</f>
        <v>40 mins Back ANother Goal</v>
      </c>
      <c r="D1704" s="270" t="str" cm="1">
        <f t="array" ref="D1704">_xlfn.IFS(E1704=$AB$42,$AD$42,E1704=$AB$43,$AD$43,E1704=$AB$44,$AD$44,E1704=$AB$45,$AD$45,E1704=$AB$46,$AD$46,E1704=$AB$47,$AD$47,E1704=$AB$48,$AD$48,E1704=$AB$49,$AD$49,E1704=$AB$50,$AD$50,E1704=$AB$51,$AD$51,E1704=$AB$52,$AD$52,E1704=$AB$53,$AD$53,E1704=$AB$54,$AD$54,E1704=$AB$55,$AD$55,E1704=$AB$56,$AD$56,E1704=$AB$57,$AD$57,E1704=$AB$58,$AD$58,E1704=$AB$59,$AD$59,E1704=$AB$60,$AD$60,E1704=$AB$61,$AD$61,E1704=$AB$62,$AD$62,E1704=$AB$63,$AD$63,E1704=$AB$64,$AD$64,E1704=$AB$65,$AD$65,E1704=$AB$66,$AD$66,TRUE,"0")</f>
        <v xml:space="preserve">  BANG</v>
      </c>
      <c r="E1704" s="2" t="s">
        <v>877</v>
      </c>
      <c r="F1704" s="2" t="s">
        <v>878</v>
      </c>
      <c r="G1704" s="2" t="s">
        <v>62</v>
      </c>
      <c r="H1704" s="3">
        <v>45438.458333333336</v>
      </c>
      <c r="I1704" s="2" t="s">
        <v>883</v>
      </c>
      <c r="J1704" s="2" t="s">
        <v>884</v>
      </c>
      <c r="K1704" s="2">
        <v>2.35</v>
      </c>
      <c r="L1704" s="2">
        <v>95</v>
      </c>
      <c r="M1704" s="2">
        <v>75</v>
      </c>
      <c r="N1704" s="2">
        <v>62</v>
      </c>
      <c r="O1704" s="2">
        <v>20</v>
      </c>
      <c r="P1704" s="2"/>
      <c r="Q1704" s="2" t="s">
        <v>95</v>
      </c>
      <c r="R1704" s="10" t="s">
        <v>221</v>
      </c>
      <c r="S1704" s="10" t="s">
        <v>216</v>
      </c>
      <c r="T1704" s="188">
        <f t="shared" si="197"/>
        <v>23.65449349767032</v>
      </c>
      <c r="U1704" s="8">
        <f t="shared" si="205"/>
        <v>4.2578088295806573</v>
      </c>
      <c r="V1704" s="234">
        <f t="shared" si="206"/>
        <v>477.34767878298703</v>
      </c>
      <c r="W1704" s="15">
        <v>25</v>
      </c>
      <c r="X1704" s="8">
        <f t="shared" si="207"/>
        <v>4.5</v>
      </c>
      <c r="Y1704" s="233">
        <f t="shared" si="204"/>
        <v>479</v>
      </c>
    </row>
    <row r="1705" spans="1:25">
      <c r="A1705" s="156" t="e" cm="1">
        <f t="array" aca="1" ref="A1705" ca="1">_xlfn.IFS(E1705=$AB$42,$AC$42,E1705=$AB$43,$AC$43,E1705=$AB$44,$AC$44,E1705=$AB$45,$AC$45,E1705=$AB$46,$AC$46,E1705=$AB$47,$AC$47,E1705=$AB$48,$AC$48,E1705=$AB$49,$AC$49,E1705=$AB$50,$AC$50,E1705=$AB$51,$AC$51,E1705=$AB$52,$AC$52,E1705=$AB$53,$AC$53,E1705=$AB$54,$AC$54,E1705=$AB$55,$AC$55,E1705=$AB$56,$AC$56,E1705=$AB$57,$AC$57,E1705=$AB$58,$AC$58,E1705=$AB$59,$AC$59,E1705=$AB$60,$AC$60,E1705=$AB$61,$AC$61,E1705=$AB$62,$AC$62,E1705=$AB$63,$AC$63,E1705=$AB$64,$AC$64,E1705=$AB$65,$AC$65,E1705=$AB$66,$AC$66,TRUE,"0")</f>
        <v>#NAME?</v>
      </c>
      <c r="C1705" s="161" t="str" cm="1">
        <f t="array" ref="C1705">_xlfn.IFS(E1705=$AB$42,$AF$42,E1705=$AB$43,$AF$43,E1705=$AB$44,$AF$44,E1705=$AB$45,$AF$45,E1705=$AB$46,$AF$46,E1705=$AB$47,$AF$47,E1705=$AB$48,$AF$48,E1705=$AB$49,$AF$49,E1705=$AB$50,$AF$50,E1705=$AB$51,$AF$51,E1705=$AB$52,$AF$52,E1705=$AB$53,$AF$53,E1705=$AB$54,$AF$54,E1705=$AB$55,$AF$55,E1705=$AB$56,$AF$56,E1705=$AB$57,$AF$57,E1705=$AB$58,$AF$58,E1705=$AB$59,$AF$59,E1705=$AB$60,$AF$60,E1705=$AB$61,$AF$61,E1705=$AB$62,$AF$62,E1705=$AB$63,$AF$63,E1705=$AB$64,$AF$64,E1705=$AB$65,$AF$65,E1705=$AB$66,$AF$66,TRUE,"0")</f>
        <v>40 mins Back ANother Goal</v>
      </c>
      <c r="D1705" s="270" t="str" cm="1">
        <f t="array" ref="D1705">_xlfn.IFS(E1705=$AB$42,$AD$42,E1705=$AB$43,$AD$43,E1705=$AB$44,$AD$44,E1705=$AB$45,$AD$45,E1705=$AB$46,$AD$46,E1705=$AB$47,$AD$47,E1705=$AB$48,$AD$48,E1705=$AB$49,$AD$49,E1705=$AB$50,$AD$50,E1705=$AB$51,$AD$51,E1705=$AB$52,$AD$52,E1705=$AB$53,$AD$53,E1705=$AB$54,$AD$54,E1705=$AB$55,$AD$55,E1705=$AB$56,$AD$56,E1705=$AB$57,$AD$57,E1705=$AB$58,$AD$58,E1705=$AB$59,$AD$59,E1705=$AB$60,$AD$60,E1705=$AB$61,$AD$61,E1705=$AB$62,$AD$62,E1705=$AB$63,$AD$63,E1705=$AB$64,$AD$64,E1705=$AB$65,$AD$65,E1705=$AB$66,$AD$66,TRUE,"0")</f>
        <v xml:space="preserve">  BANG</v>
      </c>
      <c r="E1705" s="2" t="s">
        <v>885</v>
      </c>
      <c r="F1705" s="2" t="s">
        <v>441</v>
      </c>
      <c r="G1705" s="2" t="s">
        <v>442</v>
      </c>
      <c r="H1705" s="3">
        <v>45438.5</v>
      </c>
      <c r="I1705" s="2" t="s">
        <v>444</v>
      </c>
      <c r="J1705" s="2" t="s">
        <v>697</v>
      </c>
      <c r="K1705" s="2">
        <v>95</v>
      </c>
      <c r="L1705" s="2">
        <v>20</v>
      </c>
      <c r="M1705" s="2">
        <v>1.9</v>
      </c>
      <c r="N1705" s="2">
        <v>64</v>
      </c>
      <c r="O1705" s="2"/>
      <c r="P1705" s="2"/>
      <c r="Q1705" s="2" t="s">
        <v>95</v>
      </c>
      <c r="R1705" s="10" t="s">
        <v>222</v>
      </c>
      <c r="S1705" s="10" t="s">
        <v>277</v>
      </c>
      <c r="T1705" s="188">
        <f t="shared" si="197"/>
        <v>23.867383939149352</v>
      </c>
      <c r="U1705" s="8">
        <f t="shared" si="205"/>
        <v>4.2961291090468832</v>
      </c>
      <c r="V1705" s="234">
        <f t="shared" si="206"/>
        <v>481.64380789203392</v>
      </c>
      <c r="W1705" s="15">
        <v>25</v>
      </c>
      <c r="X1705" s="8">
        <f t="shared" si="207"/>
        <v>4.5</v>
      </c>
      <c r="Y1705" s="233">
        <f t="shared" si="204"/>
        <v>483.5</v>
      </c>
    </row>
    <row r="1706" spans="1:25">
      <c r="A1706" s="156" t="e" cm="1">
        <f t="array" aca="1" ref="A1706" ca="1">_xlfn.IFS(E1706=$AB$42,$AC$42,E1706=$AB$43,$AC$43,E1706=$AB$44,$AC$44,E1706=$AB$45,$AC$45,E1706=$AB$46,$AC$46,E1706=$AB$47,$AC$47,E1706=$AB$48,$AC$48,E1706=$AB$49,$AC$49,E1706=$AB$50,$AC$50,E1706=$AB$51,$AC$51,E1706=$AB$52,$AC$52,E1706=$AB$53,$AC$53,E1706=$AB$54,$AC$54,E1706=$AB$55,$AC$55,E1706=$AB$56,$AC$56,E1706=$AB$57,$AC$57,E1706=$AB$58,$AC$58,E1706=$AB$59,$AC$59,E1706=$AB$60,$AC$60,E1706=$AB$61,$AC$61,E1706=$AB$62,$AC$62,E1706=$AB$63,$AC$63,E1706=$AB$64,$AC$64,E1706=$AB$65,$AC$65,E1706=$AB$66,$AC$66,TRUE,"0")</f>
        <v>#NAME?</v>
      </c>
      <c r="C1706" s="161" t="str" cm="1">
        <f t="array" ref="C1706">_xlfn.IFS(E1706=$AB$42,$AF$42,E1706=$AB$43,$AF$43,E1706=$AB$44,$AF$44,E1706=$AB$45,$AF$45,E1706=$AB$46,$AF$46,E1706=$AB$47,$AF$47,E1706=$AB$48,$AF$48,E1706=$AB$49,$AF$49,E1706=$AB$50,$AF$50,E1706=$AB$51,$AF$51,E1706=$AB$52,$AF$52,E1706=$AB$53,$AF$53,E1706=$AB$54,$AF$54,E1706=$AB$55,$AF$55,E1706=$AB$56,$AF$56,E1706=$AB$57,$AF$57,E1706=$AB$58,$AF$58,E1706=$AB$59,$AF$59,E1706=$AB$60,$AF$60,E1706=$AB$61,$AF$61,E1706=$AB$62,$AF$62,E1706=$AB$63,$AF$63,E1706=$AB$64,$AF$64,E1706=$AB$65,$AF$65,E1706=$AB$66,$AF$66,TRUE,"0")</f>
        <v>40 mins Back ANother Goal</v>
      </c>
      <c r="D1706" s="270" t="str" cm="1">
        <f t="array" ref="D1706">_xlfn.IFS(E1706=$AB$42,$AD$42,E1706=$AB$43,$AD$43,E1706=$AB$44,$AD$44,E1706=$AB$45,$AD$45,E1706=$AB$46,$AD$46,E1706=$AB$47,$AD$47,E1706=$AB$48,$AD$48,E1706=$AB$49,$AD$49,E1706=$AB$50,$AD$50,E1706=$AB$51,$AD$51,E1706=$AB$52,$AD$52,E1706=$AB$53,$AD$53,E1706=$AB$54,$AD$54,E1706=$AB$55,$AD$55,E1706=$AB$56,$AD$56,E1706=$AB$57,$AD$57,E1706=$AB$58,$AD$58,E1706=$AB$59,$AD$59,E1706=$AB$60,$AD$60,E1706=$AB$61,$AD$61,E1706=$AB$62,$AD$62,E1706=$AB$63,$AD$63,E1706=$AB$64,$AD$64,E1706=$AB$65,$AD$65,E1706=$AB$66,$AD$66,TRUE,"0")</f>
        <v xml:space="preserve">  BANG</v>
      </c>
      <c r="E1706" s="2" t="s">
        <v>792</v>
      </c>
      <c r="F1706" s="2" t="s">
        <v>516</v>
      </c>
      <c r="G1706" s="2" t="s">
        <v>78</v>
      </c>
      <c r="H1706" s="3">
        <v>45438.5</v>
      </c>
      <c r="I1706" s="2" t="s">
        <v>827</v>
      </c>
      <c r="J1706" s="2" t="s">
        <v>674</v>
      </c>
      <c r="K1706" s="2">
        <v>2.0499999999999998</v>
      </c>
      <c r="L1706" s="2">
        <v>85</v>
      </c>
      <c r="M1706" s="2">
        <v>70</v>
      </c>
      <c r="N1706" s="2">
        <v>64</v>
      </c>
      <c r="O1706" s="2">
        <v>20</v>
      </c>
      <c r="P1706" s="2"/>
      <c r="Q1706" s="2" t="s">
        <v>95</v>
      </c>
      <c r="R1706" s="10" t="s">
        <v>222</v>
      </c>
      <c r="S1706" s="10" t="s">
        <v>208</v>
      </c>
      <c r="T1706" s="188">
        <f t="shared" si="197"/>
        <v>24.082190394601696</v>
      </c>
      <c r="U1706" s="8">
        <f t="shared" si="205"/>
        <v>4.3347942710283052</v>
      </c>
      <c r="V1706" s="234">
        <f t="shared" si="206"/>
        <v>485.97860216306225</v>
      </c>
      <c r="W1706" s="15">
        <v>25</v>
      </c>
      <c r="X1706" s="8">
        <f t="shared" si="207"/>
        <v>4.5</v>
      </c>
      <c r="Y1706" s="233">
        <f t="shared" si="204"/>
        <v>488</v>
      </c>
    </row>
    <row r="1707" spans="1:25">
      <c r="A1707" s="156" t="e" cm="1">
        <f t="array" aca="1" ref="A1707" ca="1">_xlfn.IFS(E1707=$AB$42,$AC$42,E1707=$AB$43,$AC$43,E1707=$AB$44,$AC$44,E1707=$AB$45,$AC$45,E1707=$AB$46,$AC$46,E1707=$AB$47,$AC$47,E1707=$AB$48,$AC$48,E1707=$AB$49,$AC$49,E1707=$AB$50,$AC$50,E1707=$AB$51,$AC$51,E1707=$AB$52,$AC$52,E1707=$AB$53,$AC$53,E1707=$AB$54,$AC$54,E1707=$AB$55,$AC$55,E1707=$AB$56,$AC$56,E1707=$AB$57,$AC$57,E1707=$AB$58,$AC$58,E1707=$AB$59,$AC$59,E1707=$AB$60,$AC$60,E1707=$AB$61,$AC$61,E1707=$AB$62,$AC$62,E1707=$AB$63,$AC$63,E1707=$AB$64,$AC$64,E1707=$AB$65,$AC$65,E1707=$AB$66,$AC$66,TRUE,"0")</f>
        <v>#NAME?</v>
      </c>
      <c r="C1707" s="161" t="str" cm="1">
        <f t="array" ref="C1707">_xlfn.IFS(E1707=$AB$42,$AF$42,E1707=$AB$43,$AF$43,E1707=$AB$44,$AF$44,E1707=$AB$45,$AF$45,E1707=$AB$46,$AF$46,E1707=$AB$47,$AF$47,E1707=$AB$48,$AF$48,E1707=$AB$49,$AF$49,E1707=$AB$50,$AF$50,E1707=$AB$51,$AF$51,E1707=$AB$52,$AF$52,E1707=$AB$53,$AF$53,E1707=$AB$54,$AF$54,E1707=$AB$55,$AF$55,E1707=$AB$56,$AF$56,E1707=$AB$57,$AF$57,E1707=$AB$58,$AF$58,E1707=$AB$59,$AF$59,E1707=$AB$60,$AF$60,E1707=$AB$61,$AF$61,E1707=$AB$62,$AF$62,E1707=$AB$63,$AF$63,E1707=$AB$64,$AF$64,E1707=$AB$65,$AF$65,E1707=$AB$66,$AF$66,TRUE,"0")</f>
        <v>40 mins Back ANother Goal</v>
      </c>
      <c r="D1707" s="270" t="str" cm="1">
        <f t="array" ref="D1707">_xlfn.IFS(E1707=$AB$42,$AD$42,E1707=$AB$43,$AD$43,E1707=$AB$44,$AD$44,E1707=$AB$45,$AD$45,E1707=$AB$46,$AD$46,E1707=$AB$47,$AD$47,E1707=$AB$48,$AD$48,E1707=$AB$49,$AD$49,E1707=$AB$50,$AD$50,E1707=$AB$51,$AD$51,E1707=$AB$52,$AD$52,E1707=$AB$53,$AD$53,E1707=$AB$54,$AD$54,E1707=$AB$55,$AD$55,E1707=$AB$56,$AD$56,E1707=$AB$57,$AD$57,E1707=$AB$58,$AD$58,E1707=$AB$59,$AD$59,E1707=$AB$60,$AD$60,E1707=$AB$61,$AD$61,E1707=$AB$62,$AD$62,E1707=$AB$63,$AD$63,E1707=$AB$64,$AD$64,E1707=$AB$65,$AD$65,E1707=$AB$66,$AD$66,TRUE,"0")</f>
        <v xml:space="preserve">  BANG</v>
      </c>
      <c r="E1707" s="2" t="s">
        <v>877</v>
      </c>
      <c r="F1707" s="2" t="s">
        <v>516</v>
      </c>
      <c r="G1707" s="2" t="s">
        <v>78</v>
      </c>
      <c r="H1707" s="3">
        <v>45438.5</v>
      </c>
      <c r="I1707" s="2" t="s">
        <v>827</v>
      </c>
      <c r="J1707" s="2" t="s">
        <v>674</v>
      </c>
      <c r="K1707" s="2">
        <v>2.0499999999999998</v>
      </c>
      <c r="L1707" s="2">
        <v>85</v>
      </c>
      <c r="M1707" s="2">
        <v>70</v>
      </c>
      <c r="N1707" s="2">
        <v>64</v>
      </c>
      <c r="O1707" s="2">
        <v>20</v>
      </c>
      <c r="P1707" s="2"/>
      <c r="Q1707" s="2" t="s">
        <v>95</v>
      </c>
      <c r="R1707" s="10" t="s">
        <v>222</v>
      </c>
      <c r="S1707" s="10" t="s">
        <v>208</v>
      </c>
      <c r="T1707" s="188">
        <f t="shared" si="197"/>
        <v>24.298930108153115</v>
      </c>
      <c r="U1707" s="8">
        <f t="shared" si="205"/>
        <v>4.3738074194675605</v>
      </c>
      <c r="V1707" s="234">
        <f t="shared" si="206"/>
        <v>490.35240958252979</v>
      </c>
      <c r="W1707" s="15">
        <v>25</v>
      </c>
      <c r="X1707" s="8">
        <f t="shared" si="207"/>
        <v>4.5</v>
      </c>
      <c r="Y1707" s="233">
        <f t="shared" si="204"/>
        <v>492.5</v>
      </c>
    </row>
    <row r="1708" spans="1:25">
      <c r="A1708" s="156" t="e" cm="1">
        <f t="array" aca="1" ref="A1708" ca="1">_xlfn.IFS(E1708=$AB$42,$AC$42,E1708=$AB$43,$AC$43,E1708=$AB$44,$AC$44,E1708=$AB$45,$AC$45,E1708=$AB$46,$AC$46,E1708=$AB$47,$AC$47,E1708=$AB$48,$AC$48,E1708=$AB$49,$AC$49,E1708=$AB$50,$AC$50,E1708=$AB$51,$AC$51,E1708=$AB$52,$AC$52,E1708=$AB$53,$AC$53,E1708=$AB$54,$AC$54,E1708=$AB$55,$AC$55,E1708=$AB$56,$AC$56,E1708=$AB$57,$AC$57,E1708=$AB$58,$AC$58,E1708=$AB$59,$AC$59,E1708=$AB$60,$AC$60,E1708=$AB$61,$AC$61,E1708=$AB$62,$AC$62,E1708=$AB$63,$AC$63,E1708=$AB$64,$AC$64,E1708=$AB$65,$AC$65,E1708=$AB$66,$AC$66,TRUE,"0")</f>
        <v>#NAME?</v>
      </c>
      <c r="C1708" s="161" t="str" cm="1">
        <f t="array" ref="C1708">_xlfn.IFS(E1708=$AB$42,$AF$42,E1708=$AB$43,$AF$43,E1708=$AB$44,$AF$44,E1708=$AB$45,$AF$45,E1708=$AB$46,$AF$46,E1708=$AB$47,$AF$47,E1708=$AB$48,$AF$48,E1708=$AB$49,$AF$49,E1708=$AB$50,$AF$50,E1708=$AB$51,$AF$51,E1708=$AB$52,$AF$52,E1708=$AB$53,$AF$53,E1708=$AB$54,$AF$54,E1708=$AB$55,$AF$55,E1708=$AB$56,$AF$56,E1708=$AB$57,$AF$57,E1708=$AB$58,$AF$58,E1708=$AB$59,$AF$59,E1708=$AB$60,$AF$60,E1708=$AB$61,$AF$61,E1708=$AB$62,$AF$62,E1708=$AB$63,$AF$63,E1708=$AB$64,$AF$64,E1708=$AB$65,$AF$65,E1708=$AB$66,$AF$66,TRUE,"0")</f>
        <v>40 mins Back ANother Goal</v>
      </c>
      <c r="D1708" s="270" t="str" cm="1">
        <f t="array" ref="D1708">_xlfn.IFS(E1708=$AB$42,$AD$42,E1708=$AB$43,$AD$43,E1708=$AB$44,$AD$44,E1708=$AB$45,$AD$45,E1708=$AB$46,$AD$46,E1708=$AB$47,$AD$47,E1708=$AB$48,$AD$48,E1708=$AB$49,$AD$49,E1708=$AB$50,$AD$50,E1708=$AB$51,$AD$51,E1708=$AB$52,$AD$52,E1708=$AB$53,$AD$53,E1708=$AB$54,$AD$54,E1708=$AB$55,$AD$55,E1708=$AB$56,$AD$56,E1708=$AB$57,$AD$57,E1708=$AB$58,$AD$58,E1708=$AB$59,$AD$59,E1708=$AB$60,$AD$60,E1708=$AB$61,$AD$61,E1708=$AB$62,$AD$62,E1708=$AB$63,$AD$63,E1708=$AB$64,$AD$64,E1708=$AB$65,$AD$65,E1708=$AB$66,$AD$66,TRUE,"0")</f>
        <v xml:space="preserve">  BANG</v>
      </c>
      <c r="E1708" s="2" t="s">
        <v>885</v>
      </c>
      <c r="F1708" s="2" t="s">
        <v>441</v>
      </c>
      <c r="G1708" s="2" t="s">
        <v>442</v>
      </c>
      <c r="H1708" s="3">
        <v>45438.5</v>
      </c>
      <c r="I1708" s="2" t="s">
        <v>648</v>
      </c>
      <c r="J1708" s="2" t="s">
        <v>886</v>
      </c>
      <c r="K1708" s="2">
        <v>90</v>
      </c>
      <c r="L1708" s="2">
        <v>20</v>
      </c>
      <c r="M1708" s="2">
        <v>2</v>
      </c>
      <c r="N1708" s="2">
        <v>61</v>
      </c>
      <c r="O1708" s="2"/>
      <c r="P1708" s="2"/>
      <c r="Q1708" s="2" t="s">
        <v>95</v>
      </c>
      <c r="R1708" s="10" t="s">
        <v>215</v>
      </c>
      <c r="S1708" s="10" t="s">
        <v>898</v>
      </c>
      <c r="T1708" s="188">
        <f t="shared" si="197"/>
        <v>24.517620479126492</v>
      </c>
      <c r="U1708" s="8">
        <f t="shared" si="205"/>
        <v>4.4131716862427686</v>
      </c>
      <c r="V1708" s="234">
        <f t="shared" si="206"/>
        <v>494.76558126877256</v>
      </c>
      <c r="W1708" s="15">
        <v>25</v>
      </c>
      <c r="X1708" s="8">
        <f t="shared" si="207"/>
        <v>4.5</v>
      </c>
      <c r="Y1708" s="233">
        <f t="shared" si="204"/>
        <v>497</v>
      </c>
    </row>
    <row r="1709" spans="1:25">
      <c r="A1709" s="156" t="e" cm="1">
        <f t="array" aca="1" ref="A1709" ca="1">_xlfn.IFS(E1709=$AB$42,$AC$42,E1709=$AB$43,$AC$43,E1709=$AB$44,$AC$44,E1709=$AB$45,$AC$45,E1709=$AB$46,$AC$46,E1709=$AB$47,$AC$47,E1709=$AB$48,$AC$48,E1709=$AB$49,$AC$49,E1709=$AB$50,$AC$50,E1709=$AB$51,$AC$51,E1709=$AB$52,$AC$52,E1709=$AB$53,$AC$53,E1709=$AB$54,$AC$54,E1709=$AB$55,$AC$55,E1709=$AB$56,$AC$56,E1709=$AB$57,$AC$57,E1709=$AB$58,$AC$58,E1709=$AB$59,$AC$59,E1709=$AB$60,$AC$60,E1709=$AB$61,$AC$61,E1709=$AB$62,$AC$62,E1709=$AB$63,$AC$63,E1709=$AB$64,$AC$64,E1709=$AB$65,$AC$65,E1709=$AB$66,$AC$66,TRUE,"0")</f>
        <v>#NAME?</v>
      </c>
      <c r="C1709" s="161" t="str" cm="1">
        <f t="array" ref="C1709">_xlfn.IFS(E1709=$AB$42,$AF$42,E1709=$AB$43,$AF$43,E1709=$AB$44,$AF$44,E1709=$AB$45,$AF$45,E1709=$AB$46,$AF$46,E1709=$AB$47,$AF$47,E1709=$AB$48,$AF$48,E1709=$AB$49,$AF$49,E1709=$AB$50,$AF$50,E1709=$AB$51,$AF$51,E1709=$AB$52,$AF$52,E1709=$AB$53,$AF$53,E1709=$AB$54,$AF$54,E1709=$AB$55,$AF$55,E1709=$AB$56,$AF$56,E1709=$AB$57,$AF$57,E1709=$AB$58,$AF$58,E1709=$AB$59,$AF$59,E1709=$AB$60,$AF$60,E1709=$AB$61,$AF$61,E1709=$AB$62,$AF$62,E1709=$AB$63,$AF$63,E1709=$AB$64,$AF$64,E1709=$AB$65,$AF$65,E1709=$AB$66,$AF$66,TRUE,"0")</f>
        <v>40 mins Back ANother Goal</v>
      </c>
      <c r="D1709" s="270" t="str" cm="1">
        <f t="array" ref="D1709">_xlfn.IFS(E1709=$AB$42,$AD$42,E1709=$AB$43,$AD$43,E1709=$AB$44,$AD$44,E1709=$AB$45,$AD$45,E1709=$AB$46,$AD$46,E1709=$AB$47,$AD$47,E1709=$AB$48,$AD$48,E1709=$AB$49,$AD$49,E1709=$AB$50,$AD$50,E1709=$AB$51,$AD$51,E1709=$AB$52,$AD$52,E1709=$AB$53,$AD$53,E1709=$AB$54,$AD$54,E1709=$AB$55,$AD$55,E1709=$AB$56,$AD$56,E1709=$AB$57,$AD$57,E1709=$AB$58,$AD$58,E1709=$AB$59,$AD$59,E1709=$AB$60,$AD$60,E1709=$AB$61,$AD$61,E1709=$AB$62,$AD$62,E1709=$AB$63,$AD$63,E1709=$AB$64,$AD$64,E1709=$AB$65,$AD$65,E1709=$AB$66,$AD$66,TRUE,"0")</f>
        <v xml:space="preserve">  BANG</v>
      </c>
      <c r="E1709" s="2" t="s">
        <v>515</v>
      </c>
      <c r="F1709" s="2" t="s">
        <v>516</v>
      </c>
      <c r="G1709" s="2" t="s">
        <v>78</v>
      </c>
      <c r="H1709" s="3">
        <v>45438.5</v>
      </c>
      <c r="I1709" s="2" t="s">
        <v>517</v>
      </c>
      <c r="J1709" s="2" t="s">
        <v>870</v>
      </c>
      <c r="K1709" s="2">
        <v>20</v>
      </c>
      <c r="L1709" s="2">
        <v>70</v>
      </c>
      <c r="M1709" s="2">
        <v>2.25</v>
      </c>
      <c r="N1709" s="2"/>
      <c r="O1709" s="2"/>
      <c r="P1709" s="2"/>
      <c r="Q1709" s="2" t="s">
        <v>95</v>
      </c>
      <c r="R1709" s="10" t="s">
        <v>220</v>
      </c>
      <c r="S1709" s="10" t="s">
        <v>215</v>
      </c>
      <c r="T1709" s="188">
        <f t="shared" si="197"/>
        <v>24.738279063438629</v>
      </c>
      <c r="U1709" s="8">
        <f t="shared" si="205"/>
        <v>4.4528902314189533</v>
      </c>
      <c r="V1709" s="234">
        <f t="shared" si="206"/>
        <v>499.21847150019153</v>
      </c>
      <c r="W1709" s="15">
        <v>25</v>
      </c>
      <c r="X1709" s="8">
        <f t="shared" si="207"/>
        <v>4.5</v>
      </c>
      <c r="Y1709" s="233">
        <f t="shared" si="204"/>
        <v>501.5</v>
      </c>
    </row>
    <row r="1710" spans="1:25">
      <c r="A1710" s="156" t="e" cm="1">
        <f t="array" aca="1" ref="A1710" ca="1">_xlfn.IFS(E1710=$AB$42,$AC$42,E1710=$AB$43,$AC$43,E1710=$AB$44,$AC$44,E1710=$AB$45,$AC$45,E1710=$AB$46,$AC$46,E1710=$AB$47,$AC$47,E1710=$AB$48,$AC$48,E1710=$AB$49,$AC$49,E1710=$AB$50,$AC$50,E1710=$AB$51,$AC$51,E1710=$AB$52,$AC$52,E1710=$AB$53,$AC$53,E1710=$AB$54,$AC$54,E1710=$AB$55,$AC$55,E1710=$AB$56,$AC$56,E1710=$AB$57,$AC$57,E1710=$AB$58,$AC$58,E1710=$AB$59,$AC$59,E1710=$AB$60,$AC$60,E1710=$AB$61,$AC$61,E1710=$AB$62,$AC$62,E1710=$AB$63,$AC$63,E1710=$AB$64,$AC$64,E1710=$AB$65,$AC$65,E1710=$AB$66,$AC$66,TRUE,"0")</f>
        <v>#NAME?</v>
      </c>
      <c r="C1710" s="161" t="str" cm="1">
        <f t="array" ref="C1710">_xlfn.IFS(E1710=$AB$42,$AF$42,E1710=$AB$43,$AF$43,E1710=$AB$44,$AF$44,E1710=$AB$45,$AF$45,E1710=$AB$46,$AF$46,E1710=$AB$47,$AF$47,E1710=$AB$48,$AF$48,E1710=$AB$49,$AF$49,E1710=$AB$50,$AF$50,E1710=$AB$51,$AF$51,E1710=$AB$52,$AF$52,E1710=$AB$53,$AF$53,E1710=$AB$54,$AF$54,E1710=$AB$55,$AF$55,E1710=$AB$56,$AF$56,E1710=$AB$57,$AF$57,E1710=$AB$58,$AF$58,E1710=$AB$59,$AF$59,E1710=$AB$60,$AF$60,E1710=$AB$61,$AF$61,E1710=$AB$62,$AF$62,E1710=$AB$63,$AF$63,E1710=$AB$64,$AF$64,E1710=$AB$65,$AF$65,E1710=$AB$66,$AF$66,TRUE,"0")</f>
        <v>40 mins Back ANother Goal</v>
      </c>
      <c r="D1710" s="270" t="str" cm="1">
        <f t="array" ref="D1710">_xlfn.IFS(E1710=$AB$42,$AD$42,E1710=$AB$43,$AD$43,E1710=$AB$44,$AD$44,E1710=$AB$45,$AD$45,E1710=$AB$46,$AD$46,E1710=$AB$47,$AD$47,E1710=$AB$48,$AD$48,E1710=$AB$49,$AD$49,E1710=$AB$50,$AD$50,E1710=$AB$51,$AD$51,E1710=$AB$52,$AD$52,E1710=$AB$53,$AD$53,E1710=$AB$54,$AD$54,E1710=$AB$55,$AD$55,E1710=$AB$56,$AD$56,E1710=$AB$57,$AD$57,E1710=$AB$58,$AD$58,E1710=$AB$59,$AD$59,E1710=$AB$60,$AD$60,E1710=$AB$61,$AD$61,E1710=$AB$62,$AD$62,E1710=$AB$63,$AD$63,E1710=$AB$64,$AD$64,E1710=$AB$65,$AD$65,E1710=$AB$66,$AD$66,TRUE,"0")</f>
        <v xml:space="preserve">  BANG</v>
      </c>
      <c r="E1710" s="2" t="s">
        <v>876</v>
      </c>
      <c r="F1710" s="2" t="s">
        <v>516</v>
      </c>
      <c r="G1710" s="2" t="s">
        <v>78</v>
      </c>
      <c r="H1710" s="3">
        <v>45438.5</v>
      </c>
      <c r="I1710" s="2" t="s">
        <v>517</v>
      </c>
      <c r="J1710" s="2" t="s">
        <v>870</v>
      </c>
      <c r="K1710" s="2">
        <v>20</v>
      </c>
      <c r="L1710" s="2">
        <v>70</v>
      </c>
      <c r="M1710" s="2">
        <v>2.25</v>
      </c>
      <c r="N1710" s="2"/>
      <c r="O1710" s="2"/>
      <c r="P1710" s="2"/>
      <c r="Q1710" s="2" t="s">
        <v>95</v>
      </c>
      <c r="R1710" s="10" t="s">
        <v>220</v>
      </c>
      <c r="S1710" s="10" t="s">
        <v>215</v>
      </c>
      <c r="T1710" s="188">
        <f t="shared" si="197"/>
        <v>24.960923575009577</v>
      </c>
      <c r="U1710" s="8">
        <f t="shared" si="205"/>
        <v>4.4929662435017237</v>
      </c>
      <c r="V1710" s="234">
        <f t="shared" si="206"/>
        <v>503.71143774369324</v>
      </c>
      <c r="W1710" s="15">
        <v>25</v>
      </c>
      <c r="X1710" s="8">
        <f t="shared" si="207"/>
        <v>4.5</v>
      </c>
      <c r="Y1710" s="233">
        <f t="shared" si="204"/>
        <v>506</v>
      </c>
    </row>
    <row r="1711" spans="1:25">
      <c r="A1711" s="156" t="e" cm="1">
        <f t="array" aca="1" ref="A1711" ca="1">_xlfn.IFS(E1711=$AB$42,$AC$42,E1711=$AB$43,$AC$43,E1711=$AB$44,$AC$44,E1711=$AB$45,$AC$45,E1711=$AB$46,$AC$46,E1711=$AB$47,$AC$47,E1711=$AB$48,$AC$48,E1711=$AB$49,$AC$49,E1711=$AB$50,$AC$50,E1711=$AB$51,$AC$51,E1711=$AB$52,$AC$52,E1711=$AB$53,$AC$53,E1711=$AB$54,$AC$54,E1711=$AB$55,$AC$55,E1711=$AB$56,$AC$56,E1711=$AB$57,$AC$57,E1711=$AB$58,$AC$58,E1711=$AB$59,$AC$59,E1711=$AB$60,$AC$60,E1711=$AB$61,$AC$61,E1711=$AB$62,$AC$62,E1711=$AB$63,$AC$63,E1711=$AB$64,$AC$64,E1711=$AB$65,$AC$65,E1711=$AB$66,$AC$66,TRUE,"0")</f>
        <v>#NAME?</v>
      </c>
      <c r="C1711" s="161" t="str" cm="1">
        <f t="array" ref="C1711">_xlfn.IFS(E1711=$AB$42,$AF$42,E1711=$AB$43,$AF$43,E1711=$AB$44,$AF$44,E1711=$AB$45,$AF$45,E1711=$AB$46,$AF$46,E1711=$AB$47,$AF$47,E1711=$AB$48,$AF$48,E1711=$AB$49,$AF$49,E1711=$AB$50,$AF$50,E1711=$AB$51,$AF$51,E1711=$AB$52,$AF$52,E1711=$AB$53,$AF$53,E1711=$AB$54,$AF$54,E1711=$AB$55,$AF$55,E1711=$AB$56,$AF$56,E1711=$AB$57,$AF$57,E1711=$AB$58,$AF$58,E1711=$AB$59,$AF$59,E1711=$AB$60,$AF$60,E1711=$AB$61,$AF$61,E1711=$AB$62,$AF$62,E1711=$AB$63,$AF$63,E1711=$AB$64,$AF$64,E1711=$AB$65,$AF$65,E1711=$AB$66,$AF$66,TRUE,"0")</f>
        <v>40 mins Back ANother Goal</v>
      </c>
      <c r="D1711" s="270" t="str" cm="1">
        <f t="array" ref="D1711">_xlfn.IFS(E1711=$AB$42,$AD$42,E1711=$AB$43,$AD$43,E1711=$AB$44,$AD$44,E1711=$AB$45,$AD$45,E1711=$AB$46,$AD$46,E1711=$AB$47,$AD$47,E1711=$AB$48,$AD$48,E1711=$AB$49,$AD$49,E1711=$AB$50,$AD$50,E1711=$AB$51,$AD$51,E1711=$AB$52,$AD$52,E1711=$AB$53,$AD$53,E1711=$AB$54,$AD$54,E1711=$AB$55,$AD$55,E1711=$AB$56,$AD$56,E1711=$AB$57,$AD$57,E1711=$AB$58,$AD$58,E1711=$AB$59,$AD$59,E1711=$AB$60,$AD$60,E1711=$AB$61,$AD$61,E1711=$AB$62,$AD$62,E1711=$AB$63,$AD$63,E1711=$AB$64,$AD$64,E1711=$AB$65,$AD$65,E1711=$AB$66,$AD$66,TRUE,"0")</f>
        <v xml:space="preserve">  BANG</v>
      </c>
      <c r="E1711" s="2" t="s">
        <v>885</v>
      </c>
      <c r="F1711" s="2" t="s">
        <v>887</v>
      </c>
      <c r="G1711" s="2" t="s">
        <v>888</v>
      </c>
      <c r="H1711" s="3">
        <v>45438.5</v>
      </c>
      <c r="I1711" s="2" t="s">
        <v>889</v>
      </c>
      <c r="J1711" s="2" t="s">
        <v>890</v>
      </c>
      <c r="K1711" s="2">
        <v>85</v>
      </c>
      <c r="L1711" s="2">
        <v>20</v>
      </c>
      <c r="M1711" s="2">
        <v>1.85</v>
      </c>
      <c r="N1711" s="2">
        <v>61</v>
      </c>
      <c r="O1711" s="2"/>
      <c r="P1711" s="2"/>
      <c r="Q1711" s="2" t="s">
        <v>95</v>
      </c>
      <c r="R1711" s="10" t="s">
        <v>222</v>
      </c>
      <c r="S1711" s="10" t="s">
        <v>482</v>
      </c>
      <c r="T1711" s="188">
        <f t="shared" si="197"/>
        <v>25.185571887184665</v>
      </c>
      <c r="U1711" s="8">
        <f t="shared" si="205"/>
        <v>4.5334029396932394</v>
      </c>
      <c r="V1711" s="234">
        <f t="shared" si="206"/>
        <v>508.24484068338649</v>
      </c>
      <c r="W1711" s="15">
        <v>25</v>
      </c>
      <c r="X1711" s="8">
        <f t="shared" si="207"/>
        <v>4.5</v>
      </c>
      <c r="Y1711" s="233">
        <f t="shared" si="204"/>
        <v>510.5</v>
      </c>
    </row>
    <row r="1712" spans="1:25">
      <c r="A1712" s="156" t="e" cm="1">
        <f t="array" aca="1" ref="A1712" ca="1">_xlfn.IFS(E1712=$AB$42,$AC$42,E1712=$AB$43,$AC$43,E1712=$AB$44,$AC$44,E1712=$AB$45,$AC$45,E1712=$AB$46,$AC$46,E1712=$AB$47,$AC$47,E1712=$AB$48,$AC$48,E1712=$AB$49,$AC$49,E1712=$AB$50,$AC$50,E1712=$AB$51,$AC$51,E1712=$AB$52,$AC$52,E1712=$AB$53,$AC$53,E1712=$AB$54,$AC$54,E1712=$AB$55,$AC$55,E1712=$AB$56,$AC$56,E1712=$AB$57,$AC$57,E1712=$AB$58,$AC$58,E1712=$AB$59,$AC$59,E1712=$AB$60,$AC$60,E1712=$AB$61,$AC$61,E1712=$AB$62,$AC$62,E1712=$AB$63,$AC$63,E1712=$AB$64,$AC$64,E1712=$AB$65,$AC$65,E1712=$AB$66,$AC$66,TRUE,"0")</f>
        <v>#NAME?</v>
      </c>
      <c r="C1712" s="161" t="str" cm="1">
        <f t="array" ref="C1712">_xlfn.IFS(E1712=$AB$42,$AF$42,E1712=$AB$43,$AF$43,E1712=$AB$44,$AF$44,E1712=$AB$45,$AF$45,E1712=$AB$46,$AF$46,E1712=$AB$47,$AF$47,E1712=$AB$48,$AF$48,E1712=$AB$49,$AF$49,E1712=$AB$50,$AF$50,E1712=$AB$51,$AF$51,E1712=$AB$52,$AF$52,E1712=$AB$53,$AF$53,E1712=$AB$54,$AF$54,E1712=$AB$55,$AF$55,E1712=$AB$56,$AF$56,E1712=$AB$57,$AF$57,E1712=$AB$58,$AF$58,E1712=$AB$59,$AF$59,E1712=$AB$60,$AF$60,E1712=$AB$61,$AF$61,E1712=$AB$62,$AF$62,E1712=$AB$63,$AF$63,E1712=$AB$64,$AF$64,E1712=$AB$65,$AF$65,E1712=$AB$66,$AF$66,TRUE,"0")</f>
        <v>40 mins Back ANother Goal</v>
      </c>
      <c r="D1712" s="270" t="str" cm="1">
        <f t="array" ref="D1712">_xlfn.IFS(E1712=$AB$42,$AD$42,E1712=$AB$43,$AD$43,E1712=$AB$44,$AD$44,E1712=$AB$45,$AD$45,E1712=$AB$46,$AD$46,E1712=$AB$47,$AD$47,E1712=$AB$48,$AD$48,E1712=$AB$49,$AD$49,E1712=$AB$50,$AD$50,E1712=$AB$51,$AD$51,E1712=$AB$52,$AD$52,E1712=$AB$53,$AD$53,E1712=$AB$54,$AD$54,E1712=$AB$55,$AD$55,E1712=$AB$56,$AD$56,E1712=$AB$57,$AD$57,E1712=$AB$58,$AD$58,E1712=$AB$59,$AD$59,E1712=$AB$60,$AD$60,E1712=$AB$61,$AD$61,E1712=$AB$62,$AD$62,E1712=$AB$63,$AD$63,E1712=$AB$64,$AD$64,E1712=$AB$65,$AD$65,E1712=$AB$66,$AD$66,TRUE,"0")</f>
        <v xml:space="preserve">  BANG</v>
      </c>
      <c r="E1712" s="2" t="s">
        <v>877</v>
      </c>
      <c r="F1712" s="2" t="s">
        <v>887</v>
      </c>
      <c r="G1712" s="2" t="s">
        <v>888</v>
      </c>
      <c r="H1712" s="3">
        <v>45438.5</v>
      </c>
      <c r="I1712" s="2" t="s">
        <v>889</v>
      </c>
      <c r="J1712" s="2" t="s">
        <v>890</v>
      </c>
      <c r="K1712" s="2">
        <v>1.85</v>
      </c>
      <c r="L1712" s="2">
        <v>85</v>
      </c>
      <c r="M1712" s="2">
        <v>70</v>
      </c>
      <c r="N1712" s="2">
        <v>61</v>
      </c>
      <c r="O1712" s="2">
        <v>20</v>
      </c>
      <c r="P1712" s="2"/>
      <c r="Q1712" s="2" t="s">
        <v>95</v>
      </c>
      <c r="R1712" s="10" t="s">
        <v>222</v>
      </c>
      <c r="S1712" s="10" t="s">
        <v>482</v>
      </c>
      <c r="T1712" s="188">
        <f t="shared" si="197"/>
        <v>25.412242034169324</v>
      </c>
      <c r="U1712" s="8">
        <f t="shared" si="205"/>
        <v>4.5742035661504783</v>
      </c>
      <c r="V1712" s="234">
        <f t="shared" si="206"/>
        <v>512.819044249537</v>
      </c>
      <c r="W1712" s="15">
        <v>25</v>
      </c>
      <c r="X1712" s="8">
        <f t="shared" si="207"/>
        <v>4.5</v>
      </c>
      <c r="Y1712" s="233">
        <f t="shared" si="204"/>
        <v>515</v>
      </c>
    </row>
    <row r="1713" spans="1:25">
      <c r="A1713" s="156" t="e" cm="1">
        <f t="array" aca="1" ref="A1713" ca="1">_xlfn.IFS(E1713=$AB$42,$AC$42,E1713=$AB$43,$AC$43,E1713=$AB$44,$AC$44,E1713=$AB$45,$AC$45,E1713=$AB$46,$AC$46,E1713=$AB$47,$AC$47,E1713=$AB$48,$AC$48,E1713=$AB$49,$AC$49,E1713=$AB$50,$AC$50,E1713=$AB$51,$AC$51,E1713=$AB$52,$AC$52,E1713=$AB$53,$AC$53,E1713=$AB$54,$AC$54,E1713=$AB$55,$AC$55,E1713=$AB$56,$AC$56,E1713=$AB$57,$AC$57,E1713=$AB$58,$AC$58,E1713=$AB$59,$AC$59,E1713=$AB$60,$AC$60,E1713=$AB$61,$AC$61,E1713=$AB$62,$AC$62,E1713=$AB$63,$AC$63,E1713=$AB$64,$AC$64,E1713=$AB$65,$AC$65,E1713=$AB$66,$AC$66,TRUE,"0")</f>
        <v>#NAME?</v>
      </c>
      <c r="C1713" s="161" t="str" cm="1">
        <f t="array" ref="C1713">_xlfn.IFS(E1713=$AB$42,$AF$42,E1713=$AB$43,$AF$43,E1713=$AB$44,$AF$44,E1713=$AB$45,$AF$45,E1713=$AB$46,$AF$46,E1713=$AB$47,$AF$47,E1713=$AB$48,$AF$48,E1713=$AB$49,$AF$49,E1713=$AB$50,$AF$50,E1713=$AB$51,$AF$51,E1713=$AB$52,$AF$52,E1713=$AB$53,$AF$53,E1713=$AB$54,$AF$54,E1713=$AB$55,$AF$55,E1713=$AB$56,$AF$56,E1713=$AB$57,$AF$57,E1713=$AB$58,$AF$58,E1713=$AB$59,$AF$59,E1713=$AB$60,$AF$60,E1713=$AB$61,$AF$61,E1713=$AB$62,$AF$62,E1713=$AB$63,$AF$63,E1713=$AB$64,$AF$64,E1713=$AB$65,$AF$65,E1713=$AB$66,$AF$66,TRUE,"0")</f>
        <v>40 mins Back ANother Goal</v>
      </c>
      <c r="D1713" s="270" t="str" cm="1">
        <f t="array" ref="D1713">_xlfn.IFS(E1713=$AB$42,$AD$42,E1713=$AB$43,$AD$43,E1713=$AB$44,$AD$44,E1713=$AB$45,$AD$45,E1713=$AB$46,$AD$46,E1713=$AB$47,$AD$47,E1713=$AB$48,$AD$48,E1713=$AB$49,$AD$49,E1713=$AB$50,$AD$50,E1713=$AB$51,$AD$51,E1713=$AB$52,$AD$52,E1713=$AB$53,$AD$53,E1713=$AB$54,$AD$54,E1713=$AB$55,$AD$55,E1713=$AB$56,$AD$56,E1713=$AB$57,$AD$57,E1713=$AB$58,$AD$58,E1713=$AB$59,$AD$59,E1713=$AB$60,$AD$60,E1713=$AB$61,$AD$61,E1713=$AB$62,$AD$62,E1713=$AB$63,$AD$63,E1713=$AB$64,$AD$64,E1713=$AB$65,$AD$65,E1713=$AB$66,$AD$66,TRUE,"0")</f>
        <v xml:space="preserve">  BANG</v>
      </c>
      <c r="E1713" s="2" t="s">
        <v>792</v>
      </c>
      <c r="F1713" s="2" t="s">
        <v>516</v>
      </c>
      <c r="G1713" s="2" t="s">
        <v>78</v>
      </c>
      <c r="H1713" s="3">
        <v>45438.541666666664</v>
      </c>
      <c r="I1713" s="2" t="s">
        <v>538</v>
      </c>
      <c r="J1713" s="2" t="s">
        <v>862</v>
      </c>
      <c r="K1713" s="2">
        <v>2.15</v>
      </c>
      <c r="L1713" s="2">
        <v>95</v>
      </c>
      <c r="M1713" s="2">
        <v>75</v>
      </c>
      <c r="N1713" s="2">
        <v>65</v>
      </c>
      <c r="O1713" s="2">
        <v>20</v>
      </c>
      <c r="P1713" s="2"/>
      <c r="Q1713" s="2" t="s">
        <v>95</v>
      </c>
      <c r="R1713" s="10" t="s">
        <v>216</v>
      </c>
      <c r="S1713" s="10" t="s">
        <v>196</v>
      </c>
      <c r="T1713" s="188">
        <f t="shared" si="197"/>
        <v>25.640952212476851</v>
      </c>
      <c r="U1713" s="8">
        <f t="shared" ref="U1713:U1715" si="208">IF(Q1713="won",T1713*0.18,-T1713)</f>
        <v>4.6153713982458333</v>
      </c>
      <c r="V1713" s="234">
        <f t="shared" ref="V1713:V1715" si="209">SUM(V1712,U1713)</f>
        <v>517.43441564778288</v>
      </c>
      <c r="W1713" s="15">
        <v>25</v>
      </c>
      <c r="X1713" s="8">
        <f t="shared" ref="X1713:X1715" si="210">IF(Q1713="won",W1713*0.18,-W1713)</f>
        <v>4.5</v>
      </c>
      <c r="Y1713" s="233">
        <f t="shared" si="204"/>
        <v>519.5</v>
      </c>
    </row>
    <row r="1714" spans="1:25">
      <c r="A1714" s="156" t="e" cm="1">
        <f t="array" aca="1" ref="A1714" ca="1">_xlfn.IFS(E1714=$AB$42,$AC$42,E1714=$AB$43,$AC$43,E1714=$AB$44,$AC$44,E1714=$AB$45,$AC$45,E1714=$AB$46,$AC$46,E1714=$AB$47,$AC$47,E1714=$AB$48,$AC$48,E1714=$AB$49,$AC$49,E1714=$AB$50,$AC$50,E1714=$AB$51,$AC$51,E1714=$AB$52,$AC$52,E1714=$AB$53,$AC$53,E1714=$AB$54,$AC$54,E1714=$AB$55,$AC$55,E1714=$AB$56,$AC$56,E1714=$AB$57,$AC$57,E1714=$AB$58,$AC$58,E1714=$AB$59,$AC$59,E1714=$AB$60,$AC$60,E1714=$AB$61,$AC$61,E1714=$AB$62,$AC$62,E1714=$AB$63,$AC$63,E1714=$AB$64,$AC$64,E1714=$AB$65,$AC$65,E1714=$AB$66,$AC$66,TRUE,"0")</f>
        <v>#NAME?</v>
      </c>
      <c r="C1714" s="161" t="str" cm="1">
        <f t="array" ref="C1714">_xlfn.IFS(E1714=$AB$42,$AF$42,E1714=$AB$43,$AF$43,E1714=$AB$44,$AF$44,E1714=$AB$45,$AF$45,E1714=$AB$46,$AF$46,E1714=$AB$47,$AF$47,E1714=$AB$48,$AF$48,E1714=$AB$49,$AF$49,E1714=$AB$50,$AF$50,E1714=$AB$51,$AF$51,E1714=$AB$52,$AF$52,E1714=$AB$53,$AF$53,E1714=$AB$54,$AF$54,E1714=$AB$55,$AF$55,E1714=$AB$56,$AF$56,E1714=$AB$57,$AF$57,E1714=$AB$58,$AF$58,E1714=$AB$59,$AF$59,E1714=$AB$60,$AF$60,E1714=$AB$61,$AF$61,E1714=$AB$62,$AF$62,E1714=$AB$63,$AF$63,E1714=$AB$64,$AF$64,E1714=$AB$65,$AF$65,E1714=$AB$66,$AF$66,TRUE,"0")</f>
        <v>40 mins Back ANother Goal</v>
      </c>
      <c r="D1714" s="270" t="str" cm="1">
        <f t="array" ref="D1714">_xlfn.IFS(E1714=$AB$42,$AD$42,E1714=$AB$43,$AD$43,E1714=$AB$44,$AD$44,E1714=$AB$45,$AD$45,E1714=$AB$46,$AD$46,E1714=$AB$47,$AD$47,E1714=$AB$48,$AD$48,E1714=$AB$49,$AD$49,E1714=$AB$50,$AD$50,E1714=$AB$51,$AD$51,E1714=$AB$52,$AD$52,E1714=$AB$53,$AD$53,E1714=$AB$54,$AD$54,E1714=$AB$55,$AD$55,E1714=$AB$56,$AD$56,E1714=$AB$57,$AD$57,E1714=$AB$58,$AD$58,E1714=$AB$59,$AD$59,E1714=$AB$60,$AD$60,E1714=$AB$61,$AD$61,E1714=$AB$62,$AD$62,E1714=$AB$63,$AD$63,E1714=$AB$64,$AD$64,E1714=$AB$65,$AD$65,E1714=$AB$66,$AD$66,TRUE,"0")</f>
        <v xml:space="preserve">  BANG</v>
      </c>
      <c r="E1714" s="2" t="s">
        <v>43</v>
      </c>
      <c r="F1714" s="2" t="s">
        <v>516</v>
      </c>
      <c r="G1714" s="2" t="s">
        <v>78</v>
      </c>
      <c r="H1714" s="3">
        <v>45438.541666666664</v>
      </c>
      <c r="I1714" s="2" t="s">
        <v>538</v>
      </c>
      <c r="J1714" s="2" t="s">
        <v>862</v>
      </c>
      <c r="K1714" s="2">
        <v>70</v>
      </c>
      <c r="L1714" s="2">
        <v>67</v>
      </c>
      <c r="M1714" s="2">
        <v>65</v>
      </c>
      <c r="N1714" s="2">
        <v>2.15</v>
      </c>
      <c r="O1714" s="2">
        <v>1.61</v>
      </c>
      <c r="P1714" s="2"/>
      <c r="Q1714" s="2" t="s">
        <v>95</v>
      </c>
      <c r="R1714" s="10" t="s">
        <v>216</v>
      </c>
      <c r="S1714" s="10" t="s">
        <v>196</v>
      </c>
      <c r="T1714" s="188">
        <f t="shared" si="197"/>
        <v>25.871720782389147</v>
      </c>
      <c r="U1714" s="8">
        <f t="shared" si="208"/>
        <v>4.6569097408300459</v>
      </c>
      <c r="V1714" s="234">
        <f t="shared" si="209"/>
        <v>522.09132538861297</v>
      </c>
      <c r="W1714" s="15">
        <v>25</v>
      </c>
      <c r="X1714" s="8">
        <f t="shared" si="210"/>
        <v>4.5</v>
      </c>
      <c r="Y1714" s="233">
        <f t="shared" si="204"/>
        <v>524</v>
      </c>
    </row>
    <row r="1715" spans="1:25">
      <c r="A1715" s="156" t="e" cm="1">
        <f t="array" aca="1" ref="A1715" ca="1">_xlfn.IFS(E1715=$AB$42,$AC$42,E1715=$AB$43,$AC$43,E1715=$AB$44,$AC$44,E1715=$AB$45,$AC$45,E1715=$AB$46,$AC$46,E1715=$AB$47,$AC$47,E1715=$AB$48,$AC$48,E1715=$AB$49,$AC$49,E1715=$AB$50,$AC$50,E1715=$AB$51,$AC$51,E1715=$AB$52,$AC$52,E1715=$AB$53,$AC$53,E1715=$AB$54,$AC$54,E1715=$AB$55,$AC$55,E1715=$AB$56,$AC$56,E1715=$AB$57,$AC$57,E1715=$AB$58,$AC$58,E1715=$AB$59,$AC$59,E1715=$AB$60,$AC$60,E1715=$AB$61,$AC$61,E1715=$AB$62,$AC$62,E1715=$AB$63,$AC$63,E1715=$AB$64,$AC$64,E1715=$AB$65,$AC$65,E1715=$AB$66,$AC$66,TRUE,"0")</f>
        <v>#NAME?</v>
      </c>
      <c r="C1715" s="161" t="str" cm="1">
        <f t="array" ref="C1715">_xlfn.IFS(E1715=$AB$42,$AF$42,E1715=$AB$43,$AF$43,E1715=$AB$44,$AF$44,E1715=$AB$45,$AF$45,E1715=$AB$46,$AF$46,E1715=$AB$47,$AF$47,E1715=$AB$48,$AF$48,E1715=$AB$49,$AF$49,E1715=$AB$50,$AF$50,E1715=$AB$51,$AF$51,E1715=$AB$52,$AF$52,E1715=$AB$53,$AF$53,E1715=$AB$54,$AF$54,E1715=$AB$55,$AF$55,E1715=$AB$56,$AF$56,E1715=$AB$57,$AF$57,E1715=$AB$58,$AF$58,E1715=$AB$59,$AF$59,E1715=$AB$60,$AF$60,E1715=$AB$61,$AF$61,E1715=$AB$62,$AF$62,E1715=$AB$63,$AF$63,E1715=$AB$64,$AF$64,E1715=$AB$65,$AF$65,E1715=$AB$66,$AF$66,TRUE,"0")</f>
        <v>40 mins Back ANother Goal</v>
      </c>
      <c r="D1715" s="270" t="str" cm="1">
        <f t="array" ref="D1715">_xlfn.IFS(E1715=$AB$42,$AD$42,E1715=$AB$43,$AD$43,E1715=$AB$44,$AD$44,E1715=$AB$45,$AD$45,E1715=$AB$46,$AD$46,E1715=$AB$47,$AD$47,E1715=$AB$48,$AD$48,E1715=$AB$49,$AD$49,E1715=$AB$50,$AD$50,E1715=$AB$51,$AD$51,E1715=$AB$52,$AD$52,E1715=$AB$53,$AD$53,E1715=$AB$54,$AD$54,E1715=$AB$55,$AD$55,E1715=$AB$56,$AD$56,E1715=$AB$57,$AD$57,E1715=$AB$58,$AD$58,E1715=$AB$59,$AD$59,E1715=$AB$60,$AD$60,E1715=$AB$61,$AD$61,E1715=$AB$62,$AD$62,E1715=$AB$63,$AD$63,E1715=$AB$64,$AD$64,E1715=$AB$65,$AD$65,E1715=$AB$66,$AD$66,TRUE,"0")</f>
        <v xml:space="preserve">  BANG</v>
      </c>
      <c r="E1715" s="2" t="s">
        <v>877</v>
      </c>
      <c r="F1715" s="2" t="s">
        <v>516</v>
      </c>
      <c r="G1715" s="2" t="s">
        <v>78</v>
      </c>
      <c r="H1715" s="3">
        <v>45438.541666666664</v>
      </c>
      <c r="I1715" s="2" t="s">
        <v>538</v>
      </c>
      <c r="J1715" s="2" t="s">
        <v>862</v>
      </c>
      <c r="K1715" s="2">
        <v>2.15</v>
      </c>
      <c r="L1715" s="2">
        <v>95</v>
      </c>
      <c r="M1715" s="2">
        <v>75</v>
      </c>
      <c r="N1715" s="2">
        <v>65</v>
      </c>
      <c r="O1715" s="2">
        <v>20</v>
      </c>
      <c r="P1715" s="2"/>
      <c r="Q1715" s="2" t="s">
        <v>95</v>
      </c>
      <c r="R1715" s="10" t="s">
        <v>216</v>
      </c>
      <c r="S1715" s="10" t="s">
        <v>196</v>
      </c>
      <c r="T1715" s="188">
        <f t="shared" si="197"/>
        <v>26.104566269430649</v>
      </c>
      <c r="U1715" s="8">
        <f t="shared" si="208"/>
        <v>4.6988219284975168</v>
      </c>
      <c r="V1715" s="234">
        <f t="shared" si="209"/>
        <v>526.7901473171105</v>
      </c>
      <c r="W1715" s="15">
        <v>25</v>
      </c>
      <c r="X1715" s="8">
        <f t="shared" si="210"/>
        <v>4.5</v>
      </c>
      <c r="Y1715" s="233">
        <f t="shared" si="204"/>
        <v>528.5</v>
      </c>
    </row>
    <row r="1716" spans="1:25">
      <c r="A1716" s="156" t="e" cm="1">
        <f t="array" aca="1" ref="A1716" ca="1">_xlfn.IFS(E1716=$AB$42,$AC$42,E1716=$AB$43,$AC$43,E1716=$AB$44,$AC$44,E1716=$AB$45,$AC$45,E1716=$AB$46,$AC$46,E1716=$AB$47,$AC$47,E1716=$AB$48,$AC$48,E1716=$AB$49,$AC$49,E1716=$AB$50,$AC$50,E1716=$AB$51,$AC$51,E1716=$AB$52,$AC$52,E1716=$AB$53,$AC$53,E1716=$AB$54,$AC$54,E1716=$AB$55,$AC$55,E1716=$AB$56,$AC$56,E1716=$AB$57,$AC$57,E1716=$AB$58,$AC$58,E1716=$AB$59,$AC$59,E1716=$AB$60,$AC$60,E1716=$AB$61,$AC$61,E1716=$AB$62,$AC$62,E1716=$AB$63,$AC$63,E1716=$AB$64,$AC$64,E1716=$AB$65,$AC$65,E1716=$AB$66,$AC$66,TRUE,"0")</f>
        <v>#NAME?</v>
      </c>
      <c r="C1716" s="161" t="str" cm="1">
        <f t="array" ref="C1716">_xlfn.IFS(E1716=$AB$42,$AF$42,E1716=$AB$43,$AF$43,E1716=$AB$44,$AF$44,E1716=$AB$45,$AF$45,E1716=$AB$46,$AF$46,E1716=$AB$47,$AF$47,E1716=$AB$48,$AF$48,E1716=$AB$49,$AF$49,E1716=$AB$50,$AF$50,E1716=$AB$51,$AF$51,E1716=$AB$52,$AF$52,E1716=$AB$53,$AF$53,E1716=$AB$54,$AF$54,E1716=$AB$55,$AF$55,E1716=$AB$56,$AF$56,E1716=$AB$57,$AF$57,E1716=$AB$58,$AF$58,E1716=$AB$59,$AF$59,E1716=$AB$60,$AF$60,E1716=$AB$61,$AF$61,E1716=$AB$62,$AF$62,E1716=$AB$63,$AF$63,E1716=$AB$64,$AF$64,E1716=$AB$65,$AF$65,E1716=$AB$66,$AF$66,TRUE,"0")</f>
        <v>B4 match BACK FT +1.5 goals. X AFTER  GOAL</v>
      </c>
      <c r="D1716" s="270" t="str" cm="1">
        <f t="array" ref="D1716">_xlfn.IFS(E1716=$AB$42,$AD$42,E1716=$AB$43,$AD$43,E1716=$AB$44,$AD$44,E1716=$AB$45,$AD$45,E1716=$AB$46,$AD$46,E1716=$AB$47,$AD$47,E1716=$AB$48,$AD$48,E1716=$AB$49,$AD$49,E1716=$AB$50,$AD$50,E1716=$AB$51,$AD$51,E1716=$AB$52,$AD$52,E1716=$AB$53,$AD$53,E1716=$AB$54,$AD$54,E1716=$AB$55,$AD$55,E1716=$AB$56,$AD$56,E1716=$AB$57,$AD$57,E1716=$AB$58,$AD$58,E1716=$AB$59,$AD$59,E1716=$AB$60,$AD$60,E1716=$AB$61,$AD$61,E1716=$AB$62,$AD$62,E1716=$AB$63,$AD$63,E1716=$AB$64,$AD$64,E1716=$AB$65,$AD$65,E1716=$AB$66,$AD$66,TRUE,"0")</f>
        <v xml:space="preserve">BFM </v>
      </c>
      <c r="E1716" s="2" t="s">
        <v>623</v>
      </c>
      <c r="F1716" s="2" t="s">
        <v>434</v>
      </c>
      <c r="G1716" s="2" t="s">
        <v>435</v>
      </c>
      <c r="H1716" s="3">
        <v>45438.666666666664</v>
      </c>
      <c r="I1716" s="2" t="s">
        <v>436</v>
      </c>
      <c r="J1716" s="2" t="s">
        <v>464</v>
      </c>
      <c r="K1716" s="2">
        <v>5.2</v>
      </c>
      <c r="L1716" s="2">
        <v>20</v>
      </c>
      <c r="M1716" s="2">
        <v>2.8</v>
      </c>
      <c r="N1716" s="2">
        <v>29</v>
      </c>
      <c r="O1716" s="2">
        <v>2</v>
      </c>
      <c r="P1716" s="2">
        <v>10</v>
      </c>
      <c r="Q1716" s="1" t="s">
        <v>95</v>
      </c>
      <c r="R1716" s="10" t="s">
        <v>216</v>
      </c>
      <c r="S1716" s="10" t="s">
        <v>213</v>
      </c>
      <c r="T1716" s="188">
        <f t="shared" si="197"/>
        <v>26.339507365855525</v>
      </c>
      <c r="U1716" s="8">
        <f t="shared" ref="U1716:U1724" si="211">IF(Q1716="won",T1716*0.18,-T1716)</f>
        <v>4.7411113258539945</v>
      </c>
      <c r="V1716" s="234">
        <f t="shared" ref="V1716:V1724" si="212">SUM(V1715,U1716)</f>
        <v>531.53125864296453</v>
      </c>
      <c r="W1716" s="15">
        <v>25</v>
      </c>
      <c r="X1716" s="8">
        <f t="shared" ref="X1716:X1724" si="213">IF(Q1716="won",W1716*0.18,-W1716)</f>
        <v>4.5</v>
      </c>
      <c r="Y1716" s="233">
        <f t="shared" si="204"/>
        <v>533</v>
      </c>
    </row>
    <row r="1717" spans="1:25">
      <c r="A1717" s="156" t="e" cm="1">
        <f t="array" aca="1" ref="A1717" ca="1">_xlfn.IFS(E1717=$AB$42,$AC$42,E1717=$AB$43,$AC$43,E1717=$AB$44,$AC$44,E1717=$AB$45,$AC$45,E1717=$AB$46,$AC$46,E1717=$AB$47,$AC$47,E1717=$AB$48,$AC$48,E1717=$AB$49,$AC$49,E1717=$AB$50,$AC$50,E1717=$AB$51,$AC$51,E1717=$AB$52,$AC$52,E1717=$AB$53,$AC$53,E1717=$AB$54,$AC$54,E1717=$AB$55,$AC$55,E1717=$AB$56,$AC$56,E1717=$AB$57,$AC$57,E1717=$AB$58,$AC$58,E1717=$AB$59,$AC$59,E1717=$AB$60,$AC$60,E1717=$AB$61,$AC$61,E1717=$AB$62,$AC$62,E1717=$AB$63,$AC$63,E1717=$AB$64,$AC$64,E1717=$AB$65,$AC$65,E1717=$AB$66,$AC$66,TRUE,"0")</f>
        <v>#NAME?</v>
      </c>
      <c r="C1717" s="161" t="str" cm="1">
        <f t="array" ref="C1717">_xlfn.IFS(E1717=$AB$42,$AF$42,E1717=$AB$43,$AF$43,E1717=$AB$44,$AF$44,E1717=$AB$45,$AF$45,E1717=$AB$46,$AF$46,E1717=$AB$47,$AF$47,E1717=$AB$48,$AF$48,E1717=$AB$49,$AF$49,E1717=$AB$50,$AF$50,E1717=$AB$51,$AF$51,E1717=$AB$52,$AF$52,E1717=$AB$53,$AF$53,E1717=$AB$54,$AF$54,E1717=$AB$55,$AF$55,E1717=$AB$56,$AF$56,E1717=$AB$57,$AF$57,E1717=$AB$58,$AF$58,E1717=$AB$59,$AF$59,E1717=$AB$60,$AF$60,E1717=$AB$61,$AF$61,E1717=$AB$62,$AF$62,E1717=$AB$63,$AF$63,E1717=$AB$64,$AF$64,E1717=$AB$65,$AF$65,E1717=$AB$66,$AF$66,TRUE,"0")</f>
        <v>15mins if  0-0, BACK over 1.5 goals X after goal OR LET RUN</v>
      </c>
      <c r="D1717" s="270" t="str" cm="1">
        <f t="array" ref="D1717">_xlfn.IFS(E1717=$AB$42,$AD$42,E1717=$AB$43,$AD$43,E1717=$AB$44,$AD$44,E1717=$AB$45,$AD$45,E1717=$AB$46,$AD$46,E1717=$AB$47,$AD$47,E1717=$AB$48,$AD$48,E1717=$AB$49,$AD$49,E1717=$AB$50,$AD$50,E1717=$AB$51,$AD$51,E1717=$AB$52,$AD$52,E1717=$AB$53,$AD$53,E1717=$AB$54,$AD$54,E1717=$AB$55,$AD$55,E1717=$AB$56,$AD$56,E1717=$AB$57,$AD$57,E1717=$AB$58,$AD$58,E1717=$AB$59,$AD$59,E1717=$AB$60,$AD$60,E1717=$AB$61,$AD$61,E1717=$AB$62,$AD$62,E1717=$AB$63,$AD$63,E1717=$AB$64,$AD$64,E1717=$AB$65,$AD$65,E1717=$AB$66,$AD$66,TRUE,"0")</f>
        <v>IP</v>
      </c>
      <c r="E1717" s="2" t="s">
        <v>473</v>
      </c>
      <c r="F1717" s="2" t="s">
        <v>434</v>
      </c>
      <c r="G1717" s="2" t="s">
        <v>435</v>
      </c>
      <c r="H1717" s="3">
        <v>45438.666666666664</v>
      </c>
      <c r="I1717" s="2" t="s">
        <v>476</v>
      </c>
      <c r="J1717" s="2" t="s">
        <v>533</v>
      </c>
      <c r="K1717" s="2">
        <v>67</v>
      </c>
      <c r="L1717" s="2">
        <v>85</v>
      </c>
      <c r="M1717" s="2">
        <v>20</v>
      </c>
      <c r="N1717" s="2">
        <v>2.7</v>
      </c>
      <c r="O1717" s="2"/>
      <c r="P1717" s="2"/>
      <c r="Q1717" s="1" t="s">
        <v>95</v>
      </c>
      <c r="R1717" s="10" t="s">
        <v>214</v>
      </c>
      <c r="S1717" s="10" t="s">
        <v>216</v>
      </c>
      <c r="T1717" s="188">
        <f t="shared" si="197"/>
        <v>26.576562932148228</v>
      </c>
      <c r="U1717" s="8">
        <f t="shared" si="211"/>
        <v>4.7837813277866807</v>
      </c>
      <c r="V1717" s="234">
        <f t="shared" si="212"/>
        <v>536.31503997075117</v>
      </c>
      <c r="W1717" s="15">
        <v>25</v>
      </c>
      <c r="X1717" s="8">
        <f t="shared" si="213"/>
        <v>4.5</v>
      </c>
      <c r="Y1717" s="233">
        <f t="shared" si="204"/>
        <v>537.5</v>
      </c>
    </row>
    <row r="1718" spans="1:25">
      <c r="A1718" s="156" t="e" cm="1">
        <f t="array" aca="1" ref="A1718" ca="1">_xlfn.IFS(E1718=$AB$42,$AC$42,E1718=$AB$43,$AC$43,E1718=$AB$44,$AC$44,E1718=$AB$45,$AC$45,E1718=$AB$46,$AC$46,E1718=$AB$47,$AC$47,E1718=$AB$48,$AC$48,E1718=$AB$49,$AC$49,E1718=$AB$50,$AC$50,E1718=$AB$51,$AC$51,E1718=$AB$52,$AC$52,E1718=$AB$53,$AC$53,E1718=$AB$54,$AC$54,E1718=$AB$55,$AC$55,E1718=$AB$56,$AC$56,E1718=$AB$57,$AC$57,E1718=$AB$58,$AC$58,E1718=$AB$59,$AC$59,E1718=$AB$60,$AC$60,E1718=$AB$61,$AC$61,E1718=$AB$62,$AC$62,E1718=$AB$63,$AC$63,E1718=$AB$64,$AC$64,E1718=$AB$65,$AC$65,E1718=$AB$66,$AC$66,TRUE,"0")</f>
        <v>#NAME?</v>
      </c>
      <c r="C1718" s="161" t="str" cm="1">
        <f t="array" ref="C1718">_xlfn.IFS(E1718=$AB$42,$AF$42,E1718=$AB$43,$AF$43,E1718=$AB$44,$AF$44,E1718=$AB$45,$AF$45,E1718=$AB$46,$AF$46,E1718=$AB$47,$AF$47,E1718=$AB$48,$AF$48,E1718=$AB$49,$AF$49,E1718=$AB$50,$AF$50,E1718=$AB$51,$AF$51,E1718=$AB$52,$AF$52,E1718=$AB$53,$AF$53,E1718=$AB$54,$AF$54,E1718=$AB$55,$AF$55,E1718=$AB$56,$AF$56,E1718=$AB$57,$AF$57,E1718=$AB$58,$AF$58,E1718=$AB$59,$AF$59,E1718=$AB$60,$AF$60,E1718=$AB$61,$AF$61,E1718=$AB$62,$AF$62,E1718=$AB$63,$AF$63,E1718=$AB$64,$AF$64,E1718=$AB$65,$AF$65,E1718=$AB$66,$AF$66,TRUE,"0")</f>
        <v>B4 match BACK FT +1.5 goals. X AFTER  GOAL</v>
      </c>
      <c r="D1718" s="270" t="str" cm="1">
        <f t="array" ref="D1718">_xlfn.IFS(E1718=$AB$42,$AD$42,E1718=$AB$43,$AD$43,E1718=$AB$44,$AD$44,E1718=$AB$45,$AD$45,E1718=$AB$46,$AD$46,E1718=$AB$47,$AD$47,E1718=$AB$48,$AD$48,E1718=$AB$49,$AD$49,E1718=$AB$50,$AD$50,E1718=$AB$51,$AD$51,E1718=$AB$52,$AD$52,E1718=$AB$53,$AD$53,E1718=$AB$54,$AD$54,E1718=$AB$55,$AD$55,E1718=$AB$56,$AD$56,E1718=$AB$57,$AD$57,E1718=$AB$58,$AD$58,E1718=$AB$59,$AD$59,E1718=$AB$60,$AD$60,E1718=$AB$61,$AD$61,E1718=$AB$62,$AD$62,E1718=$AB$63,$AD$63,E1718=$AB$64,$AD$64,E1718=$AB$65,$AD$65,E1718=$AB$66,$AD$66,TRUE,"0")</f>
        <v xml:space="preserve">BFM </v>
      </c>
      <c r="E1718" s="2" t="s">
        <v>623</v>
      </c>
      <c r="F1718" s="2" t="s">
        <v>434</v>
      </c>
      <c r="G1718" s="2" t="s">
        <v>435</v>
      </c>
      <c r="H1718" s="3">
        <v>45438.666666666664</v>
      </c>
      <c r="I1718" s="2" t="s">
        <v>437</v>
      </c>
      <c r="J1718" s="2" t="s">
        <v>702</v>
      </c>
      <c r="K1718" s="2">
        <v>4.0999999999999996</v>
      </c>
      <c r="L1718" s="2">
        <v>20</v>
      </c>
      <c r="M1718" s="2">
        <v>3.3</v>
      </c>
      <c r="N1718" s="2">
        <v>27</v>
      </c>
      <c r="O1718" s="2">
        <v>1</v>
      </c>
      <c r="P1718" s="2">
        <v>10</v>
      </c>
      <c r="Q1718" s="1" t="s">
        <v>95</v>
      </c>
      <c r="R1718" s="10" t="s">
        <v>217</v>
      </c>
      <c r="S1718" s="10" t="s">
        <v>279</v>
      </c>
      <c r="T1718" s="188">
        <f t="shared" si="197"/>
        <v>26.815751998537561</v>
      </c>
      <c r="U1718" s="8">
        <f t="shared" si="211"/>
        <v>4.8268353597367604</v>
      </c>
      <c r="V1718" s="234">
        <f t="shared" si="212"/>
        <v>541.14187533048789</v>
      </c>
      <c r="W1718" s="15">
        <v>25</v>
      </c>
      <c r="X1718" s="8">
        <f t="shared" si="213"/>
        <v>4.5</v>
      </c>
      <c r="Y1718" s="233">
        <f t="shared" si="204"/>
        <v>542</v>
      </c>
    </row>
    <row r="1719" spans="1:25">
      <c r="A1719" s="156" t="e" cm="1">
        <f t="array" aca="1" ref="A1719" ca="1">_xlfn.IFS(E1719=$AB$42,$AC$42,E1719=$AB$43,$AC$43,E1719=$AB$44,$AC$44,E1719=$AB$45,$AC$45,E1719=$AB$46,$AC$46,E1719=$AB$47,$AC$47,E1719=$AB$48,$AC$48,E1719=$AB$49,$AC$49,E1719=$AB$50,$AC$50,E1719=$AB$51,$AC$51,E1719=$AB$52,$AC$52,E1719=$AB$53,$AC$53,E1719=$AB$54,$AC$54,E1719=$AB$55,$AC$55,E1719=$AB$56,$AC$56,E1719=$AB$57,$AC$57,E1719=$AB$58,$AC$58,E1719=$AB$59,$AC$59,E1719=$AB$60,$AC$60,E1719=$AB$61,$AC$61,E1719=$AB$62,$AC$62,E1719=$AB$63,$AC$63,E1719=$AB$64,$AC$64,E1719=$AB$65,$AC$65,E1719=$AB$66,$AC$66,TRUE,"0")</f>
        <v>#NAME?</v>
      </c>
      <c r="C1719" s="161" t="str" cm="1">
        <f t="array" ref="C1719">_xlfn.IFS(E1719=$AB$42,$AF$42,E1719=$AB$43,$AF$43,E1719=$AB$44,$AF$44,E1719=$AB$45,$AF$45,E1719=$AB$46,$AF$46,E1719=$AB$47,$AF$47,E1719=$AB$48,$AF$48,E1719=$AB$49,$AF$49,E1719=$AB$50,$AF$50,E1719=$AB$51,$AF$51,E1719=$AB$52,$AF$52,E1719=$AB$53,$AF$53,E1719=$AB$54,$AF$54,E1719=$AB$55,$AF$55,E1719=$AB$56,$AF$56,E1719=$AB$57,$AF$57,E1719=$AB$58,$AF$58,E1719=$AB$59,$AF$59,E1719=$AB$60,$AF$60,E1719=$AB$61,$AF$61,E1719=$AB$62,$AF$62,E1719=$AB$63,$AF$63,E1719=$AB$64,$AF$64,E1719=$AB$65,$AF$65,E1719=$AB$66,$AF$66,TRUE,"0")</f>
        <v>B4 match BACK FT +1.5 goals. X AFTER  GOAL</v>
      </c>
      <c r="D1719" s="270" t="str" cm="1">
        <f t="array" ref="D1719">_xlfn.IFS(E1719=$AB$42,$AD$42,E1719=$AB$43,$AD$43,E1719=$AB$44,$AD$44,E1719=$AB$45,$AD$45,E1719=$AB$46,$AD$46,E1719=$AB$47,$AD$47,E1719=$AB$48,$AD$48,E1719=$AB$49,$AD$49,E1719=$AB$50,$AD$50,E1719=$AB$51,$AD$51,E1719=$AB$52,$AD$52,E1719=$AB$53,$AD$53,E1719=$AB$54,$AD$54,E1719=$AB$55,$AD$55,E1719=$AB$56,$AD$56,E1719=$AB$57,$AD$57,E1719=$AB$58,$AD$58,E1719=$AB$59,$AD$59,E1719=$AB$60,$AD$60,E1719=$AB$61,$AD$61,E1719=$AB$62,$AD$62,E1719=$AB$63,$AD$63,E1719=$AB$64,$AD$64,E1719=$AB$65,$AD$65,E1719=$AB$66,$AD$66,TRUE,"0")</f>
        <v xml:space="preserve">BFM </v>
      </c>
      <c r="E1719" s="2" t="s">
        <v>623</v>
      </c>
      <c r="F1719" s="2" t="s">
        <v>80</v>
      </c>
      <c r="G1719" s="2" t="s">
        <v>81</v>
      </c>
      <c r="H1719" s="3">
        <v>45438.708333333336</v>
      </c>
      <c r="I1719" s="2" t="s">
        <v>314</v>
      </c>
      <c r="J1719" s="2" t="s">
        <v>310</v>
      </c>
      <c r="K1719" s="2">
        <v>1.54</v>
      </c>
      <c r="L1719" s="2">
        <v>20</v>
      </c>
      <c r="M1719" s="2">
        <v>3.35</v>
      </c>
      <c r="N1719" s="2">
        <v>32</v>
      </c>
      <c r="O1719" s="2">
        <v>3</v>
      </c>
      <c r="P1719" s="2">
        <v>10</v>
      </c>
      <c r="Q1719" s="1" t="s">
        <v>95</v>
      </c>
      <c r="R1719" s="10" t="s">
        <v>207</v>
      </c>
      <c r="S1719" s="10" t="s">
        <v>471</v>
      </c>
      <c r="T1719" s="188">
        <f t="shared" si="197"/>
        <v>27.057093766524396</v>
      </c>
      <c r="U1719" s="8">
        <f t="shared" si="211"/>
        <v>4.8702768779743915</v>
      </c>
      <c r="V1719" s="234">
        <f t="shared" si="212"/>
        <v>546.01215220846234</v>
      </c>
      <c r="W1719" s="15">
        <v>25</v>
      </c>
      <c r="X1719" s="8">
        <f t="shared" si="213"/>
        <v>4.5</v>
      </c>
      <c r="Y1719" s="233">
        <f t="shared" si="204"/>
        <v>546.5</v>
      </c>
    </row>
    <row r="1720" spans="1:25">
      <c r="A1720" s="156" t="e" cm="1">
        <f t="array" aca="1" ref="A1720" ca="1">_xlfn.IFS(E1720=$AB$42,$AC$42,E1720=$AB$43,$AC$43,E1720=$AB$44,$AC$44,E1720=$AB$45,$AC$45,E1720=$AB$46,$AC$46,E1720=$AB$47,$AC$47,E1720=$AB$48,$AC$48,E1720=$AB$49,$AC$49,E1720=$AB$50,$AC$50,E1720=$AB$51,$AC$51,E1720=$AB$52,$AC$52,E1720=$AB$53,$AC$53,E1720=$AB$54,$AC$54,E1720=$AB$55,$AC$55,E1720=$AB$56,$AC$56,E1720=$AB$57,$AC$57,E1720=$AB$58,$AC$58,E1720=$AB$59,$AC$59,E1720=$AB$60,$AC$60,E1720=$AB$61,$AC$61,E1720=$AB$62,$AC$62,E1720=$AB$63,$AC$63,E1720=$AB$64,$AC$64,E1720=$AB$65,$AC$65,E1720=$AB$66,$AC$66,TRUE,"0")</f>
        <v>#NAME?</v>
      </c>
      <c r="C1720" s="161" t="str" cm="1">
        <f t="array" ref="C1720">_xlfn.IFS(E1720=$AB$42,$AF$42,E1720=$AB$43,$AF$43,E1720=$AB$44,$AF$44,E1720=$AB$45,$AF$45,E1720=$AB$46,$AF$46,E1720=$AB$47,$AF$47,E1720=$AB$48,$AF$48,E1720=$AB$49,$AF$49,E1720=$AB$50,$AF$50,E1720=$AB$51,$AF$51,E1720=$AB$52,$AF$52,E1720=$AB$53,$AF$53,E1720=$AB$54,$AF$54,E1720=$AB$55,$AF$55,E1720=$AB$56,$AF$56,E1720=$AB$57,$AF$57,E1720=$AB$58,$AF$58,E1720=$AB$59,$AF$59,E1720=$AB$60,$AF$60,E1720=$AB$61,$AF$61,E1720=$AB$62,$AF$62,E1720=$AB$63,$AF$63,E1720=$AB$64,$AF$64,E1720=$AB$65,$AF$65,E1720=$AB$66,$AF$66,TRUE,"0")</f>
        <v>B4 match BACK FT +1.5 goals. X AFTER  GOAL</v>
      </c>
      <c r="D1720" s="270" t="str" cm="1">
        <f t="array" ref="D1720">_xlfn.IFS(E1720=$AB$42,$AD$42,E1720=$AB$43,$AD$43,E1720=$AB$44,$AD$44,E1720=$AB$45,$AD$45,E1720=$AB$46,$AD$46,E1720=$AB$47,$AD$47,E1720=$AB$48,$AD$48,E1720=$AB$49,$AD$49,E1720=$AB$50,$AD$50,E1720=$AB$51,$AD$51,E1720=$AB$52,$AD$52,E1720=$AB$53,$AD$53,E1720=$AB$54,$AD$54,E1720=$AB$55,$AD$55,E1720=$AB$56,$AD$56,E1720=$AB$57,$AD$57,E1720=$AB$58,$AD$58,E1720=$AB$59,$AD$59,E1720=$AB$60,$AD$60,E1720=$AB$61,$AD$61,E1720=$AB$62,$AD$62,E1720=$AB$63,$AD$63,E1720=$AB$64,$AD$64,E1720=$AB$65,$AD$65,E1720=$AB$66,$AD$66,TRUE,"0")</f>
        <v xml:space="preserve">BFM </v>
      </c>
      <c r="E1720" s="2" t="s">
        <v>623</v>
      </c>
      <c r="F1720" s="2" t="s">
        <v>80</v>
      </c>
      <c r="G1720" s="2" t="s">
        <v>81</v>
      </c>
      <c r="H1720" s="3">
        <v>45438.708333333336</v>
      </c>
      <c r="I1720" s="2" t="s">
        <v>292</v>
      </c>
      <c r="J1720" s="2" t="s">
        <v>530</v>
      </c>
      <c r="K1720" s="2">
        <v>5.7</v>
      </c>
      <c r="L1720" s="2">
        <v>20</v>
      </c>
      <c r="M1720" s="2">
        <v>3.05</v>
      </c>
      <c r="N1720" s="2">
        <v>27</v>
      </c>
      <c r="O1720" s="2">
        <v>0</v>
      </c>
      <c r="P1720" s="2">
        <v>10</v>
      </c>
      <c r="Q1720" s="1" t="s">
        <v>95</v>
      </c>
      <c r="R1720" s="10" t="s">
        <v>214</v>
      </c>
      <c r="S1720" s="10" t="s">
        <v>220</v>
      </c>
      <c r="T1720" s="188">
        <f t="shared" si="197"/>
        <v>27.300607610423118</v>
      </c>
      <c r="U1720" s="8">
        <f t="shared" si="211"/>
        <v>4.9141093698761606</v>
      </c>
      <c r="V1720" s="234">
        <f t="shared" si="212"/>
        <v>550.92626157833854</v>
      </c>
      <c r="W1720" s="15">
        <v>25</v>
      </c>
      <c r="X1720" s="8">
        <f t="shared" si="213"/>
        <v>4.5</v>
      </c>
      <c r="Y1720" s="233">
        <f t="shared" si="204"/>
        <v>551</v>
      </c>
    </row>
    <row r="1721" spans="1:25">
      <c r="A1721" s="156" t="e" cm="1">
        <f t="array" aca="1" ref="A1721" ca="1">_xlfn.IFS(E1721=$AB$42,$AC$42,E1721=$AB$43,$AC$43,E1721=$AB$44,$AC$44,E1721=$AB$45,$AC$45,E1721=$AB$46,$AC$46,E1721=$AB$47,$AC$47,E1721=$AB$48,$AC$48,E1721=$AB$49,$AC$49,E1721=$AB$50,$AC$50,E1721=$AB$51,$AC$51,E1721=$AB$52,$AC$52,E1721=$AB$53,$AC$53,E1721=$AB$54,$AC$54,E1721=$AB$55,$AC$55,E1721=$AB$56,$AC$56,E1721=$AB$57,$AC$57,E1721=$AB$58,$AC$58,E1721=$AB$59,$AC$59,E1721=$AB$60,$AC$60,E1721=$AB$61,$AC$61,E1721=$AB$62,$AC$62,E1721=$AB$63,$AC$63,E1721=$AB$64,$AC$64,E1721=$AB$65,$AC$65,E1721=$AB$66,$AC$66,TRUE,"0")</f>
        <v>#NAME?</v>
      </c>
      <c r="C1721" s="161" t="str" cm="1">
        <f t="array" ref="C1721">_xlfn.IFS(E1721=$AB$42,$AF$42,E1721=$AB$43,$AF$43,E1721=$AB$44,$AF$44,E1721=$AB$45,$AF$45,E1721=$AB$46,$AF$46,E1721=$AB$47,$AF$47,E1721=$AB$48,$AF$48,E1721=$AB$49,$AF$49,E1721=$AB$50,$AF$50,E1721=$AB$51,$AF$51,E1721=$AB$52,$AF$52,E1721=$AB$53,$AF$53,E1721=$AB$54,$AF$54,E1721=$AB$55,$AF$55,E1721=$AB$56,$AF$56,E1721=$AB$57,$AF$57,E1721=$AB$58,$AF$58,E1721=$AB$59,$AF$59,E1721=$AB$60,$AF$60,E1721=$AB$61,$AF$61,E1721=$AB$62,$AF$62,E1721=$AB$63,$AF$63,E1721=$AB$64,$AF$64,E1721=$AB$65,$AF$65,E1721=$AB$66,$AF$66,TRUE,"0")</f>
        <v>20mins if  0-0, BACK over 1.5 goals X after goal OR LET RUN</v>
      </c>
      <c r="D1721" s="270" t="str" cm="1">
        <f t="array" ref="D1721">_xlfn.IFS(E1721=$AB$42,$AD$42,E1721=$AB$43,$AD$43,E1721=$AB$44,$AD$44,E1721=$AB$45,$AD$45,E1721=$AB$46,$AD$46,E1721=$AB$47,$AD$47,E1721=$AB$48,$AD$48,E1721=$AB$49,$AD$49,E1721=$AB$50,$AD$50,E1721=$AB$51,$AD$51,E1721=$AB$52,$AD$52,E1721=$AB$53,$AD$53,E1721=$AB$54,$AD$54,E1721=$AB$55,$AD$55,E1721=$AB$56,$AD$56,E1721=$AB$57,$AD$57,E1721=$AB$58,$AD$58,E1721=$AB$59,$AD$59,E1721=$AB$60,$AD$60,E1721=$AB$61,$AD$61,E1721=$AB$62,$AD$62,E1721=$AB$63,$AD$63,E1721=$AB$64,$AD$64,E1721=$AB$65,$AD$65,E1721=$AB$66,$AD$66,TRUE,"0")</f>
        <v>IP</v>
      </c>
      <c r="E1721" s="2" t="s">
        <v>474</v>
      </c>
      <c r="F1721" s="2" t="s">
        <v>80</v>
      </c>
      <c r="G1721" s="2" t="s">
        <v>81</v>
      </c>
      <c r="H1721" s="3">
        <v>45438.708333333336</v>
      </c>
      <c r="I1721" s="2" t="s">
        <v>550</v>
      </c>
      <c r="J1721" s="2" t="s">
        <v>311</v>
      </c>
      <c r="K1721" s="2">
        <v>52</v>
      </c>
      <c r="L1721" s="2">
        <v>3.25</v>
      </c>
      <c r="M1721" s="2">
        <v>20</v>
      </c>
      <c r="N1721" s="2">
        <v>60</v>
      </c>
      <c r="O1721" s="2">
        <v>85</v>
      </c>
      <c r="P1721" s="2"/>
      <c r="Q1721" s="1" t="s">
        <v>95</v>
      </c>
      <c r="R1721" s="10" t="s">
        <v>193</v>
      </c>
      <c r="S1721" s="10" t="s">
        <v>277</v>
      </c>
      <c r="T1721" s="188">
        <f t="shared" si="197"/>
        <v>27.546313078916928</v>
      </c>
      <c r="U1721" s="8">
        <f t="shared" si="211"/>
        <v>4.9583363542050467</v>
      </c>
      <c r="V1721" s="234">
        <f t="shared" si="212"/>
        <v>555.88459793254356</v>
      </c>
      <c r="W1721" s="15">
        <v>25</v>
      </c>
      <c r="X1721" s="8">
        <f t="shared" si="213"/>
        <v>4.5</v>
      </c>
      <c r="Y1721" s="233">
        <f t="shared" si="204"/>
        <v>555.5</v>
      </c>
    </row>
    <row r="1722" spans="1:25">
      <c r="A1722" s="156" t="e" cm="1">
        <f t="array" aca="1" ref="A1722" ca="1">_xlfn.IFS(E1722=$AB$42,$AC$42,E1722=$AB$43,$AC$43,E1722=$AB$44,$AC$44,E1722=$AB$45,$AC$45,E1722=$AB$46,$AC$46,E1722=$AB$47,$AC$47,E1722=$AB$48,$AC$48,E1722=$AB$49,$AC$49,E1722=$AB$50,$AC$50,E1722=$AB$51,$AC$51,E1722=$AB$52,$AC$52,E1722=$AB$53,$AC$53,E1722=$AB$54,$AC$54,E1722=$AB$55,$AC$55,E1722=$AB$56,$AC$56,E1722=$AB$57,$AC$57,E1722=$AB$58,$AC$58,E1722=$AB$59,$AC$59,E1722=$AB$60,$AC$60,E1722=$AB$61,$AC$61,E1722=$AB$62,$AC$62,E1722=$AB$63,$AC$63,E1722=$AB$64,$AC$64,E1722=$AB$65,$AC$65,E1722=$AB$66,$AC$66,TRUE,"0")</f>
        <v>#NAME?</v>
      </c>
      <c r="C1722" s="161" t="str" cm="1">
        <f t="array" ref="C1722">_xlfn.IFS(E1722=$AB$42,$AF$42,E1722=$AB$43,$AF$43,E1722=$AB$44,$AF$44,E1722=$AB$45,$AF$45,E1722=$AB$46,$AF$46,E1722=$AB$47,$AF$47,E1722=$AB$48,$AF$48,E1722=$AB$49,$AF$49,E1722=$AB$50,$AF$50,E1722=$AB$51,$AF$51,E1722=$AB$52,$AF$52,E1722=$AB$53,$AF$53,E1722=$AB$54,$AF$54,E1722=$AB$55,$AF$55,E1722=$AB$56,$AF$56,E1722=$AB$57,$AF$57,E1722=$AB$58,$AF$58,E1722=$AB$59,$AF$59,E1722=$AB$60,$AF$60,E1722=$AB$61,$AF$61,E1722=$AB$62,$AF$62,E1722=$AB$63,$AF$63,E1722=$AB$64,$AF$64,E1722=$AB$65,$AF$65,E1722=$AB$66,$AF$66,TRUE,"0")</f>
        <v>B4 match BACK FT +1.5 goals. X AFTER  GOAL</v>
      </c>
      <c r="D1722" s="270" t="str" cm="1">
        <f t="array" ref="D1722">_xlfn.IFS(E1722=$AB$42,$AD$42,E1722=$AB$43,$AD$43,E1722=$AB$44,$AD$44,E1722=$AB$45,$AD$45,E1722=$AB$46,$AD$46,E1722=$AB$47,$AD$47,E1722=$AB$48,$AD$48,E1722=$AB$49,$AD$49,E1722=$AB$50,$AD$50,E1722=$AB$51,$AD$51,E1722=$AB$52,$AD$52,E1722=$AB$53,$AD$53,E1722=$AB$54,$AD$54,E1722=$AB$55,$AD$55,E1722=$AB$56,$AD$56,E1722=$AB$57,$AD$57,E1722=$AB$58,$AD$58,E1722=$AB$59,$AD$59,E1722=$AB$60,$AD$60,E1722=$AB$61,$AD$61,E1722=$AB$62,$AD$62,E1722=$AB$63,$AD$63,E1722=$AB$64,$AD$64,E1722=$AB$65,$AD$65,E1722=$AB$66,$AD$66,TRUE,"0")</f>
        <v xml:space="preserve">BFM </v>
      </c>
      <c r="E1722" s="2" t="s">
        <v>623</v>
      </c>
      <c r="F1722" s="2" t="s">
        <v>67</v>
      </c>
      <c r="G1722" s="2" t="s">
        <v>68</v>
      </c>
      <c r="H1722" s="3">
        <v>45438.729166666664</v>
      </c>
      <c r="I1722" s="2" t="s">
        <v>465</v>
      </c>
      <c r="J1722" s="2" t="s">
        <v>343</v>
      </c>
      <c r="K1722" s="2">
        <v>5.5</v>
      </c>
      <c r="L1722" s="2">
        <v>20</v>
      </c>
      <c r="M1722" s="2">
        <v>2.85</v>
      </c>
      <c r="N1722" s="2">
        <v>35</v>
      </c>
      <c r="O1722" s="2">
        <v>1</v>
      </c>
      <c r="P1722" s="2">
        <v>10</v>
      </c>
      <c r="Q1722" s="1" t="s">
        <v>95</v>
      </c>
      <c r="R1722" s="10" t="s">
        <v>214</v>
      </c>
      <c r="S1722" s="10" t="s">
        <v>220</v>
      </c>
      <c r="T1722" s="188">
        <f t="shared" si="197"/>
        <v>27.794229896627179</v>
      </c>
      <c r="U1722" s="8">
        <f t="shared" si="211"/>
        <v>5.0029613813928924</v>
      </c>
      <c r="V1722" s="234">
        <f t="shared" si="212"/>
        <v>560.88755931393644</v>
      </c>
      <c r="W1722" s="15">
        <v>25</v>
      </c>
      <c r="X1722" s="8">
        <f t="shared" si="213"/>
        <v>4.5</v>
      </c>
      <c r="Y1722" s="233">
        <f t="shared" si="204"/>
        <v>560</v>
      </c>
    </row>
    <row r="1723" spans="1:25">
      <c r="A1723" s="156" t="e" cm="1">
        <f t="array" aca="1" ref="A1723" ca="1">_xlfn.IFS(E1723=$AB$42,$AC$42,E1723=$AB$43,$AC$43,E1723=$AB$44,$AC$44,E1723=$AB$45,$AC$45,E1723=$AB$46,$AC$46,E1723=$AB$47,$AC$47,E1723=$AB$48,$AC$48,E1723=$AB$49,$AC$49,E1723=$AB$50,$AC$50,E1723=$AB$51,$AC$51,E1723=$AB$52,$AC$52,E1723=$AB$53,$AC$53,E1723=$AB$54,$AC$54,E1723=$AB$55,$AC$55,E1723=$AB$56,$AC$56,E1723=$AB$57,$AC$57,E1723=$AB$58,$AC$58,E1723=$AB$59,$AC$59,E1723=$AB$60,$AC$60,E1723=$AB$61,$AC$61,E1723=$AB$62,$AC$62,E1723=$AB$63,$AC$63,E1723=$AB$64,$AC$64,E1723=$AB$65,$AC$65,E1723=$AB$66,$AC$66,TRUE,"0")</f>
        <v>#NAME?</v>
      </c>
      <c r="C1723" s="161" t="str" cm="1">
        <f t="array" ref="C1723">_xlfn.IFS(E1723=$AB$42,$AF$42,E1723=$AB$43,$AF$43,E1723=$AB$44,$AF$44,E1723=$AB$45,$AF$45,E1723=$AB$46,$AF$46,E1723=$AB$47,$AF$47,E1723=$AB$48,$AF$48,E1723=$AB$49,$AF$49,E1723=$AB$50,$AF$50,E1723=$AB$51,$AF$51,E1723=$AB$52,$AF$52,E1723=$AB$53,$AF$53,E1723=$AB$54,$AF$54,E1723=$AB$55,$AF$55,E1723=$AB$56,$AF$56,E1723=$AB$57,$AF$57,E1723=$AB$58,$AF$58,E1723=$AB$59,$AF$59,E1723=$AB$60,$AF$60,E1723=$AB$61,$AF$61,E1723=$AB$62,$AF$62,E1723=$AB$63,$AF$63,E1723=$AB$64,$AF$64,E1723=$AB$65,$AF$65,E1723=$AB$66,$AF$66,TRUE,"0")</f>
        <v>B4 match BACK FT +1.5 goals. X AFTER  GOAL</v>
      </c>
      <c r="D1723" s="270" t="str" cm="1">
        <f t="array" ref="D1723">_xlfn.IFS(E1723=$AB$42,$AD$42,E1723=$AB$43,$AD$43,E1723=$AB$44,$AD$44,E1723=$AB$45,$AD$45,E1723=$AB$46,$AD$46,E1723=$AB$47,$AD$47,E1723=$AB$48,$AD$48,E1723=$AB$49,$AD$49,E1723=$AB$50,$AD$50,E1723=$AB$51,$AD$51,E1723=$AB$52,$AD$52,E1723=$AB$53,$AD$53,E1723=$AB$54,$AD$54,E1723=$AB$55,$AD$55,E1723=$AB$56,$AD$56,E1723=$AB$57,$AD$57,E1723=$AB$58,$AD$58,E1723=$AB$59,$AD$59,E1723=$AB$60,$AD$60,E1723=$AB$61,$AD$61,E1723=$AB$62,$AD$62,E1723=$AB$63,$AD$63,E1723=$AB$64,$AD$64,E1723=$AB$65,$AD$65,E1723=$AB$66,$AD$66,TRUE,"0")</f>
        <v xml:space="preserve">BFM </v>
      </c>
      <c r="E1723" s="2" t="s">
        <v>623</v>
      </c>
      <c r="F1723" s="2" t="s">
        <v>119</v>
      </c>
      <c r="G1723" s="2" t="s">
        <v>166</v>
      </c>
      <c r="H1723" s="3">
        <v>45438.729166666664</v>
      </c>
      <c r="I1723" s="2" t="s">
        <v>850</v>
      </c>
      <c r="J1723" s="2" t="s">
        <v>895</v>
      </c>
      <c r="K1723" s="2">
        <v>5.4</v>
      </c>
      <c r="L1723" s="2">
        <v>20</v>
      </c>
      <c r="M1723" s="2">
        <v>2.1</v>
      </c>
      <c r="N1723" s="2">
        <v>36</v>
      </c>
      <c r="O1723" s="2">
        <v>0</v>
      </c>
      <c r="P1723" s="2">
        <v>10</v>
      </c>
      <c r="Q1723" s="1" t="s">
        <v>95</v>
      </c>
      <c r="R1723" s="10" t="s">
        <v>221</v>
      </c>
      <c r="S1723" s="10" t="s">
        <v>209</v>
      </c>
      <c r="T1723" s="188">
        <f t="shared" si="197"/>
        <v>28.044377965696825</v>
      </c>
      <c r="U1723" s="8">
        <f t="shared" si="211"/>
        <v>5.0479880338254279</v>
      </c>
      <c r="V1723" s="234">
        <f t="shared" si="212"/>
        <v>565.93554734776183</v>
      </c>
      <c r="W1723" s="15">
        <v>25</v>
      </c>
      <c r="X1723" s="8">
        <f t="shared" si="213"/>
        <v>4.5</v>
      </c>
      <c r="Y1723" s="233">
        <f t="shared" si="204"/>
        <v>564.5</v>
      </c>
    </row>
    <row r="1724" spans="1:25">
      <c r="A1724" s="156" t="e" cm="1">
        <f t="array" aca="1" ref="A1724" ca="1">_xlfn.IFS(E1724=$AB$42,$AC$42,E1724=$AB$43,$AC$43,E1724=$AB$44,$AC$44,E1724=$AB$45,$AC$45,E1724=$AB$46,$AC$46,E1724=$AB$47,$AC$47,E1724=$AB$48,$AC$48,E1724=$AB$49,$AC$49,E1724=$AB$50,$AC$50,E1724=$AB$51,$AC$51,E1724=$AB$52,$AC$52,E1724=$AB$53,$AC$53,E1724=$AB$54,$AC$54,E1724=$AB$55,$AC$55,E1724=$AB$56,$AC$56,E1724=$AB$57,$AC$57,E1724=$AB$58,$AC$58,E1724=$AB$59,$AC$59,E1724=$AB$60,$AC$60,E1724=$AB$61,$AC$61,E1724=$AB$62,$AC$62,E1724=$AB$63,$AC$63,E1724=$AB$64,$AC$64,E1724=$AB$65,$AC$65,E1724=$AB$66,$AC$66,TRUE,"0")</f>
        <v>#NAME?</v>
      </c>
      <c r="C1724" s="161" t="str" cm="1">
        <f t="array" ref="C1724">_xlfn.IFS(E1724=$AB$42,$AF$42,E1724=$AB$43,$AF$43,E1724=$AB$44,$AF$44,E1724=$AB$45,$AF$45,E1724=$AB$46,$AF$46,E1724=$AB$47,$AF$47,E1724=$AB$48,$AF$48,E1724=$AB$49,$AF$49,E1724=$AB$50,$AF$50,E1724=$AB$51,$AF$51,E1724=$AB$52,$AF$52,E1724=$AB$53,$AF$53,E1724=$AB$54,$AF$54,E1724=$AB$55,$AF$55,E1724=$AB$56,$AF$56,E1724=$AB$57,$AF$57,E1724=$AB$58,$AF$58,E1724=$AB$59,$AF$59,E1724=$AB$60,$AF$60,E1724=$AB$61,$AF$61,E1724=$AB$62,$AF$62,E1724=$AB$63,$AF$63,E1724=$AB$64,$AF$64,E1724=$AB$65,$AF$65,E1724=$AB$66,$AF$66,TRUE,"0")</f>
        <v>AT HT IF 0-0 BACK +0.5 GOALS</v>
      </c>
      <c r="D1724" s="270" t="str" cm="1">
        <f t="array" ref="D1724">_xlfn.IFS(E1724=$AB$42,$AD$42,E1724=$AB$43,$AD$43,E1724=$AB$44,$AD$44,E1724=$AB$45,$AD$45,E1724=$AB$46,$AD$46,E1724=$AB$47,$AD$47,E1724=$AB$48,$AD$48,E1724=$AB$49,$AD$49,E1724=$AB$50,$AD$50,E1724=$AB$51,$AD$51,E1724=$AB$52,$AD$52,E1724=$AB$53,$AD$53,E1724=$AB$54,$AD$54,E1724=$AB$55,$AD$55,E1724=$AB$56,$AD$56,E1724=$AB$57,$AD$57,E1724=$AB$58,$AD$58,E1724=$AB$59,$AD$59,E1724=$AB$60,$AD$60,E1724=$AB$61,$AD$61,E1724=$AB$62,$AD$62,E1724=$AB$63,$AD$63,E1724=$AB$64,$AD$64,E1724=$AB$65,$AD$65,E1724=$AB$66,$AD$66,TRUE,"0")</f>
        <v>IP</v>
      </c>
      <c r="E1724" s="2" t="s">
        <v>514</v>
      </c>
      <c r="F1724" s="2" t="s">
        <v>119</v>
      </c>
      <c r="G1724" s="2" t="s">
        <v>166</v>
      </c>
      <c r="H1724" s="3">
        <v>45438.729166666664</v>
      </c>
      <c r="I1724" s="2" t="s">
        <v>850</v>
      </c>
      <c r="J1724" s="2" t="s">
        <v>895</v>
      </c>
      <c r="K1724" s="2">
        <v>5.4</v>
      </c>
      <c r="L1724" s="2">
        <v>0</v>
      </c>
      <c r="M1724" s="2">
        <v>0</v>
      </c>
      <c r="N1724" s="2">
        <v>20</v>
      </c>
      <c r="O1724" s="2">
        <v>5</v>
      </c>
      <c r="P1724" s="2">
        <v>36</v>
      </c>
      <c r="Q1724" s="1" t="s">
        <v>95</v>
      </c>
      <c r="R1724" s="10" t="s">
        <v>221</v>
      </c>
      <c r="S1724" s="10" t="s">
        <v>209</v>
      </c>
      <c r="T1724" s="188">
        <f t="shared" si="197"/>
        <v>28.296777367388092</v>
      </c>
      <c r="U1724" s="8">
        <f t="shared" si="211"/>
        <v>5.0934199261298563</v>
      </c>
      <c r="V1724" s="234">
        <f t="shared" si="212"/>
        <v>571.02896727389168</v>
      </c>
      <c r="W1724" s="15">
        <v>25</v>
      </c>
      <c r="X1724" s="8">
        <f t="shared" si="213"/>
        <v>4.5</v>
      </c>
      <c r="Y1724" s="233">
        <f t="shared" si="204"/>
        <v>569</v>
      </c>
    </row>
    <row r="1725" spans="1:25">
      <c r="A1725" s="156" t="e" cm="1">
        <f t="array" aca="1" ref="A1725" ca="1">_xlfn.IFS(E1725=$AB$42,$AC$42,E1725=$AB$43,$AC$43,E1725=$AB$44,$AC$44,E1725=$AB$45,$AC$45,E1725=$AB$46,$AC$46,E1725=$AB$47,$AC$47,E1725=$AB$48,$AC$48,E1725=$AB$49,$AC$49,E1725=$AB$50,$AC$50,E1725=$AB$51,$AC$51,E1725=$AB$52,$AC$52,E1725=$AB$53,$AC$53,E1725=$AB$54,$AC$54,E1725=$AB$55,$AC$55,E1725=$AB$56,$AC$56,E1725=$AB$57,$AC$57,E1725=$AB$58,$AC$58,E1725=$AB$59,$AC$59,E1725=$AB$60,$AC$60,E1725=$AB$61,$AC$61,E1725=$AB$62,$AC$62,E1725=$AB$63,$AC$63,E1725=$AB$64,$AC$64,E1725=$AB$65,$AC$65,E1725=$AB$66,$AC$66,TRUE,"0")</f>
        <v>#NAME?</v>
      </c>
      <c r="C1725" s="161" t="str" cm="1">
        <f t="array" ref="C1725">_xlfn.IFS(E1725=$AB$42,$AF$42,E1725=$AB$43,$AF$43,E1725=$AB$44,$AF$44,E1725=$AB$45,$AF$45,E1725=$AB$46,$AF$46,E1725=$AB$47,$AF$47,E1725=$AB$48,$AF$48,E1725=$AB$49,$AF$49,E1725=$AB$50,$AF$50,E1725=$AB$51,$AF$51,E1725=$AB$52,$AF$52,E1725=$AB$53,$AF$53,E1725=$AB$54,$AF$54,E1725=$AB$55,$AF$55,E1725=$AB$56,$AF$56,E1725=$AB$57,$AF$57,E1725=$AB$58,$AF$58,E1725=$AB$59,$AF$59,E1725=$AB$60,$AF$60,E1725=$AB$61,$AF$61,E1725=$AB$62,$AF$62,E1725=$AB$63,$AF$63,E1725=$AB$64,$AF$64,E1725=$AB$65,$AF$65,E1725=$AB$66,$AF$66,TRUE,"0")</f>
        <v>40 mins Back ANother Goal</v>
      </c>
      <c r="D1725" s="270" t="str" cm="1">
        <f t="array" ref="D1725">_xlfn.IFS(E1725=$AB$42,$AD$42,E1725=$AB$43,$AD$43,E1725=$AB$44,$AD$44,E1725=$AB$45,$AD$45,E1725=$AB$46,$AD$46,E1725=$AB$47,$AD$47,E1725=$AB$48,$AD$48,E1725=$AB$49,$AD$49,E1725=$AB$50,$AD$50,E1725=$AB$51,$AD$51,E1725=$AB$52,$AD$52,E1725=$AB$53,$AD$53,E1725=$AB$54,$AD$54,E1725=$AB$55,$AD$55,E1725=$AB$56,$AD$56,E1725=$AB$57,$AD$57,E1725=$AB$58,$AD$58,E1725=$AB$59,$AD$59,E1725=$AB$60,$AD$60,E1725=$AB$61,$AD$61,E1725=$AB$62,$AD$62,E1725=$AB$63,$AD$63,E1725=$AB$64,$AD$64,E1725=$AB$65,$AD$65,E1725=$AB$66,$AD$66,TRUE,"0")</f>
        <v xml:space="preserve">  BANG</v>
      </c>
      <c r="E1725" s="2" t="s">
        <v>877</v>
      </c>
      <c r="F1725" s="2" t="s">
        <v>891</v>
      </c>
      <c r="G1725" s="2" t="s">
        <v>892</v>
      </c>
      <c r="H1725" s="3">
        <v>45439.854166666664</v>
      </c>
      <c r="I1725" s="2" t="s">
        <v>893</v>
      </c>
      <c r="J1725" s="2" t="s">
        <v>894</v>
      </c>
      <c r="K1725" s="2">
        <v>1.7</v>
      </c>
      <c r="L1725" s="2">
        <v>85</v>
      </c>
      <c r="M1725" s="2">
        <v>65</v>
      </c>
      <c r="N1725" s="2">
        <v>66</v>
      </c>
      <c r="O1725" s="2">
        <v>20</v>
      </c>
      <c r="P1725" s="2"/>
      <c r="Q1725" s="1" t="s">
        <v>95</v>
      </c>
      <c r="R1725" s="10" t="s">
        <v>214</v>
      </c>
      <c r="S1725" s="10" t="s">
        <v>216</v>
      </c>
      <c r="T1725" s="188">
        <f t="shared" si="197"/>
        <v>28.551448363694586</v>
      </c>
      <c r="U1725" s="8">
        <f t="shared" ref="U1725:U1726" si="214">IF(Q1725="won",T1725*0.18,-T1725)</f>
        <v>5.1392607054650252</v>
      </c>
      <c r="V1725" s="234">
        <f t="shared" ref="V1725:V1726" si="215">SUM(V1724,U1725)</f>
        <v>576.16822797935674</v>
      </c>
      <c r="W1725" s="15">
        <v>25</v>
      </c>
      <c r="X1725" s="8">
        <f t="shared" ref="X1725:X1726" si="216">IF(Q1725="won",W1725*0.18,-W1725)</f>
        <v>4.5</v>
      </c>
      <c r="Y1725" s="233">
        <f t="shared" si="204"/>
        <v>573.5</v>
      </c>
    </row>
    <row r="1726" spans="1:25">
      <c r="A1726" s="156" t="e" cm="1">
        <f t="array" aca="1" ref="A1726" ca="1">_xlfn.IFS(E1726=$AB$42,$AC$42,E1726=$AB$43,$AC$43,E1726=$AB$44,$AC$44,E1726=$AB$45,$AC$45,E1726=$AB$46,$AC$46,E1726=$AB$47,$AC$47,E1726=$AB$48,$AC$48,E1726=$AB$49,$AC$49,E1726=$AB$50,$AC$50,E1726=$AB$51,$AC$51,E1726=$AB$52,$AC$52,E1726=$AB$53,$AC$53,E1726=$AB$54,$AC$54,E1726=$AB$55,$AC$55,E1726=$AB$56,$AC$56,E1726=$AB$57,$AC$57,E1726=$AB$58,$AC$58,E1726=$AB$59,$AC$59,E1726=$AB$60,$AC$60,E1726=$AB$61,$AC$61,E1726=$AB$62,$AC$62,E1726=$AB$63,$AC$63,E1726=$AB$64,$AC$64,E1726=$AB$65,$AC$65,E1726=$AB$66,$AC$66,TRUE,"0")</f>
        <v>#NAME?</v>
      </c>
      <c r="C1726" s="161" t="str" cm="1">
        <f t="array" ref="C1726">_xlfn.IFS(E1726=$AB$42,$AF$42,E1726=$AB$43,$AF$43,E1726=$AB$44,$AF$44,E1726=$AB$45,$AF$45,E1726=$AB$46,$AF$46,E1726=$AB$47,$AF$47,E1726=$AB$48,$AF$48,E1726=$AB$49,$AF$49,E1726=$AB$50,$AF$50,E1726=$AB$51,$AF$51,E1726=$AB$52,$AF$52,E1726=$AB$53,$AF$53,E1726=$AB$54,$AF$54,E1726=$AB$55,$AF$55,E1726=$AB$56,$AF$56,E1726=$AB$57,$AF$57,E1726=$AB$58,$AF$58,E1726=$AB$59,$AF$59,E1726=$AB$60,$AF$60,E1726=$AB$61,$AF$61,E1726=$AB$62,$AF$62,E1726=$AB$63,$AF$63,E1726=$AB$64,$AF$64,E1726=$AB$65,$AF$65,E1726=$AB$66,$AF$66,TRUE,"0")</f>
        <v>15mins if  0-0, BACK over 1.5 goals X after goal OR LET RUN</v>
      </c>
      <c r="D1726" s="270" t="str" cm="1">
        <f t="array" ref="D1726">_xlfn.IFS(E1726=$AB$42,$AD$42,E1726=$AB$43,$AD$43,E1726=$AB$44,$AD$44,E1726=$AB$45,$AD$45,E1726=$AB$46,$AD$46,E1726=$AB$47,$AD$47,E1726=$AB$48,$AD$48,E1726=$AB$49,$AD$49,E1726=$AB$50,$AD$50,E1726=$AB$51,$AD$51,E1726=$AB$52,$AD$52,E1726=$AB$53,$AD$53,E1726=$AB$54,$AD$54,E1726=$AB$55,$AD$55,E1726=$AB$56,$AD$56,E1726=$AB$57,$AD$57,E1726=$AB$58,$AD$58,E1726=$AB$59,$AD$59,E1726=$AB$60,$AD$60,E1726=$AB$61,$AD$61,E1726=$AB$62,$AD$62,E1726=$AB$63,$AD$63,E1726=$AB$64,$AD$64,E1726=$AB$65,$AD$65,E1726=$AB$66,$AD$66,TRUE,"0")</f>
        <v>IP</v>
      </c>
      <c r="E1726" s="162" t="s">
        <v>473</v>
      </c>
      <c r="F1726" s="2" t="s">
        <v>802</v>
      </c>
      <c r="G1726" s="2" t="s">
        <v>803</v>
      </c>
      <c r="H1726" s="267">
        <v>45440.75</v>
      </c>
      <c r="I1726" s="162" t="s">
        <v>872</v>
      </c>
      <c r="J1726" s="162" t="s">
        <v>873</v>
      </c>
      <c r="K1726" s="162">
        <v>66</v>
      </c>
      <c r="L1726" s="162">
        <v>90</v>
      </c>
      <c r="M1726" s="162">
        <v>20</v>
      </c>
      <c r="N1726" s="162">
        <v>3.4</v>
      </c>
      <c r="O1726" s="162"/>
      <c r="P1726" s="2"/>
      <c r="Q1726" s="1" t="s">
        <v>95</v>
      </c>
      <c r="R1726" s="10" t="s">
        <v>221</v>
      </c>
      <c r="S1726" s="10" t="s">
        <v>216</v>
      </c>
      <c r="T1726" s="188">
        <f t="shared" si="197"/>
        <v>28.808411398967838</v>
      </c>
      <c r="U1726" s="8">
        <f t="shared" si="214"/>
        <v>5.1855140518142102</v>
      </c>
      <c r="V1726" s="234">
        <f t="shared" si="215"/>
        <v>581.35374203117101</v>
      </c>
      <c r="W1726" s="15">
        <v>25</v>
      </c>
      <c r="X1726" s="8">
        <f t="shared" si="216"/>
        <v>4.5</v>
      </c>
      <c r="Y1726" s="233">
        <f t="shared" ref="Y1726:Y1727" si="217">SUM(Y1725,X1726)</f>
        <v>578</v>
      </c>
    </row>
    <row r="1727" spans="1:25">
      <c r="A1727" s="156" t="e" cm="1">
        <f t="array" aca="1" ref="A1727" ca="1">_xlfn.IFS(E1727=$AB$42,$AC$42,E1727=$AB$43,$AC$43,E1727=$AB$44,$AC$44,E1727=$AB$45,$AC$45,E1727=$AB$46,$AC$46,E1727=$AB$47,$AC$47,E1727=$AB$48,$AC$48,E1727=$AB$49,$AC$49,E1727=$AB$50,$AC$50,E1727=$AB$51,$AC$51,E1727=$AB$52,$AC$52,E1727=$AB$53,$AC$53,E1727=$AB$54,$AC$54,E1727=$AB$55,$AC$55,E1727=$AB$56,$AC$56,E1727=$AB$57,$AC$57,E1727=$AB$58,$AC$58,E1727=$AB$59,$AC$59,E1727=$AB$60,$AC$60,E1727=$AB$61,$AC$61,E1727=$AB$62,$AC$62,E1727=$AB$63,$AC$63,E1727=$AB$64,$AC$64,E1727=$AB$65,$AC$65,E1727=$AB$66,$AC$66,TRUE,"0")</f>
        <v>#NAME?</v>
      </c>
      <c r="C1727" s="161" t="str" cm="1">
        <f t="array" ref="C1727">_xlfn.IFS(E1727=$AB$42,$AF$42,E1727=$AB$43,$AF$43,E1727=$AB$44,$AF$44,E1727=$AB$45,$AF$45,E1727=$AB$46,$AF$46,E1727=$AB$47,$AF$47,E1727=$AB$48,$AF$48,E1727=$AB$49,$AF$49,E1727=$AB$50,$AF$50,E1727=$AB$51,$AF$51,E1727=$AB$52,$AF$52,E1727=$AB$53,$AF$53,E1727=$AB$54,$AF$54,E1727=$AB$55,$AF$55,E1727=$AB$56,$AF$56,E1727=$AB$57,$AF$57,E1727=$AB$58,$AF$58,E1727=$AB$59,$AF$59,E1727=$AB$60,$AF$60,E1727=$AB$61,$AF$61,E1727=$AB$62,$AF$62,E1727=$AB$63,$AF$63,E1727=$AB$64,$AF$64,E1727=$AB$65,$AF$65,E1727=$AB$66,$AF$66,TRUE,"0")</f>
        <v>B4 MATCH bet H1 'under 2.5goals'- X at 40 minutes</v>
      </c>
      <c r="D1727" s="270" t="str" cm="1">
        <f t="array" ref="D1727">_xlfn.IFS(E1727=$AB$42,$AD$42,E1727=$AB$43,$AD$43,E1727=$AB$44,$AD$44,E1727=$AB$45,$AD$45,E1727=$AB$46,$AD$46,E1727=$AB$47,$AD$47,E1727=$AB$48,$AD$48,E1727=$AB$49,$AD$49,E1727=$AB$50,$AD$50,E1727=$AB$51,$AD$51,E1727=$AB$52,$AD$52,E1727=$AB$53,$AD$53,E1727=$AB$54,$AD$54,E1727=$AB$55,$AD$55,E1727=$AB$56,$AD$56,E1727=$AB$57,$AD$57,E1727=$AB$58,$AD$58,E1727=$AB$59,$AD$59,E1727=$AB$60,$AD$60,E1727=$AB$61,$AD$61,E1727=$AB$62,$AD$62,E1727=$AB$63,$AD$63,E1727=$AB$64,$AD$64,E1727=$AB$65,$AD$65,E1727=$AB$66,$AD$66,TRUE,"0")</f>
        <v xml:space="preserve">BFM </v>
      </c>
      <c r="E1727" s="2" t="s">
        <v>458</v>
      </c>
      <c r="F1727" s="2" t="s">
        <v>572</v>
      </c>
      <c r="G1727" s="2" t="s">
        <v>670</v>
      </c>
      <c r="H1727" s="3">
        <v>45441.458333333336</v>
      </c>
      <c r="I1727" s="2" t="s">
        <v>908</v>
      </c>
      <c r="J1727" s="2" t="s">
        <v>671</v>
      </c>
      <c r="K1727" s="2">
        <v>20</v>
      </c>
      <c r="L1727" s="2">
        <v>85</v>
      </c>
      <c r="M1727" s="2">
        <v>95</v>
      </c>
      <c r="N1727" s="2">
        <v>41</v>
      </c>
      <c r="O1727" s="2">
        <v>2.1</v>
      </c>
      <c r="P1727" s="2"/>
      <c r="Q1727" s="1" t="s">
        <v>95</v>
      </c>
      <c r="R1727" s="10" t="s">
        <v>220</v>
      </c>
      <c r="S1727" s="10" t="s">
        <v>194</v>
      </c>
      <c r="T1727" s="188">
        <f t="shared" si="197"/>
        <v>29.067687101558551</v>
      </c>
      <c r="U1727" s="8">
        <f t="shared" ref="U1727:U1729" si="218">IF(Q1727="won",T1727*0.18,-T1727)</f>
        <v>5.2321836782805393</v>
      </c>
      <c r="V1727" s="234">
        <f t="shared" ref="V1727:V1729" si="219">SUM(V1726,U1727)</f>
        <v>586.58592570945154</v>
      </c>
      <c r="W1727" s="15">
        <v>25</v>
      </c>
      <c r="X1727" s="8">
        <f t="shared" ref="X1727:X1729" si="220">IF(Q1727="won",W1727*0.18,-W1727)</f>
        <v>4.5</v>
      </c>
      <c r="Y1727" s="233">
        <f t="shared" si="217"/>
        <v>582.5</v>
      </c>
    </row>
    <row r="1728" spans="1:25">
      <c r="A1728" s="156" t="e" cm="1">
        <f t="array" aca="1" ref="A1728" ca="1">_xlfn.IFS(E1728=$AB$42,$AC$42,E1728=$AB$43,$AC$43,E1728=$AB$44,$AC$44,E1728=$AB$45,$AC$45,E1728=$AB$46,$AC$46,E1728=$AB$47,$AC$47,E1728=$AB$48,$AC$48,E1728=$AB$49,$AC$49,E1728=$AB$50,$AC$50,E1728=$AB$51,$AC$51,E1728=$AB$52,$AC$52,E1728=$AB$53,$AC$53,E1728=$AB$54,$AC$54,E1728=$AB$55,$AC$55,E1728=$AB$56,$AC$56,E1728=$AB$57,$AC$57,E1728=$AB$58,$AC$58,E1728=$AB$59,$AC$59,E1728=$AB$60,$AC$60,E1728=$AB$61,$AC$61,E1728=$AB$62,$AC$62,E1728=$AB$63,$AC$63,E1728=$AB$64,$AC$64,E1728=$AB$65,$AC$65,E1728=$AB$66,$AC$66,TRUE,"0")</f>
        <v>#NAME?</v>
      </c>
      <c r="C1728" s="161" t="str" cm="1">
        <f t="array" ref="C1728">_xlfn.IFS(E1728=$AB$42,$AF$42,E1728=$AB$43,$AF$43,E1728=$AB$44,$AF$44,E1728=$AB$45,$AF$45,E1728=$AB$46,$AF$46,E1728=$AB$47,$AF$47,E1728=$AB$48,$AF$48,E1728=$AB$49,$AF$49,E1728=$AB$50,$AF$50,E1728=$AB$51,$AF$51,E1728=$AB$52,$AF$52,E1728=$AB$53,$AF$53,E1728=$AB$54,$AF$54,E1728=$AB$55,$AF$55,E1728=$AB$56,$AF$56,E1728=$AB$57,$AF$57,E1728=$AB$58,$AF$58,E1728=$AB$59,$AF$59,E1728=$AB$60,$AF$60,E1728=$AB$61,$AF$61,E1728=$AB$62,$AF$62,E1728=$AB$63,$AF$63,E1728=$AB$64,$AF$64,E1728=$AB$65,$AF$65,E1728=$AB$66,$AF$66,TRUE,"0")</f>
        <v>40 mins Back ANother Goal</v>
      </c>
      <c r="D1728" s="270" t="str" cm="1">
        <f t="array" ref="D1728">_xlfn.IFS(E1728=$AB$42,$AD$42,E1728=$AB$43,$AD$43,E1728=$AB$44,$AD$44,E1728=$AB$45,$AD$45,E1728=$AB$46,$AD$46,E1728=$AB$47,$AD$47,E1728=$AB$48,$AD$48,E1728=$AB$49,$AD$49,E1728=$AB$50,$AD$50,E1728=$AB$51,$AD$51,E1728=$AB$52,$AD$52,E1728=$AB$53,$AD$53,E1728=$AB$54,$AD$54,E1728=$AB$55,$AD$55,E1728=$AB$56,$AD$56,E1728=$AB$57,$AD$57,E1728=$AB$58,$AD$58,E1728=$AB$59,$AD$59,E1728=$AB$60,$AD$60,E1728=$AB$61,$AD$61,E1728=$AB$62,$AD$62,E1728=$AB$63,$AD$63,E1728=$AB$64,$AD$64,E1728=$AB$65,$AD$65,E1728=$AB$66,$AD$66,TRUE,"0")</f>
        <v xml:space="preserve">  BANG</v>
      </c>
      <c r="E1728" s="2" t="s">
        <v>515</v>
      </c>
      <c r="F1728" s="2" t="s">
        <v>534</v>
      </c>
      <c r="G1728" s="2" t="s">
        <v>535</v>
      </c>
      <c r="H1728" s="3">
        <v>45441.479166666664</v>
      </c>
      <c r="I1728" s="2" t="s">
        <v>813</v>
      </c>
      <c r="J1728" s="2" t="s">
        <v>897</v>
      </c>
      <c r="K1728" s="2">
        <v>20</v>
      </c>
      <c r="L1728" s="2">
        <v>74</v>
      </c>
      <c r="M1728" s="2">
        <v>1.7</v>
      </c>
      <c r="N1728" s="2"/>
      <c r="O1728" s="2"/>
      <c r="P1728" s="2"/>
      <c r="Q1728" s="1" t="s">
        <v>95</v>
      </c>
      <c r="R1728" s="10" t="s">
        <v>221</v>
      </c>
      <c r="S1728" s="10" t="s">
        <v>216</v>
      </c>
      <c r="T1728" s="188">
        <f t="shared" si="197"/>
        <v>29.32929628547258</v>
      </c>
      <c r="U1728" s="8">
        <f t="shared" si="218"/>
        <v>5.2792733313850642</v>
      </c>
      <c r="V1728" s="234">
        <f t="shared" si="219"/>
        <v>591.86519904083661</v>
      </c>
      <c r="W1728" s="15">
        <v>25</v>
      </c>
      <c r="X1728" s="8">
        <f t="shared" si="220"/>
        <v>4.5</v>
      </c>
      <c r="Y1728" s="233">
        <f t="shared" ref="Y1728:Y1729" si="221">SUM(Y1727,X1728)</f>
        <v>587</v>
      </c>
    </row>
    <row r="1729" spans="1:25">
      <c r="A1729" s="156" t="e" cm="1">
        <f t="array" aca="1" ref="A1729" ca="1">_xlfn.IFS(E1729=$AB$42,$AC$42,E1729=$AB$43,$AC$43,E1729=$AB$44,$AC$44,E1729=$AB$45,$AC$45,E1729=$AB$46,$AC$46,E1729=$AB$47,$AC$47,E1729=$AB$48,$AC$48,E1729=$AB$49,$AC$49,E1729=$AB$50,$AC$50,E1729=$AB$51,$AC$51,E1729=$AB$52,$AC$52,E1729=$AB$53,$AC$53,E1729=$AB$54,$AC$54,E1729=$AB$55,$AC$55,E1729=$AB$56,$AC$56,E1729=$AB$57,$AC$57,E1729=$AB$58,$AC$58,E1729=$AB$59,$AC$59,E1729=$AB$60,$AC$60,E1729=$AB$61,$AC$61,E1729=$AB$62,$AC$62,E1729=$AB$63,$AC$63,E1729=$AB$64,$AC$64,E1729=$AB$65,$AC$65,E1729=$AB$66,$AC$66,TRUE,"0")</f>
        <v>#NAME?</v>
      </c>
      <c r="C1729" s="161" t="str" cm="1">
        <f t="array" ref="C1729">_xlfn.IFS(E1729=$AB$42,$AF$42,E1729=$AB$43,$AF$43,E1729=$AB$44,$AF$44,E1729=$AB$45,$AF$45,E1729=$AB$46,$AF$46,E1729=$AB$47,$AF$47,E1729=$AB$48,$AF$48,E1729=$AB$49,$AF$49,E1729=$AB$50,$AF$50,E1729=$AB$51,$AF$51,E1729=$AB$52,$AF$52,E1729=$AB$53,$AF$53,E1729=$AB$54,$AF$54,E1729=$AB$55,$AF$55,E1729=$AB$56,$AF$56,E1729=$AB$57,$AF$57,E1729=$AB$58,$AF$58,E1729=$AB$59,$AF$59,E1729=$AB$60,$AF$60,E1729=$AB$61,$AF$61,E1729=$AB$62,$AF$62,E1729=$AB$63,$AF$63,E1729=$AB$64,$AF$64,E1729=$AB$65,$AF$65,E1729=$AB$66,$AF$66,TRUE,"0")</f>
        <v>40 mins Back ANother Goal</v>
      </c>
      <c r="D1729" s="270" t="str" cm="1">
        <f t="array" ref="D1729">_xlfn.IFS(E1729=$AB$42,$AD$42,E1729=$AB$43,$AD$43,E1729=$AB$44,$AD$44,E1729=$AB$45,$AD$45,E1729=$AB$46,$AD$46,E1729=$AB$47,$AD$47,E1729=$AB$48,$AD$48,E1729=$AB$49,$AD$49,E1729=$AB$50,$AD$50,E1729=$AB$51,$AD$51,E1729=$AB$52,$AD$52,E1729=$AB$53,$AD$53,E1729=$AB$54,$AD$54,E1729=$AB$55,$AD$55,E1729=$AB$56,$AD$56,E1729=$AB$57,$AD$57,E1729=$AB$58,$AD$58,E1729=$AB$59,$AD$59,E1729=$AB$60,$AD$60,E1729=$AB$61,$AD$61,E1729=$AB$62,$AD$62,E1729=$AB$63,$AD$63,E1729=$AB$64,$AD$64,E1729=$AB$65,$AD$65,E1729=$AB$66,$AD$66,TRUE,"0")</f>
        <v xml:space="preserve">  BANG</v>
      </c>
      <c r="E1729" s="2" t="s">
        <v>876</v>
      </c>
      <c r="F1729" s="2" t="s">
        <v>534</v>
      </c>
      <c r="G1729" s="2" t="s">
        <v>535</v>
      </c>
      <c r="H1729" s="3">
        <v>45441.479166666664</v>
      </c>
      <c r="I1729" s="2" t="s">
        <v>813</v>
      </c>
      <c r="J1729" s="2" t="s">
        <v>897</v>
      </c>
      <c r="K1729" s="2">
        <v>20</v>
      </c>
      <c r="L1729" s="2">
        <v>74</v>
      </c>
      <c r="M1729" s="2">
        <v>1.7</v>
      </c>
      <c r="N1729" s="2"/>
      <c r="O1729" s="2"/>
      <c r="P1729" s="2"/>
      <c r="Q1729" s="1" t="s">
        <v>95</v>
      </c>
      <c r="R1729" s="10" t="s">
        <v>221</v>
      </c>
      <c r="S1729" s="10" t="s">
        <v>216</v>
      </c>
      <c r="T1729" s="188">
        <f t="shared" si="197"/>
        <v>29.593259952041834</v>
      </c>
      <c r="U1729" s="8">
        <f t="shared" si="218"/>
        <v>5.32678679136753</v>
      </c>
      <c r="V1729" s="234">
        <f t="shared" si="219"/>
        <v>597.19198583220418</v>
      </c>
      <c r="W1729" s="15">
        <v>25</v>
      </c>
      <c r="X1729" s="8">
        <f t="shared" si="220"/>
        <v>4.5</v>
      </c>
      <c r="Y1729" s="233">
        <f t="shared" si="221"/>
        <v>591.5</v>
      </c>
    </row>
    <row r="1730" spans="1:25">
      <c r="A1730" s="156" t="e" cm="1">
        <f t="array" aca="1" ref="A1730" ca="1">_xlfn.IFS(E1730=$AB$42,$AC$42,E1730=$AB$43,$AC$43,E1730=$AB$44,$AC$44,E1730=$AB$45,$AC$45,E1730=$AB$46,$AC$46,E1730=$AB$47,$AC$47,E1730=$AB$48,$AC$48,E1730=$AB$49,$AC$49,E1730=$AB$50,$AC$50,E1730=$AB$51,$AC$51,E1730=$AB$52,$AC$52,E1730=$AB$53,$AC$53,E1730=$AB$54,$AC$54,E1730=$AB$55,$AC$55,E1730=$AB$56,$AC$56,E1730=$AB$57,$AC$57,E1730=$AB$58,$AC$58,E1730=$AB$59,$AC$59,E1730=$AB$60,$AC$60,E1730=$AB$61,$AC$61,E1730=$AB$62,$AC$62,E1730=$AB$63,$AC$63,E1730=$AB$64,$AC$64,E1730=$AB$65,$AC$65,E1730=$AB$66,$AC$66,TRUE,"0")</f>
        <v>#NAME?</v>
      </c>
      <c r="C1730" s="161" t="str" cm="1">
        <f t="array" ref="C1730">_xlfn.IFS(E1730=$AB$42,$AF$42,E1730=$AB$43,$AF$43,E1730=$AB$44,$AF$44,E1730=$AB$45,$AF$45,E1730=$AB$46,$AF$46,E1730=$AB$47,$AF$47,E1730=$AB$48,$AF$48,E1730=$AB$49,$AF$49,E1730=$AB$50,$AF$50,E1730=$AB$51,$AF$51,E1730=$AB$52,$AF$52,E1730=$AB$53,$AF$53,E1730=$AB$54,$AF$54,E1730=$AB$55,$AF$55,E1730=$AB$56,$AF$56,E1730=$AB$57,$AF$57,E1730=$AB$58,$AF$58,E1730=$AB$59,$AF$59,E1730=$AB$60,$AF$60,E1730=$AB$61,$AF$61,E1730=$AB$62,$AF$62,E1730=$AB$63,$AF$63,E1730=$AB$64,$AF$64,E1730=$AB$65,$AF$65,E1730=$AB$66,$AF$66,TRUE,"0")</f>
        <v>B4 Match, lay HT 0-0 or BACK H1 +0.5 GOALS</v>
      </c>
      <c r="D1730" s="270" t="str" cm="1">
        <f t="array" ref="D1730">_xlfn.IFS(E1730=$AB$42,$AD$42,E1730=$AB$43,$AD$43,E1730=$AB$44,$AD$44,E1730=$AB$45,$AD$45,E1730=$AB$46,$AD$46,E1730=$AB$47,$AD$47,E1730=$AB$48,$AD$48,E1730=$AB$49,$AD$49,E1730=$AB$50,$AD$50,E1730=$AB$51,$AD$51,E1730=$AB$52,$AD$52,E1730=$AB$53,$AD$53,E1730=$AB$54,$AD$54,E1730=$AB$55,$AD$55,E1730=$AB$56,$AD$56,E1730=$AB$57,$AD$57,E1730=$AB$58,$AD$58,E1730=$AB$59,$AD$59,E1730=$AB$60,$AD$60,E1730=$AB$61,$AD$61,E1730=$AB$62,$AD$62,E1730=$AB$63,$AD$63,E1730=$AB$64,$AD$64,E1730=$AB$65,$AD$65,E1730=$AB$66,$AD$66,TRUE,"0")</f>
        <v xml:space="preserve">BFM </v>
      </c>
      <c r="E1730" s="2" t="s">
        <v>909</v>
      </c>
      <c r="F1730" s="2" t="s">
        <v>910</v>
      </c>
      <c r="G1730" s="2" t="s">
        <v>911</v>
      </c>
      <c r="H1730" s="3">
        <v>45441.75</v>
      </c>
      <c r="I1730" s="2" t="s">
        <v>912</v>
      </c>
      <c r="J1730" s="2" t="s">
        <v>913</v>
      </c>
      <c r="K1730" s="2">
        <v>20</v>
      </c>
      <c r="L1730" s="2">
        <v>5</v>
      </c>
      <c r="M1730" s="2">
        <v>43</v>
      </c>
      <c r="N1730" s="2">
        <v>8</v>
      </c>
      <c r="O1730" s="2">
        <v>17</v>
      </c>
      <c r="P1730" s="2">
        <v>52</v>
      </c>
      <c r="Q1730" s="1" t="s">
        <v>95</v>
      </c>
      <c r="R1730" s="10" t="s">
        <v>218</v>
      </c>
      <c r="S1730" s="10" t="s">
        <v>365</v>
      </c>
      <c r="T1730" s="188">
        <f t="shared" si="197"/>
        <v>29.859599291610209</v>
      </c>
      <c r="U1730" s="8">
        <f t="shared" ref="U1730:U1733" si="222">IF(Q1730="won",T1730*0.18,-T1730)</f>
        <v>5.3747278724898377</v>
      </c>
      <c r="V1730" s="234">
        <f t="shared" ref="V1730:V1733" si="223">SUM(V1729,U1730)</f>
        <v>602.56671370469405</v>
      </c>
      <c r="W1730" s="15">
        <v>25</v>
      </c>
      <c r="X1730" s="8">
        <f t="shared" ref="X1730:X1733" si="224">IF(Q1730="won",W1730*0.18,-W1730)</f>
        <v>4.5</v>
      </c>
      <c r="Y1730" s="233">
        <f t="shared" ref="Y1730:Y1733" si="225">SUM(Y1729,X1730)</f>
        <v>596</v>
      </c>
    </row>
    <row r="1731" spans="1:25">
      <c r="A1731" s="156" t="e" cm="1">
        <f t="array" aca="1" ref="A1731" ca="1">_xlfn.IFS(E1731=$AB$42,$AC$42,E1731=$AB$43,$AC$43,E1731=$AB$44,$AC$44,E1731=$AB$45,$AC$45,E1731=$AB$46,$AC$46,E1731=$AB$47,$AC$47,E1731=$AB$48,$AC$48,E1731=$AB$49,$AC$49,E1731=$AB$50,$AC$50,E1731=$AB$51,$AC$51,E1731=$AB$52,$AC$52,E1731=$AB$53,$AC$53,E1731=$AB$54,$AC$54,E1731=$AB$55,$AC$55,E1731=$AB$56,$AC$56,E1731=$AB$57,$AC$57,E1731=$AB$58,$AC$58,E1731=$AB$59,$AC$59,E1731=$AB$60,$AC$60,E1731=$AB$61,$AC$61,E1731=$AB$62,$AC$62,E1731=$AB$63,$AC$63,E1731=$AB$64,$AC$64,E1731=$AB$65,$AC$65,E1731=$AB$66,$AC$66,TRUE,"0")</f>
        <v>#NAME?</v>
      </c>
      <c r="C1731" s="161" t="str" cm="1">
        <f t="array" ref="C1731">_xlfn.IFS(E1731=$AB$42,$AF$42,E1731=$AB$43,$AF$43,E1731=$AB$44,$AF$44,E1731=$AB$45,$AF$45,E1731=$AB$46,$AF$46,E1731=$AB$47,$AF$47,E1731=$AB$48,$AF$48,E1731=$AB$49,$AF$49,E1731=$AB$50,$AF$50,E1731=$AB$51,$AF$51,E1731=$AB$52,$AF$52,E1731=$AB$53,$AF$53,E1731=$AB$54,$AF$54,E1731=$AB$55,$AF$55,E1731=$AB$56,$AF$56,E1731=$AB$57,$AF$57,E1731=$AB$58,$AF$58,E1731=$AB$59,$AF$59,E1731=$AB$60,$AF$60,E1731=$AB$61,$AF$61,E1731=$AB$62,$AF$62,E1731=$AB$63,$AF$63,E1731=$AB$64,$AF$64,E1731=$AB$65,$AF$65,E1731=$AB$66,$AF$66,TRUE,"0")</f>
        <v>B4 match BACK FT +1.5 goals. X AFTER  GOAL</v>
      </c>
      <c r="D1731" s="270" t="str" cm="1">
        <f t="array" ref="D1731">_xlfn.IFS(E1731=$AB$42,$AD$42,E1731=$AB$43,$AD$43,E1731=$AB$44,$AD$44,E1731=$AB$45,$AD$45,E1731=$AB$46,$AD$46,E1731=$AB$47,$AD$47,E1731=$AB$48,$AD$48,E1731=$AB$49,$AD$49,E1731=$AB$50,$AD$50,E1731=$AB$51,$AD$51,E1731=$AB$52,$AD$52,E1731=$AB$53,$AD$53,E1731=$AB$54,$AD$54,E1731=$AB$55,$AD$55,E1731=$AB$56,$AD$56,E1731=$AB$57,$AD$57,E1731=$AB$58,$AD$58,E1731=$AB$59,$AD$59,E1731=$AB$60,$AD$60,E1731=$AB$61,$AD$61,E1731=$AB$62,$AD$62,E1731=$AB$63,$AD$63,E1731=$AB$64,$AD$64,E1731=$AB$65,$AD$65,E1731=$AB$66,$AD$66,TRUE,"0")</f>
        <v xml:space="preserve">BFM </v>
      </c>
      <c r="E1731" s="2" t="s">
        <v>406</v>
      </c>
      <c r="F1731" s="2" t="s">
        <v>640</v>
      </c>
      <c r="G1731" s="2" t="s">
        <v>641</v>
      </c>
      <c r="H1731" s="3">
        <v>45441.75</v>
      </c>
      <c r="I1731" s="2" t="s">
        <v>643</v>
      </c>
      <c r="J1731" s="2" t="s">
        <v>932</v>
      </c>
      <c r="K1731" s="2">
        <v>1.29</v>
      </c>
      <c r="L1731" s="2">
        <v>12.5</v>
      </c>
      <c r="M1731" s="2">
        <v>2.5</v>
      </c>
      <c r="N1731" s="2">
        <v>3.6</v>
      </c>
      <c r="O1731" s="2">
        <v>2.41</v>
      </c>
      <c r="P1731" s="2"/>
      <c r="Q1731" s="1" t="s">
        <v>95</v>
      </c>
      <c r="R1731" s="10" t="s">
        <v>216</v>
      </c>
      <c r="S1731" s="10" t="s">
        <v>216</v>
      </c>
      <c r="T1731" s="188">
        <f t="shared" si="197"/>
        <v>30.128335685234703</v>
      </c>
      <c r="U1731" s="8">
        <f t="shared" si="222"/>
        <v>5.4231004233422464</v>
      </c>
      <c r="V1731" s="234">
        <f t="shared" si="223"/>
        <v>607.9898141280363</v>
      </c>
      <c r="W1731" s="15">
        <v>25</v>
      </c>
      <c r="X1731" s="8">
        <f t="shared" si="224"/>
        <v>4.5</v>
      </c>
      <c r="Y1731" s="233">
        <f t="shared" si="225"/>
        <v>600.5</v>
      </c>
    </row>
    <row r="1732" spans="1:25">
      <c r="A1732" s="156" t="e" cm="1">
        <f t="array" aca="1" ref="A1732" ca="1">_xlfn.IFS(E1732=$AB$42,$AC$42,E1732=$AB$43,$AC$43,E1732=$AB$44,$AC$44,E1732=$AB$45,$AC$45,E1732=$AB$46,$AC$46,E1732=$AB$47,$AC$47,E1732=$AB$48,$AC$48,E1732=$AB$49,$AC$49,E1732=$AB$50,$AC$50,E1732=$AB$51,$AC$51,E1732=$AB$52,$AC$52,E1732=$AB$53,$AC$53,E1732=$AB$54,$AC$54,E1732=$AB$55,$AC$55,E1732=$AB$56,$AC$56,E1732=$AB$57,$AC$57,E1732=$AB$58,$AC$58,E1732=$AB$59,$AC$59,E1732=$AB$60,$AC$60,E1732=$AB$61,$AC$61,E1732=$AB$62,$AC$62,E1732=$AB$63,$AC$63,E1732=$AB$64,$AC$64,E1732=$AB$65,$AC$65,E1732=$AB$66,$AC$66,TRUE,"0")</f>
        <v>#NAME?</v>
      </c>
      <c r="C1732" s="161" t="str" cm="1">
        <f t="array" ref="C1732">_xlfn.IFS(E1732=$AB$42,$AF$42,E1732=$AB$43,$AF$43,E1732=$AB$44,$AF$44,E1732=$AB$45,$AF$45,E1732=$AB$46,$AF$46,E1732=$AB$47,$AF$47,E1732=$AB$48,$AF$48,E1732=$AB$49,$AF$49,E1732=$AB$50,$AF$50,E1732=$AB$51,$AF$51,E1732=$AB$52,$AF$52,E1732=$AB$53,$AF$53,E1732=$AB$54,$AF$54,E1732=$AB$55,$AF$55,E1732=$AB$56,$AF$56,E1732=$AB$57,$AF$57,E1732=$AB$58,$AF$58,E1732=$AB$59,$AF$59,E1732=$AB$60,$AF$60,E1732=$AB$61,$AF$61,E1732=$AB$62,$AF$62,E1732=$AB$63,$AF$63,E1732=$AB$64,$AF$64,E1732=$AB$65,$AF$65,E1732=$AB$66,$AF$66,TRUE,"0")</f>
        <v>40 mins Back ANother Goal</v>
      </c>
      <c r="D1732" s="270" t="str" cm="1">
        <f t="array" ref="D1732">_xlfn.IFS(E1732=$AB$42,$AD$42,E1732=$AB$43,$AD$43,E1732=$AB$44,$AD$44,E1732=$AB$45,$AD$45,E1732=$AB$46,$AD$46,E1732=$AB$47,$AD$47,E1732=$AB$48,$AD$48,E1732=$AB$49,$AD$49,E1732=$AB$50,$AD$50,E1732=$AB$51,$AD$51,E1732=$AB$52,$AD$52,E1732=$AB$53,$AD$53,E1732=$AB$54,$AD$54,E1732=$AB$55,$AD$55,E1732=$AB$56,$AD$56,E1732=$AB$57,$AD$57,E1732=$AB$58,$AD$58,E1732=$AB$59,$AD$59,E1732=$AB$60,$AD$60,E1732=$AB$61,$AD$61,E1732=$AB$62,$AD$62,E1732=$AB$63,$AD$63,E1732=$AB$64,$AD$64,E1732=$AB$65,$AD$65,E1732=$AB$66,$AD$66,TRUE,"0")</f>
        <v xml:space="preserve">  BANG</v>
      </c>
      <c r="E1732" s="2" t="s">
        <v>877</v>
      </c>
      <c r="F1732" s="2" t="s">
        <v>616</v>
      </c>
      <c r="G1732" s="2" t="s">
        <v>617</v>
      </c>
      <c r="H1732" s="3">
        <v>45442.0625</v>
      </c>
      <c r="I1732" s="2" t="s">
        <v>905</v>
      </c>
      <c r="J1732" s="2" t="s">
        <v>618</v>
      </c>
      <c r="K1732" s="2">
        <v>2.35</v>
      </c>
      <c r="L1732" s="2">
        <v>90</v>
      </c>
      <c r="M1732" s="2">
        <v>75</v>
      </c>
      <c r="N1732" s="2">
        <v>58</v>
      </c>
      <c r="O1732" s="2">
        <v>20</v>
      </c>
      <c r="P1732" s="2"/>
      <c r="Q1732" s="1" t="s">
        <v>95</v>
      </c>
      <c r="R1732" s="10" t="s">
        <v>193</v>
      </c>
      <c r="S1732" s="10" t="s">
        <v>217</v>
      </c>
      <c r="T1732" s="188">
        <f t="shared" si="197"/>
        <v>30.399490706401817</v>
      </c>
      <c r="U1732" s="8">
        <f t="shared" si="222"/>
        <v>5.4719083271523266</v>
      </c>
      <c r="V1732" s="234">
        <f t="shared" si="223"/>
        <v>613.46172245518858</v>
      </c>
      <c r="W1732" s="15">
        <v>25</v>
      </c>
      <c r="X1732" s="8">
        <f t="shared" si="224"/>
        <v>4.5</v>
      </c>
      <c r="Y1732" s="233">
        <f t="shared" si="225"/>
        <v>605</v>
      </c>
    </row>
    <row r="1733" spans="1:25">
      <c r="A1733" s="156" t="e" cm="1">
        <f t="array" aca="1" ref="A1733" ca="1">_xlfn.IFS(E1733=$AB$42,$AC$42,E1733=$AB$43,$AC$43,E1733=$AB$44,$AC$44,E1733=$AB$45,$AC$45,E1733=$AB$46,$AC$46,E1733=$AB$47,$AC$47,E1733=$AB$48,$AC$48,E1733=$AB$49,$AC$49,E1733=$AB$50,$AC$50,E1733=$AB$51,$AC$51,E1733=$AB$52,$AC$52,E1733=$AB$53,$AC$53,E1733=$AB$54,$AC$54,E1733=$AB$55,$AC$55,E1733=$AB$56,$AC$56,E1733=$AB$57,$AC$57,E1733=$AB$58,$AC$58,E1733=$AB$59,$AC$59,E1733=$AB$60,$AC$60,E1733=$AB$61,$AC$61,E1733=$AB$62,$AC$62,E1733=$AB$63,$AC$63,E1733=$AB$64,$AC$64,E1733=$AB$65,$AC$65,E1733=$AB$66,$AC$66,TRUE,"0")</f>
        <v>#NAME?</v>
      </c>
      <c r="C1733" s="161" t="str" cm="1">
        <f t="array" ref="C1733">_xlfn.IFS(E1733=$AB$42,$AF$42,E1733=$AB$43,$AF$43,E1733=$AB$44,$AF$44,E1733=$AB$45,$AF$45,E1733=$AB$46,$AF$46,E1733=$AB$47,$AF$47,E1733=$AB$48,$AF$48,E1733=$AB$49,$AF$49,E1733=$AB$50,$AF$50,E1733=$AB$51,$AF$51,E1733=$AB$52,$AF$52,E1733=$AB$53,$AF$53,E1733=$AB$54,$AF$54,E1733=$AB$55,$AF$55,E1733=$AB$56,$AF$56,E1733=$AB$57,$AF$57,E1733=$AB$58,$AF$58,E1733=$AB$59,$AF$59,E1733=$AB$60,$AF$60,E1733=$AB$61,$AF$61,E1733=$AB$62,$AF$62,E1733=$AB$63,$AF$63,E1733=$AB$64,$AF$64,E1733=$AB$65,$AF$65,E1733=$AB$66,$AF$66,TRUE,"0")</f>
        <v>40 mins Back ANother Goal</v>
      </c>
      <c r="D1733" s="270" t="str" cm="1">
        <f t="array" ref="D1733">_xlfn.IFS(E1733=$AB$42,$AD$42,E1733=$AB$43,$AD$43,E1733=$AB$44,$AD$44,E1733=$AB$45,$AD$45,E1733=$AB$46,$AD$46,E1733=$AB$47,$AD$47,E1733=$AB$48,$AD$48,E1733=$AB$49,$AD$49,E1733=$AB$50,$AD$50,E1733=$AB$51,$AD$51,E1733=$AB$52,$AD$52,E1733=$AB$53,$AD$53,E1733=$AB$54,$AD$54,E1733=$AB$55,$AD$55,E1733=$AB$56,$AD$56,E1733=$AB$57,$AD$57,E1733=$AB$58,$AD$58,E1733=$AB$59,$AD$59,E1733=$AB$60,$AD$60,E1733=$AB$61,$AD$61,E1733=$AB$62,$AD$62,E1733=$AB$63,$AD$63,E1733=$AB$64,$AD$64,E1733=$AB$65,$AD$65,E1733=$AB$66,$AD$66,TRUE,"0")</f>
        <v xml:space="preserve">  BANG</v>
      </c>
      <c r="E1733" s="2" t="s">
        <v>877</v>
      </c>
      <c r="F1733" s="2" t="s">
        <v>616</v>
      </c>
      <c r="G1733" s="2" t="s">
        <v>617</v>
      </c>
      <c r="H1733" s="3">
        <v>45442.15625</v>
      </c>
      <c r="I1733" s="2" t="s">
        <v>906</v>
      </c>
      <c r="J1733" s="2" t="s">
        <v>882</v>
      </c>
      <c r="K1733" s="2">
        <v>1.85</v>
      </c>
      <c r="L1733" s="2">
        <v>85</v>
      </c>
      <c r="M1733" s="2">
        <v>70</v>
      </c>
      <c r="N1733" s="2">
        <v>58</v>
      </c>
      <c r="O1733" s="2">
        <v>20</v>
      </c>
      <c r="P1733" s="2"/>
      <c r="Q1733" s="1" t="s">
        <v>95</v>
      </c>
      <c r="R1733" s="10" t="s">
        <v>214</v>
      </c>
      <c r="S1733" s="10" t="s">
        <v>220</v>
      </c>
      <c r="T1733" s="188">
        <f t="shared" si="197"/>
        <v>30.673086122759429</v>
      </c>
      <c r="U1733" s="8">
        <f t="shared" si="222"/>
        <v>5.5211555020966969</v>
      </c>
      <c r="V1733" s="234">
        <f t="shared" si="223"/>
        <v>618.98287795728527</v>
      </c>
      <c r="W1733" s="15">
        <v>25</v>
      </c>
      <c r="X1733" s="8">
        <f t="shared" si="224"/>
        <v>4.5</v>
      </c>
      <c r="Y1733" s="233">
        <f t="shared" si="225"/>
        <v>609.5</v>
      </c>
    </row>
    <row r="1734" spans="1:25">
      <c r="A1734" s="156" t="e" cm="1">
        <f t="array" aca="1" ref="A1734" ca="1">_xlfn.IFS(E1734=$AB$42,$AC$42,E1734=$AB$43,$AC$43,E1734=$AB$44,$AC$44,E1734=$AB$45,$AC$45,E1734=$AB$46,$AC$46,E1734=$AB$47,$AC$47,E1734=$AB$48,$AC$48,E1734=$AB$49,$AC$49,E1734=$AB$50,$AC$50,E1734=$AB$51,$AC$51,E1734=$AB$52,$AC$52,E1734=$AB$53,$AC$53,E1734=$AB$54,$AC$54,E1734=$AB$55,$AC$55,E1734=$AB$56,$AC$56,E1734=$AB$57,$AC$57,E1734=$AB$58,$AC$58,E1734=$AB$59,$AC$59,E1734=$AB$60,$AC$60,E1734=$AB$61,$AC$61,E1734=$AB$62,$AC$62,E1734=$AB$63,$AC$63,E1734=$AB$64,$AC$64,E1734=$AB$65,$AC$65,E1734=$AB$66,$AC$66,TRUE,"0")</f>
        <v>#NAME?</v>
      </c>
      <c r="C1734" s="161" t="str" cm="1">
        <f t="array" ref="C1734">_xlfn.IFS(E1734=$AB$42,$AF$42,E1734=$AB$43,$AF$43,E1734=$AB$44,$AF$44,E1734=$AB$45,$AF$45,E1734=$AB$46,$AF$46,E1734=$AB$47,$AF$47,E1734=$AB$48,$AF$48,E1734=$AB$49,$AF$49,E1734=$AB$50,$AF$50,E1734=$AB$51,$AF$51,E1734=$AB$52,$AF$52,E1734=$AB$53,$AF$53,E1734=$AB$54,$AF$54,E1734=$AB$55,$AF$55,E1734=$AB$56,$AF$56,E1734=$AB$57,$AF$57,E1734=$AB$58,$AF$58,E1734=$AB$59,$AF$59,E1734=$AB$60,$AF$60,E1734=$AB$61,$AF$61,E1734=$AB$62,$AF$62,E1734=$AB$63,$AF$63,E1734=$AB$64,$AF$64,E1734=$AB$65,$AF$65,E1734=$AB$66,$AF$66,TRUE,"0")</f>
        <v>40 mins Back ANother Goal</v>
      </c>
      <c r="D1734" s="272" t="str" cm="1">
        <f t="array" ref="D1734">_xlfn.IFS(E1734=$AB$42,$AD$42,E1734=$AB$43,$AD$43,E1734=$AB$44,$AD$44,E1734=$AB$45,$AD$45,E1734=$AB$46,$AD$46,E1734=$AB$47,$AD$47,E1734=$AB$48,$AD$48,E1734=$AB$49,$AD$49,E1734=$AB$50,$AD$50,E1734=$AB$51,$AD$51,E1734=$AB$52,$AD$52,E1734=$AB$53,$AD$53,E1734=$AB$54,$AD$54,E1734=$AB$55,$AD$55,E1734=$AB$56,$AD$56,E1734=$AB$57,$AD$57,E1734=$AB$58,$AD$58,E1734=$AB$59,$AD$59,E1734=$AB$60,$AD$60,E1734=$AB$61,$AD$61,E1734=$AB$62,$AD$62,E1734=$AB$63,$AD$63,E1734=$AB$64,$AD$64,E1734=$AB$65,$AD$65,E1734=$AB$66,$AD$66,TRUE,"0")</f>
        <v xml:space="preserve">  BANG</v>
      </c>
      <c r="E1734" s="2" t="s">
        <v>877</v>
      </c>
      <c r="F1734" s="2" t="s">
        <v>572</v>
      </c>
      <c r="G1734" s="2" t="s">
        <v>670</v>
      </c>
      <c r="H1734" s="3">
        <v>45444.25</v>
      </c>
      <c r="I1734" s="2" t="s">
        <v>728</v>
      </c>
      <c r="J1734" s="2" t="s">
        <v>914</v>
      </c>
      <c r="K1734" s="2">
        <v>1.95</v>
      </c>
      <c r="L1734" s="2">
        <v>85</v>
      </c>
      <c r="M1734" s="2">
        <v>65</v>
      </c>
      <c r="N1734" s="2">
        <v>56</v>
      </c>
      <c r="O1734" s="2">
        <v>20</v>
      </c>
      <c r="P1734" s="163"/>
      <c r="Q1734" s="1" t="s">
        <v>95</v>
      </c>
      <c r="R1734" s="10" t="s">
        <v>214</v>
      </c>
      <c r="S1734" s="10" t="s">
        <v>220</v>
      </c>
      <c r="T1734" s="188">
        <f t="shared" si="197"/>
        <v>30.949143897864264</v>
      </c>
      <c r="U1734" s="8">
        <f t="shared" ref="U1734:U1749" si="226">IF(Q1734="won",T1734*0.18,-T1734)</f>
        <v>5.5708459016155674</v>
      </c>
      <c r="V1734" s="234">
        <f t="shared" ref="V1734:V1749" si="227">SUM(V1733,U1734)</f>
        <v>624.55372385890087</v>
      </c>
      <c r="W1734" s="15">
        <v>25</v>
      </c>
      <c r="X1734" s="8">
        <f t="shared" ref="X1734:X1749" si="228">IF(Q1734="won",W1734*0.18,-W1734)</f>
        <v>4.5</v>
      </c>
      <c r="Y1734" s="233">
        <f t="shared" ref="Y1734:Y1749" si="229">SUM(Y1733,X1734)</f>
        <v>614</v>
      </c>
    </row>
    <row r="1735" spans="1:25">
      <c r="A1735" s="156" t="e" cm="1">
        <f t="array" aca="1" ref="A1735" ca="1">_xlfn.IFS(E1735=$AB$42,$AC$42,E1735=$AB$43,$AC$43,E1735=$AB$44,$AC$44,E1735=$AB$45,$AC$45,E1735=$AB$46,$AC$46,E1735=$AB$47,$AC$47,E1735=$AB$48,$AC$48,E1735=$AB$49,$AC$49,E1735=$AB$50,$AC$50,E1735=$AB$51,$AC$51,E1735=$AB$52,$AC$52,E1735=$AB$53,$AC$53,E1735=$AB$54,$AC$54,E1735=$AB$55,$AC$55,E1735=$AB$56,$AC$56,E1735=$AB$57,$AC$57,E1735=$AB$58,$AC$58,E1735=$AB$59,$AC$59,E1735=$AB$60,$AC$60,E1735=$AB$61,$AC$61,E1735=$AB$62,$AC$62,E1735=$AB$63,$AC$63,E1735=$AB$64,$AC$64,E1735=$AB$65,$AC$65,E1735=$AB$66,$AC$66,TRUE,"0")</f>
        <v>#NAME?</v>
      </c>
      <c r="C1735" s="161" t="str" cm="1">
        <f t="array" ref="C1735">_xlfn.IFS(E1735=$AB$42,$AF$42,E1735=$AB$43,$AF$43,E1735=$AB$44,$AF$44,E1735=$AB$45,$AF$45,E1735=$AB$46,$AF$46,E1735=$AB$47,$AF$47,E1735=$AB$48,$AF$48,E1735=$AB$49,$AF$49,E1735=$AB$50,$AF$50,E1735=$AB$51,$AF$51,E1735=$AB$52,$AF$52,E1735=$AB$53,$AF$53,E1735=$AB$54,$AF$54,E1735=$AB$55,$AF$55,E1735=$AB$56,$AF$56,E1735=$AB$57,$AF$57,E1735=$AB$58,$AF$58,E1735=$AB$59,$AF$59,E1735=$AB$60,$AF$60,E1735=$AB$61,$AF$61,E1735=$AB$62,$AF$62,E1735=$AB$63,$AF$63,E1735=$AB$64,$AF$64,E1735=$AB$65,$AF$65,E1735=$AB$66,$AF$66,TRUE,"0")</f>
        <v>40 mins Back ANother Goal</v>
      </c>
      <c r="D1735" s="272" t="str" cm="1">
        <f t="array" ref="D1735">_xlfn.IFS(E1735=$AB$42,$AD$42,E1735=$AB$43,$AD$43,E1735=$AB$44,$AD$44,E1735=$AB$45,$AD$45,E1735=$AB$46,$AD$46,E1735=$AB$47,$AD$47,E1735=$AB$48,$AD$48,E1735=$AB$49,$AD$49,E1735=$AB$50,$AD$50,E1735=$AB$51,$AD$51,E1735=$AB$52,$AD$52,E1735=$AB$53,$AD$53,E1735=$AB$54,$AD$54,E1735=$AB$55,$AD$55,E1735=$AB$56,$AD$56,E1735=$AB$57,$AD$57,E1735=$AB$58,$AD$58,E1735=$AB$59,$AD$59,E1735=$AB$60,$AD$60,E1735=$AB$61,$AD$61,E1735=$AB$62,$AD$62,E1735=$AB$63,$AD$63,E1735=$AB$64,$AD$64,E1735=$AB$65,$AD$65,E1735=$AB$66,$AD$66,TRUE,"0")</f>
        <v xml:space="preserve">  BANG</v>
      </c>
      <c r="E1735" s="2" t="s">
        <v>877</v>
      </c>
      <c r="F1735" s="2" t="s">
        <v>572</v>
      </c>
      <c r="G1735" s="2" t="s">
        <v>670</v>
      </c>
      <c r="H1735" s="3">
        <v>45444.291666666664</v>
      </c>
      <c r="I1735" s="2" t="s">
        <v>842</v>
      </c>
      <c r="J1735" s="2" t="s">
        <v>908</v>
      </c>
      <c r="K1735" s="2">
        <v>1.9</v>
      </c>
      <c r="L1735" s="2">
        <v>90</v>
      </c>
      <c r="M1735" s="2">
        <v>65</v>
      </c>
      <c r="N1735" s="2">
        <v>60</v>
      </c>
      <c r="O1735" s="2">
        <v>20</v>
      </c>
      <c r="P1735" s="163"/>
      <c r="Q1735" s="1" t="s">
        <v>95</v>
      </c>
      <c r="R1735" s="10" t="s">
        <v>193</v>
      </c>
      <c r="S1735" s="10" t="s">
        <v>209</v>
      </c>
      <c r="T1735" s="188">
        <f t="shared" si="197"/>
        <v>31.227686192945043</v>
      </c>
      <c r="U1735" s="8">
        <f t="shared" si="226"/>
        <v>5.6209835147301073</v>
      </c>
      <c r="V1735" s="234">
        <f t="shared" si="227"/>
        <v>630.17470737363101</v>
      </c>
      <c r="W1735" s="15">
        <v>25</v>
      </c>
      <c r="X1735" s="8">
        <f t="shared" si="228"/>
        <v>4.5</v>
      </c>
      <c r="Y1735" s="233">
        <f t="shared" si="229"/>
        <v>618.5</v>
      </c>
    </row>
    <row r="1736" spans="1:25">
      <c r="A1736" s="156" t="e" cm="1">
        <f t="array" aca="1" ref="A1736" ca="1">_xlfn.IFS(E1736=$AB$42,$AC$42,E1736=$AB$43,$AC$43,E1736=$AB$44,$AC$44,E1736=$AB$45,$AC$45,E1736=$AB$46,$AC$46,E1736=$AB$47,$AC$47,E1736=$AB$48,$AC$48,E1736=$AB$49,$AC$49,E1736=$AB$50,$AC$50,E1736=$AB$51,$AC$51,E1736=$AB$52,$AC$52,E1736=$AB$53,$AC$53,E1736=$AB$54,$AC$54,E1736=$AB$55,$AC$55,E1736=$AB$56,$AC$56,E1736=$AB$57,$AC$57,E1736=$AB$58,$AC$58,E1736=$AB$59,$AC$59,E1736=$AB$60,$AC$60,E1736=$AB$61,$AC$61,E1736=$AB$62,$AC$62,E1736=$AB$63,$AC$63,E1736=$AB$64,$AC$64,E1736=$AB$65,$AC$65,E1736=$AB$66,$AC$66,TRUE,"0")</f>
        <v>#NAME?</v>
      </c>
      <c r="C1736" s="161" t="str" cm="1">
        <f t="array" ref="C1736">_xlfn.IFS(E1736=$AB$42,$AF$42,E1736=$AB$43,$AF$43,E1736=$AB$44,$AF$44,E1736=$AB$45,$AF$45,E1736=$AB$46,$AF$46,E1736=$AB$47,$AF$47,E1736=$AB$48,$AF$48,E1736=$AB$49,$AF$49,E1736=$AB$50,$AF$50,E1736=$AB$51,$AF$51,E1736=$AB$52,$AF$52,E1736=$AB$53,$AF$53,E1736=$AB$54,$AF$54,E1736=$AB$55,$AF$55,E1736=$AB$56,$AF$56,E1736=$AB$57,$AF$57,E1736=$AB$58,$AF$58,E1736=$AB$59,$AF$59,E1736=$AB$60,$AF$60,E1736=$AB$61,$AF$61,E1736=$AB$62,$AF$62,E1736=$AB$63,$AF$63,E1736=$AB$64,$AF$64,E1736=$AB$65,$AF$65,E1736=$AB$66,$AF$66,TRUE,"0")</f>
        <v>40 mins Back ANother Goal</v>
      </c>
      <c r="D1736" s="272" t="str" cm="1">
        <f t="array" ref="D1736">_xlfn.IFS(E1736=$AB$42,$AD$42,E1736=$AB$43,$AD$43,E1736=$AB$44,$AD$44,E1736=$AB$45,$AD$45,E1736=$AB$46,$AD$46,E1736=$AB$47,$AD$47,E1736=$AB$48,$AD$48,E1736=$AB$49,$AD$49,E1736=$AB$50,$AD$50,E1736=$AB$51,$AD$51,E1736=$AB$52,$AD$52,E1736=$AB$53,$AD$53,E1736=$AB$54,$AD$54,E1736=$AB$55,$AD$55,E1736=$AB$56,$AD$56,E1736=$AB$57,$AD$57,E1736=$AB$58,$AD$58,E1736=$AB$59,$AD$59,E1736=$AB$60,$AD$60,E1736=$AB$61,$AD$61,E1736=$AB$62,$AD$62,E1736=$AB$63,$AD$63,E1736=$AB$64,$AD$64,E1736=$AB$65,$AD$65,E1736=$AB$66,$AD$66,TRUE,"0")</f>
        <v xml:space="preserve">  BANG</v>
      </c>
      <c r="E1736" s="2" t="s">
        <v>519</v>
      </c>
      <c r="F1736" s="2" t="s">
        <v>572</v>
      </c>
      <c r="G1736" s="2" t="s">
        <v>670</v>
      </c>
      <c r="H1736" s="3">
        <v>45444.333333333336</v>
      </c>
      <c r="I1736" s="2" t="s">
        <v>869</v>
      </c>
      <c r="J1736" s="2" t="s">
        <v>843</v>
      </c>
      <c r="K1736" s="2">
        <v>20</v>
      </c>
      <c r="L1736" s="2">
        <v>90</v>
      </c>
      <c r="M1736" s="2">
        <v>95</v>
      </c>
      <c r="N1736" s="2"/>
      <c r="O1736" s="2"/>
      <c r="P1736" s="163"/>
      <c r="Q1736" s="1" t="s">
        <v>95</v>
      </c>
      <c r="R1736" s="10" t="s">
        <v>193</v>
      </c>
      <c r="S1736" s="10" t="s">
        <v>216</v>
      </c>
      <c r="T1736" s="188">
        <f t="shared" si="197"/>
        <v>31.508735368681553</v>
      </c>
      <c r="U1736" s="8">
        <f t="shared" si="226"/>
        <v>5.6715723663626791</v>
      </c>
      <c r="V1736" s="234">
        <f t="shared" si="227"/>
        <v>635.84627973999363</v>
      </c>
      <c r="W1736" s="15">
        <v>25</v>
      </c>
      <c r="X1736" s="8">
        <f t="shared" si="228"/>
        <v>4.5</v>
      </c>
      <c r="Y1736" s="233">
        <f t="shared" si="229"/>
        <v>623</v>
      </c>
    </row>
    <row r="1737" spans="1:25">
      <c r="A1737" s="156" t="e" cm="1">
        <f t="array" aca="1" ref="A1737" ca="1">_xlfn.IFS(E1737=$AB$42,$AC$42,E1737=$AB$43,$AC$43,E1737=$AB$44,$AC$44,E1737=$AB$45,$AC$45,E1737=$AB$46,$AC$46,E1737=$AB$47,$AC$47,E1737=$AB$48,$AC$48,E1737=$AB$49,$AC$49,E1737=$AB$50,$AC$50,E1737=$AB$51,$AC$51,E1737=$AB$52,$AC$52,E1737=$AB$53,$AC$53,E1737=$AB$54,$AC$54,E1737=$AB$55,$AC$55,E1737=$AB$56,$AC$56,E1737=$AB$57,$AC$57,E1737=$AB$58,$AC$58,E1737=$AB$59,$AC$59,E1737=$AB$60,$AC$60,E1737=$AB$61,$AC$61,E1737=$AB$62,$AC$62,E1737=$AB$63,$AC$63,E1737=$AB$64,$AC$64,E1737=$AB$65,$AC$65,E1737=$AB$66,$AC$66,TRUE,"0")</f>
        <v>#NAME?</v>
      </c>
      <c r="C1737" s="161" t="str" cm="1">
        <f t="array" ref="C1737">_xlfn.IFS(E1737=$AB$42,$AF$42,E1737=$AB$43,$AF$43,E1737=$AB$44,$AF$44,E1737=$AB$45,$AF$45,E1737=$AB$46,$AF$46,E1737=$AB$47,$AF$47,E1737=$AB$48,$AF$48,E1737=$AB$49,$AF$49,E1737=$AB$50,$AF$50,E1737=$AB$51,$AF$51,E1737=$AB$52,$AF$52,E1737=$AB$53,$AF$53,E1737=$AB$54,$AF$54,E1737=$AB$55,$AF$55,E1737=$AB$56,$AF$56,E1737=$AB$57,$AF$57,E1737=$AB$58,$AF$58,E1737=$AB$59,$AF$59,E1737=$AB$60,$AF$60,E1737=$AB$61,$AF$61,E1737=$AB$62,$AF$62,E1737=$AB$63,$AF$63,E1737=$AB$64,$AF$64,E1737=$AB$65,$AF$65,E1737=$AB$66,$AF$66,TRUE,"0")</f>
        <v>40 mins Back ANother Goal</v>
      </c>
      <c r="D1737" s="272" t="str" cm="1">
        <f t="array" ref="D1737">_xlfn.IFS(E1737=$AB$42,$AD$42,E1737=$AB$43,$AD$43,E1737=$AB$44,$AD$44,E1737=$AB$45,$AD$45,E1737=$AB$46,$AD$46,E1737=$AB$47,$AD$47,E1737=$AB$48,$AD$48,E1737=$AB$49,$AD$49,E1737=$AB$50,$AD$50,E1737=$AB$51,$AD$51,E1737=$AB$52,$AD$52,E1737=$AB$53,$AD$53,E1737=$AB$54,$AD$54,E1737=$AB$55,$AD$55,E1737=$AB$56,$AD$56,E1737=$AB$57,$AD$57,E1737=$AB$58,$AD$58,E1737=$AB$59,$AD$59,E1737=$AB$60,$AD$60,E1737=$AB$61,$AD$61,E1737=$AB$62,$AD$62,E1737=$AB$63,$AD$63,E1737=$AB$64,$AD$64,E1737=$AB$65,$AD$65,E1737=$AB$66,$AD$66,TRUE,"0")</f>
        <v xml:space="preserve">  BANG</v>
      </c>
      <c r="E1737" s="2" t="s">
        <v>515</v>
      </c>
      <c r="F1737" s="2" t="s">
        <v>572</v>
      </c>
      <c r="G1737" s="2" t="s">
        <v>670</v>
      </c>
      <c r="H1737" s="3">
        <v>45444.333333333336</v>
      </c>
      <c r="I1737" s="2" t="s">
        <v>869</v>
      </c>
      <c r="J1737" s="2" t="s">
        <v>843</v>
      </c>
      <c r="K1737" s="2">
        <v>20</v>
      </c>
      <c r="L1737" s="2">
        <v>74</v>
      </c>
      <c r="M1737" s="2">
        <v>1.85</v>
      </c>
      <c r="N1737" s="2"/>
      <c r="O1737" s="2"/>
      <c r="P1737" s="163"/>
      <c r="Q1737" s="1" t="s">
        <v>95</v>
      </c>
      <c r="R1737" s="10" t="s">
        <v>193</v>
      </c>
      <c r="S1737" s="10" t="s">
        <v>216</v>
      </c>
      <c r="T1737" s="188">
        <f t="shared" si="197"/>
        <v>31.792313986999684</v>
      </c>
      <c r="U1737" s="8">
        <f t="shared" si="226"/>
        <v>5.7226165176599428</v>
      </c>
      <c r="V1737" s="234">
        <f t="shared" si="227"/>
        <v>641.56889625765359</v>
      </c>
      <c r="W1737" s="15">
        <v>25</v>
      </c>
      <c r="X1737" s="8">
        <f t="shared" si="228"/>
        <v>4.5</v>
      </c>
      <c r="Y1737" s="233">
        <f t="shared" si="229"/>
        <v>627.5</v>
      </c>
    </row>
    <row r="1738" spans="1:25">
      <c r="A1738" s="156" t="e" cm="1">
        <f t="array" aca="1" ref="A1738" ca="1">_xlfn.IFS(E1738=$AB$42,$AC$42,E1738=$AB$43,$AC$43,E1738=$AB$44,$AC$44,E1738=$AB$45,$AC$45,E1738=$AB$46,$AC$46,E1738=$AB$47,$AC$47,E1738=$AB$48,$AC$48,E1738=$AB$49,$AC$49,E1738=$AB$50,$AC$50,E1738=$AB$51,$AC$51,E1738=$AB$52,$AC$52,E1738=$AB$53,$AC$53,E1738=$AB$54,$AC$54,E1738=$AB$55,$AC$55,E1738=$AB$56,$AC$56,E1738=$AB$57,$AC$57,E1738=$AB$58,$AC$58,E1738=$AB$59,$AC$59,E1738=$AB$60,$AC$60,E1738=$AB$61,$AC$61,E1738=$AB$62,$AC$62,E1738=$AB$63,$AC$63,E1738=$AB$64,$AC$64,E1738=$AB$65,$AC$65,E1738=$AB$66,$AC$66,TRUE,"0")</f>
        <v>#NAME?</v>
      </c>
      <c r="C1738" s="161" t="str" cm="1">
        <f t="array" ref="C1738">_xlfn.IFS(E1738=$AB$42,$AF$42,E1738=$AB$43,$AF$43,E1738=$AB$44,$AF$44,E1738=$AB$45,$AF$45,E1738=$AB$46,$AF$46,E1738=$AB$47,$AF$47,E1738=$AB$48,$AF$48,E1738=$AB$49,$AF$49,E1738=$AB$50,$AF$50,E1738=$AB$51,$AF$51,E1738=$AB$52,$AF$52,E1738=$AB$53,$AF$53,E1738=$AB$54,$AF$54,E1738=$AB$55,$AF$55,E1738=$AB$56,$AF$56,E1738=$AB$57,$AF$57,E1738=$AB$58,$AF$58,E1738=$AB$59,$AF$59,E1738=$AB$60,$AF$60,E1738=$AB$61,$AF$61,E1738=$AB$62,$AF$62,E1738=$AB$63,$AF$63,E1738=$AB$64,$AF$64,E1738=$AB$65,$AF$65,E1738=$AB$66,$AF$66,TRUE,"0")</f>
        <v>40 mins Back ANother Goal</v>
      </c>
      <c r="D1738" s="272" t="str" cm="1">
        <f t="array" ref="D1738">_xlfn.IFS(E1738=$AB$42,$AD$42,E1738=$AB$43,$AD$43,E1738=$AB$44,$AD$44,E1738=$AB$45,$AD$45,E1738=$AB$46,$AD$46,E1738=$AB$47,$AD$47,E1738=$AB$48,$AD$48,E1738=$AB$49,$AD$49,E1738=$AB$50,$AD$50,E1738=$AB$51,$AD$51,E1738=$AB$52,$AD$52,E1738=$AB$53,$AD$53,E1738=$AB$54,$AD$54,E1738=$AB$55,$AD$55,E1738=$AB$56,$AD$56,E1738=$AB$57,$AD$57,E1738=$AB$58,$AD$58,E1738=$AB$59,$AD$59,E1738=$AB$60,$AD$60,E1738=$AB$61,$AD$61,E1738=$AB$62,$AD$62,E1738=$AB$63,$AD$63,E1738=$AB$64,$AD$64,E1738=$AB$65,$AD$65,E1738=$AB$66,$AD$66,TRUE,"0")</f>
        <v xml:space="preserve">  BANG</v>
      </c>
      <c r="E1738" s="2" t="s">
        <v>876</v>
      </c>
      <c r="F1738" s="2" t="s">
        <v>572</v>
      </c>
      <c r="G1738" s="2" t="s">
        <v>670</v>
      </c>
      <c r="H1738" s="3">
        <v>45444.333333333336</v>
      </c>
      <c r="I1738" s="2" t="s">
        <v>869</v>
      </c>
      <c r="J1738" s="2" t="s">
        <v>843</v>
      </c>
      <c r="K1738" s="2">
        <v>20</v>
      </c>
      <c r="L1738" s="2">
        <v>74</v>
      </c>
      <c r="M1738" s="2">
        <v>1.85</v>
      </c>
      <c r="N1738" s="2"/>
      <c r="O1738" s="2"/>
      <c r="P1738" s="163"/>
      <c r="Q1738" s="1" t="s">
        <v>95</v>
      </c>
      <c r="R1738" s="10" t="s">
        <v>193</v>
      </c>
      <c r="S1738" s="10" t="s">
        <v>216</v>
      </c>
      <c r="T1738" s="188">
        <f t="shared" si="197"/>
        <v>32.07844481288268</v>
      </c>
      <c r="U1738" s="8">
        <f t="shared" si="226"/>
        <v>5.7741200663188819</v>
      </c>
      <c r="V1738" s="234">
        <f t="shared" si="227"/>
        <v>647.34301632397251</v>
      </c>
      <c r="W1738" s="15">
        <v>25</v>
      </c>
      <c r="X1738" s="8">
        <f t="shared" si="228"/>
        <v>4.5</v>
      </c>
      <c r="Y1738" s="233">
        <f t="shared" si="229"/>
        <v>632</v>
      </c>
    </row>
    <row r="1739" spans="1:25">
      <c r="A1739" s="156" t="e" cm="1">
        <f t="array" aca="1" ref="A1739" ca="1">_xlfn.IFS(E1739=$AB$42,$AC$42,E1739=$AB$43,$AC$43,E1739=$AB$44,$AC$44,E1739=$AB$45,$AC$45,E1739=$AB$46,$AC$46,E1739=$AB$47,$AC$47,E1739=$AB$48,$AC$48,E1739=$AB$49,$AC$49,E1739=$AB$50,$AC$50,E1739=$AB$51,$AC$51,E1739=$AB$52,$AC$52,E1739=$AB$53,$AC$53,E1739=$AB$54,$AC$54,E1739=$AB$55,$AC$55,E1739=$AB$56,$AC$56,E1739=$AB$57,$AC$57,E1739=$AB$58,$AC$58,E1739=$AB$59,$AC$59,E1739=$AB$60,$AC$60,E1739=$AB$61,$AC$61,E1739=$AB$62,$AC$62,E1739=$AB$63,$AC$63,E1739=$AB$64,$AC$64,E1739=$AB$65,$AC$65,E1739=$AB$66,$AC$66,TRUE,"0")</f>
        <v>#NAME?</v>
      </c>
      <c r="C1739" s="161" t="str" cm="1">
        <f t="array" ref="C1739">_xlfn.IFS(E1739=$AB$42,$AF$42,E1739=$AB$43,$AF$43,E1739=$AB$44,$AF$44,E1739=$AB$45,$AF$45,E1739=$AB$46,$AF$46,E1739=$AB$47,$AF$47,E1739=$AB$48,$AF$48,E1739=$AB$49,$AF$49,E1739=$AB$50,$AF$50,E1739=$AB$51,$AF$51,E1739=$AB$52,$AF$52,E1739=$AB$53,$AF$53,E1739=$AB$54,$AF$54,E1739=$AB$55,$AF$55,E1739=$AB$56,$AF$56,E1739=$AB$57,$AF$57,E1739=$AB$58,$AF$58,E1739=$AB$59,$AF$59,E1739=$AB$60,$AF$60,E1739=$AB$61,$AF$61,E1739=$AB$62,$AF$62,E1739=$AB$63,$AF$63,E1739=$AB$64,$AF$64,E1739=$AB$65,$AF$65,E1739=$AB$66,$AF$66,TRUE,"0")</f>
        <v>40 mins Back ANother Goal</v>
      </c>
      <c r="D1739" s="272" t="str" cm="1">
        <f t="array" ref="D1739">_xlfn.IFS(E1739=$AB$42,$AD$42,E1739=$AB$43,$AD$43,E1739=$AB$44,$AD$44,E1739=$AB$45,$AD$45,E1739=$AB$46,$AD$46,E1739=$AB$47,$AD$47,E1739=$AB$48,$AD$48,E1739=$AB$49,$AD$49,E1739=$AB$50,$AD$50,E1739=$AB$51,$AD$51,E1739=$AB$52,$AD$52,E1739=$AB$53,$AD$53,E1739=$AB$54,$AD$54,E1739=$AB$55,$AD$55,E1739=$AB$56,$AD$56,E1739=$AB$57,$AD$57,E1739=$AB$58,$AD$58,E1739=$AB$59,$AD$59,E1739=$AB$60,$AD$60,E1739=$AB$61,$AD$61,E1739=$AB$62,$AD$62,E1739=$AB$63,$AD$63,E1739=$AB$64,$AD$64,E1739=$AB$65,$AD$65,E1739=$AB$66,$AD$66,TRUE,"0")</f>
        <v xml:space="preserve">  BANG</v>
      </c>
      <c r="E1739" s="2" t="s">
        <v>877</v>
      </c>
      <c r="F1739" s="2" t="s">
        <v>915</v>
      </c>
      <c r="G1739" s="2" t="s">
        <v>174</v>
      </c>
      <c r="H1739" s="3">
        <v>45444.9375</v>
      </c>
      <c r="I1739" s="2" t="s">
        <v>916</v>
      </c>
      <c r="J1739" s="2" t="s">
        <v>917</v>
      </c>
      <c r="K1739" s="2">
        <v>2.35</v>
      </c>
      <c r="L1739" s="2">
        <v>95</v>
      </c>
      <c r="M1739" s="2">
        <v>65</v>
      </c>
      <c r="N1739" s="2">
        <v>63</v>
      </c>
      <c r="O1739" s="2">
        <v>20</v>
      </c>
      <c r="P1739" s="163"/>
      <c r="Q1739" s="1" t="s">
        <v>95</v>
      </c>
      <c r="R1739" s="10" t="s">
        <v>194</v>
      </c>
      <c r="S1739" s="10" t="s">
        <v>212</v>
      </c>
      <c r="T1739" s="188">
        <f t="shared" si="197"/>
        <v>32.367150816198624</v>
      </c>
      <c r="U1739" s="8">
        <f t="shared" si="226"/>
        <v>5.8260871469157518</v>
      </c>
      <c r="V1739" s="234">
        <f t="shared" si="227"/>
        <v>653.16910347088822</v>
      </c>
      <c r="W1739" s="15">
        <v>25</v>
      </c>
      <c r="X1739" s="8">
        <f t="shared" si="228"/>
        <v>4.5</v>
      </c>
      <c r="Y1739" s="233">
        <f t="shared" si="229"/>
        <v>636.5</v>
      </c>
    </row>
    <row r="1740" spans="1:25">
      <c r="A1740" s="156" t="e" cm="1">
        <f t="array" aca="1" ref="A1740" ca="1">_xlfn.IFS(E1740=$AB$42,$AC$42,E1740=$AB$43,$AC$43,E1740=$AB$44,$AC$44,E1740=$AB$45,$AC$45,E1740=$AB$46,$AC$46,E1740=$AB$47,$AC$47,E1740=$AB$48,$AC$48,E1740=$AB$49,$AC$49,E1740=$AB$50,$AC$50,E1740=$AB$51,$AC$51,E1740=$AB$52,$AC$52,E1740=$AB$53,$AC$53,E1740=$AB$54,$AC$54,E1740=$AB$55,$AC$55,E1740=$AB$56,$AC$56,E1740=$AB$57,$AC$57,E1740=$AB$58,$AC$58,E1740=$AB$59,$AC$59,E1740=$AB$60,$AC$60,E1740=$AB$61,$AC$61,E1740=$AB$62,$AC$62,E1740=$AB$63,$AC$63,E1740=$AB$64,$AC$64,E1740=$AB$65,$AC$65,E1740=$AB$66,$AC$66,TRUE,"0")</f>
        <v>#NAME?</v>
      </c>
      <c r="C1740" s="161" t="str" cm="1">
        <f t="array" ref="C1740">_xlfn.IFS(E1740=$AB$42,$AF$42,E1740=$AB$43,$AF$43,E1740=$AB$44,$AF$44,E1740=$AB$45,$AF$45,E1740=$AB$46,$AF$46,E1740=$AB$47,$AF$47,E1740=$AB$48,$AF$48,E1740=$AB$49,$AF$49,E1740=$AB$50,$AF$50,E1740=$AB$51,$AF$51,E1740=$AB$52,$AF$52,E1740=$AB$53,$AF$53,E1740=$AB$54,$AF$54,E1740=$AB$55,$AF$55,E1740=$AB$56,$AF$56,E1740=$AB$57,$AF$57,E1740=$AB$58,$AF$58,E1740=$AB$59,$AF$59,E1740=$AB$60,$AF$60,E1740=$AB$61,$AF$61,E1740=$AB$62,$AF$62,E1740=$AB$63,$AF$63,E1740=$AB$64,$AF$64,E1740=$AB$65,$AF$65,E1740=$AB$66,$AF$66,TRUE,"0")</f>
        <v>40 mins Back ANother Goal</v>
      </c>
      <c r="D1740" s="272" t="str" cm="1">
        <f t="array" ref="D1740">_xlfn.IFS(E1740=$AB$42,$AD$42,E1740=$AB$43,$AD$43,E1740=$AB$44,$AD$44,E1740=$AB$45,$AD$45,E1740=$AB$46,$AD$46,E1740=$AB$47,$AD$47,E1740=$AB$48,$AD$48,E1740=$AB$49,$AD$49,E1740=$AB$50,$AD$50,E1740=$AB$51,$AD$51,E1740=$AB$52,$AD$52,E1740=$AB$53,$AD$53,E1740=$AB$54,$AD$54,E1740=$AB$55,$AD$55,E1740=$AB$56,$AD$56,E1740=$AB$57,$AD$57,E1740=$AB$58,$AD$58,E1740=$AB$59,$AD$59,E1740=$AB$60,$AD$60,E1740=$AB$61,$AD$61,E1740=$AB$62,$AD$62,E1740=$AB$63,$AD$63,E1740=$AB$64,$AD$64,E1740=$AB$65,$AD$65,E1740=$AB$66,$AD$66,TRUE,"0")</f>
        <v xml:space="preserve">  BANG</v>
      </c>
      <c r="E1740" s="2" t="s">
        <v>877</v>
      </c>
      <c r="F1740" s="2" t="s">
        <v>616</v>
      </c>
      <c r="G1740" s="2" t="s">
        <v>617</v>
      </c>
      <c r="H1740" s="3">
        <v>45445.020833333336</v>
      </c>
      <c r="I1740" s="2" t="s">
        <v>934</v>
      </c>
      <c r="J1740" s="2" t="s">
        <v>935</v>
      </c>
      <c r="K1740" s="2">
        <v>2.4500000000000002</v>
      </c>
      <c r="L1740" s="2">
        <v>90</v>
      </c>
      <c r="M1740" s="2">
        <v>70</v>
      </c>
      <c r="N1740" s="2">
        <v>64</v>
      </c>
      <c r="O1740" s="2">
        <v>20</v>
      </c>
      <c r="P1740" s="163"/>
      <c r="Q1740" s="1" t="s">
        <v>95</v>
      </c>
      <c r="R1740" s="10" t="s">
        <v>210</v>
      </c>
      <c r="S1740" s="10" t="s">
        <v>279</v>
      </c>
      <c r="T1740" s="188">
        <f t="shared" si="197"/>
        <v>32.658455173544411</v>
      </c>
      <c r="U1740" s="8">
        <f t="shared" si="226"/>
        <v>5.8785219312379935</v>
      </c>
      <c r="V1740" s="234">
        <f t="shared" si="227"/>
        <v>659.04762540212619</v>
      </c>
      <c r="W1740" s="15">
        <v>25</v>
      </c>
      <c r="X1740" s="8">
        <f t="shared" si="228"/>
        <v>4.5</v>
      </c>
      <c r="Y1740" s="233">
        <f t="shared" si="229"/>
        <v>641</v>
      </c>
    </row>
    <row r="1741" spans="1:25">
      <c r="A1741" s="156" t="e" cm="1">
        <f t="array" aca="1" ref="A1741" ca="1">_xlfn.IFS(E1741=$AB$42,$AC$42,E1741=$AB$43,$AC$43,E1741=$AB$44,$AC$44,E1741=$AB$45,$AC$45,E1741=$AB$46,$AC$46,E1741=$AB$47,$AC$47,E1741=$AB$48,$AC$48,E1741=$AB$49,$AC$49,E1741=$AB$50,$AC$50,E1741=$AB$51,$AC$51,E1741=$AB$52,$AC$52,E1741=$AB$53,$AC$53,E1741=$AB$54,$AC$54,E1741=$AB$55,$AC$55,E1741=$AB$56,$AC$56,E1741=$AB$57,$AC$57,E1741=$AB$58,$AC$58,E1741=$AB$59,$AC$59,E1741=$AB$60,$AC$60,E1741=$AB$61,$AC$61,E1741=$AB$62,$AC$62,E1741=$AB$63,$AC$63,E1741=$AB$64,$AC$64,E1741=$AB$65,$AC$65,E1741=$AB$66,$AC$66,TRUE,"0")</f>
        <v>#NAME?</v>
      </c>
      <c r="C1741" s="161" t="str" cm="1">
        <f t="array" ref="C1741">_xlfn.IFS(E1741=$AB$42,$AF$42,E1741=$AB$43,$AF$43,E1741=$AB$44,$AF$44,E1741=$AB$45,$AF$45,E1741=$AB$46,$AF$46,E1741=$AB$47,$AF$47,E1741=$AB$48,$AF$48,E1741=$AB$49,$AF$49,E1741=$AB$50,$AF$50,E1741=$AB$51,$AF$51,E1741=$AB$52,$AF$52,E1741=$AB$53,$AF$53,E1741=$AB$54,$AF$54,E1741=$AB$55,$AF$55,E1741=$AB$56,$AF$56,E1741=$AB$57,$AF$57,E1741=$AB$58,$AF$58,E1741=$AB$59,$AF$59,E1741=$AB$60,$AF$60,E1741=$AB$61,$AF$61,E1741=$AB$62,$AF$62,E1741=$AB$63,$AF$63,E1741=$AB$64,$AF$64,E1741=$AB$65,$AF$65,E1741=$AB$66,$AF$66,TRUE,"0")</f>
        <v>40 mins Back ANother Goal</v>
      </c>
      <c r="D1741" s="272" t="str" cm="1">
        <f t="array" ref="D1741">_xlfn.IFS(E1741=$AB$42,$AD$42,E1741=$AB$43,$AD$43,E1741=$AB$44,$AD$44,E1741=$AB$45,$AD$45,E1741=$AB$46,$AD$46,E1741=$AB$47,$AD$47,E1741=$AB$48,$AD$48,E1741=$AB$49,$AD$49,E1741=$AB$50,$AD$50,E1741=$AB$51,$AD$51,E1741=$AB$52,$AD$52,E1741=$AB$53,$AD$53,E1741=$AB$54,$AD$54,E1741=$AB$55,$AD$55,E1741=$AB$56,$AD$56,E1741=$AB$57,$AD$57,E1741=$AB$58,$AD$58,E1741=$AB$59,$AD$59,E1741=$AB$60,$AD$60,E1741=$AB$61,$AD$61,E1741=$AB$62,$AD$62,E1741=$AB$63,$AD$63,E1741=$AB$64,$AD$64,E1741=$AB$65,$AD$65,E1741=$AB$66,$AD$66,TRUE,"0")</f>
        <v xml:space="preserve">  BANG</v>
      </c>
      <c r="E1741" s="2" t="s">
        <v>515</v>
      </c>
      <c r="F1741" s="2" t="s">
        <v>534</v>
      </c>
      <c r="G1741" s="2" t="s">
        <v>535</v>
      </c>
      <c r="H1741" s="3">
        <v>45445.354166666664</v>
      </c>
      <c r="I1741" s="2" t="s">
        <v>936</v>
      </c>
      <c r="J1741" s="2" t="s">
        <v>937</v>
      </c>
      <c r="K1741" s="2">
        <v>20</v>
      </c>
      <c r="L1741" s="2">
        <v>73</v>
      </c>
      <c r="M1741" s="2">
        <v>1.65</v>
      </c>
      <c r="N1741" s="2"/>
      <c r="O1741" s="2"/>
      <c r="P1741" s="163"/>
      <c r="Q1741" s="1" t="s">
        <v>95</v>
      </c>
      <c r="R1741" s="10" t="s">
        <v>221</v>
      </c>
      <c r="S1741" s="10" t="s">
        <v>214</v>
      </c>
      <c r="T1741" s="188">
        <f t="shared" si="197"/>
        <v>32.952381270106308</v>
      </c>
      <c r="U1741" s="8">
        <f t="shared" si="226"/>
        <v>5.9314286286191349</v>
      </c>
      <c r="V1741" s="234">
        <f t="shared" si="227"/>
        <v>664.97905403074537</v>
      </c>
      <c r="W1741" s="15">
        <v>25</v>
      </c>
      <c r="X1741" s="8">
        <f t="shared" si="228"/>
        <v>4.5</v>
      </c>
      <c r="Y1741" s="233">
        <f t="shared" si="229"/>
        <v>645.5</v>
      </c>
    </row>
    <row r="1742" spans="1:25">
      <c r="A1742" s="156" t="e" cm="1">
        <f t="array" aca="1" ref="A1742" ca="1">_xlfn.IFS(E1742=$AB$42,$AC$42,E1742=$AB$43,$AC$43,E1742=$AB$44,$AC$44,E1742=$AB$45,$AC$45,E1742=$AB$46,$AC$46,E1742=$AB$47,$AC$47,E1742=$AB$48,$AC$48,E1742=$AB$49,$AC$49,E1742=$AB$50,$AC$50,E1742=$AB$51,$AC$51,E1742=$AB$52,$AC$52,E1742=$AB$53,$AC$53,E1742=$AB$54,$AC$54,E1742=$AB$55,$AC$55,E1742=$AB$56,$AC$56,E1742=$AB$57,$AC$57,E1742=$AB$58,$AC$58,E1742=$AB$59,$AC$59,E1742=$AB$60,$AC$60,E1742=$AB$61,$AC$61,E1742=$AB$62,$AC$62,E1742=$AB$63,$AC$63,E1742=$AB$64,$AC$64,E1742=$AB$65,$AC$65,E1742=$AB$66,$AC$66,TRUE,"0")</f>
        <v>#NAME?</v>
      </c>
      <c r="C1742" s="161" t="str" cm="1">
        <f t="array" ref="C1742">_xlfn.IFS(E1742=$AB$42,$AF$42,E1742=$AB$43,$AF$43,E1742=$AB$44,$AF$44,E1742=$AB$45,$AF$45,E1742=$AB$46,$AF$46,E1742=$AB$47,$AF$47,E1742=$AB$48,$AF$48,E1742=$AB$49,$AF$49,E1742=$AB$50,$AF$50,E1742=$AB$51,$AF$51,E1742=$AB$52,$AF$52,E1742=$AB$53,$AF$53,E1742=$AB$54,$AF$54,E1742=$AB$55,$AF$55,E1742=$AB$56,$AF$56,E1742=$AB$57,$AF$57,E1742=$AB$58,$AF$58,E1742=$AB$59,$AF$59,E1742=$AB$60,$AF$60,E1742=$AB$61,$AF$61,E1742=$AB$62,$AF$62,E1742=$AB$63,$AF$63,E1742=$AB$64,$AF$64,E1742=$AB$65,$AF$65,E1742=$AB$66,$AF$66,TRUE,"0")</f>
        <v>40 mins Back ANother Goal</v>
      </c>
      <c r="D1742" s="272" t="str" cm="1">
        <f t="array" ref="D1742">_xlfn.IFS(E1742=$AB$42,$AD$42,E1742=$AB$43,$AD$43,E1742=$AB$44,$AD$44,E1742=$AB$45,$AD$45,E1742=$AB$46,$AD$46,E1742=$AB$47,$AD$47,E1742=$AB$48,$AD$48,E1742=$AB$49,$AD$49,E1742=$AB$50,$AD$50,E1742=$AB$51,$AD$51,E1742=$AB$52,$AD$52,E1742=$AB$53,$AD$53,E1742=$AB$54,$AD$54,E1742=$AB$55,$AD$55,E1742=$AB$56,$AD$56,E1742=$AB$57,$AD$57,E1742=$AB$58,$AD$58,E1742=$AB$59,$AD$59,E1742=$AB$60,$AD$60,E1742=$AB$61,$AD$61,E1742=$AB$62,$AD$62,E1742=$AB$63,$AD$63,E1742=$AB$64,$AD$64,E1742=$AB$65,$AD$65,E1742=$AB$66,$AD$66,TRUE,"0")</f>
        <v xml:space="preserve">  BANG</v>
      </c>
      <c r="E1742" s="2" t="s">
        <v>876</v>
      </c>
      <c r="F1742" s="2" t="s">
        <v>534</v>
      </c>
      <c r="G1742" s="2" t="s">
        <v>535</v>
      </c>
      <c r="H1742" s="3">
        <v>45445.354166666664</v>
      </c>
      <c r="I1742" s="2" t="s">
        <v>936</v>
      </c>
      <c r="J1742" s="2" t="s">
        <v>937</v>
      </c>
      <c r="K1742" s="2">
        <v>20</v>
      </c>
      <c r="L1742" s="2">
        <v>73</v>
      </c>
      <c r="M1742" s="2">
        <v>1.65</v>
      </c>
      <c r="N1742" s="2"/>
      <c r="O1742" s="2"/>
      <c r="P1742" s="163"/>
      <c r="Q1742" s="1" t="s">
        <v>95</v>
      </c>
      <c r="R1742" s="10" t="s">
        <v>221</v>
      </c>
      <c r="S1742" s="10" t="s">
        <v>214</v>
      </c>
      <c r="T1742" s="188">
        <f t="shared" si="197"/>
        <v>33.24895270153727</v>
      </c>
      <c r="U1742" s="8">
        <f t="shared" si="226"/>
        <v>5.9848114862767083</v>
      </c>
      <c r="V1742" s="234">
        <f t="shared" si="227"/>
        <v>670.9638655170221</v>
      </c>
      <c r="W1742" s="15">
        <v>25</v>
      </c>
      <c r="X1742" s="8">
        <f t="shared" si="228"/>
        <v>4.5</v>
      </c>
      <c r="Y1742" s="233">
        <f t="shared" si="229"/>
        <v>650</v>
      </c>
    </row>
    <row r="1743" spans="1:25">
      <c r="A1743" s="156" t="e" cm="1">
        <f t="array" aca="1" ref="A1743" ca="1">_xlfn.IFS(E1743=$AB$42,$AC$42,E1743=$AB$43,$AC$43,E1743=$AB$44,$AC$44,E1743=$AB$45,$AC$45,E1743=$AB$46,$AC$46,E1743=$AB$47,$AC$47,E1743=$AB$48,$AC$48,E1743=$AB$49,$AC$49,E1743=$AB$50,$AC$50,E1743=$AB$51,$AC$51,E1743=$AB$52,$AC$52,E1743=$AB$53,$AC$53,E1743=$AB$54,$AC$54,E1743=$AB$55,$AC$55,E1743=$AB$56,$AC$56,E1743=$AB$57,$AC$57,E1743=$AB$58,$AC$58,E1743=$AB$59,$AC$59,E1743=$AB$60,$AC$60,E1743=$AB$61,$AC$61,E1743=$AB$62,$AC$62,E1743=$AB$63,$AC$63,E1743=$AB$64,$AC$64,E1743=$AB$65,$AC$65,E1743=$AB$66,$AC$66,TRUE,"0")</f>
        <v>#NAME?</v>
      </c>
      <c r="C1743" s="161" t="str" cm="1">
        <f t="array" ref="C1743">_xlfn.IFS(E1743=$AB$42,$AF$42,E1743=$AB$43,$AF$43,E1743=$AB$44,$AF$44,E1743=$AB$45,$AF$45,E1743=$AB$46,$AF$46,E1743=$AB$47,$AF$47,E1743=$AB$48,$AF$48,E1743=$AB$49,$AF$49,E1743=$AB$50,$AF$50,E1743=$AB$51,$AF$51,E1743=$AB$52,$AF$52,E1743=$AB$53,$AF$53,E1743=$AB$54,$AF$54,E1743=$AB$55,$AF$55,E1743=$AB$56,$AF$56,E1743=$AB$57,$AF$57,E1743=$AB$58,$AF$58,E1743=$AB$59,$AF$59,E1743=$AB$60,$AF$60,E1743=$AB$61,$AF$61,E1743=$AB$62,$AF$62,E1743=$AB$63,$AF$63,E1743=$AB$64,$AF$64,E1743=$AB$65,$AF$65,E1743=$AB$66,$AF$66,TRUE,"0")</f>
        <v>if 0-0, BACK+ 0.5 GOALS  @ 1.15+odds.  or @ 40 mins</v>
      </c>
      <c r="D1743" s="272" t="str" cm="1">
        <f t="array" ref="D1743">_xlfn.IFS(E1743=$AB$42,$AD$42,E1743=$AB$43,$AD$43,E1743=$AB$44,$AD$44,E1743=$AB$45,$AD$45,E1743=$AB$46,$AD$46,E1743=$AB$47,$AD$47,E1743=$AB$48,$AD$48,E1743=$AB$49,$AD$49,E1743=$AB$50,$AD$50,E1743=$AB$51,$AD$51,E1743=$AB$52,$AD$52,E1743=$AB$53,$AD$53,E1743=$AB$54,$AD$54,E1743=$AB$55,$AD$55,E1743=$AB$56,$AD$56,E1743=$AB$57,$AD$57,E1743=$AB$58,$AD$58,E1743=$AB$59,$AD$59,E1743=$AB$60,$AD$60,E1743=$AB$61,$AD$61,E1743=$AB$62,$AD$62,E1743=$AB$63,$AD$63,E1743=$AB$64,$AD$64,E1743=$AB$65,$AD$65,E1743=$AB$66,$AD$66,TRUE,"0")</f>
        <v>IP</v>
      </c>
      <c r="E1743" s="2" t="s">
        <v>270</v>
      </c>
      <c r="F1743" s="2" t="s">
        <v>119</v>
      </c>
      <c r="G1743" s="2" t="s">
        <v>166</v>
      </c>
      <c r="H1743" s="3">
        <v>45445.635416666664</v>
      </c>
      <c r="I1743" s="2" t="s">
        <v>603</v>
      </c>
      <c r="J1743" s="2" t="s">
        <v>723</v>
      </c>
      <c r="K1743" s="2">
        <v>70</v>
      </c>
      <c r="L1743" s="2">
        <v>0</v>
      </c>
      <c r="M1743" s="2">
        <v>20</v>
      </c>
      <c r="N1743" s="2">
        <v>51</v>
      </c>
      <c r="O1743" s="2">
        <v>2.2799999999999998</v>
      </c>
      <c r="P1743" s="163"/>
      <c r="Q1743" s="1" t="s">
        <v>95</v>
      </c>
      <c r="R1743" s="10" t="s">
        <v>221</v>
      </c>
      <c r="S1743" s="10" t="s">
        <v>214</v>
      </c>
      <c r="T1743" s="188">
        <f t="shared" si="197"/>
        <v>33.548193275851105</v>
      </c>
      <c r="U1743" s="8">
        <f t="shared" si="226"/>
        <v>6.0386747896531983</v>
      </c>
      <c r="V1743" s="234">
        <f t="shared" si="227"/>
        <v>677.00254030667531</v>
      </c>
      <c r="W1743" s="15">
        <v>25</v>
      </c>
      <c r="X1743" s="8">
        <f t="shared" si="228"/>
        <v>4.5</v>
      </c>
      <c r="Y1743" s="233">
        <f t="shared" si="229"/>
        <v>654.5</v>
      </c>
    </row>
    <row r="1744" spans="1:25">
      <c r="A1744" s="156" t="e" cm="1">
        <f t="array" aca="1" ref="A1744" ca="1">_xlfn.IFS(E1744=$AB$42,$AC$42,E1744=$AB$43,$AC$43,E1744=$AB$44,$AC$44,E1744=$AB$45,$AC$45,E1744=$AB$46,$AC$46,E1744=$AB$47,$AC$47,E1744=$AB$48,$AC$48,E1744=$AB$49,$AC$49,E1744=$AB$50,$AC$50,E1744=$AB$51,$AC$51,E1744=$AB$52,$AC$52,E1744=$AB$53,$AC$53,E1744=$AB$54,$AC$54,E1744=$AB$55,$AC$55,E1744=$AB$56,$AC$56,E1744=$AB$57,$AC$57,E1744=$AB$58,$AC$58,E1744=$AB$59,$AC$59,E1744=$AB$60,$AC$60,E1744=$AB$61,$AC$61,E1744=$AB$62,$AC$62,E1744=$AB$63,$AC$63,E1744=$AB$64,$AC$64,E1744=$AB$65,$AC$65,E1744=$AB$66,$AC$66,TRUE,"0")</f>
        <v>#NAME?</v>
      </c>
      <c r="C1744" s="161" t="str" cm="1">
        <f t="array" ref="C1744">_xlfn.IFS(E1744=$AB$42,$AF$42,E1744=$AB$43,$AF$43,E1744=$AB$44,$AF$44,E1744=$AB$45,$AF$45,E1744=$AB$46,$AF$46,E1744=$AB$47,$AF$47,E1744=$AB$48,$AF$48,E1744=$AB$49,$AF$49,E1744=$AB$50,$AF$50,E1744=$AB$51,$AF$51,E1744=$AB$52,$AF$52,E1744=$AB$53,$AF$53,E1744=$AB$54,$AF$54,E1744=$AB$55,$AF$55,E1744=$AB$56,$AF$56,E1744=$AB$57,$AF$57,E1744=$AB$58,$AF$58,E1744=$AB$59,$AF$59,E1744=$AB$60,$AF$60,E1744=$AB$61,$AF$61,E1744=$AB$62,$AF$62,E1744=$AB$63,$AF$63,E1744=$AB$64,$AF$64,E1744=$AB$65,$AF$65,E1744=$AB$66,$AF$66,TRUE,"0")</f>
        <v>40 mins Back ANother Goal</v>
      </c>
      <c r="D1744" s="272" t="str" cm="1">
        <f t="array" ref="D1744">_xlfn.IFS(E1744=$AB$42,$AD$42,E1744=$AB$43,$AD$43,E1744=$AB$44,$AD$44,E1744=$AB$45,$AD$45,E1744=$AB$46,$AD$46,E1744=$AB$47,$AD$47,E1744=$AB$48,$AD$48,E1744=$AB$49,$AD$49,E1744=$AB$50,$AD$50,E1744=$AB$51,$AD$51,E1744=$AB$52,$AD$52,E1744=$AB$53,$AD$53,E1744=$AB$54,$AD$54,E1744=$AB$55,$AD$55,E1744=$AB$56,$AD$56,E1744=$AB$57,$AD$57,E1744=$AB$58,$AD$58,E1744=$AB$59,$AD$59,E1744=$AB$60,$AD$60,E1744=$AB$61,$AD$61,E1744=$AB$62,$AD$62,E1744=$AB$63,$AD$63,E1744=$AB$64,$AD$64,E1744=$AB$65,$AD$65,E1744=$AB$66,$AD$66,TRUE,"0")</f>
        <v xml:space="preserve">  BANG</v>
      </c>
      <c r="E1744" s="2" t="s">
        <v>515</v>
      </c>
      <c r="F1744" s="2" t="s">
        <v>119</v>
      </c>
      <c r="G1744" s="2" t="s">
        <v>166</v>
      </c>
      <c r="H1744" s="3">
        <v>45445.635416666664</v>
      </c>
      <c r="I1744" s="2" t="s">
        <v>603</v>
      </c>
      <c r="J1744" s="2" t="s">
        <v>723</v>
      </c>
      <c r="K1744" s="2">
        <v>20</v>
      </c>
      <c r="L1744" s="2">
        <v>70</v>
      </c>
      <c r="M1744" s="2">
        <v>1.5</v>
      </c>
      <c r="N1744" s="2"/>
      <c r="O1744" s="2"/>
      <c r="Q1744" s="1" t="s">
        <v>95</v>
      </c>
      <c r="R1744" s="10" t="s">
        <v>221</v>
      </c>
      <c r="S1744" s="10" t="s">
        <v>214</v>
      </c>
      <c r="T1744" s="188">
        <f t="shared" si="197"/>
        <v>33.850127015333769</v>
      </c>
      <c r="U1744" s="8">
        <f t="shared" si="226"/>
        <v>6.093022862760078</v>
      </c>
      <c r="V1744" s="234">
        <f t="shared" si="227"/>
        <v>683.09556316943542</v>
      </c>
      <c r="W1744" s="15">
        <v>25</v>
      </c>
      <c r="X1744" s="8">
        <f t="shared" si="228"/>
        <v>4.5</v>
      </c>
      <c r="Y1744" s="233">
        <f t="shared" si="229"/>
        <v>659</v>
      </c>
    </row>
    <row r="1745" spans="1:25">
      <c r="A1745" s="156" t="e" cm="1">
        <f t="array" aca="1" ref="A1745" ca="1">_xlfn.IFS(E1745=$AB$42,$AC$42,E1745=$AB$43,$AC$43,E1745=$AB$44,$AC$44,E1745=$AB$45,$AC$45,E1745=$AB$46,$AC$46,E1745=$AB$47,$AC$47,E1745=$AB$48,$AC$48,E1745=$AB$49,$AC$49,E1745=$AB$50,$AC$50,E1745=$AB$51,$AC$51,E1745=$AB$52,$AC$52,E1745=$AB$53,$AC$53,E1745=$AB$54,$AC$54,E1745=$AB$55,$AC$55,E1745=$AB$56,$AC$56,E1745=$AB$57,$AC$57,E1745=$AB$58,$AC$58,E1745=$AB$59,$AC$59,E1745=$AB$60,$AC$60,E1745=$AB$61,$AC$61,E1745=$AB$62,$AC$62,E1745=$AB$63,$AC$63,E1745=$AB$64,$AC$64,E1745=$AB$65,$AC$65,E1745=$AB$66,$AC$66,TRUE,"0")</f>
        <v>#NAME?</v>
      </c>
      <c r="C1745" s="161" t="str" cm="1">
        <f t="array" ref="C1745">_xlfn.IFS(E1745=$AB$42,$AF$42,E1745=$AB$43,$AF$43,E1745=$AB$44,$AF$44,E1745=$AB$45,$AF$45,E1745=$AB$46,$AF$46,E1745=$AB$47,$AF$47,E1745=$AB$48,$AF$48,E1745=$AB$49,$AF$49,E1745=$AB$50,$AF$50,E1745=$AB$51,$AF$51,E1745=$AB$52,$AF$52,E1745=$AB$53,$AF$53,E1745=$AB$54,$AF$54,E1745=$AB$55,$AF$55,E1745=$AB$56,$AF$56,E1745=$AB$57,$AF$57,E1745=$AB$58,$AF$58,E1745=$AB$59,$AF$59,E1745=$AB$60,$AF$60,E1745=$AB$61,$AF$61,E1745=$AB$62,$AF$62,E1745=$AB$63,$AF$63,E1745=$AB$64,$AF$64,E1745=$AB$65,$AF$65,E1745=$AB$66,$AF$66,TRUE,"0")</f>
        <v>B4 match BACK FT +1.5 goals. X AFTER  GOAL</v>
      </c>
      <c r="D1745" s="272" t="str" cm="1">
        <f t="array" ref="D1745">_xlfn.IFS(E1745=$AB$42,$AD$42,E1745=$AB$43,$AD$43,E1745=$AB$44,$AD$44,E1745=$AB$45,$AD$45,E1745=$AB$46,$AD$46,E1745=$AB$47,$AD$47,E1745=$AB$48,$AD$48,E1745=$AB$49,$AD$49,E1745=$AB$50,$AD$50,E1745=$AB$51,$AD$51,E1745=$AB$52,$AD$52,E1745=$AB$53,$AD$53,E1745=$AB$54,$AD$54,E1745=$AB$55,$AD$55,E1745=$AB$56,$AD$56,E1745=$AB$57,$AD$57,E1745=$AB$58,$AD$58,E1745=$AB$59,$AD$59,E1745=$AB$60,$AD$60,E1745=$AB$61,$AD$61,E1745=$AB$62,$AD$62,E1745=$AB$63,$AD$63,E1745=$AB$64,$AD$64,E1745=$AB$65,$AD$65,E1745=$AB$66,$AD$66,TRUE,"0")</f>
        <v xml:space="preserve">BFM </v>
      </c>
      <c r="E1745" s="29" t="s">
        <v>623</v>
      </c>
      <c r="F1745" s="2" t="s">
        <v>20</v>
      </c>
      <c r="G1745" s="2" t="s">
        <v>21</v>
      </c>
      <c r="H1745" s="3">
        <v>45445.708333333336</v>
      </c>
      <c r="I1745" s="2" t="s">
        <v>97</v>
      </c>
      <c r="J1745" s="2" t="s">
        <v>784</v>
      </c>
      <c r="K1745" s="2">
        <v>1.85</v>
      </c>
      <c r="L1745" s="2">
        <v>85</v>
      </c>
      <c r="M1745" s="2">
        <v>65</v>
      </c>
      <c r="N1745" s="2">
        <v>64</v>
      </c>
      <c r="O1745" s="2">
        <v>20</v>
      </c>
      <c r="Q1745" s="1" t="s">
        <v>95</v>
      </c>
      <c r="R1745" s="10" t="s">
        <v>213</v>
      </c>
      <c r="S1745" s="10" t="s">
        <v>213</v>
      </c>
      <c r="T1745" s="188">
        <f t="shared" si="197"/>
        <v>34.154778158471771</v>
      </c>
      <c r="U1745" s="8">
        <f t="shared" si="226"/>
        <v>6.1478600685249187</v>
      </c>
      <c r="V1745" s="234">
        <f t="shared" si="227"/>
        <v>689.24342323796031</v>
      </c>
      <c r="W1745" s="15">
        <v>25</v>
      </c>
      <c r="X1745" s="8">
        <f t="shared" si="228"/>
        <v>4.5</v>
      </c>
      <c r="Y1745" s="233">
        <f t="shared" si="229"/>
        <v>663.5</v>
      </c>
    </row>
    <row r="1746" spans="1:25">
      <c r="A1746" s="156" t="e" cm="1">
        <f t="array" aca="1" ref="A1746" ca="1">_xlfn.IFS(E1746=$AB$42,$AC$42,E1746=$AB$43,$AC$43,E1746=$AB$44,$AC$44,E1746=$AB$45,$AC$45,E1746=$AB$46,$AC$46,E1746=$AB$47,$AC$47,E1746=$AB$48,$AC$48,E1746=$AB$49,$AC$49,E1746=$AB$50,$AC$50,E1746=$AB$51,$AC$51,E1746=$AB$52,$AC$52,E1746=$AB$53,$AC$53,E1746=$AB$54,$AC$54,E1746=$AB$55,$AC$55,E1746=$AB$56,$AC$56,E1746=$AB$57,$AC$57,E1746=$AB$58,$AC$58,E1746=$AB$59,$AC$59,E1746=$AB$60,$AC$60,E1746=$AB$61,$AC$61,E1746=$AB$62,$AC$62,E1746=$AB$63,$AC$63,E1746=$AB$64,$AC$64,E1746=$AB$65,$AC$65,E1746=$AB$66,$AC$66,TRUE,"0")</f>
        <v>#NAME?</v>
      </c>
      <c r="C1746" s="161" t="str" cm="1">
        <f t="array" ref="C1746">_xlfn.IFS(E1746=$AB$42,$AF$42,E1746=$AB$43,$AF$43,E1746=$AB$44,$AF$44,E1746=$AB$45,$AF$45,E1746=$AB$46,$AF$46,E1746=$AB$47,$AF$47,E1746=$AB$48,$AF$48,E1746=$AB$49,$AF$49,E1746=$AB$50,$AF$50,E1746=$AB$51,$AF$51,E1746=$AB$52,$AF$52,E1746=$AB$53,$AF$53,E1746=$AB$54,$AF$54,E1746=$AB$55,$AF$55,E1746=$AB$56,$AF$56,E1746=$AB$57,$AF$57,E1746=$AB$58,$AF$58,E1746=$AB$59,$AF$59,E1746=$AB$60,$AF$60,E1746=$AB$61,$AF$61,E1746=$AB$62,$AF$62,E1746=$AB$63,$AF$63,E1746=$AB$64,$AF$64,E1746=$AB$65,$AF$65,E1746=$AB$66,$AF$66,TRUE,"0")</f>
        <v>B4 match BACK FT +1.5 goals. X AFTER  GOAL</v>
      </c>
      <c r="D1746" s="272" t="str" cm="1">
        <f t="array" ref="D1746">_xlfn.IFS(E1746=$AB$42,$AD$42,E1746=$AB$43,$AD$43,E1746=$AB$44,$AD$44,E1746=$AB$45,$AD$45,E1746=$AB$46,$AD$46,E1746=$AB$47,$AD$47,E1746=$AB$48,$AD$48,E1746=$AB$49,$AD$49,E1746=$AB$50,$AD$50,E1746=$AB$51,$AD$51,E1746=$AB$52,$AD$52,E1746=$AB$53,$AD$53,E1746=$AB$54,$AD$54,E1746=$AB$55,$AD$55,E1746=$AB$56,$AD$56,E1746=$AB$57,$AD$57,E1746=$AB$58,$AD$58,E1746=$AB$59,$AD$59,E1746=$AB$60,$AD$60,E1746=$AB$61,$AD$61,E1746=$AB$62,$AD$62,E1746=$AB$63,$AD$63,E1746=$AB$64,$AD$64,E1746=$AB$65,$AD$65,E1746=$AB$66,$AD$66,TRUE,"0")</f>
        <v xml:space="preserve">BFM </v>
      </c>
      <c r="E1746" s="29" t="s">
        <v>531</v>
      </c>
      <c r="F1746" s="2" t="s">
        <v>119</v>
      </c>
      <c r="G1746" s="2" t="s">
        <v>166</v>
      </c>
      <c r="H1746" s="3">
        <v>45445.729166666664</v>
      </c>
      <c r="I1746" s="2" t="s">
        <v>895</v>
      </c>
      <c r="J1746" s="2" t="s">
        <v>560</v>
      </c>
      <c r="K1746" s="2"/>
      <c r="L1746" s="2"/>
      <c r="M1746" s="2"/>
      <c r="N1746" s="2"/>
      <c r="O1746" s="2"/>
      <c r="Q1746" s="1" t="s">
        <v>95</v>
      </c>
      <c r="R1746" s="9" t="s">
        <v>221</v>
      </c>
      <c r="S1746" s="9" t="s">
        <v>214</v>
      </c>
      <c r="T1746" s="188">
        <f t="shared" si="197"/>
        <v>34.46217116189802</v>
      </c>
      <c r="U1746" s="8">
        <f t="shared" si="226"/>
        <v>6.2031908091416437</v>
      </c>
      <c r="V1746" s="234">
        <f t="shared" si="227"/>
        <v>695.446614047102</v>
      </c>
      <c r="W1746" s="15">
        <v>25</v>
      </c>
      <c r="X1746" s="8">
        <f t="shared" si="228"/>
        <v>4.5</v>
      </c>
      <c r="Y1746" s="233">
        <f t="shared" si="229"/>
        <v>668</v>
      </c>
    </row>
    <row r="1747" spans="1:25">
      <c r="A1747" s="156" t="e" cm="1">
        <f t="array" aca="1" ref="A1747" ca="1">_xlfn.IFS(E1747=$AB$42,$AC$42,E1747=$AB$43,$AC$43,E1747=$AB$44,$AC$44,E1747=$AB$45,$AC$45,E1747=$AB$46,$AC$46,E1747=$AB$47,$AC$47,E1747=$AB$48,$AC$48,E1747=$AB$49,$AC$49,E1747=$AB$50,$AC$50,E1747=$AB$51,$AC$51,E1747=$AB$52,$AC$52,E1747=$AB$53,$AC$53,E1747=$AB$54,$AC$54,E1747=$AB$55,$AC$55,E1747=$AB$56,$AC$56,E1747=$AB$57,$AC$57,E1747=$AB$58,$AC$58,E1747=$AB$59,$AC$59,E1747=$AB$60,$AC$60,E1747=$AB$61,$AC$61,E1747=$AB$62,$AC$62,E1747=$AB$63,$AC$63,E1747=$AB$64,$AC$64,E1747=$AB$65,$AC$65,E1747=$AB$66,$AC$66,TRUE,"0")</f>
        <v>#NAME?</v>
      </c>
      <c r="C1747" s="161" t="str" cm="1">
        <f t="array" ref="C1747">_xlfn.IFS(E1747=$AB$42,$AF$42,E1747=$AB$43,$AF$43,E1747=$AB$44,$AF$44,E1747=$AB$45,$AF$45,E1747=$AB$46,$AF$46,E1747=$AB$47,$AF$47,E1747=$AB$48,$AF$48,E1747=$AB$49,$AF$49,E1747=$AB$50,$AF$50,E1747=$AB$51,$AF$51,E1747=$AB$52,$AF$52,E1747=$AB$53,$AF$53,E1747=$AB$54,$AF$54,E1747=$AB$55,$AF$55,E1747=$AB$56,$AF$56,E1747=$AB$57,$AF$57,E1747=$AB$58,$AF$58,E1747=$AB$59,$AF$59,E1747=$AB$60,$AF$60,E1747=$AB$61,$AF$61,E1747=$AB$62,$AF$62,E1747=$AB$63,$AF$63,E1747=$AB$64,$AF$64,E1747=$AB$65,$AF$65,E1747=$AB$66,$AF$66,TRUE,"0")</f>
        <v>AT HT IF 0-0 BACK +0.5 GOALS</v>
      </c>
      <c r="D1747" s="272" t="str" cm="1">
        <f t="array" ref="D1747">_xlfn.IFS(E1747=$AB$42,$AD$42,E1747=$AB$43,$AD$43,E1747=$AB$44,$AD$44,E1747=$AB$45,$AD$45,E1747=$AB$46,$AD$46,E1747=$AB$47,$AD$47,E1747=$AB$48,$AD$48,E1747=$AB$49,$AD$49,E1747=$AB$50,$AD$50,E1747=$AB$51,$AD$51,E1747=$AB$52,$AD$52,E1747=$AB$53,$AD$53,E1747=$AB$54,$AD$54,E1747=$AB$55,$AD$55,E1747=$AB$56,$AD$56,E1747=$AB$57,$AD$57,E1747=$AB$58,$AD$58,E1747=$AB$59,$AD$59,E1747=$AB$60,$AD$60,E1747=$AB$61,$AD$61,E1747=$AB$62,$AD$62,E1747=$AB$63,$AD$63,E1747=$AB$64,$AD$64,E1747=$AB$65,$AD$65,E1747=$AB$66,$AD$66,TRUE,"0")</f>
        <v>IP</v>
      </c>
      <c r="E1747" s="29" t="s">
        <v>514</v>
      </c>
      <c r="F1747" s="2" t="s">
        <v>119</v>
      </c>
      <c r="G1747" s="2" t="s">
        <v>166</v>
      </c>
      <c r="H1747" s="3">
        <v>45445.729166666664</v>
      </c>
      <c r="I1747" s="2" t="s">
        <v>895</v>
      </c>
      <c r="J1747" s="2" t="s">
        <v>560</v>
      </c>
      <c r="K1747" s="2"/>
      <c r="L1747" s="2"/>
      <c r="M1747" s="2"/>
      <c r="N1747" s="2"/>
      <c r="O1747" s="2"/>
      <c r="Q1747" s="1" t="s">
        <v>95</v>
      </c>
      <c r="R1747" s="9" t="s">
        <v>221</v>
      </c>
      <c r="S1747" s="9" t="s">
        <v>214</v>
      </c>
      <c r="T1747" s="188">
        <f t="shared" si="197"/>
        <v>34.772330702355099</v>
      </c>
      <c r="U1747" s="8">
        <f t="shared" si="226"/>
        <v>6.2590195264239172</v>
      </c>
      <c r="V1747" s="234">
        <f t="shared" si="227"/>
        <v>701.70563357352592</v>
      </c>
      <c r="W1747" s="15">
        <v>25</v>
      </c>
      <c r="X1747" s="8">
        <f t="shared" si="228"/>
        <v>4.5</v>
      </c>
      <c r="Y1747" s="233">
        <f t="shared" si="229"/>
        <v>672.5</v>
      </c>
    </row>
    <row r="1748" spans="1:25">
      <c r="A1748" s="156" t="e" cm="1">
        <f t="array" aca="1" ref="A1748" ca="1">_xlfn.IFS(E1748=$AB$42,$AC$42,E1748=$AB$43,$AC$43,E1748=$AB$44,$AC$44,E1748=$AB$45,$AC$45,E1748=$AB$46,$AC$46,E1748=$AB$47,$AC$47,E1748=$AB$48,$AC$48,E1748=$AB$49,$AC$49,E1748=$AB$50,$AC$50,E1748=$AB$51,$AC$51,E1748=$AB$52,$AC$52,E1748=$AB$53,$AC$53,E1748=$AB$54,$AC$54,E1748=$AB$55,$AC$55,E1748=$AB$56,$AC$56,E1748=$AB$57,$AC$57,E1748=$AB$58,$AC$58,E1748=$AB$59,$AC$59,E1748=$AB$60,$AC$60,E1748=$AB$61,$AC$61,E1748=$AB$62,$AC$62,E1748=$AB$63,$AC$63,E1748=$AB$64,$AC$64,E1748=$AB$65,$AC$65,E1748=$AB$66,$AC$66,TRUE,"0")</f>
        <v>#NAME?</v>
      </c>
      <c r="C1748" s="161" t="str" cm="1">
        <f t="array" ref="C1748">_xlfn.IFS(E1748=$AB$42,$AF$42,E1748=$AB$43,$AF$43,E1748=$AB$44,$AF$44,E1748=$AB$45,$AF$45,E1748=$AB$46,$AF$46,E1748=$AB$47,$AF$47,E1748=$AB$48,$AF$48,E1748=$AB$49,$AF$49,E1748=$AB$50,$AF$50,E1748=$AB$51,$AF$51,E1748=$AB$52,$AF$52,E1748=$AB$53,$AF$53,E1748=$AB$54,$AF$54,E1748=$AB$55,$AF$55,E1748=$AB$56,$AF$56,E1748=$AB$57,$AF$57,E1748=$AB$58,$AF$58,E1748=$AB$59,$AF$59,E1748=$AB$60,$AF$60,E1748=$AB$61,$AF$61,E1748=$AB$62,$AF$62,E1748=$AB$63,$AF$63,E1748=$AB$64,$AF$64,E1748=$AB$65,$AF$65,E1748=$AB$66,$AF$66,TRUE,"0")</f>
        <v>40 mins Back ANother Goal</v>
      </c>
      <c r="D1748" s="272" t="str" cm="1">
        <f t="array" ref="D1748">_xlfn.IFS(E1748=$AB$42,$AD$42,E1748=$AB$43,$AD$43,E1748=$AB$44,$AD$44,E1748=$AB$45,$AD$45,E1748=$AB$46,$AD$46,E1748=$AB$47,$AD$47,E1748=$AB$48,$AD$48,E1748=$AB$49,$AD$49,E1748=$AB$50,$AD$50,E1748=$AB$51,$AD$51,E1748=$AB$52,$AD$52,E1748=$AB$53,$AD$53,E1748=$AB$54,$AD$54,E1748=$AB$55,$AD$55,E1748=$AB$56,$AD$56,E1748=$AB$57,$AD$57,E1748=$AB$58,$AD$58,E1748=$AB$59,$AD$59,E1748=$AB$60,$AD$60,E1748=$AB$61,$AD$61,E1748=$AB$62,$AD$62,E1748=$AB$63,$AD$63,E1748=$AB$64,$AD$64,E1748=$AB$65,$AD$65,E1748=$AB$66,$AD$66,TRUE,"0")</f>
        <v xml:space="preserve">  BANG</v>
      </c>
      <c r="E1748" s="2" t="s">
        <v>792</v>
      </c>
      <c r="F1748" s="2" t="s">
        <v>778</v>
      </c>
      <c r="G1748" s="2" t="s">
        <v>21</v>
      </c>
      <c r="H1748" s="3">
        <v>45445.833333333336</v>
      </c>
      <c r="I1748" s="2" t="s">
        <v>933</v>
      </c>
      <c r="J1748" s="2" t="s">
        <v>779</v>
      </c>
      <c r="K1748" s="2"/>
      <c r="L1748" s="2"/>
      <c r="M1748" s="2"/>
      <c r="N1748" s="2"/>
      <c r="O1748" s="2"/>
      <c r="Q1748" s="1" t="s">
        <v>95</v>
      </c>
      <c r="R1748" s="9" t="s">
        <v>221</v>
      </c>
      <c r="S1748" s="10" t="s">
        <v>216</v>
      </c>
      <c r="T1748" s="188">
        <f t="shared" si="197"/>
        <v>35.085281678676296</v>
      </c>
      <c r="U1748" s="8">
        <f t="shared" si="226"/>
        <v>6.3153507021617328</v>
      </c>
      <c r="V1748" s="234">
        <f t="shared" si="227"/>
        <v>708.02098427568762</v>
      </c>
      <c r="W1748" s="15">
        <v>25</v>
      </c>
      <c r="X1748" s="8">
        <f t="shared" si="228"/>
        <v>4.5</v>
      </c>
      <c r="Y1748" s="233">
        <f t="shared" si="229"/>
        <v>677</v>
      </c>
    </row>
    <row r="1749" spans="1:25">
      <c r="A1749" s="156" t="e" cm="1">
        <f t="array" aca="1" ref="A1749" ca="1">_xlfn.IFS(E1749=$AB$42,$AC$42,E1749=$AB$43,$AC$43,E1749=$AB$44,$AC$44,E1749=$AB$45,$AC$45,E1749=$AB$46,$AC$46,E1749=$AB$47,$AC$47,E1749=$AB$48,$AC$48,E1749=$AB$49,$AC$49,E1749=$AB$50,$AC$50,E1749=$AB$51,$AC$51,E1749=$AB$52,$AC$52,E1749=$AB$53,$AC$53,E1749=$AB$54,$AC$54,E1749=$AB$55,$AC$55,E1749=$AB$56,$AC$56,E1749=$AB$57,$AC$57,E1749=$AB$58,$AC$58,E1749=$AB$59,$AC$59,E1749=$AB$60,$AC$60,E1749=$AB$61,$AC$61,E1749=$AB$62,$AC$62,E1749=$AB$63,$AC$63,E1749=$AB$64,$AC$64,E1749=$AB$65,$AC$65,E1749=$AB$66,$AC$66,TRUE,"0")</f>
        <v>#NAME?</v>
      </c>
      <c r="C1749" s="161" t="str" cm="1">
        <f t="array" ref="C1749">_xlfn.IFS(E1749=$AB$42,$AF$42,E1749=$AB$43,$AF$43,E1749=$AB$44,$AF$44,E1749=$AB$45,$AF$45,E1749=$AB$46,$AF$46,E1749=$AB$47,$AF$47,E1749=$AB$48,$AF$48,E1749=$AB$49,$AF$49,E1749=$AB$50,$AF$50,E1749=$AB$51,$AF$51,E1749=$AB$52,$AF$52,E1749=$AB$53,$AF$53,E1749=$AB$54,$AF$54,E1749=$AB$55,$AF$55,E1749=$AB$56,$AF$56,E1749=$AB$57,$AF$57,E1749=$AB$58,$AF$58,E1749=$AB$59,$AF$59,E1749=$AB$60,$AF$60,E1749=$AB$61,$AF$61,E1749=$AB$62,$AF$62,E1749=$AB$63,$AF$63,E1749=$AB$64,$AF$64,E1749=$AB$65,$AF$65,E1749=$AB$66,$AF$66,TRUE,"0")</f>
        <v>40 mins Back ANother Goal</v>
      </c>
      <c r="D1749" s="272" t="str" cm="1">
        <f t="array" ref="D1749">_xlfn.IFS(E1749=$AB$42,$AD$42,E1749=$AB$43,$AD$43,E1749=$AB$44,$AD$44,E1749=$AB$45,$AD$45,E1749=$AB$46,$AD$46,E1749=$AB$47,$AD$47,E1749=$AB$48,$AD$48,E1749=$AB$49,$AD$49,E1749=$AB$50,$AD$50,E1749=$AB$51,$AD$51,E1749=$AB$52,$AD$52,E1749=$AB$53,$AD$53,E1749=$AB$54,$AD$54,E1749=$AB$55,$AD$55,E1749=$AB$56,$AD$56,E1749=$AB$57,$AD$57,E1749=$AB$58,$AD$58,E1749=$AB$59,$AD$59,E1749=$AB$60,$AD$60,E1749=$AB$61,$AD$61,E1749=$AB$62,$AD$62,E1749=$AB$63,$AD$63,E1749=$AB$64,$AD$64,E1749=$AB$65,$AD$65,E1749=$AB$66,$AD$66,TRUE,"0")</f>
        <v xml:space="preserve">  BANG</v>
      </c>
      <c r="E1749" s="2" t="s">
        <v>877</v>
      </c>
      <c r="F1749" s="2" t="s">
        <v>778</v>
      </c>
      <c r="G1749" s="2" t="s">
        <v>21</v>
      </c>
      <c r="H1749" s="3">
        <v>45445.833333333336</v>
      </c>
      <c r="I1749" s="2" t="s">
        <v>933</v>
      </c>
      <c r="J1749" s="2" t="s">
        <v>779</v>
      </c>
      <c r="K1749" s="2"/>
      <c r="L1749" s="2"/>
      <c r="M1749" s="2"/>
      <c r="N1749" s="2"/>
      <c r="O1749" s="2"/>
      <c r="Q1749" s="1" t="s">
        <v>95</v>
      </c>
      <c r="R1749" s="9" t="s">
        <v>221</v>
      </c>
      <c r="S1749" s="9" t="s">
        <v>193</v>
      </c>
      <c r="T1749" s="188">
        <f t="shared" si="197"/>
        <v>35.401049213784383</v>
      </c>
      <c r="U1749" s="8">
        <f t="shared" si="226"/>
        <v>6.3721888584811888</v>
      </c>
      <c r="V1749" s="234">
        <f t="shared" si="227"/>
        <v>714.39317313416882</v>
      </c>
      <c r="W1749" s="15">
        <v>25</v>
      </c>
      <c r="X1749" s="8">
        <f t="shared" si="228"/>
        <v>4.5</v>
      </c>
      <c r="Y1749" s="233">
        <f t="shared" si="229"/>
        <v>681.5</v>
      </c>
    </row>
    <row r="1750" spans="1:25">
      <c r="A1750" s="156" t="e" cm="1">
        <f t="array" aca="1" ref="A1750" ca="1">_xlfn.IFS(E1750=$AB$42,$AC$42,E1750=$AB$43,$AC$43,E1750=$AB$44,$AC$44,E1750=$AB$45,$AC$45,E1750=$AB$46,$AC$46,E1750=$AB$47,$AC$47,E1750=$AB$48,$AC$48,E1750=$AB$49,$AC$49,E1750=$AB$50,$AC$50,E1750=$AB$51,$AC$51,E1750=$AB$52,$AC$52,E1750=$AB$53,$AC$53,E1750=$AB$54,$AC$54,E1750=$AB$55,$AC$55,E1750=$AB$56,$AC$56,E1750=$AB$57,$AC$57,E1750=$AB$58,$AC$58,E1750=$AB$59,$AC$59,E1750=$AB$60,$AC$60,E1750=$AB$61,$AC$61,E1750=$AB$62,$AC$62,E1750=$AB$63,$AC$63,E1750=$AB$64,$AC$64,E1750=$AB$65,$AC$65,E1750=$AB$66,$AC$66,TRUE,"0")</f>
        <v>#NAME?</v>
      </c>
      <c r="C1750" s="161" t="str" cm="1">
        <f t="array" ref="C1750">_xlfn.IFS(E1750=$AB$42,$AF$42,E1750=$AB$43,$AF$43,E1750=$AB$44,$AF$44,E1750=$AB$45,$AF$45,E1750=$AB$46,$AF$46,E1750=$AB$47,$AF$47,E1750=$AB$48,$AF$48,E1750=$AB$49,$AF$49,E1750=$AB$50,$AF$50,E1750=$AB$51,$AF$51,E1750=$AB$52,$AF$52,E1750=$AB$53,$AF$53,E1750=$AB$54,$AF$54,E1750=$AB$55,$AF$55,E1750=$AB$56,$AF$56,E1750=$AB$57,$AF$57,E1750=$AB$58,$AF$58,E1750=$AB$59,$AF$59,E1750=$AB$60,$AF$60,E1750=$AB$61,$AF$61,E1750=$AB$62,$AF$62,E1750=$AB$63,$AF$63,E1750=$AB$64,$AF$64,E1750=$AB$65,$AF$65,E1750=$AB$66,$AF$66,TRUE,"0")</f>
        <v>B4 MATCH bet H1 'under 2.5goals'- X at 40 minutes</v>
      </c>
      <c r="D1750" s="272" t="str" cm="1">
        <f t="array" ref="D1750">_xlfn.IFS(E1750=$AB$42,$AD$42,E1750=$AB$43,$AD$43,E1750=$AB$44,$AD$44,E1750=$AB$45,$AD$45,E1750=$AB$46,$AD$46,E1750=$AB$47,$AD$47,E1750=$AB$48,$AD$48,E1750=$AB$49,$AD$49,E1750=$AB$50,$AD$50,E1750=$AB$51,$AD$51,E1750=$AB$52,$AD$52,E1750=$AB$53,$AD$53,E1750=$AB$54,$AD$54,E1750=$AB$55,$AD$55,E1750=$AB$56,$AD$56,E1750=$AB$57,$AD$57,E1750=$AB$58,$AD$58,E1750=$AB$59,$AD$59,E1750=$AB$60,$AD$60,E1750=$AB$61,$AD$61,E1750=$AB$62,$AD$62,E1750=$AB$63,$AD$63,E1750=$AB$64,$AD$64,E1750=$AB$65,$AD$65,E1750=$AB$66,$AD$66,TRUE,"0")</f>
        <v xml:space="preserve">BFM </v>
      </c>
      <c r="E1750" s="29" t="s">
        <v>458</v>
      </c>
      <c r="F1750" s="2" t="s">
        <v>403</v>
      </c>
      <c r="G1750" s="2" t="s">
        <v>854</v>
      </c>
      <c r="H1750" s="273">
        <v>45446.958333333336</v>
      </c>
      <c r="I1750" s="29" t="s">
        <v>855</v>
      </c>
      <c r="J1750" s="29" t="s">
        <v>938</v>
      </c>
      <c r="K1750" s="29">
        <v>20</v>
      </c>
      <c r="L1750" s="29">
        <v>90</v>
      </c>
      <c r="M1750" s="29">
        <v>95</v>
      </c>
      <c r="N1750" s="29">
        <v>35</v>
      </c>
      <c r="O1750" s="29">
        <v>1.65</v>
      </c>
      <c r="Q1750" s="1" t="s">
        <v>95</v>
      </c>
      <c r="R1750" s="9" t="s">
        <v>221</v>
      </c>
      <c r="S1750" s="9" t="s">
        <v>193</v>
      </c>
      <c r="T1750" s="188">
        <f t="shared" si="197"/>
        <v>35.71965865670844</v>
      </c>
      <c r="U1750" s="8">
        <f t="shared" ref="U1750:U1751" si="230">IF(Q1750="won",T1750*0.18,-T1750)</f>
        <v>6.4295385582075193</v>
      </c>
      <c r="V1750" s="234">
        <f t="shared" ref="V1750:V1751" si="231">SUM(V1749,U1750)</f>
        <v>720.82271169237629</v>
      </c>
      <c r="W1750" s="15">
        <v>25</v>
      </c>
      <c r="X1750" s="8">
        <f t="shared" ref="X1750:X1751" si="232">IF(Q1750="won",W1750*0.18,-W1750)</f>
        <v>4.5</v>
      </c>
      <c r="Y1750" s="233">
        <f t="shared" ref="Y1750:Y1751" si="233">SUM(Y1749,X1750)</f>
        <v>686</v>
      </c>
    </row>
    <row r="1751" spans="1:25">
      <c r="A1751" s="156" t="e" cm="1">
        <f t="array" aca="1" ref="A1751" ca="1">_xlfn.IFS(E1751=$AB$42,$AC$42,E1751=$AB$43,$AC$43,E1751=$AB$44,$AC$44,E1751=$AB$45,$AC$45,E1751=$AB$46,$AC$46,E1751=$AB$47,$AC$47,E1751=$AB$48,$AC$48,E1751=$AB$49,$AC$49,E1751=$AB$50,$AC$50,E1751=$AB$51,$AC$51,E1751=$AB$52,$AC$52,E1751=$AB$53,$AC$53,E1751=$AB$54,$AC$54,E1751=$AB$55,$AC$55,E1751=$AB$56,$AC$56,E1751=$AB$57,$AC$57,E1751=$AB$58,$AC$58,E1751=$AB$59,$AC$59,E1751=$AB$60,$AC$60,E1751=$AB$61,$AC$61,E1751=$AB$62,$AC$62,E1751=$AB$63,$AC$63,E1751=$AB$64,$AC$64,E1751=$AB$65,$AC$65,E1751=$AB$66,$AC$66,TRUE,"0")</f>
        <v>#NAME?</v>
      </c>
      <c r="C1751" s="161" t="str" cm="1">
        <f t="array" ref="C1751">_xlfn.IFS(E1751=$AB$42,$AF$42,E1751=$AB$43,$AF$43,E1751=$AB$44,$AF$44,E1751=$AB$45,$AF$45,E1751=$AB$46,$AF$46,E1751=$AB$47,$AF$47,E1751=$AB$48,$AF$48,E1751=$AB$49,$AF$49,E1751=$AB$50,$AF$50,E1751=$AB$51,$AF$51,E1751=$AB$52,$AF$52,E1751=$AB$53,$AF$53,E1751=$AB$54,$AF$54,E1751=$AB$55,$AF$55,E1751=$AB$56,$AF$56,E1751=$AB$57,$AF$57,E1751=$AB$58,$AF$58,E1751=$AB$59,$AF$59,E1751=$AB$60,$AF$60,E1751=$AB$61,$AF$61,E1751=$AB$62,$AF$62,E1751=$AB$63,$AF$63,E1751=$AB$64,$AF$64,E1751=$AB$65,$AF$65,E1751=$AB$66,$AF$66,TRUE,"0")</f>
        <v>B4 MATCH bet H1 'under 2.5goals'- X at 40 minutes</v>
      </c>
      <c r="D1751" s="272" t="str" cm="1">
        <f t="array" ref="D1751">_xlfn.IFS(E1751=$AB$42,$AD$42,E1751=$AB$43,$AD$43,E1751=$AB$44,$AD$44,E1751=$AB$45,$AD$45,E1751=$AB$46,$AD$46,E1751=$AB$47,$AD$47,E1751=$AB$48,$AD$48,E1751=$AB$49,$AD$49,E1751=$AB$50,$AD$50,E1751=$AB$51,$AD$51,E1751=$AB$52,$AD$52,E1751=$AB$53,$AD$53,E1751=$AB$54,$AD$54,E1751=$AB$55,$AD$55,E1751=$AB$56,$AD$56,E1751=$AB$57,$AD$57,E1751=$AB$58,$AD$58,E1751=$AB$59,$AD$59,E1751=$AB$60,$AD$60,E1751=$AB$61,$AD$61,E1751=$AB$62,$AD$62,E1751=$AB$63,$AD$63,E1751=$AB$64,$AD$64,E1751=$AB$65,$AD$65,E1751=$AB$66,$AD$66,TRUE,"0")</f>
        <v xml:space="preserve">BFM </v>
      </c>
      <c r="E1751" s="29" t="s">
        <v>458</v>
      </c>
      <c r="F1751" s="2" t="s">
        <v>403</v>
      </c>
      <c r="G1751" s="2" t="s">
        <v>854</v>
      </c>
      <c r="H1751" s="273">
        <v>45447.052083333336</v>
      </c>
      <c r="I1751" s="29" t="s">
        <v>939</v>
      </c>
      <c r="J1751" s="29" t="s">
        <v>940</v>
      </c>
      <c r="K1751" s="29">
        <v>20</v>
      </c>
      <c r="L1751" s="29">
        <v>80</v>
      </c>
      <c r="M1751" s="29">
        <v>100</v>
      </c>
      <c r="N1751" s="29">
        <v>42</v>
      </c>
      <c r="O1751" s="29">
        <v>1.7</v>
      </c>
      <c r="Q1751" s="1" t="s">
        <v>95</v>
      </c>
      <c r="R1751" s="9" t="s">
        <v>193</v>
      </c>
      <c r="S1751" s="9" t="s">
        <v>193</v>
      </c>
      <c r="T1751" s="188">
        <f t="shared" si="197"/>
        <v>36.041135584618814</v>
      </c>
      <c r="U1751" s="8">
        <f t="shared" si="230"/>
        <v>6.487404405231386</v>
      </c>
      <c r="V1751" s="234">
        <f t="shared" si="231"/>
        <v>727.31011609760765</v>
      </c>
      <c r="W1751" s="15">
        <v>25</v>
      </c>
      <c r="X1751" s="8">
        <f t="shared" si="232"/>
        <v>4.5</v>
      </c>
      <c r="Y1751" s="233">
        <f t="shared" si="233"/>
        <v>690.5</v>
      </c>
    </row>
    <row r="1752" spans="1:25">
      <c r="A1752" s="156" t="e" cm="1">
        <f t="array" aca="1" ref="A1752" ca="1">_xlfn.IFS(E1752=$AB$42,$AC$42,E1752=$AB$43,$AC$43,E1752=$AB$44,$AC$44,E1752=$AB$45,$AC$45,E1752=$AB$46,$AC$46,E1752=$AB$47,$AC$47,E1752=$AB$48,$AC$48,E1752=$AB$49,$AC$49,E1752=$AB$50,$AC$50,E1752=$AB$51,$AC$51,E1752=$AB$52,$AC$52,E1752=$AB$53,$AC$53,E1752=$AB$54,$AC$54,E1752=$AB$55,$AC$55,E1752=$AB$56,$AC$56,E1752=$AB$57,$AC$57,E1752=$AB$58,$AC$58,E1752=$AB$59,$AC$59,E1752=$AB$60,$AC$60,E1752=$AB$61,$AC$61,E1752=$AB$62,$AC$62,E1752=$AB$63,$AC$63,E1752=$AB$64,$AC$64,E1752=$AB$65,$AC$65,E1752=$AB$66,$AC$66,TRUE,"0")</f>
        <v>#NAME?</v>
      </c>
      <c r="C1752" s="161" t="str" cm="1">
        <f t="array" ref="C1752">_xlfn.IFS(E1752=$AB$42,$AF$42,E1752=$AB$43,$AF$43,E1752=$AB$44,$AF$44,E1752=$AB$45,$AF$45,E1752=$AB$46,$AF$46,E1752=$AB$47,$AF$47,E1752=$AB$48,$AF$48,E1752=$AB$49,$AF$49,E1752=$AB$50,$AF$50,E1752=$AB$51,$AF$51,E1752=$AB$52,$AF$52,E1752=$AB$53,$AF$53,E1752=$AB$54,$AF$54,E1752=$AB$55,$AF$55,E1752=$AB$56,$AF$56,E1752=$AB$57,$AF$57,E1752=$AB$58,$AF$58,E1752=$AB$59,$AF$59,E1752=$AB$60,$AF$60,E1752=$AB$61,$AF$61,E1752=$AB$62,$AF$62,E1752=$AB$63,$AF$63,E1752=$AB$64,$AF$64,E1752=$AB$65,$AF$65,E1752=$AB$66,$AF$66,TRUE,"0")</f>
        <v>B4 MATCH bet H1 'under 2.5goals'- X at 40 minutes</v>
      </c>
      <c r="D1752" s="272" t="str" cm="1">
        <f t="array" ref="D1752">_xlfn.IFS(E1752=$AB$42,$AD$42,E1752=$AB$43,$AD$43,E1752=$AB$44,$AD$44,E1752=$AB$45,$AD$45,E1752=$AB$46,$AD$46,E1752=$AB$47,$AD$47,E1752=$AB$48,$AD$48,E1752=$AB$49,$AD$49,E1752=$AB$50,$AD$50,E1752=$AB$51,$AD$51,E1752=$AB$52,$AD$52,E1752=$AB$53,$AD$53,E1752=$AB$54,$AD$54,E1752=$AB$55,$AD$55,E1752=$AB$56,$AD$56,E1752=$AB$57,$AD$57,E1752=$AB$58,$AD$58,E1752=$AB$59,$AD$59,E1752=$AB$60,$AD$60,E1752=$AB$61,$AD$61,E1752=$AB$62,$AD$62,E1752=$AB$63,$AD$63,E1752=$AB$64,$AD$64,E1752=$AB$65,$AD$65,E1752=$AB$66,$AD$66,TRUE,"0")</f>
        <v xml:space="preserve">BFM </v>
      </c>
      <c r="E1752" s="2" t="s">
        <v>458</v>
      </c>
      <c r="F1752" s="2" t="s">
        <v>403</v>
      </c>
      <c r="G1752" s="2" t="s">
        <v>854</v>
      </c>
      <c r="H1752" s="3">
        <v>45448</v>
      </c>
      <c r="I1752" s="2" t="s">
        <v>941</v>
      </c>
      <c r="J1752" s="2" t="s">
        <v>864</v>
      </c>
      <c r="K1752" s="2">
        <v>20</v>
      </c>
      <c r="L1752" s="2">
        <v>85</v>
      </c>
      <c r="M1752" s="2">
        <v>100</v>
      </c>
      <c r="N1752" s="2">
        <v>46</v>
      </c>
      <c r="O1752" s="2">
        <v>1.6</v>
      </c>
      <c r="Q1752" s="1" t="s">
        <v>95</v>
      </c>
      <c r="R1752" s="9" t="s">
        <v>221</v>
      </c>
      <c r="S1752" s="9" t="s">
        <v>220</v>
      </c>
      <c r="T1752" s="188">
        <f t="shared" ref="T1752:T1755" si="234">SUM(V1751*0.05)</f>
        <v>36.365505804880385</v>
      </c>
      <c r="U1752" s="8">
        <f t="shared" ref="U1752:U1755" si="235">IF(Q1752="won",T1752*0.18,-T1752)</f>
        <v>6.5457910448784693</v>
      </c>
      <c r="V1752" s="234">
        <f t="shared" ref="V1752" si="236">SUM(V1751,U1752)</f>
        <v>733.8559071424861</v>
      </c>
      <c r="W1752" s="15">
        <v>25</v>
      </c>
      <c r="X1752" s="8">
        <f t="shared" ref="X1752" si="237">IF(Q1752="won",W1752*0.18,-W1752)</f>
        <v>4.5</v>
      </c>
      <c r="Y1752" s="233">
        <f t="shared" ref="Y1752" si="238">SUM(Y1751,X1752)</f>
        <v>695</v>
      </c>
    </row>
    <row r="1753" spans="1:25">
      <c r="C1753" s="160" t="s">
        <v>929</v>
      </c>
      <c r="D1753" s="302" t="s">
        <v>926</v>
      </c>
      <c r="E1753" s="304" t="s">
        <v>942</v>
      </c>
      <c r="F1753" s="257" t="s">
        <v>943</v>
      </c>
      <c r="G1753" s="257" t="s">
        <v>174</v>
      </c>
      <c r="H1753" s="303">
        <v>45449.854166666664</v>
      </c>
      <c r="I1753" s="257" t="s">
        <v>944</v>
      </c>
      <c r="J1753" s="257" t="s">
        <v>945</v>
      </c>
      <c r="Q1753" s="1" t="s">
        <v>949</v>
      </c>
      <c r="R1753" s="9" t="s">
        <v>193</v>
      </c>
      <c r="S1753" s="9" t="s">
        <v>193</v>
      </c>
      <c r="T1753" s="188">
        <v>0</v>
      </c>
      <c r="U1753" s="8">
        <v>0</v>
      </c>
      <c r="V1753" s="234">
        <f t="shared" ref="V1753:V1755" si="239">SUM(V1752,U1753)</f>
        <v>733.8559071424861</v>
      </c>
      <c r="W1753" s="15">
        <v>0</v>
      </c>
      <c r="X1753" s="8">
        <f t="shared" ref="X1753:X1755" si="240">IF(Q1753="won",W1753*0.18,-W1753)</f>
        <v>0</v>
      </c>
      <c r="Y1753" s="233">
        <f t="shared" ref="Y1753:Y1755" si="241">SUM(Y1752,X1753)</f>
        <v>695</v>
      </c>
    </row>
    <row r="1754" spans="1:25">
      <c r="C1754" s="160" t="s">
        <v>920</v>
      </c>
      <c r="D1754" s="302" t="s">
        <v>926</v>
      </c>
      <c r="E1754" s="304" t="s">
        <v>474</v>
      </c>
      <c r="F1754" s="257" t="s">
        <v>950</v>
      </c>
      <c r="G1754" s="257" t="s">
        <v>911</v>
      </c>
      <c r="H1754" s="303">
        <v>45450.638888888891</v>
      </c>
      <c r="I1754" s="257" t="s">
        <v>951</v>
      </c>
      <c r="J1754" s="257" t="s">
        <v>952</v>
      </c>
      <c r="Q1754" s="1" t="s">
        <v>95</v>
      </c>
      <c r="R1754" s="9" t="s">
        <v>193</v>
      </c>
      <c r="S1754" s="9" t="s">
        <v>217</v>
      </c>
      <c r="T1754" s="188">
        <f t="shared" si="234"/>
        <v>36.692795357124304</v>
      </c>
      <c r="U1754" s="8">
        <f t="shared" si="235"/>
        <v>6.6047031642823741</v>
      </c>
      <c r="V1754" s="234">
        <f t="shared" si="239"/>
        <v>740.46061030676844</v>
      </c>
      <c r="W1754" s="15">
        <v>25</v>
      </c>
      <c r="X1754" s="8">
        <f t="shared" si="240"/>
        <v>4.5</v>
      </c>
      <c r="Y1754" s="233">
        <f t="shared" si="241"/>
        <v>699.5</v>
      </c>
    </row>
    <row r="1755" spans="1:25">
      <c r="C1755" s="160" t="s">
        <v>921</v>
      </c>
      <c r="D1755" s="272" t="s">
        <v>926</v>
      </c>
      <c r="E1755" s="305" t="s">
        <v>946</v>
      </c>
      <c r="F1755" s="2" t="s">
        <v>778</v>
      </c>
      <c r="G1755" s="2" t="s">
        <v>322</v>
      </c>
      <c r="H1755" s="3">
        <v>45452.9375</v>
      </c>
      <c r="I1755" s="2" t="s">
        <v>947</v>
      </c>
      <c r="J1755" s="2" t="s">
        <v>948</v>
      </c>
      <c r="T1755" s="188">
        <f t="shared" si="234"/>
        <v>37.023030515338426</v>
      </c>
      <c r="V1755" s="234">
        <f t="shared" si="239"/>
        <v>740.46061030676844</v>
      </c>
      <c r="W1755" s="15">
        <v>25</v>
      </c>
      <c r="X1755" s="8"/>
      <c r="Y1755" s="233">
        <f t="shared" si="241"/>
        <v>699.5</v>
      </c>
    </row>
  </sheetData>
  <sortState ref="C2:S1737">
    <sortCondition ref="H2:H1737"/>
    <sortCondition ref="I2:I1737"/>
  </sortState>
  <phoneticPr fontId="19" type="noConversion"/>
  <conditionalFormatting sqref="Q1:Q1733 P318:P345 O534:O535 Q1752:Q1048576">
    <cfRule type="containsText" dxfId="5" priority="17" operator="containsText" text="WON">
      <formula>NOT(ISERROR(SEARCH("WON",O1)))</formula>
    </cfRule>
    <cfRule type="containsText" dxfId="4" priority="18" operator="containsText" text="LOST">
      <formula>NOT(ISERROR(SEARCH("LOST",O1)))</formula>
    </cfRule>
  </conditionalFormatting>
  <conditionalFormatting sqref="Q2:Q767 P318:P345 O534:O535 Q871:Q876">
    <cfRule type="containsText" dxfId="3" priority="15" operator="containsText" text="lost">
      <formula>NOT(ISERROR(SEARCH("lost",O2)))</formula>
    </cfRule>
    <cfRule type="containsText" dxfId="2" priority="16" operator="containsText" text="WON">
      <formula>NOT(ISERROR(SEARCH("WON",O2)))</formula>
    </cfRule>
  </conditionalFormatting>
  <conditionalFormatting sqref="Q1734:Q1752">
    <cfRule type="containsText" dxfId="1" priority="1" operator="containsText" text="WON">
      <formula>NOT(ISERROR(SEARCH("WON",Q1734)))</formula>
    </cfRule>
    <cfRule type="containsText" dxfId="0" priority="2" operator="containsText" text="LOST">
      <formula>NOT(ISERROR(SEARCH("LOST",Q1734)))</formula>
    </cfRule>
  </conditionalFormatting>
  <pageMargins left="0.7" right="0.7" top="0.75" bottom="0.75" header="0.3" footer="0.3"/>
  <pageSetup paperSize="9"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FOOTBALL active leagues</vt:lpstr>
      <vt:lpstr>FOOTBALL all_CALCULATIONS</vt:lpstr>
      <vt:lpstr>FOOTBALL all_filter_results USE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Peter</dc:creator>
  <cp:lastModifiedBy>customer</cp:lastModifiedBy>
  <cp:lastPrinted>2024-05-28T09:17:54Z</cp:lastPrinted>
  <dcterms:created xsi:type="dcterms:W3CDTF">2023-12-30T09:37:59Z</dcterms:created>
  <dcterms:modified xsi:type="dcterms:W3CDTF">2024-06-09T10:14:53Z</dcterms:modified>
</cp:coreProperties>
</file>